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punov\Documents\2026\служебки\Новая папка\"/>
    </mc:Choice>
  </mc:AlternateContent>
  <bookViews>
    <workbookView xWindow="0" yWindow="0" windowWidth="28800" windowHeight="11835"/>
  </bookViews>
  <sheets>
    <sheet name="Смета по ФСНБ 421+557прРИМ" sheetId="1" r:id="rId1"/>
  </sheets>
  <externalReferences>
    <externalReference r:id="rId2"/>
  </externalReferences>
  <definedNames>
    <definedName name="_xlnm.Print_Titles" localSheetId="0">'Смета по ФСНБ 421+557прРИМ'!$51:$51</definedName>
    <definedName name="_xlnm.Print_Area" localSheetId="0">'Смета по ФСНБ 421+557прРИМ'!$A$1:$L$275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6" i="1" l="1"/>
  <c r="G265" i="1"/>
  <c r="L264" i="1"/>
  <c r="L263" i="1"/>
  <c r="L260" i="1"/>
  <c r="L259" i="1"/>
  <c r="L257" i="1"/>
  <c r="L253" i="1"/>
  <c r="L252" i="1"/>
  <c r="L248" i="1"/>
  <c r="L236" i="1"/>
  <c r="L233" i="1"/>
  <c r="L232" i="1"/>
  <c r="L228" i="1"/>
  <c r="L217" i="1"/>
  <c r="L212" i="1"/>
  <c r="L211" i="1"/>
  <c r="L209" i="1" s="1"/>
  <c r="L204" i="1"/>
  <c r="L203" i="1"/>
  <c r="L199" i="1"/>
  <c r="L184" i="1"/>
  <c r="L183" i="1"/>
  <c r="L179" i="1"/>
  <c r="G164" i="1"/>
  <c r="G163" i="1"/>
  <c r="L162" i="1"/>
  <c r="L161" i="1"/>
  <c r="L158" i="1"/>
  <c r="L156" i="1"/>
  <c r="L153" i="1" s="1"/>
  <c r="L155" i="1"/>
  <c r="L149" i="1"/>
  <c r="L148" i="1"/>
  <c r="L144" i="1"/>
  <c r="CC134" i="1"/>
  <c r="CB134" i="1"/>
  <c r="BA134" i="1"/>
  <c r="L133" i="1" s="1"/>
  <c r="AZ134" i="1"/>
  <c r="AW134" i="1"/>
  <c r="AT134" i="1"/>
  <c r="AO134" i="1"/>
  <c r="AE134" i="1"/>
  <c r="AD134" i="1"/>
  <c r="G133" i="1"/>
  <c r="E133" i="1"/>
  <c r="L132" i="1"/>
  <c r="G132" i="1"/>
  <c r="E132" i="1"/>
  <c r="L129" i="1"/>
  <c r="J129" i="1"/>
  <c r="G129" i="1"/>
  <c r="L128" i="1"/>
  <c r="J128" i="1"/>
  <c r="G128" i="1"/>
  <c r="G127" i="1"/>
  <c r="G126" i="1"/>
  <c r="E126" i="1"/>
  <c r="D126" i="1"/>
  <c r="C126" i="1"/>
  <c r="CC125" i="1"/>
  <c r="CB125" i="1"/>
  <c r="BA125" i="1"/>
  <c r="L124" i="1" s="1"/>
  <c r="AZ125" i="1"/>
  <c r="L235" i="1" s="1"/>
  <c r="AW125" i="1"/>
  <c r="L231" i="1" s="1"/>
  <c r="L229" i="1" s="1"/>
  <c r="AT125" i="1"/>
  <c r="L227" i="1" s="1"/>
  <c r="AO125" i="1"/>
  <c r="L225" i="1" s="1"/>
  <c r="L223" i="1" s="1"/>
  <c r="AE125" i="1"/>
  <c r="AD125" i="1"/>
  <c r="G124" i="1"/>
  <c r="E124" i="1"/>
  <c r="L123" i="1"/>
  <c r="G123" i="1"/>
  <c r="E123" i="1"/>
  <c r="L120" i="1"/>
  <c r="J120" i="1"/>
  <c r="G120" i="1"/>
  <c r="L119" i="1"/>
  <c r="L118" i="1" s="1"/>
  <c r="J119" i="1"/>
  <c r="G119" i="1"/>
  <c r="G118" i="1"/>
  <c r="G117" i="1"/>
  <c r="E117" i="1"/>
  <c r="D117" i="1"/>
  <c r="C117" i="1"/>
  <c r="BA116" i="1"/>
  <c r="L115" i="1" s="1"/>
  <c r="AZ116" i="1"/>
  <c r="AW116" i="1"/>
  <c r="AT116" i="1"/>
  <c r="AO116" i="1"/>
  <c r="AE116" i="1"/>
  <c r="AD116" i="1"/>
  <c r="G115" i="1"/>
  <c r="E115" i="1"/>
  <c r="L114" i="1"/>
  <c r="G114" i="1"/>
  <c r="E114" i="1"/>
  <c r="L111" i="1"/>
  <c r="L110" i="1" s="1"/>
  <c r="J111" i="1"/>
  <c r="G111" i="1"/>
  <c r="G110" i="1"/>
  <c r="C109" i="1"/>
  <c r="G108" i="1"/>
  <c r="E108" i="1"/>
  <c r="D108" i="1"/>
  <c r="C108" i="1"/>
  <c r="BA107" i="1"/>
  <c r="AZ107" i="1"/>
  <c r="AE107" i="1"/>
  <c r="AD107" i="1"/>
  <c r="G106" i="1"/>
  <c r="E106" i="1"/>
  <c r="G105" i="1"/>
  <c r="E105" i="1"/>
  <c r="BA103" i="1"/>
  <c r="AZ103" i="1"/>
  <c r="AN103" i="1"/>
  <c r="AE103" i="1"/>
  <c r="AD103" i="1"/>
  <c r="L103" i="1"/>
  <c r="AW103" i="1" s="1"/>
  <c r="I103" i="1"/>
  <c r="H103" i="1"/>
  <c r="G103" i="1"/>
  <c r="E103" i="1"/>
  <c r="D103" i="1"/>
  <c r="C103" i="1"/>
  <c r="B103" i="1"/>
  <c r="BA102" i="1"/>
  <c r="AZ102" i="1"/>
  <c r="AE102" i="1"/>
  <c r="AD102" i="1"/>
  <c r="L102" i="1"/>
  <c r="AW102" i="1" s="1"/>
  <c r="I102" i="1"/>
  <c r="H102" i="1"/>
  <c r="G102" i="1"/>
  <c r="E102" i="1"/>
  <c r="D102" i="1"/>
  <c r="C102" i="1"/>
  <c r="B102" i="1"/>
  <c r="L100" i="1"/>
  <c r="I100" i="1"/>
  <c r="H100" i="1"/>
  <c r="J100" i="1" s="1"/>
  <c r="G100" i="1"/>
  <c r="L99" i="1"/>
  <c r="I99" i="1"/>
  <c r="H99" i="1"/>
  <c r="J99" i="1" s="1"/>
  <c r="G99" i="1"/>
  <c r="L98" i="1"/>
  <c r="I98" i="1"/>
  <c r="H98" i="1"/>
  <c r="G98" i="1"/>
  <c r="L97" i="1"/>
  <c r="L96" i="1" s="1"/>
  <c r="AW107" i="1" s="1"/>
  <c r="I97" i="1"/>
  <c r="H97" i="1"/>
  <c r="J97" i="1" s="1"/>
  <c r="G97" i="1"/>
  <c r="L95" i="1"/>
  <c r="J95" i="1"/>
  <c r="E95" i="1"/>
  <c r="L94" i="1"/>
  <c r="J94" i="1"/>
  <c r="G94" i="1"/>
  <c r="L93" i="1"/>
  <c r="I93" i="1"/>
  <c r="H93" i="1"/>
  <c r="J93" i="1" s="1"/>
  <c r="G93" i="1"/>
  <c r="L92" i="1"/>
  <c r="I92" i="1"/>
  <c r="H92" i="1"/>
  <c r="J92" i="1" s="1"/>
  <c r="G92" i="1"/>
  <c r="L91" i="1"/>
  <c r="J91" i="1"/>
  <c r="E91" i="1"/>
  <c r="L90" i="1"/>
  <c r="J90" i="1"/>
  <c r="G90" i="1"/>
  <c r="L89" i="1"/>
  <c r="L88" i="1" s="1"/>
  <c r="AO107" i="1" s="1"/>
  <c r="G89" i="1"/>
  <c r="L87" i="1"/>
  <c r="L86" i="1" s="1"/>
  <c r="J87" i="1"/>
  <c r="G87" i="1"/>
  <c r="G86" i="1"/>
  <c r="C85" i="1"/>
  <c r="G84" i="1"/>
  <c r="E84" i="1"/>
  <c r="D84" i="1"/>
  <c r="C84" i="1"/>
  <c r="BA83" i="1"/>
  <c r="AZ83" i="1"/>
  <c r="AE83" i="1"/>
  <c r="AD83" i="1"/>
  <c r="G82" i="1"/>
  <c r="E82" i="1"/>
  <c r="G81" i="1"/>
  <c r="E81" i="1"/>
  <c r="BA79" i="1"/>
  <c r="AZ79" i="1"/>
  <c r="AN79" i="1"/>
  <c r="AE79" i="1"/>
  <c r="AD79" i="1"/>
  <c r="L79" i="1"/>
  <c r="AW79" i="1" s="1"/>
  <c r="I79" i="1"/>
  <c r="H79" i="1"/>
  <c r="G79" i="1"/>
  <c r="E79" i="1"/>
  <c r="D79" i="1"/>
  <c r="C79" i="1"/>
  <c r="B79" i="1"/>
  <c r="BA78" i="1"/>
  <c r="AZ78" i="1"/>
  <c r="AW78" i="1"/>
  <c r="AE78" i="1"/>
  <c r="AD78" i="1"/>
  <c r="L78" i="1"/>
  <c r="AN78" i="1" s="1"/>
  <c r="I78" i="1"/>
  <c r="H78" i="1"/>
  <c r="J78" i="1" s="1"/>
  <c r="G78" i="1"/>
  <c r="E78" i="1"/>
  <c r="D78" i="1"/>
  <c r="C78" i="1"/>
  <c r="B78" i="1"/>
  <c r="L76" i="1"/>
  <c r="I76" i="1"/>
  <c r="H76" i="1"/>
  <c r="G76" i="1"/>
  <c r="L75" i="1"/>
  <c r="I75" i="1"/>
  <c r="H75" i="1"/>
  <c r="J75" i="1" s="1"/>
  <c r="G75" i="1"/>
  <c r="L74" i="1"/>
  <c r="AW83" i="1" s="1"/>
  <c r="L73" i="1"/>
  <c r="J73" i="1"/>
  <c r="G73" i="1"/>
  <c r="L72" i="1"/>
  <c r="J72" i="1"/>
  <c r="E72" i="1"/>
  <c r="L71" i="1"/>
  <c r="J71" i="1"/>
  <c r="G71" i="1"/>
  <c r="L70" i="1"/>
  <c r="L68" i="1" s="1"/>
  <c r="J70" i="1"/>
  <c r="E70" i="1"/>
  <c r="G70" i="1" s="1"/>
  <c r="L69" i="1"/>
  <c r="J69" i="1"/>
  <c r="G69" i="1"/>
  <c r="G68" i="1"/>
  <c r="L66" i="1"/>
  <c r="L65" i="1" s="1"/>
  <c r="J66" i="1"/>
  <c r="G66" i="1"/>
  <c r="G65" i="1"/>
  <c r="G64" i="1"/>
  <c r="E64" i="1"/>
  <c r="D64" i="1"/>
  <c r="C64" i="1"/>
  <c r="BA63" i="1"/>
  <c r="AZ63" i="1"/>
  <c r="AW63" i="1"/>
  <c r="AT63" i="1"/>
  <c r="AO63" i="1"/>
  <c r="AE63" i="1"/>
  <c r="AD63" i="1"/>
  <c r="G62" i="1"/>
  <c r="E62" i="1"/>
  <c r="G61" i="1"/>
  <c r="E61" i="1"/>
  <c r="BA59" i="1"/>
  <c r="L62" i="1" s="1"/>
  <c r="AZ59" i="1"/>
  <c r="L151" i="1" s="1"/>
  <c r="AE59" i="1"/>
  <c r="AD59" i="1"/>
  <c r="L59" i="1"/>
  <c r="AN59" i="1" s="1"/>
  <c r="H59" i="1"/>
  <c r="G59" i="1"/>
  <c r="E59" i="1"/>
  <c r="D59" i="1"/>
  <c r="C59" i="1"/>
  <c r="B59" i="1"/>
  <c r="L57" i="1"/>
  <c r="L56" i="1" s="1"/>
  <c r="J57" i="1"/>
  <c r="G57" i="1"/>
  <c r="G56" i="1"/>
  <c r="C55" i="1"/>
  <c r="G54" i="1"/>
  <c r="E54" i="1"/>
  <c r="D54" i="1"/>
  <c r="C54" i="1"/>
  <c r="C44" i="1"/>
  <c r="C43" i="1"/>
  <c r="K42" i="1"/>
  <c r="C42" i="1"/>
  <c r="K41" i="1"/>
  <c r="C41" i="1"/>
  <c r="A27" i="1"/>
  <c r="F16" i="1"/>
  <c r="F14" i="1"/>
  <c r="CO6" i="1"/>
  <c r="F6" i="1"/>
  <c r="CO4" i="1"/>
  <c r="F4" i="1"/>
  <c r="A1" i="1"/>
  <c r="L58" i="1" l="1"/>
  <c r="AR63" i="1"/>
  <c r="AW59" i="1"/>
  <c r="L147" i="1" s="1"/>
  <c r="L145" i="1" s="1"/>
  <c r="G72" i="1"/>
  <c r="J76" i="1"/>
  <c r="L81" i="1"/>
  <c r="L105" i="1"/>
  <c r="L207" i="1"/>
  <c r="L106" i="1"/>
  <c r="C38" i="1"/>
  <c r="G91" i="1"/>
  <c r="J98" i="1"/>
  <c r="G95" i="1"/>
  <c r="L127" i="1"/>
  <c r="K134" i="1" s="1"/>
  <c r="J79" i="1"/>
  <c r="J102" i="1"/>
  <c r="J103" i="1"/>
  <c r="L61" i="1"/>
  <c r="AN63" i="1" s="1"/>
  <c r="L202" i="1"/>
  <c r="L200" i="1" s="1"/>
  <c r="I116" i="1"/>
  <c r="K125" i="1"/>
  <c r="AR125" i="1"/>
  <c r="AN125" i="1"/>
  <c r="L121" i="1"/>
  <c r="AR134" i="1"/>
  <c r="L131" i="1" s="1"/>
  <c r="AN134" i="1"/>
  <c r="L130" i="1"/>
  <c r="L67" i="1"/>
  <c r="AO83" i="1" s="1"/>
  <c r="L196" i="1" s="1"/>
  <c r="AT83" i="1"/>
  <c r="L101" i="1"/>
  <c r="K107" i="1"/>
  <c r="I107" i="1" s="1"/>
  <c r="AR107" i="1"/>
  <c r="AN107" i="1"/>
  <c r="AR116" i="1"/>
  <c r="L113" i="1" s="1"/>
  <c r="AN116" i="1"/>
  <c r="L112" i="1"/>
  <c r="K116" i="1"/>
  <c r="L82" i="1"/>
  <c r="L255" i="1"/>
  <c r="L186" i="1"/>
  <c r="L256" i="1"/>
  <c r="L187" i="1"/>
  <c r="L152" i="1"/>
  <c r="L173" i="1"/>
  <c r="L206" i="1"/>
  <c r="L176" i="1"/>
  <c r="AR83" i="1"/>
  <c r="AT107" i="1"/>
  <c r="K40" i="1" s="1"/>
  <c r="L178" i="1"/>
  <c r="K63" i="1"/>
  <c r="I63" i="1" s="1"/>
  <c r="L251" i="1"/>
  <c r="L249" i="1" s="1"/>
  <c r="AN102" i="1"/>
  <c r="L182" i="1"/>
  <c r="L180" i="1" s="1"/>
  <c r="L242" i="1" l="1"/>
  <c r="L60" i="1"/>
  <c r="L185" i="1"/>
  <c r="L245" i="1"/>
  <c r="AN83" i="1"/>
  <c r="BR134" i="1"/>
  <c r="BU134" i="1"/>
  <c r="BV134" i="1" s="1"/>
  <c r="I134" i="1"/>
  <c r="L193" i="1"/>
  <c r="L80" i="1"/>
  <c r="L205" i="1"/>
  <c r="L104" i="1"/>
  <c r="L247" i="1"/>
  <c r="L174" i="1"/>
  <c r="L150" i="1"/>
  <c r="L234" i="1"/>
  <c r="L122" i="1"/>
  <c r="L222" i="1"/>
  <c r="L220" i="1" s="1"/>
  <c r="K83" i="1"/>
  <c r="I83" i="1" s="1"/>
  <c r="L141" i="1"/>
  <c r="BR125" i="1"/>
  <c r="BU125" i="1"/>
  <c r="BV125" i="1" s="1"/>
  <c r="I125" i="1"/>
  <c r="L243" i="1"/>
  <c r="L240" i="1" s="1"/>
  <c r="L77" i="1"/>
  <c r="L138" i="1"/>
  <c r="L254" i="1"/>
  <c r="L198" i="1"/>
  <c r="L194" i="1" s="1"/>
  <c r="L143" i="1"/>
  <c r="K39" i="1"/>
  <c r="L171" i="1"/>
  <c r="L169" i="1" s="1"/>
  <c r="L191" i="1" l="1"/>
  <c r="L189" i="1" s="1"/>
  <c r="L139" i="1"/>
  <c r="L136" i="1" s="1"/>
  <c r="L159" i="1" s="1"/>
  <c r="L218" i="1"/>
  <c r="L214" i="1"/>
  <c r="L261" i="1" s="1"/>
  <c r="L238" i="1" l="1"/>
  <c r="L268" i="1" s="1"/>
</calcChain>
</file>

<file path=xl/sharedStrings.xml><?xml version="1.0" encoding="utf-8"?>
<sst xmlns="http://schemas.openxmlformats.org/spreadsheetml/2006/main" count="370" uniqueCount="178">
  <si>
    <t>Наименование программного продукта</t>
  </si>
  <si>
    <t>Программа для ЭВМ «Программа: «Smeta.RU» версия 11»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</si>
  <si>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</si>
  <si>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</si>
  <si>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</si>
  <si>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Письмо Минстроя России от 25.02.2026 № 9859-ИФ/09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</si>
  <si>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</si>
  <si>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Письмо Департамента экономической политики и развития города Москвы от 27.10.2025 № ДПР-3-23615/25(1)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</si>
  <si>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</si>
  <si>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</si>
  <si>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</si>
  <si>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</si>
  <si>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</si>
  <si>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г. Москва, пер. Сивцев Вражек, д. 41, стр. 1 и 6</t>
  </si>
  <si>
    <t>(наименование объекта капитального строительства)</t>
  </si>
  <si>
    <t>ЛОКАЛЬНАЯ СМЕТА № 1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</si>
  <si>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</si>
  <si>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</si>
  <si>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</si>
  <si>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</si>
  <si>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</si>
  <si>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</si>
  <si>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 на март 2026 года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</si>
  <si>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</si>
  <si>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</si>
  <si>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</si>
  <si>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</si>
  <si>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</si>
  <si>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</si>
  <si>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</si>
  <si>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>чел.-ч.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</si>
  <si>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</si>
  <si>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</si>
  <si>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</si>
  <si>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</si>
  <si>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</si>
  <si>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</si>
  <si>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</si>
  <si>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</si>
  <si>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</si>
  <si>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</si>
  <si>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</si>
  <si>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</si>
  <si>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</si>
  <si>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</si>
  <si>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</si>
  <si>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</si>
  <si>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</si>
  <si>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Раздел: Монтажные работы</t>
  </si>
  <si>
    <t>1</t>
  </si>
  <si>
    <t>ГЭСНр 69-01-001-03</t>
  </si>
  <si>
    <t>ОТ (ЗТ)</t>
  </si>
  <si>
    <t>1-100-20</t>
  </si>
  <si>
    <t>Средний разряд работы 2,0</t>
  </si>
  <si>
    <t>Итого прямые затраты</t>
  </si>
  <si>
    <t>1.1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</si>
  <si>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</si>
  <si>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</si>
  <si>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</si>
  <si>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</si>
  <si>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</si>
  <si>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</si>
  <si>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</si>
  <si>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=</t>
  </si>
  <si>
    <t>2</t>
  </si>
  <si>
    <t>ГЭСНм 08-02-395-01</t>
  </si>
  <si>
    <t>1-100-38</t>
  </si>
  <si>
    <t>Средний разряд работы 3,8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</si>
  <si>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</si>
  <si>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</si>
  <si>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</si>
  <si>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</si>
  <si>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</si>
  <si>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</si>
  <si>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>ОТм(ЗТм) Средний разряд машинистов 6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</si>
  <si>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</si>
  <si>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</si>
  <si>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</si>
  <si>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</si>
  <si>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91.17.04-233</t>
  </si>
  <si>
    <t>Аппараты сварочные для ручной дуговой сварки, сварочный ток до 350 А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</si>
  <si>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</si>
  <si>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</si>
  <si>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</si>
  <si>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</si>
  <si>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</si>
  <si>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</si>
  <si>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2.1</t>
  </si>
  <si>
    <t>2.2</t>
  </si>
  <si>
    <t>Пр/812-049.3-1</t>
  </si>
  <si>
    <t>НР Электротехнические установки: на других объектах</t>
  </si>
  <si>
    <t>Пр/774-049.3</t>
  </si>
  <si>
    <t>СП Электротехнические установки: на других объектах</t>
  </si>
  <si>
    <t>3</t>
  </si>
  <si>
    <t>ГЭСНм 08-02-147-01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</si>
  <si>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</si>
  <si>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</si>
  <si>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</si>
  <si>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</si>
  <si>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</si>
  <si>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</si>
  <si>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</si>
  <si>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</si>
  <si>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</si>
  <si>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</si>
  <si>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</si>
  <si>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</si>
  <si>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</si>
  <si>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</si>
  <si>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3.1</t>
  </si>
  <si>
    <t>3.2</t>
  </si>
  <si>
    <t>4</t>
  </si>
  <si>
    <t>ГЭСНм 08-02-144-03</t>
  </si>
  <si>
    <t>5</t>
  </si>
  <si>
    <t>ГЭСНп 01-11-013-01</t>
  </si>
  <si>
    <t>2-100-06</t>
  </si>
  <si>
    <t>Рабочий 6 разряда</t>
  </si>
  <si>
    <t>чел.-ч</t>
  </si>
  <si>
    <t>3-200-03</t>
  </si>
  <si>
    <t>Инженер III категории</t>
  </si>
  <si>
    <t>Пр/812-083.0-1</t>
  </si>
  <si>
    <t>НР Пусконаладочные работы</t>
  </si>
  <si>
    <t>Пр/774-083.0</t>
  </si>
  <si>
    <t>СП Пусконаладочные работы</t>
  </si>
  <si>
    <t>6</t>
  </si>
  <si>
    <t>ГЭСНп 01-11-028-01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</si>
  <si>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</si>
  <si>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</si>
  <si>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</si>
  <si>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</si>
  <si>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</si>
  <si>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</si>
  <si>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оплата труда машинистов (ОТм)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</si>
  <si>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</si>
  <si>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</si>
  <si>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</si>
  <si>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</si>
  <si>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</si>
  <si>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</si>
  <si>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</si>
  <si>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</si>
  <si>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</si>
  <si>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</si>
  <si>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</si>
  <si>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</si>
  <si>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</si>
  <si>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</si>
  <si>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</si>
  <si>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</si>
  <si>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</si>
  <si>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</si>
  <si>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</si>
  <si>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</si>
  <si>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</si>
  <si>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</si>
  <si>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</si>
  <si>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</si>
  <si>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</si>
  <si>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</si>
  <si>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</si>
  <si>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</si>
  <si>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</si>
  <si>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</si>
  <si>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</si>
  <si>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</si>
  <si>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</si>
  <si>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</si>
  <si>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</si>
  <si>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>ВСЕГО по смете с НДС22%</t>
  </si>
  <si>
    <t xml:space="preserve">Составил   </t>
  </si>
  <si>
    <t>заместитель главного инженера</t>
  </si>
  <si>
    <t>Д.В. Шабанов</t>
  </si>
  <si>
    <t>[должность,подпись(инициалы,фамилия)]</t>
  </si>
  <si>
    <t xml:space="preserve">Проверил   </t>
  </si>
  <si>
    <t>начальник отдела ИТО</t>
  </si>
  <si>
    <t>О.В. Тамара</t>
  </si>
  <si>
    <t>Выполнение электромонтажных работ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</si>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</sst>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\ #,##0.00"/>
    <numFmt numFmtId="165" formatCode="#,##0.00#####;[Red]\-\ #,##0.00#####"/>
    <numFmt numFmtId="166" formatCode="0.0000"/>
  </numFmts>
  <fonts count="18" x14ac:knownFonts="1">
    <font>
      <sz val="10"/>
      <name val="Arial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2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vertical="top" wrapText="1"/>
    </xf>
    <xf numFmtId="0" fontId="2" fillId="0" borderId="2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3" fillId="0" borderId="0" xfId="0" applyNumberFormat="1" applyFont="1" applyAlignment="1"/>
    <xf numFmtId="0" fontId="3" fillId="0" borderId="2" xfId="0" applyNumberFormat="1" applyFont="1" applyBorder="1" applyAlignment="1"/>
    <xf numFmtId="0" fontId="6" fillId="0" borderId="0" xfId="0" applyNumberFormat="1" applyFont="1" applyAlignment="1"/>
    <xf numFmtId="0" fontId="6" fillId="0" borderId="0" xfId="0" applyNumberFormat="1" applyFont="1" applyAlignment="1">
      <alignment wrapText="1"/>
    </xf>
    <xf numFmtId="0" fontId="7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horizontal="center" wrapText="1"/>
    </xf>
    <xf numFmtId="0" fontId="2" fillId="0" borderId="0" xfId="0" applyNumberFormat="1" applyFont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/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wrapText="1"/>
    </xf>
    <xf numFmtId="0" fontId="9" fillId="0" borderId="0" xfId="0" applyNumberFormat="1" applyFont="1" applyAlignment="1"/>
    <xf numFmtId="14" fontId="6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164" fontId="3" fillId="0" borderId="0" xfId="0" applyNumberFormat="1" applyFont="1" applyAlignment="1"/>
    <xf numFmtId="0" fontId="10" fillId="0" borderId="0" xfId="0" applyNumberFormat="1" applyFont="1" applyAlignment="1"/>
    <xf numFmtId="164" fontId="2" fillId="0" borderId="0" xfId="0" applyNumberFormat="1" applyFont="1" applyAlignment="1"/>
    <xf numFmtId="165" fontId="3" fillId="0" borderId="0" xfId="0" applyNumberFormat="1" applyFont="1" applyAlignment="1"/>
    <xf numFmtId="166" fontId="2" fillId="0" borderId="0" xfId="0" applyNumberFormat="1" applyFont="1" applyAlignment="1">
      <alignment horizontal="right"/>
    </xf>
    <xf numFmtId="0" fontId="6" fillId="0" borderId="1" xfId="0" applyNumberFormat="1" applyFont="1" applyBorder="1" applyAlignment="1"/>
    <xf numFmtId="0" fontId="2" fillId="0" borderId="12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6" fillId="0" borderId="12" xfId="0" applyNumberFormat="1" applyFont="1" applyBorder="1" applyAlignment="1">
      <alignment horizontal="center"/>
    </xf>
    <xf numFmtId="0" fontId="13" fillId="0" borderId="0" xfId="0" quotePrefix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13" fillId="0" borderId="0" xfId="0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165" fontId="13" fillId="0" borderId="0" xfId="0" applyNumberFormat="1" applyFont="1" applyAlignment="1">
      <alignment horizontal="right" vertical="top"/>
    </xf>
    <xf numFmtId="164" fontId="15" fillId="0" borderId="0" xfId="0" applyNumberFormat="1" applyFont="1" applyAlignment="1">
      <alignment horizontal="right" vertical="top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164" fontId="13" fillId="0" borderId="1" xfId="0" applyNumberFormat="1" applyFont="1" applyBorder="1" applyAlignment="1">
      <alignment horizontal="right" vertical="top"/>
    </xf>
    <xf numFmtId="0" fontId="13" fillId="0" borderId="1" xfId="0" applyFont="1" applyBorder="1" applyAlignment="1">
      <alignment horizontal="right" vertical="top" wrapText="1"/>
    </xf>
    <xf numFmtId="0" fontId="15" fillId="0" borderId="0" xfId="0" applyFont="1" applyAlignment="1">
      <alignment horizontal="left" vertical="top" wrapText="1"/>
    </xf>
    <xf numFmtId="164" fontId="0" fillId="0" borderId="0" xfId="0" applyNumberFormat="1"/>
    <xf numFmtId="0" fontId="15" fillId="0" borderId="0" xfId="0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0" fontId="15" fillId="0" borderId="2" xfId="0" applyFont="1" applyBorder="1" applyAlignment="1">
      <alignment vertical="top"/>
    </xf>
    <xf numFmtId="0" fontId="16" fillId="0" borderId="2" xfId="0" applyFont="1" applyBorder="1" applyAlignment="1">
      <alignment horizontal="left" vertical="top" wrapText="1"/>
    </xf>
    <xf numFmtId="164" fontId="15" fillId="0" borderId="2" xfId="0" applyNumberFormat="1" applyFont="1" applyBorder="1" applyAlignment="1">
      <alignment horizontal="right" vertical="top"/>
    </xf>
    <xf numFmtId="0" fontId="15" fillId="0" borderId="2" xfId="0" applyFont="1" applyBorder="1" applyAlignment="1">
      <alignment horizontal="right" vertical="top"/>
    </xf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 vertical="center"/>
    </xf>
    <xf numFmtId="0" fontId="6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right"/>
    </xf>
    <xf numFmtId="0" fontId="17" fillId="0" borderId="2" xfId="0" applyNumberFormat="1" applyFont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164" fontId="15" fillId="0" borderId="0" xfId="0" applyNumberFormat="1" applyFont="1" applyAlignment="1">
      <alignment horizontal="left" vertical="top"/>
    </xf>
    <xf numFmtId="164" fontId="15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1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t-3\cat06\incat02\&#1047;&#1040;&#1050;&#1059;&#1055;&#1050;&#1048;%202015-2022\2026\&#1074;%20&#1088;&#1072;&#1073;&#1086;&#1090;&#1077;\245.2026%20&#1042;&#1099;&#1087;&#1086;&#1083;&#1085;&#1077;&#1085;&#1080;&#1077;%20&#1088;&#1072;&#1073;&#1086;&#1090;%20&#1085;&#1072;%20%20&#1087;&#1086;&#1076;&#1082;&#1083;&#1102;&#1095;&#1077;&#1085;&#1080;&#1077;%20&#1076;&#1080;&#1079;&#1077;&#1083;&#1100;-&#1075;&#1077;&#1085;&#1077;&#1088;&#1072;&#1090;&#1086;&#1088;&#1086;&#1074;\&#1058;&#1077;&#1079;&#1080;&#1089;%201\&#1051;&#1057;&#1056;%20&#1085;&#1072;%20&#1087;&#1086;&#1076;&#1083;&#1082;&#1102;&#1095;&#1077;&#1085;&#1080;&#1077;%20&#1087;&#1086;&#1090;&#1088;&#1077;&#1073;&#1080;&#1090;&#1077;&#1083;&#1077;&#1081;%20&#1082;%20&#1076;&#1080;&#1079;&#1077;&#1083;&#1100;-&#1075;&#1077;&#1085;&#1077;&#1088;&#1072;&#1090;&#1086;&#1088;&#1091;_&#1087;&#1077;&#1088;.%20&#1057;&#1080;&#1074;&#1094;&#1077;&#1074;%20&#1042;&#1088;&#1072;&#1078;&#1077;&#1082;,%20&#1076;.%2041,%20&#1089;&#1090;&#1088;.%201%20&#1080;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по ФСНБ 421+557прРИМ"/>
      <sheetName val="Source"/>
      <sheetName val="SourceObSm"/>
      <sheetName val="SmtRes"/>
      <sheetName val="EtalonRes"/>
      <sheetName val="SrcPoprs"/>
      <sheetName val="SrcKA"/>
    </sheetNames>
    <sheetDataSet>
      <sheetData sheetId="0"/>
      <sheetData sheetId="1">
        <row r="1">
          <cell r="B1" t="str">
            <v>Smeta.RU  (495) 974-1589</v>
          </cell>
        </row>
        <row r="12">
          <cell r="CQ12" t="str">
    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    </cell>
          <cell r="CV12" t="str">
    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    </cell>
          <cell r="CZ12" t="str">
            <v/>
          </cell>
          <cell r="DA12" t="str">
            <v/>
          </cell>
        </row>
        <row r="20">
          <cell r="G20" t="str">
            <v>Новая локальная смета</v>
          </cell>
        </row>
        <row r="29">
          <cell r="G29" t="str">
            <v>Пробивка отверстий в кирпичных стенах для водогазопроводных труб вручную при толщине стен: в 1,5 кирпича</v>
          </cell>
          <cell r="H29" t="str">
            <v>100 отверстий</v>
          </cell>
          <cell r="I29">
            <v>0.02</v>
          </cell>
          <cell r="K29">
            <v>0.02</v>
          </cell>
          <cell r="U29">
            <v>2.3940000000000001</v>
          </cell>
          <cell r="X29">
            <v>1293.5999999999999</v>
          </cell>
          <cell r="Y29">
            <v>618.67999999999995</v>
          </cell>
          <cell r="AT29">
            <v>92</v>
          </cell>
          <cell r="AU29">
            <v>44</v>
          </cell>
          <cell r="BZ29">
            <v>92</v>
          </cell>
          <cell r="CA29">
            <v>44</v>
          </cell>
        </row>
        <row r="31">
          <cell r="F31" t="str">
            <v>999-9900</v>
          </cell>
          <cell r="G31" t="str">
            <v>Строительный мусор</v>
          </cell>
          <cell r="H31" t="str">
            <v>т</v>
          </cell>
          <cell r="I31">
            <v>3.0000000000000001E-3</v>
          </cell>
          <cell r="P31">
            <v>0</v>
          </cell>
          <cell r="X31">
            <v>0</v>
          </cell>
          <cell r="Y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T31">
            <v>92</v>
          </cell>
          <cell r="AU31">
            <v>44</v>
          </cell>
        </row>
        <row r="33">
          <cell r="G33" t="str">
            <v>Лоток металлический штампованный по установленным конструкциям, ширина лотка: до 200 мм (1,16 кг — вес 1 м.п. металлического  лотка размером 100х50х3000 мм толщиной 0,7 мм=1,16х6=6,96/1000=0,007, 2,0- вес металличесой оцинкованной крышки 100х3000=2х2=4/1000=0,004), итого 0,007+0,004=0,011</v>
          </cell>
          <cell r="H33" t="str">
            <v>т</v>
          </cell>
          <cell r="I33">
            <v>1.0999999999999999E-2</v>
          </cell>
          <cell r="K33">
            <v>1.0999999999999999E-2</v>
          </cell>
          <cell r="U33">
            <v>0.59399999999999997</v>
          </cell>
          <cell r="V33">
            <v>2.75E-2</v>
          </cell>
          <cell r="X33">
            <v>429.28</v>
          </cell>
          <cell r="Y33">
            <v>225.71</v>
          </cell>
          <cell r="AT33">
            <v>97</v>
          </cell>
          <cell r="AU33">
            <v>51</v>
          </cell>
          <cell r="BZ33">
            <v>97</v>
          </cell>
          <cell r="CA33">
            <v>51</v>
          </cell>
        </row>
        <row r="35">
          <cell r="F35" t="str">
            <v>20.2.07.04-1209</v>
          </cell>
          <cell r="G35" t="str">
            <v>Лоток стальной, толщина стенки 0,7 мм, размеры 100х50х3000 мм:</v>
          </cell>
          <cell r="H35" t="str">
            <v>ШТ</v>
          </cell>
          <cell r="I35">
            <v>2</v>
          </cell>
          <cell r="P35">
            <v>2226.7199999999998</v>
          </cell>
          <cell r="X35">
            <v>0</v>
          </cell>
          <cell r="Y35">
            <v>0</v>
          </cell>
          <cell r="AL35">
            <v>1040.52</v>
          </cell>
          <cell r="AM35">
            <v>0</v>
          </cell>
          <cell r="AN35">
            <v>0</v>
          </cell>
          <cell r="AO35">
            <v>0</v>
          </cell>
          <cell r="AT35">
            <v>97</v>
          </cell>
          <cell r="AU35">
            <v>51</v>
          </cell>
          <cell r="BC35">
            <v>1.07</v>
          </cell>
        </row>
        <row r="37">
          <cell r="F37" t="str">
            <v>20.2.03.06-1817</v>
          </cell>
          <cell r="G37" t="str">
            <v>Крышка с заземлением, стальная, на лоток, толщина стенки 0,6 мм, размеры 100х3000 мм</v>
          </cell>
          <cell r="H37" t="str">
            <v>ШТ</v>
          </cell>
          <cell r="I37">
            <v>2</v>
          </cell>
          <cell r="P37">
            <v>1118.3599999999999</v>
          </cell>
          <cell r="X37">
            <v>0</v>
          </cell>
          <cell r="Y37">
            <v>0</v>
          </cell>
          <cell r="AL37">
            <v>601.27</v>
          </cell>
          <cell r="AM37">
            <v>0</v>
          </cell>
          <cell r="AN37">
            <v>0</v>
          </cell>
          <cell r="AO37">
            <v>0</v>
          </cell>
          <cell r="AT37">
            <v>97</v>
          </cell>
          <cell r="AU37">
            <v>51</v>
          </cell>
          <cell r="BC37">
            <v>0.93</v>
          </cell>
        </row>
        <row r="39">
          <cell r="G39" t="str">
            <v>Кабель до 35 кВ по установленным конструкциям и лоткам с креплением на поворотах и в конце трассы, масса 1 м кабеля: до 1 кг</v>
          </cell>
          <cell r="H39" t="str">
            <v>100 м</v>
          </cell>
          <cell r="I39">
            <v>1.7</v>
          </cell>
          <cell r="K39">
            <v>1.7</v>
          </cell>
          <cell r="U39">
            <v>15.776</v>
          </cell>
          <cell r="V39">
            <v>0.68</v>
          </cell>
          <cell r="X39">
            <v>11359.89</v>
          </cell>
          <cell r="Y39">
            <v>5972.73</v>
          </cell>
          <cell r="AT39">
            <v>97</v>
          </cell>
          <cell r="AU39">
            <v>51</v>
          </cell>
          <cell r="BZ39">
            <v>97</v>
          </cell>
          <cell r="CA39">
            <v>51</v>
          </cell>
        </row>
        <row r="41">
          <cell r="F41" t="str">
            <v>21.1.08.03-1164</v>
          </cell>
          <cell r="G41" t="str">
            <v>Кабель контрольный КВБбШв 10х1,5</v>
          </cell>
          <cell r="H41" t="str">
            <v>1000 м</v>
          </cell>
          <cell r="I41">
            <v>8.5000000000000006E-2</v>
          </cell>
          <cell r="P41">
            <v>18453.39</v>
          </cell>
          <cell r="X41">
            <v>0</v>
          </cell>
          <cell r="Y41">
            <v>0</v>
          </cell>
          <cell r="AL41">
            <v>201017.3</v>
          </cell>
          <cell r="AM41">
            <v>0</v>
          </cell>
          <cell r="AN41">
            <v>0</v>
          </cell>
          <cell r="AO41">
            <v>0</v>
          </cell>
          <cell r="AT41">
            <v>97</v>
          </cell>
          <cell r="AU41">
            <v>51</v>
          </cell>
          <cell r="BC41">
            <v>1.08</v>
          </cell>
        </row>
        <row r="43">
          <cell r="F43" t="str">
            <v>21.1.06.09-0123</v>
          </cell>
          <cell r="G43" t="str">
            <v>Кабель силовой с медными жилами ВВГнг(A) 5х16мк(N, PE)-660</v>
          </cell>
          <cell r="H43" t="str">
            <v>1000 м</v>
          </cell>
          <cell r="I43">
            <v>8.5000000000000006E-2</v>
          </cell>
          <cell r="P43">
            <v>62359.54</v>
          </cell>
          <cell r="X43">
            <v>0</v>
          </cell>
          <cell r="Y43">
            <v>0</v>
          </cell>
          <cell r="AL43">
            <v>698706.36</v>
          </cell>
          <cell r="AM43">
            <v>0</v>
          </cell>
          <cell r="AN43">
            <v>0</v>
          </cell>
          <cell r="AO43">
            <v>0</v>
          </cell>
          <cell r="AT43">
            <v>97</v>
          </cell>
          <cell r="AU43">
            <v>51</v>
          </cell>
          <cell r="BC43">
            <v>1.05</v>
          </cell>
        </row>
        <row r="45">
          <cell r="G45" t="str">
            <v>Присоединение к зажимам жил проводов или кабелей сечением: до 16 мм2</v>
          </cell>
          <cell r="H45" t="str">
            <v>100 ШТ</v>
          </cell>
          <cell r="I45">
            <v>0.3</v>
          </cell>
          <cell r="K45">
            <v>0.3</v>
          </cell>
          <cell r="U45">
            <v>3.6480000000000001</v>
          </cell>
          <cell r="X45">
            <v>2497.8000000000002</v>
          </cell>
          <cell r="Y45">
            <v>1313.28</v>
          </cell>
          <cell r="AT45">
            <v>97</v>
          </cell>
          <cell r="AU45">
            <v>51</v>
          </cell>
          <cell r="BZ45">
            <v>97</v>
          </cell>
          <cell r="CA45">
            <v>51</v>
          </cell>
        </row>
        <row r="47">
          <cell r="E47" t="str">
            <v>5</v>
          </cell>
          <cell r="G47" t="str">
            <v>Замер полного сопротивления цепи "фаза-нуль"</v>
          </cell>
          <cell r="H47" t="str">
            <v>ШТ</v>
          </cell>
          <cell r="I47">
            <v>2</v>
          </cell>
          <cell r="K47">
            <v>2</v>
          </cell>
          <cell r="U47">
            <v>2</v>
          </cell>
          <cell r="X47">
            <v>1419.52</v>
          </cell>
          <cell r="Y47">
            <v>690.58</v>
          </cell>
          <cell r="AT47">
            <v>74</v>
          </cell>
          <cell r="AU47">
            <v>36</v>
          </cell>
          <cell r="BM47">
            <v>200001</v>
          </cell>
          <cell r="BZ47">
            <v>74</v>
          </cell>
          <cell r="CA47">
            <v>36</v>
          </cell>
        </row>
        <row r="49">
          <cell r="E49" t="str">
            <v>6</v>
          </cell>
          <cell r="G49" t="str">
            <v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v>
          </cell>
          <cell r="H49" t="str">
            <v>ШТ</v>
          </cell>
          <cell r="I49">
            <v>2</v>
          </cell>
          <cell r="K49">
            <v>2</v>
          </cell>
          <cell r="U49">
            <v>0.64</v>
          </cell>
          <cell r="X49">
            <v>454.25</v>
          </cell>
          <cell r="Y49">
            <v>220.99</v>
          </cell>
          <cell r="AT49">
            <v>74</v>
          </cell>
          <cell r="AU49">
            <v>36</v>
          </cell>
          <cell r="BM49">
            <v>200001</v>
          </cell>
          <cell r="BZ49">
            <v>74</v>
          </cell>
          <cell r="CA49">
            <v>36</v>
          </cell>
        </row>
        <row r="73">
          <cell r="P73">
            <v>25.052</v>
          </cell>
        </row>
        <row r="74">
          <cell r="P74">
            <v>0.70750000000000002</v>
          </cell>
        </row>
        <row r="90">
          <cell r="P90">
            <v>0</v>
          </cell>
        </row>
        <row r="98">
          <cell r="P98">
            <v>3318.37</v>
          </cell>
        </row>
        <row r="99">
          <cell r="P99">
            <v>122403.53</v>
          </cell>
        </row>
        <row r="100">
          <cell r="P100">
            <v>5317.46</v>
          </cell>
        </row>
        <row r="103">
          <cell r="P103">
            <v>25.052</v>
          </cell>
        </row>
        <row r="104">
          <cell r="P104">
            <v>0.70750000000000002</v>
          </cell>
        </row>
      </sheetData>
      <sheetData sheetId="2"/>
      <sheetData sheetId="3">
        <row r="3">
          <cell r="AC3">
            <v>0</v>
          </cell>
          <cell r="AD3">
            <v>587.34</v>
          </cell>
          <cell r="AQ3">
            <v>1</v>
          </cell>
          <cell r="CX3">
            <v>2.3940000000000001</v>
          </cell>
          <cell r="CZ3">
            <v>587.34</v>
          </cell>
          <cell r="DI3">
            <v>1406.09</v>
          </cell>
        </row>
        <row r="4">
          <cell r="AC4">
            <v>0</v>
          </cell>
          <cell r="AD4">
            <v>0</v>
          </cell>
          <cell r="AQ4">
            <v>0</v>
          </cell>
          <cell r="AT4">
            <v>0.15</v>
          </cell>
        </row>
        <row r="14">
          <cell r="AC14">
            <v>0</v>
          </cell>
          <cell r="AD14">
            <v>705.88</v>
          </cell>
          <cell r="AQ14">
            <v>1</v>
          </cell>
          <cell r="CX14">
            <v>0.59399999999999997</v>
          </cell>
          <cell r="CZ14">
            <v>705.88</v>
          </cell>
          <cell r="DI14">
            <v>419.29</v>
          </cell>
        </row>
        <row r="16">
          <cell r="AG16">
            <v>969.91</v>
          </cell>
          <cell r="AT16">
            <v>1.25</v>
          </cell>
          <cell r="CX16">
            <v>1.375E-2</v>
          </cell>
          <cell r="CZ16">
            <v>1629.55</v>
          </cell>
          <cell r="DG16">
            <v>22.41</v>
          </cell>
          <cell r="DH16">
            <v>13.34</v>
          </cell>
          <cell r="DO16">
            <v>1</v>
          </cell>
        </row>
        <row r="17">
          <cell r="AG17">
            <v>722.05</v>
          </cell>
          <cell r="AT17">
            <v>1.25</v>
          </cell>
          <cell r="CX17">
            <v>1.375E-2</v>
          </cell>
          <cell r="CZ17">
            <v>643.29</v>
          </cell>
          <cell r="DG17">
            <v>8.85</v>
          </cell>
          <cell r="DH17">
            <v>9.93</v>
          </cell>
          <cell r="DO17">
            <v>1</v>
          </cell>
        </row>
        <row r="18">
          <cell r="CX18">
            <v>0.11527999999999999</v>
          </cell>
          <cell r="CZ18">
            <v>32.26</v>
          </cell>
          <cell r="DG18">
            <v>3.72</v>
          </cell>
        </row>
        <row r="19">
          <cell r="AI19">
            <v>0.78</v>
          </cell>
          <cell r="CX19">
            <v>3.696E-2</v>
          </cell>
          <cell r="CZ19">
            <v>155.63</v>
          </cell>
          <cell r="DF19">
            <v>4.49</v>
          </cell>
        </row>
        <row r="20">
          <cell r="AI20">
            <v>1.0900000000000001</v>
          </cell>
          <cell r="CX20">
            <v>2.794E-2</v>
          </cell>
          <cell r="CZ20">
            <v>174.93</v>
          </cell>
          <cell r="DF20">
            <v>5.33</v>
          </cell>
        </row>
        <row r="21">
          <cell r="AT21">
            <v>181.81818179999999</v>
          </cell>
        </row>
        <row r="22">
          <cell r="AC22">
            <v>0</v>
          </cell>
          <cell r="AD22">
            <v>0</v>
          </cell>
          <cell r="AQ22">
            <v>0</v>
          </cell>
          <cell r="AT22">
            <v>181.81818179999999</v>
          </cell>
        </row>
        <row r="35">
          <cell r="AC35">
            <v>0</v>
          </cell>
          <cell r="AD35">
            <v>705.88</v>
          </cell>
          <cell r="AQ35">
            <v>1</v>
          </cell>
          <cell r="CX35">
            <v>15.776</v>
          </cell>
          <cell r="CZ35">
            <v>705.88</v>
          </cell>
          <cell r="DI35">
            <v>11135.96</v>
          </cell>
        </row>
        <row r="37">
          <cell r="AG37">
            <v>969.91</v>
          </cell>
          <cell r="AT37">
            <v>0.2</v>
          </cell>
          <cell r="CX37">
            <v>0.34</v>
          </cell>
          <cell r="CZ37">
            <v>1629.55</v>
          </cell>
          <cell r="DG37">
            <v>554.04999999999995</v>
          </cell>
          <cell r="DH37">
            <v>329.77</v>
          </cell>
          <cell r="DO37">
            <v>1</v>
          </cell>
        </row>
        <row r="38">
          <cell r="AJ38">
            <v>1.58</v>
          </cell>
          <cell r="CX38">
            <v>3.74</v>
          </cell>
          <cell r="CZ38">
            <v>1.75</v>
          </cell>
          <cell r="DG38">
            <v>10.36</v>
          </cell>
        </row>
        <row r="39">
          <cell r="AJ39">
            <v>1.48</v>
          </cell>
          <cell r="CX39">
            <v>3.74</v>
          </cell>
          <cell r="CZ39">
            <v>8.84</v>
          </cell>
          <cell r="DG39">
            <v>48.92</v>
          </cell>
        </row>
        <row r="40">
          <cell r="AG40">
            <v>722.05</v>
          </cell>
          <cell r="AT40">
            <v>0.2</v>
          </cell>
          <cell r="CX40">
            <v>0.34</v>
          </cell>
          <cell r="CZ40">
            <v>643.29</v>
          </cell>
          <cell r="DG40">
            <v>218.72</v>
          </cell>
          <cell r="DH40">
            <v>245.5</v>
          </cell>
          <cell r="DO40">
            <v>1</v>
          </cell>
        </row>
        <row r="41">
          <cell r="AI41">
            <v>1.53</v>
          </cell>
          <cell r="CX41">
            <v>0.41649999999999998</v>
          </cell>
          <cell r="CZ41">
            <v>37.71</v>
          </cell>
          <cell r="DF41">
            <v>24.03</v>
          </cell>
        </row>
        <row r="42">
          <cell r="AI42">
            <v>1.29</v>
          </cell>
          <cell r="CX42">
            <v>1.8699999999999999E-4</v>
          </cell>
          <cell r="CZ42">
            <v>99190.96</v>
          </cell>
          <cell r="DF42">
            <v>23.93</v>
          </cell>
        </row>
        <row r="43">
          <cell r="AI43">
            <v>1.61</v>
          </cell>
          <cell r="CX43">
            <v>0.442</v>
          </cell>
          <cell r="CZ43">
            <v>931.11</v>
          </cell>
          <cell r="DF43">
            <v>662.6</v>
          </cell>
        </row>
        <row r="44">
          <cell r="AI44">
            <v>1.29</v>
          </cell>
          <cell r="CX44">
            <v>1.224E-3</v>
          </cell>
          <cell r="CZ44">
            <v>82698.14</v>
          </cell>
          <cell r="DF44">
            <v>130.58000000000001</v>
          </cell>
        </row>
        <row r="45">
          <cell r="AT45">
            <v>0.05</v>
          </cell>
        </row>
        <row r="46">
          <cell r="AC46">
            <v>0</v>
          </cell>
          <cell r="AD46">
            <v>0</v>
          </cell>
          <cell r="AQ46">
            <v>0</v>
          </cell>
          <cell r="AT46">
            <v>0.05</v>
          </cell>
        </row>
        <row r="48">
          <cell r="AC48">
            <v>0</v>
          </cell>
          <cell r="AD48">
            <v>705.88</v>
          </cell>
          <cell r="AQ48">
            <v>1</v>
          </cell>
          <cell r="CX48">
            <v>3.6480000000000001</v>
          </cell>
          <cell r="CZ48">
            <v>705.88</v>
          </cell>
          <cell r="DI48">
            <v>2575.0500000000002</v>
          </cell>
        </row>
        <row r="51">
          <cell r="AC51">
            <v>0</v>
          </cell>
          <cell r="AD51">
            <v>969.91</v>
          </cell>
          <cell r="AQ51">
            <v>1</v>
          </cell>
          <cell r="CX51">
            <v>1</v>
          </cell>
          <cell r="CZ51">
            <v>969.91</v>
          </cell>
          <cell r="DI51">
            <v>969.91</v>
          </cell>
        </row>
        <row r="52">
          <cell r="AC52">
            <v>0</v>
          </cell>
          <cell r="AD52">
            <v>948.36</v>
          </cell>
          <cell r="AQ52">
            <v>1</v>
          </cell>
          <cell r="CX52">
            <v>1</v>
          </cell>
          <cell r="CZ52">
            <v>948.36</v>
          </cell>
          <cell r="DI52">
            <v>948.36</v>
          </cell>
        </row>
        <row r="55">
          <cell r="AC55">
            <v>0</v>
          </cell>
          <cell r="AD55">
            <v>969.91</v>
          </cell>
          <cell r="AQ55">
            <v>1</v>
          </cell>
          <cell r="CX55">
            <v>0.32</v>
          </cell>
          <cell r="CZ55">
            <v>969.91</v>
          </cell>
          <cell r="DI55">
            <v>310.37</v>
          </cell>
        </row>
        <row r="56">
          <cell r="AC56">
            <v>0</v>
          </cell>
          <cell r="AD56">
            <v>948.36</v>
          </cell>
          <cell r="AQ56">
            <v>1</v>
          </cell>
          <cell r="CX56">
            <v>0.32</v>
          </cell>
          <cell r="CZ56">
            <v>948.36</v>
          </cell>
          <cell r="DI56">
            <v>303.48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274"/>
  <sheetViews>
    <sheetView tabSelected="1" view="pageBreakPreview" zoomScale="70" zoomScaleNormal="100" zoomScaleSheetLayoutView="70" workbookViewId="0">
      <selection activeCell="F6" sqref="F6:L6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1" width="0" hidden="1" customWidth="1"/>
  </cols>
  <sheetData>
    <row r="1" spans="1:93" ht="54.75" customHeight="1" x14ac:dyDescent="0.2">
      <c r="A1" s="1" t="str">
        <f>[1]Source!B1</f>
        <v>Smeta.RU  (495) 974-1589</v>
      </c>
      <c r="J1" s="95" t="s">
        <v>177</v>
      </c>
      <c r="K1" s="95"/>
      <c r="L1" s="95"/>
    </row>
    <row r="2" spans="1:93" ht="12.75" customHeight="1" x14ac:dyDescent="0.2">
      <c r="A2" s="93" t="s">
        <v>0</v>
      </c>
      <c r="B2" s="93"/>
      <c r="C2" s="93"/>
      <c r="D2" s="93"/>
      <c r="E2" s="93"/>
      <c r="F2" s="94" t="s">
        <v>1</v>
      </c>
      <c r="G2" s="94"/>
      <c r="H2" s="94"/>
      <c r="I2" s="94"/>
      <c r="J2" s="94"/>
      <c r="K2" s="94"/>
      <c r="L2" s="94"/>
    </row>
    <row r="3" spans="1:93" ht="12.75" customHeight="1" x14ac:dyDescent="0.2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</row>
    <row r="4" spans="1:93" ht="25.5" x14ac:dyDescent="0.2">
      <c r="A4" s="93" t="s">
        <v>2</v>
      </c>
      <c r="B4" s="93"/>
      <c r="C4" s="93"/>
      <c r="D4" s="93"/>
      <c r="E4" s="93"/>
      <c r="F4" s="94" t="str">
        <f>IF([1]Source!CQ12 &lt;&gt; "", [1]Source!CQ12,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4" s="94"/>
      <c r="H4" s="94"/>
      <c r="I4" s="94"/>
      <c r="J4" s="94"/>
      <c r="K4" s="94"/>
      <c r="L4" s="94"/>
      <c r="CO4" s="4" t="str">
        <f>IF([1]Source!CQ12 &lt;&gt; "", [1]Source!CQ12,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2"/>
      <c r="B5" s="2"/>
      <c r="C5" s="2"/>
      <c r="D5" s="2"/>
      <c r="E5" s="2"/>
      <c r="F5" s="3"/>
      <c r="G5" s="3"/>
      <c r="H5" s="3"/>
      <c r="I5" s="3"/>
      <c r="J5" s="3"/>
      <c r="K5" s="3"/>
      <c r="L5" s="3"/>
    </row>
    <row r="6" spans="1:93" ht="140.25" x14ac:dyDescent="0.2">
      <c r="A6" s="93" t="s">
        <v>3</v>
      </c>
      <c r="B6" s="93"/>
      <c r="C6" s="93"/>
      <c r="D6" s="93"/>
      <c r="E6" s="93"/>
      <c r="F6" s="94" t="str">
        <f>IF([1]Source!CV12 &lt;&gt; "", [1]Source!CV12,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6" s="94"/>
      <c r="H6" s="94"/>
      <c r="I6" s="94"/>
      <c r="J6" s="94"/>
      <c r="K6" s="94"/>
      <c r="L6" s="94"/>
      <c r="CO6" s="4" t="str">
        <f>IF([1]Source!CV12 &lt;&gt; "", [1]Source!CV12,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 x14ac:dyDescent="0.2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</row>
    <row r="8" spans="1:93" ht="76.5" customHeight="1" x14ac:dyDescent="0.2">
      <c r="A8" s="93" t="s">
        <v>4</v>
      </c>
      <c r="B8" s="93"/>
      <c r="C8" s="93"/>
      <c r="D8" s="93"/>
      <c r="E8" s="93"/>
      <c r="F8" s="94" t="s">
        <v>5</v>
      </c>
      <c r="G8" s="94"/>
      <c r="H8" s="94"/>
      <c r="I8" s="94"/>
      <c r="J8" s="94"/>
      <c r="K8" s="94"/>
      <c r="L8" s="94"/>
    </row>
    <row r="9" spans="1:93" ht="12.75" customHeight="1" x14ac:dyDescent="0.2">
      <c r="A9" s="2"/>
      <c r="B9" s="2"/>
      <c r="C9" s="2"/>
      <c r="D9" s="2"/>
      <c r="E9" s="2"/>
      <c r="F9" s="3"/>
      <c r="G9" s="3"/>
      <c r="H9" s="3"/>
      <c r="I9" s="3"/>
      <c r="J9" s="3"/>
      <c r="K9" s="3"/>
      <c r="L9" s="3"/>
    </row>
    <row r="10" spans="1:93" ht="38.25" customHeight="1" x14ac:dyDescent="0.2">
      <c r="A10" s="93" t="s">
        <v>6</v>
      </c>
      <c r="B10" s="93"/>
      <c r="C10" s="93"/>
      <c r="D10" s="93"/>
      <c r="E10" s="93"/>
      <c r="F10" s="94" t="s">
        <v>7</v>
      </c>
      <c r="G10" s="94"/>
      <c r="H10" s="94"/>
      <c r="I10" s="94"/>
      <c r="J10" s="94"/>
      <c r="K10" s="94"/>
      <c r="L10" s="94"/>
    </row>
    <row r="11" spans="1:93" ht="12.75" customHeight="1" x14ac:dyDescent="0.2">
      <c r="A11" s="5"/>
      <c r="B11" s="5"/>
      <c r="C11" s="5"/>
      <c r="D11" s="5"/>
      <c r="E11" s="5"/>
      <c r="F11" s="6"/>
      <c r="G11" s="6"/>
      <c r="H11" s="6"/>
      <c r="I11" s="6"/>
      <c r="J11" s="6"/>
      <c r="K11" s="6"/>
      <c r="L11" s="6"/>
    </row>
    <row r="12" spans="1:93" ht="12.75" customHeight="1" x14ac:dyDescent="0.2">
      <c r="A12" s="93" t="s">
        <v>8</v>
      </c>
      <c r="B12" s="93"/>
      <c r="C12" s="93"/>
      <c r="D12" s="93"/>
      <c r="E12" s="93"/>
      <c r="F12" s="94" t="s">
        <v>9</v>
      </c>
      <c r="G12" s="94"/>
      <c r="H12" s="94"/>
      <c r="I12" s="94"/>
      <c r="J12" s="94"/>
      <c r="K12" s="94"/>
      <c r="L12" s="94"/>
    </row>
    <row r="13" spans="1:93" ht="12.75" customHeight="1" x14ac:dyDescent="0.2">
      <c r="A13" s="5"/>
      <c r="B13" s="5"/>
      <c r="C13" s="5"/>
      <c r="D13" s="5"/>
      <c r="E13" s="5"/>
      <c r="F13" s="6"/>
      <c r="G13" s="6"/>
      <c r="H13" s="6"/>
      <c r="I13" s="6"/>
      <c r="J13" s="6"/>
      <c r="K13" s="6"/>
      <c r="L13" s="6"/>
    </row>
    <row r="14" spans="1:93" ht="12.75" customHeight="1" x14ac:dyDescent="0.2">
      <c r="A14" s="93" t="s">
        <v>10</v>
      </c>
      <c r="B14" s="93"/>
      <c r="C14" s="93"/>
      <c r="D14" s="93"/>
      <c r="E14" s="93"/>
      <c r="F14" s="94" t="str">
        <f>IF([1]Source!CZ12 &lt;&gt; "", [1]Source!CZ12, "")</f>
        <v/>
      </c>
      <c r="G14" s="94"/>
      <c r="H14" s="94"/>
      <c r="I14" s="94"/>
      <c r="J14" s="94"/>
      <c r="K14" s="94"/>
      <c r="L14" s="94"/>
    </row>
    <row r="15" spans="1:93" ht="12.75" customHeight="1" x14ac:dyDescent="0.2">
      <c r="A15" s="5"/>
      <c r="B15" s="5"/>
      <c r="C15" s="5"/>
      <c r="D15" s="5"/>
      <c r="E15" s="5"/>
      <c r="F15" s="6"/>
      <c r="G15" s="6"/>
      <c r="H15" s="6"/>
      <c r="I15" s="6"/>
      <c r="J15" s="6"/>
      <c r="K15" s="6"/>
      <c r="L15" s="3"/>
    </row>
    <row r="16" spans="1:93" ht="12.75" customHeight="1" x14ac:dyDescent="0.2">
      <c r="A16" s="93" t="s">
        <v>11</v>
      </c>
      <c r="B16" s="93"/>
      <c r="C16" s="93"/>
      <c r="D16" s="93"/>
      <c r="E16" s="93"/>
      <c r="F16" s="94" t="str">
        <f>IF([1]Source!DA12 &lt;&gt; "", [1]Source!DA12, "")</f>
        <v/>
      </c>
      <c r="G16" s="94"/>
      <c r="H16" s="94"/>
      <c r="I16" s="94"/>
      <c r="J16" s="94"/>
      <c r="K16" s="94"/>
      <c r="L16" s="94"/>
    </row>
    <row r="17" spans="1:12" ht="12.75" customHeight="1" x14ac:dyDescent="0.2">
      <c r="A17" s="7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</row>
    <row r="18" spans="1:12" ht="12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75" customHeight="1" x14ac:dyDescent="0.25">
      <c r="A19" s="89" t="s">
        <v>176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</row>
    <row r="20" spans="1:12" ht="14.25" customHeight="1" x14ac:dyDescent="0.2">
      <c r="A20" s="86" t="s">
        <v>12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</row>
    <row r="21" spans="1:12" ht="14.2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5.75" customHeight="1" x14ac:dyDescent="0.25">
      <c r="A22" s="89" t="s">
        <v>13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</row>
    <row r="23" spans="1:12" ht="14.25" customHeight="1" x14ac:dyDescent="0.2">
      <c r="A23" s="86" t="s">
        <v>14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</row>
    <row r="24" spans="1:12" ht="14.25" customHeight="1" x14ac:dyDescent="0.2">
      <c r="A24" s="9"/>
      <c r="B24" s="9"/>
      <c r="C24" s="9"/>
      <c r="D24" s="9"/>
      <c r="E24" s="9"/>
      <c r="F24" s="10"/>
      <c r="G24" s="10"/>
      <c r="H24" s="10"/>
      <c r="I24" s="10"/>
      <c r="J24" s="10"/>
      <c r="K24" s="10"/>
      <c r="L24" s="10"/>
    </row>
    <row r="25" spans="1:12" ht="15.75" customHeight="1" x14ac:dyDescent="0.25">
      <c r="A25" s="90" t="s">
        <v>15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</row>
    <row r="26" spans="1:12" ht="15" customHeight="1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1"/>
    </row>
    <row r="27" spans="1:12" ht="18" customHeight="1" x14ac:dyDescent="0.25">
      <c r="A27" s="91" t="str">
        <f>IF([1]Source!G20&lt;&gt;"Новая локальная смета", [1]Source!G20, "")</f>
        <v/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</row>
    <row r="28" spans="1:12" ht="14.25" customHeight="1" x14ac:dyDescent="0.2">
      <c r="A28" s="86" t="s">
        <v>16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</row>
    <row r="29" spans="1:12" ht="14.2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4.2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2.75" customHeight="1" x14ac:dyDescent="0.2">
      <c r="A31" s="13" t="s">
        <v>17</v>
      </c>
      <c r="B31" s="13"/>
      <c r="C31" s="14" t="s">
        <v>18</v>
      </c>
      <c r="D31" s="13" t="s">
        <v>19</v>
      </c>
      <c r="E31" s="13"/>
      <c r="F31" s="13"/>
      <c r="G31" s="13"/>
      <c r="H31" s="13"/>
      <c r="I31" s="13"/>
      <c r="J31" s="13"/>
      <c r="K31" s="13"/>
      <c r="L31" s="13"/>
    </row>
    <row r="32" spans="1:12" ht="12.75" customHeight="1" x14ac:dyDescent="0.2">
      <c r="A32" s="13"/>
      <c r="B32" s="13"/>
      <c r="C32" s="15"/>
      <c r="D32" s="13"/>
      <c r="E32" s="13"/>
      <c r="F32" s="13"/>
      <c r="G32" s="13"/>
      <c r="H32" s="13"/>
      <c r="I32" s="13"/>
      <c r="J32" s="13"/>
      <c r="K32" s="13"/>
      <c r="L32" s="13"/>
    </row>
    <row r="33" spans="1:12" ht="12.75" customHeight="1" x14ac:dyDescent="0.2">
      <c r="A33" s="13" t="s">
        <v>20</v>
      </c>
      <c r="B33" s="13"/>
      <c r="C33" s="92"/>
      <c r="D33" s="92"/>
      <c r="E33" s="92"/>
      <c r="F33" s="92"/>
      <c r="G33" s="92"/>
      <c r="H33" s="92"/>
      <c r="I33" s="92"/>
      <c r="J33" s="92"/>
      <c r="K33" s="92"/>
      <c r="L33" s="92"/>
    </row>
    <row r="34" spans="1:12" ht="12.75" customHeight="1" x14ac:dyDescent="0.2">
      <c r="A34" s="16"/>
      <c r="B34" s="17"/>
      <c r="C34" s="86" t="s">
        <v>21</v>
      </c>
      <c r="D34" s="86"/>
      <c r="E34" s="86"/>
      <c r="F34" s="86"/>
      <c r="G34" s="86"/>
      <c r="H34" s="86"/>
      <c r="I34" s="86"/>
      <c r="J34" s="86"/>
      <c r="K34" s="86"/>
      <c r="L34" s="86"/>
    </row>
    <row r="35" spans="1:12" ht="14.2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4.25" customHeight="1" x14ac:dyDescent="0.2">
      <c r="A36" s="18" t="s">
        <v>22</v>
      </c>
      <c r="B36" s="9"/>
      <c r="C36" s="9"/>
      <c r="D36" s="19"/>
      <c r="E36" s="9"/>
      <c r="F36" s="9"/>
      <c r="G36" s="9"/>
      <c r="H36" s="9"/>
      <c r="I36" s="9"/>
      <c r="J36" s="9"/>
      <c r="K36" s="9"/>
      <c r="L36" s="9"/>
    </row>
    <row r="37" spans="1:12" ht="14.2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4.25" customHeight="1" x14ac:dyDescent="0.2">
      <c r="A38" s="18" t="s">
        <v>23</v>
      </c>
      <c r="B38" s="9"/>
      <c r="C38" s="87">
        <f>C41+C42+C43+C44</f>
        <v>131.04</v>
      </c>
      <c r="D38" s="88"/>
      <c r="E38" s="13" t="s">
        <v>24</v>
      </c>
      <c r="F38" s="7"/>
      <c r="G38" s="7"/>
      <c r="H38" s="7"/>
      <c r="I38" s="7"/>
      <c r="J38" s="7"/>
      <c r="K38" s="7"/>
      <c r="L38" s="9"/>
    </row>
    <row r="39" spans="1:12" ht="14.25" customHeight="1" x14ac:dyDescent="0.2">
      <c r="A39" s="18"/>
      <c r="B39" s="9"/>
      <c r="C39" s="20"/>
      <c r="D39" s="21"/>
      <c r="E39" s="13"/>
      <c r="F39" s="7"/>
      <c r="G39" s="13" t="s">
        <v>25</v>
      </c>
      <c r="H39" s="9"/>
      <c r="I39" s="13"/>
      <c r="J39" s="13"/>
      <c r="K39" s="22">
        <f>ROUND(SUM(AR52:AR267)/1000, 2)</f>
        <v>18.07</v>
      </c>
      <c r="L39" s="13" t="s">
        <v>24</v>
      </c>
    </row>
    <row r="40" spans="1:12" ht="14.25" customHeight="1" x14ac:dyDescent="0.2">
      <c r="A40" s="9"/>
      <c r="B40" s="23" t="s">
        <v>26</v>
      </c>
      <c r="C40" s="24"/>
      <c r="D40" s="9"/>
      <c r="E40" s="13"/>
      <c r="F40" s="7"/>
      <c r="G40" s="13" t="s">
        <v>27</v>
      </c>
      <c r="H40" s="9"/>
      <c r="I40" s="13"/>
      <c r="J40" s="13"/>
      <c r="K40" s="22">
        <f>ROUND(SUM(AT52:AT267)/1000, 2)</f>
        <v>0.6</v>
      </c>
      <c r="L40" s="13" t="s">
        <v>24</v>
      </c>
    </row>
    <row r="41" spans="1:12" ht="14.25" customHeight="1" x14ac:dyDescent="0.2">
      <c r="A41" s="9"/>
      <c r="B41" s="18" t="s">
        <v>28</v>
      </c>
      <c r="C41" s="87">
        <f>ROUND(([1]Source!P98)/1000, 2)</f>
        <v>3.32</v>
      </c>
      <c r="D41" s="88"/>
      <c r="E41" s="13" t="s">
        <v>24</v>
      </c>
      <c r="F41" s="7"/>
      <c r="G41" s="13" t="s">
        <v>29</v>
      </c>
      <c r="H41" s="9"/>
      <c r="I41" s="13"/>
      <c r="J41" s="21"/>
      <c r="K41" s="25">
        <f>[1]Source!P103</f>
        <v>25.052</v>
      </c>
      <c r="L41" s="13" t="s">
        <v>30</v>
      </c>
    </row>
    <row r="42" spans="1:12" ht="14.25" customHeight="1" x14ac:dyDescent="0.2">
      <c r="A42" s="9"/>
      <c r="B42" s="18" t="s">
        <v>31</v>
      </c>
      <c r="C42" s="87">
        <f>ROUND(([1]Source!P99)/1000, 2)</f>
        <v>122.4</v>
      </c>
      <c r="D42" s="88"/>
      <c r="E42" s="13" t="s">
        <v>24</v>
      </c>
      <c r="F42" s="7"/>
      <c r="G42" s="13" t="s">
        <v>32</v>
      </c>
      <c r="H42" s="9"/>
      <c r="I42" s="13"/>
      <c r="J42" s="26"/>
      <c r="K42" s="25">
        <f>[1]Source!P104</f>
        <v>0.70750000000000002</v>
      </c>
      <c r="L42" s="13" t="s">
        <v>30</v>
      </c>
    </row>
    <row r="43" spans="1:12" ht="14.25" customHeight="1" x14ac:dyDescent="0.2">
      <c r="A43" s="9"/>
      <c r="B43" s="18" t="s">
        <v>33</v>
      </c>
      <c r="C43" s="87">
        <f>ROUND(([1]Source!P90)/1000, 2)</f>
        <v>0</v>
      </c>
      <c r="D43" s="88"/>
      <c r="E43" s="13" t="s">
        <v>24</v>
      </c>
      <c r="F43" s="7"/>
      <c r="G43" s="13"/>
      <c r="H43" s="13"/>
      <c r="I43" s="13"/>
      <c r="J43" s="13"/>
      <c r="K43" s="7"/>
      <c r="L43" s="13"/>
    </row>
    <row r="44" spans="1:12" ht="14.25" customHeight="1" x14ac:dyDescent="0.2">
      <c r="A44" s="9"/>
      <c r="B44" s="18" t="s">
        <v>34</v>
      </c>
      <c r="C44" s="87">
        <f>ROUND(([1]Source!P100)/1000, 2)</f>
        <v>5.32</v>
      </c>
      <c r="D44" s="88"/>
      <c r="E44" s="13" t="s">
        <v>24</v>
      </c>
      <c r="F44" s="7"/>
      <c r="G44" s="13"/>
      <c r="H44" s="13"/>
      <c r="I44" s="13"/>
      <c r="J44" s="13"/>
      <c r="K44" s="7"/>
      <c r="L44" s="13"/>
    </row>
    <row r="45" spans="1:12" ht="14.2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t="12.75" customHeight="1" x14ac:dyDescent="0.2">
      <c r="A46" s="74" t="s">
        <v>35</v>
      </c>
      <c r="B46" s="74" t="s">
        <v>36</v>
      </c>
      <c r="C46" s="74" t="s">
        <v>37</v>
      </c>
      <c r="D46" s="74" t="s">
        <v>38</v>
      </c>
      <c r="E46" s="77" t="s">
        <v>39</v>
      </c>
      <c r="F46" s="78"/>
      <c r="G46" s="79"/>
      <c r="H46" s="77" t="s">
        <v>40</v>
      </c>
      <c r="I46" s="78"/>
      <c r="J46" s="78"/>
      <c r="K46" s="78"/>
      <c r="L46" s="79"/>
    </row>
    <row r="47" spans="1:12" ht="12.75" customHeight="1" x14ac:dyDescent="0.2">
      <c r="A47" s="75"/>
      <c r="B47" s="75"/>
      <c r="C47" s="75"/>
      <c r="D47" s="75"/>
      <c r="E47" s="80"/>
      <c r="F47" s="81"/>
      <c r="G47" s="82"/>
      <c r="H47" s="80"/>
      <c r="I47" s="81"/>
      <c r="J47" s="81"/>
      <c r="K47" s="81"/>
      <c r="L47" s="82"/>
    </row>
    <row r="48" spans="1:12" ht="12.75" customHeight="1" x14ac:dyDescent="0.2">
      <c r="A48" s="75"/>
      <c r="B48" s="75"/>
      <c r="C48" s="75"/>
      <c r="D48" s="75"/>
      <c r="E48" s="80"/>
      <c r="F48" s="81"/>
      <c r="G48" s="82"/>
      <c r="H48" s="80"/>
      <c r="I48" s="81"/>
      <c r="J48" s="81"/>
      <c r="K48" s="81"/>
      <c r="L48" s="82"/>
    </row>
    <row r="49" spans="1:82" ht="12.75" customHeight="1" x14ac:dyDescent="0.2">
      <c r="A49" s="75"/>
      <c r="B49" s="75"/>
      <c r="C49" s="75"/>
      <c r="D49" s="75"/>
      <c r="E49" s="83"/>
      <c r="F49" s="84"/>
      <c r="G49" s="85"/>
      <c r="H49" s="83"/>
      <c r="I49" s="84"/>
      <c r="J49" s="84"/>
      <c r="K49" s="84"/>
      <c r="L49" s="85"/>
    </row>
    <row r="50" spans="1:82" ht="51" customHeight="1" x14ac:dyDescent="0.2">
      <c r="A50" s="76"/>
      <c r="B50" s="76"/>
      <c r="C50" s="76"/>
      <c r="D50" s="76"/>
      <c r="E50" s="28" t="s">
        <v>41</v>
      </c>
      <c r="F50" s="28" t="s">
        <v>42</v>
      </c>
      <c r="G50" s="29" t="s">
        <v>43</v>
      </c>
      <c r="H50" s="28" t="s">
        <v>44</v>
      </c>
      <c r="I50" s="28" t="s">
        <v>45</v>
      </c>
      <c r="J50" s="28" t="s">
        <v>46</v>
      </c>
      <c r="K50" s="28" t="s">
        <v>42</v>
      </c>
      <c r="L50" s="28" t="s">
        <v>47</v>
      </c>
    </row>
    <row r="51" spans="1:82" ht="14.25" customHeight="1" x14ac:dyDescent="0.2">
      <c r="A51" s="30">
        <v>1</v>
      </c>
      <c r="B51" s="30">
        <v>2</v>
      </c>
      <c r="C51" s="30">
        <v>3</v>
      </c>
      <c r="D51" s="30">
        <v>4</v>
      </c>
      <c r="E51" s="30">
        <v>5</v>
      </c>
      <c r="F51" s="30">
        <v>6</v>
      </c>
      <c r="G51" s="30">
        <v>7</v>
      </c>
      <c r="H51" s="30">
        <v>8</v>
      </c>
      <c r="I51" s="30">
        <v>9</v>
      </c>
      <c r="J51" s="30">
        <v>10</v>
      </c>
      <c r="K51" s="31">
        <v>11</v>
      </c>
      <c r="L51" s="31">
        <v>12</v>
      </c>
    </row>
    <row r="53" spans="1:82" ht="16.5" x14ac:dyDescent="0.2">
      <c r="A53" s="73" t="s">
        <v>48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</row>
    <row r="54" spans="1:82" ht="57" x14ac:dyDescent="0.2">
      <c r="A54" s="32" t="s">
        <v>49</v>
      </c>
      <c r="B54" s="33" t="s">
        <v>50</v>
      </c>
      <c r="C54" s="33" t="str">
        <f>[1]Source!G29</f>
        <v>Пробивка отверстий в кирпичных стенах для водогазопроводных труб вручную при толщине стен: в 1,5 кирпича</v>
      </c>
      <c r="D54" s="34" t="str">
        <f>[1]Source!H29</f>
        <v>100 отверстий</v>
      </c>
      <c r="E54" s="35">
        <f>[1]Source!K29</f>
        <v>0.02</v>
      </c>
      <c r="F54" s="35"/>
      <c r="G54" s="35">
        <f>[1]Source!I29</f>
        <v>0.02</v>
      </c>
      <c r="H54" s="36"/>
      <c r="I54" s="37"/>
      <c r="J54" s="36"/>
      <c r="K54" s="37"/>
      <c r="L54" s="36"/>
    </row>
    <row r="55" spans="1:82" x14ac:dyDescent="0.2">
      <c r="C55" s="38" t="str">
        <f>"Объем: "&amp;[1]Source!I29&amp;"=2/"&amp;"100"</f>
        <v>Объем: 0,02=2/100</v>
      </c>
    </row>
    <row r="56" spans="1:82" ht="15" x14ac:dyDescent="0.2">
      <c r="A56" s="39"/>
      <c r="B56" s="35">
        <v>1</v>
      </c>
      <c r="C56" s="39" t="s">
        <v>51</v>
      </c>
      <c r="D56" s="34" t="s">
        <v>30</v>
      </c>
      <c r="E56" s="40"/>
      <c r="F56" s="35"/>
      <c r="G56" s="40">
        <f>[1]Source!U29</f>
        <v>2.3940000000000001</v>
      </c>
      <c r="H56" s="35"/>
      <c r="I56" s="35"/>
      <c r="J56" s="35"/>
      <c r="K56" s="35"/>
      <c r="L56" s="41">
        <f>SUM(L57:L57)-SUMIF(CE57:CE57, 1, L57:L57)</f>
        <v>1406.09</v>
      </c>
    </row>
    <row r="57" spans="1:82" ht="14.25" x14ac:dyDescent="0.2">
      <c r="A57" s="33"/>
      <c r="B57" s="33" t="s">
        <v>52</v>
      </c>
      <c r="C57" s="42" t="s">
        <v>53</v>
      </c>
      <c r="D57" s="43" t="s">
        <v>30</v>
      </c>
      <c r="E57" s="44">
        <v>119.7</v>
      </c>
      <c r="F57" s="44"/>
      <c r="G57" s="44">
        <f>[1]SmtRes!CX3</f>
        <v>2.3940000000000001</v>
      </c>
      <c r="H57" s="45"/>
      <c r="I57" s="46"/>
      <c r="J57" s="45">
        <f>[1]SmtRes!CZ3</f>
        <v>587.34</v>
      </c>
      <c r="K57" s="46"/>
      <c r="L57" s="45">
        <f>[1]SmtRes!DI3</f>
        <v>1406.09</v>
      </c>
    </row>
    <row r="58" spans="1:82" ht="15" x14ac:dyDescent="0.2">
      <c r="A58" s="33"/>
      <c r="B58" s="33"/>
      <c r="C58" s="47" t="s">
        <v>54</v>
      </c>
      <c r="D58" s="34"/>
      <c r="E58" s="35"/>
      <c r="F58" s="35"/>
      <c r="G58" s="35"/>
      <c r="H58" s="36"/>
      <c r="I58" s="37"/>
      <c r="J58" s="36"/>
      <c r="K58" s="37"/>
      <c r="L58" s="36">
        <f>L56</f>
        <v>1406.09</v>
      </c>
    </row>
    <row r="59" spans="1:82" ht="14.25" x14ac:dyDescent="0.2">
      <c r="A59" s="32" t="s">
        <v>55</v>
      </c>
      <c r="B59" s="33" t="str">
        <f>[1]Source!F31</f>
        <v>999-9900</v>
      </c>
      <c r="C59" s="33" t="str">
        <f>[1]Source!G31</f>
        <v>Строительный мусор</v>
      </c>
      <c r="D59" s="34" t="str">
        <f>[1]Source!H31</f>
        <v>т</v>
      </c>
      <c r="E59" s="35">
        <f>[1]SmtRes!AT4</f>
        <v>0.15</v>
      </c>
      <c r="F59" s="35"/>
      <c r="G59" s="35">
        <f>[1]Source!I31</f>
        <v>3.0000000000000001E-3</v>
      </c>
      <c r="H59" s="36">
        <f>[1]Source!AL31+[1]Source!AO31+[1]Source!AM31+[1]Source!AN31</f>
        <v>0</v>
      </c>
      <c r="I59" s="37"/>
      <c r="J59" s="36"/>
      <c r="K59" s="37"/>
      <c r="L59" s="36">
        <f>[1]Source!P31</f>
        <v>0</v>
      </c>
      <c r="AD59">
        <f>ROUND(([1]Source!AT31/100)*((ROUND(ROUND([1]Source!AO31,2)*[1]Source!I31, 2)+ROUND(ROUND([1]Source!AN31,2)*[1]Source!I31, 2))), 2)</f>
        <v>0</v>
      </c>
      <c r="AE59">
        <f>ROUND(([1]Source!AU31/100)*((ROUND(ROUND([1]Source!AO31,2)*[1]Source!I31, 2)+ROUND(ROUND([1]Source!AN31,2)*[1]Source!I31, 2))), 2)</f>
        <v>0</v>
      </c>
      <c r="AN59">
        <f>L59</f>
        <v>0</v>
      </c>
      <c r="AW59">
        <f>L59</f>
        <v>0</v>
      </c>
      <c r="AZ59">
        <f>[1]Source!X31</f>
        <v>0</v>
      </c>
      <c r="BA59">
        <f>[1]Source!Y31</f>
        <v>0</v>
      </c>
      <c r="CD59">
        <v>1</v>
      </c>
    </row>
    <row r="60" spans="1:82" ht="14.25" x14ac:dyDescent="0.2">
      <c r="A60" s="33"/>
      <c r="B60" s="33"/>
      <c r="C60" s="33" t="s">
        <v>56</v>
      </c>
      <c r="D60" s="34"/>
      <c r="E60" s="35"/>
      <c r="F60" s="35"/>
      <c r="G60" s="35"/>
      <c r="H60" s="36"/>
      <c r="I60" s="37"/>
      <c r="J60" s="36"/>
      <c r="K60" s="37"/>
      <c r="L60" s="36">
        <f>SUM(AR54:AR63)+SUM(AS54:AS63)+SUM(AT54:AT63)+SUM(AU54:AU63)+SUM(AV54:AV63)</f>
        <v>1406.09</v>
      </c>
    </row>
    <row r="61" spans="1:82" ht="28.5" x14ac:dyDescent="0.2">
      <c r="A61" s="33"/>
      <c r="B61" s="33" t="s">
        <v>57</v>
      </c>
      <c r="C61" s="33" t="s">
        <v>58</v>
      </c>
      <c r="D61" s="34" t="s">
        <v>59</v>
      </c>
      <c r="E61" s="35">
        <f>[1]Source!BZ29</f>
        <v>92</v>
      </c>
      <c r="F61" s="35"/>
      <c r="G61" s="35">
        <f>[1]Source!AT29</f>
        <v>92</v>
      </c>
      <c r="H61" s="36"/>
      <c r="I61" s="37"/>
      <c r="J61" s="36"/>
      <c r="K61" s="37"/>
      <c r="L61" s="36">
        <f>SUM(AZ54:AZ63)</f>
        <v>1293.5999999999999</v>
      </c>
    </row>
    <row r="62" spans="1:82" ht="28.5" x14ac:dyDescent="0.2">
      <c r="A62" s="42"/>
      <c r="B62" s="42" t="s">
        <v>60</v>
      </c>
      <c r="C62" s="42" t="s">
        <v>61</v>
      </c>
      <c r="D62" s="43" t="s">
        <v>59</v>
      </c>
      <c r="E62" s="44">
        <f>[1]Source!CA29</f>
        <v>44</v>
      </c>
      <c r="F62" s="44"/>
      <c r="G62" s="44">
        <f>[1]Source!AU29</f>
        <v>44</v>
      </c>
      <c r="H62" s="45"/>
      <c r="I62" s="46"/>
      <c r="J62" s="45"/>
      <c r="K62" s="46"/>
      <c r="L62" s="45">
        <f>SUM(BA54:BA63)</f>
        <v>618.67999999999995</v>
      </c>
    </row>
    <row r="63" spans="1:82" ht="15" x14ac:dyDescent="0.2">
      <c r="C63" s="71" t="s">
        <v>62</v>
      </c>
      <c r="D63" s="71"/>
      <c r="E63" s="71"/>
      <c r="F63" s="71"/>
      <c r="G63" s="71"/>
      <c r="H63" s="71"/>
      <c r="I63" s="72">
        <f>IF(E54&lt;&gt;0,K63/E54, 0)</f>
        <v>165918.49999999997</v>
      </c>
      <c r="J63" s="72"/>
      <c r="K63" s="72">
        <f>L56+L61+L62+SUM(L59:L59)</f>
        <v>3318.3699999999994</v>
      </c>
      <c r="L63" s="72"/>
      <c r="AD63" t="e">
        <f>ROUND(([1]Source!AT29/100)*((ROUND(SUMIF([1]SmtRes!AQ3:'[1]SmtRes'!AQ4,"=1",[1]SmtRes!AD3:'[1]SmtRes'!AD4)*[1]Source!I29, 2)+ROUND(SUMIF([1]SmtRes!AQ3:'[1]SmtRes'!AQ4,"=1",[1]SmtRes!AC3:'[1]SmtRes'!AC4)*[1]Source!I29, 2))), 2)</f>
        <v>#VALUE!</v>
      </c>
      <c r="AE63" t="e">
        <f>ROUND(([1]Source!AU29/100)*((ROUND(SUMIF([1]SmtRes!AQ3:'[1]SmtRes'!AQ4,"=1",[1]SmtRes!AD3:'[1]SmtRes'!AD4)*[1]Source!I29, 2)+ROUND(SUMIF([1]SmtRes!AQ3:'[1]SmtRes'!AQ4,"=1",[1]SmtRes!AC3:'[1]SmtRes'!AC4)*[1]Source!I29, 2))), 2)</f>
        <v>#VALUE!</v>
      </c>
      <c r="AN63" s="48">
        <f>L56+L61+L62</f>
        <v>3318.3699999999994</v>
      </c>
      <c r="AO63">
        <f>0</f>
        <v>0</v>
      </c>
      <c r="AQ63" t="s">
        <v>63</v>
      </c>
      <c r="AR63" s="48">
        <f>L56</f>
        <v>1406.09</v>
      </c>
      <c r="AT63">
        <f>0</f>
        <v>0</v>
      </c>
      <c r="AV63" t="s">
        <v>63</v>
      </c>
      <c r="AW63">
        <f>0</f>
        <v>0</v>
      </c>
      <c r="AZ63">
        <f>[1]Source!X29</f>
        <v>1293.5999999999999</v>
      </c>
      <c r="BA63">
        <f>[1]Source!Y29</f>
        <v>618.67999999999995</v>
      </c>
      <c r="CD63">
        <v>1</v>
      </c>
    </row>
    <row r="64" spans="1:82" ht="128.25" x14ac:dyDescent="0.2">
      <c r="A64" s="32" t="s">
        <v>64</v>
      </c>
      <c r="B64" s="33" t="s">
        <v>65</v>
      </c>
      <c r="C64" s="33" t="str">
        <f>[1]Source!G33</f>
        <v>Лоток металлический штампованный по установленным конструкциям, ширина лотка: до 200 мм (1,16 кг — вес 1 м.п. металлического  лотка размером 100х50х3000 мм толщиной 0,7 мм=1,16х6=6,96/1000=0,007, 2,0- вес металличесой оцинкованной крышки 100х3000=2х2=4/1000=0,004), итого 0,007+0,004=0,011</v>
      </c>
      <c r="D64" s="34" t="str">
        <f>[1]Source!H33</f>
        <v>т</v>
      </c>
      <c r="E64" s="35">
        <f>[1]Source!K33</f>
        <v>1.0999999999999999E-2</v>
      </c>
      <c r="F64" s="35"/>
      <c r="G64" s="35">
        <f>[1]Source!I33</f>
        <v>1.0999999999999999E-2</v>
      </c>
      <c r="H64" s="36"/>
      <c r="I64" s="37"/>
      <c r="J64" s="36"/>
      <c r="K64" s="37"/>
      <c r="L64" s="36"/>
    </row>
    <row r="65" spans="1:83" ht="15" x14ac:dyDescent="0.2">
      <c r="A65" s="39"/>
      <c r="B65" s="35">
        <v>1</v>
      </c>
      <c r="C65" s="39" t="s">
        <v>51</v>
      </c>
      <c r="D65" s="34" t="s">
        <v>30</v>
      </c>
      <c r="E65" s="40"/>
      <c r="F65" s="35"/>
      <c r="G65" s="40">
        <f>[1]Source!U33</f>
        <v>0.59399999999999997</v>
      </c>
      <c r="H65" s="35"/>
      <c r="I65" s="35"/>
      <c r="J65" s="35"/>
      <c r="K65" s="35"/>
      <c r="L65" s="41">
        <f>SUM(L66:L66)-SUMIF(CE66:CE66, 1, L66:L66)</f>
        <v>419.29</v>
      </c>
    </row>
    <row r="66" spans="1:83" ht="14.25" x14ac:dyDescent="0.2">
      <c r="A66" s="33"/>
      <c r="B66" s="33" t="s">
        <v>66</v>
      </c>
      <c r="C66" s="33" t="s">
        <v>67</v>
      </c>
      <c r="D66" s="34" t="s">
        <v>30</v>
      </c>
      <c r="E66" s="35">
        <v>54</v>
      </c>
      <c r="F66" s="35"/>
      <c r="G66" s="35">
        <f>[1]SmtRes!CX14</f>
        <v>0.59399999999999997</v>
      </c>
      <c r="H66" s="36"/>
      <c r="I66" s="37"/>
      <c r="J66" s="36">
        <f>[1]SmtRes!CZ14</f>
        <v>705.88</v>
      </c>
      <c r="K66" s="37"/>
      <c r="L66" s="36">
        <f>[1]SmtRes!DI14</f>
        <v>419.29</v>
      </c>
    </row>
    <row r="67" spans="1:83" ht="15" x14ac:dyDescent="0.2">
      <c r="A67" s="39"/>
      <c r="B67" s="35">
        <v>2</v>
      </c>
      <c r="C67" s="39" t="s">
        <v>68</v>
      </c>
      <c r="D67" s="34"/>
      <c r="E67" s="40"/>
      <c r="F67" s="35"/>
      <c r="G67" s="40"/>
      <c r="H67" s="35"/>
      <c r="I67" s="35"/>
      <c r="J67" s="35"/>
      <c r="K67" s="35"/>
      <c r="L67" s="41">
        <f>SUM(L68:L73)-SUMIF(CE68:CE73, 1, L68:L73)</f>
        <v>34.979999999999983</v>
      </c>
    </row>
    <row r="68" spans="1:83" ht="15" x14ac:dyDescent="0.2">
      <c r="A68" s="39"/>
      <c r="B68" s="35"/>
      <c r="C68" s="39" t="s">
        <v>69</v>
      </c>
      <c r="D68" s="34" t="s">
        <v>30</v>
      </c>
      <c r="E68" s="40"/>
      <c r="F68" s="35"/>
      <c r="G68" s="40">
        <f>[1]Source!V33</f>
        <v>2.75E-2</v>
      </c>
      <c r="H68" s="35"/>
      <c r="I68" s="35"/>
      <c r="J68" s="35"/>
      <c r="K68" s="35"/>
      <c r="L68" s="41">
        <f>SUMIF(CE69:CE73, 1, L69:L73)</f>
        <v>23.27</v>
      </c>
      <c r="CE68">
        <v>1</v>
      </c>
    </row>
    <row r="69" spans="1:83" ht="28.5" x14ac:dyDescent="0.2">
      <c r="A69" s="33"/>
      <c r="B69" s="33" t="s">
        <v>70</v>
      </c>
      <c r="C69" s="33" t="s">
        <v>71</v>
      </c>
      <c r="D69" s="34" t="s">
        <v>72</v>
      </c>
      <c r="E69" s="35">
        <v>1.25</v>
      </c>
      <c r="F69" s="35"/>
      <c r="G69" s="35">
        <f>[1]SmtRes!CX16</f>
        <v>1.375E-2</v>
      </c>
      <c r="H69" s="36"/>
      <c r="I69" s="37"/>
      <c r="J69" s="36">
        <f>[1]SmtRes!CZ16</f>
        <v>1629.55</v>
      </c>
      <c r="K69" s="37"/>
      <c r="L69" s="36">
        <f>[1]SmtRes!DG16</f>
        <v>22.41</v>
      </c>
    </row>
    <row r="70" spans="1:83" ht="28.5" x14ac:dyDescent="0.2">
      <c r="A70" s="33"/>
      <c r="B70" s="33" t="s">
        <v>73</v>
      </c>
      <c r="C70" s="33" t="s">
        <v>74</v>
      </c>
      <c r="D70" s="34" t="s">
        <v>30</v>
      </c>
      <c r="E70" s="35">
        <f>[1]SmtRes!DO16*[1]SmtRes!AT16</f>
        <v>1.25</v>
      </c>
      <c r="F70" s="35"/>
      <c r="G70" s="35">
        <f>ROUND(E70*G64, 7)</f>
        <v>1.375E-2</v>
      </c>
      <c r="H70" s="36"/>
      <c r="I70" s="37"/>
      <c r="J70" s="36">
        <f>ROUND([1]SmtRes!AG16/[1]SmtRes!DO16, 2)</f>
        <v>969.91</v>
      </c>
      <c r="K70" s="37"/>
      <c r="L70" s="36">
        <f>[1]SmtRes!DH16</f>
        <v>13.34</v>
      </c>
      <c r="CE70">
        <v>1</v>
      </c>
    </row>
    <row r="71" spans="1:83" ht="28.5" x14ac:dyDescent="0.2">
      <c r="A71" s="33"/>
      <c r="B71" s="33" t="s">
        <v>75</v>
      </c>
      <c r="C71" s="33" t="s">
        <v>76</v>
      </c>
      <c r="D71" s="34" t="s">
        <v>72</v>
      </c>
      <c r="E71" s="35">
        <v>1.25</v>
      </c>
      <c r="F71" s="35"/>
      <c r="G71" s="35">
        <f>[1]SmtRes!CX17</f>
        <v>1.375E-2</v>
      </c>
      <c r="H71" s="36"/>
      <c r="I71" s="37"/>
      <c r="J71" s="36">
        <f>[1]SmtRes!CZ17</f>
        <v>643.29</v>
      </c>
      <c r="K71" s="37"/>
      <c r="L71" s="36">
        <f>[1]SmtRes!DG17</f>
        <v>8.85</v>
      </c>
    </row>
    <row r="72" spans="1:83" ht="28.5" x14ac:dyDescent="0.2">
      <c r="A72" s="33"/>
      <c r="B72" s="33" t="s">
        <v>77</v>
      </c>
      <c r="C72" s="33" t="s">
        <v>78</v>
      </c>
      <c r="D72" s="34" t="s">
        <v>30</v>
      </c>
      <c r="E72" s="35">
        <f>[1]SmtRes!DO17*[1]SmtRes!AT17</f>
        <v>1.25</v>
      </c>
      <c r="F72" s="35"/>
      <c r="G72" s="35">
        <f>ROUND(E72*G64, 7)</f>
        <v>1.375E-2</v>
      </c>
      <c r="H72" s="36"/>
      <c r="I72" s="37"/>
      <c r="J72" s="36">
        <f>ROUND([1]SmtRes!AG17/[1]SmtRes!DO17, 2)</f>
        <v>722.05</v>
      </c>
      <c r="K72" s="37"/>
      <c r="L72" s="36">
        <f>[1]SmtRes!DH17</f>
        <v>9.93</v>
      </c>
      <c r="CE72">
        <v>1</v>
      </c>
    </row>
    <row r="73" spans="1:83" ht="42.75" x14ac:dyDescent="0.2">
      <c r="A73" s="33"/>
      <c r="B73" s="33" t="s">
        <v>79</v>
      </c>
      <c r="C73" s="33" t="s">
        <v>80</v>
      </c>
      <c r="D73" s="34" t="s">
        <v>72</v>
      </c>
      <c r="E73" s="35">
        <v>10.48</v>
      </c>
      <c r="F73" s="35"/>
      <c r="G73" s="35">
        <f>[1]SmtRes!CX18</f>
        <v>0.11527999999999999</v>
      </c>
      <c r="H73" s="36"/>
      <c r="I73" s="37"/>
      <c r="J73" s="36">
        <f>[1]SmtRes!CZ18</f>
        <v>32.26</v>
      </c>
      <c r="K73" s="37"/>
      <c r="L73" s="36">
        <f>[1]SmtRes!DG18</f>
        <v>3.72</v>
      </c>
    </row>
    <row r="74" spans="1:83" ht="15" x14ac:dyDescent="0.2">
      <c r="A74" s="39"/>
      <c r="B74" s="35">
        <v>4</v>
      </c>
      <c r="C74" s="39" t="s">
        <v>81</v>
      </c>
      <c r="D74" s="34"/>
      <c r="E74" s="40"/>
      <c r="F74" s="35"/>
      <c r="G74" s="40"/>
      <c r="H74" s="35"/>
      <c r="I74" s="35"/>
      <c r="J74" s="35"/>
      <c r="K74" s="35"/>
      <c r="L74" s="41">
        <f>SUM(L75:L76)-SUMIF(CE75:CE76, 1, L75:L76)</f>
        <v>9.82</v>
      </c>
    </row>
    <row r="75" spans="1:83" ht="57" x14ac:dyDescent="0.2">
      <c r="A75" s="33"/>
      <c r="B75" s="33" t="s">
        <v>82</v>
      </c>
      <c r="C75" s="33" t="s">
        <v>83</v>
      </c>
      <c r="D75" s="34" t="s">
        <v>84</v>
      </c>
      <c r="E75" s="35">
        <v>3.36</v>
      </c>
      <c r="F75" s="35"/>
      <c r="G75" s="35">
        <f>[1]SmtRes!CX19</f>
        <v>3.696E-2</v>
      </c>
      <c r="H75" s="36">
        <f>[1]SmtRes!CZ19</f>
        <v>155.63</v>
      </c>
      <c r="I75" s="37">
        <f>[1]SmtRes!AI19</f>
        <v>0.78</v>
      </c>
      <c r="J75" s="36">
        <f>ROUND(H75*I75, 2)</f>
        <v>121.39</v>
      </c>
      <c r="K75" s="37"/>
      <c r="L75" s="36">
        <f>[1]SmtRes!DF19</f>
        <v>4.49</v>
      </c>
    </row>
    <row r="76" spans="1:83" ht="28.5" x14ac:dyDescent="0.2">
      <c r="A76" s="33"/>
      <c r="B76" s="33" t="s">
        <v>85</v>
      </c>
      <c r="C76" s="42" t="s">
        <v>86</v>
      </c>
      <c r="D76" s="43" t="s">
        <v>84</v>
      </c>
      <c r="E76" s="44">
        <v>2.54</v>
      </c>
      <c r="F76" s="44"/>
      <c r="G76" s="44">
        <f>[1]SmtRes!CX20</f>
        <v>2.794E-2</v>
      </c>
      <c r="H76" s="45">
        <f>[1]SmtRes!CZ20</f>
        <v>174.93</v>
      </c>
      <c r="I76" s="46">
        <f>[1]SmtRes!AI20</f>
        <v>1.0900000000000001</v>
      </c>
      <c r="J76" s="45">
        <f>ROUND(H76*I76, 2)</f>
        <v>190.67</v>
      </c>
      <c r="K76" s="46"/>
      <c r="L76" s="45">
        <f>[1]SmtRes!DF20</f>
        <v>5.33</v>
      </c>
    </row>
    <row r="77" spans="1:83" ht="15" x14ac:dyDescent="0.2">
      <c r="A77" s="33"/>
      <c r="B77" s="33"/>
      <c r="C77" s="47" t="s">
        <v>54</v>
      </c>
      <c r="D77" s="34"/>
      <c r="E77" s="35"/>
      <c r="F77" s="35"/>
      <c r="G77" s="35"/>
      <c r="H77" s="36"/>
      <c r="I77" s="37"/>
      <c r="J77" s="36"/>
      <c r="K77" s="37"/>
      <c r="L77" s="36">
        <f>L65+L67+L68+L74</f>
        <v>487.35999999999996</v>
      </c>
    </row>
    <row r="78" spans="1:83" ht="28.5" x14ac:dyDescent="0.2">
      <c r="A78" s="32" t="s">
        <v>87</v>
      </c>
      <c r="B78" s="33" t="str">
        <f>[1]Source!F35</f>
        <v>20.2.07.04-1209</v>
      </c>
      <c r="C78" s="33" t="str">
        <f>[1]Source!G35</f>
        <v>Лоток стальной, толщина стенки 0,7 мм, размеры 100х50х3000 мм:</v>
      </c>
      <c r="D78" s="34" t="str">
        <f>[1]Source!H35</f>
        <v>ШТ</v>
      </c>
      <c r="E78" s="35">
        <f>[1]SmtRes!AT22</f>
        <v>181.81818179999999</v>
      </c>
      <c r="F78" s="35"/>
      <c r="G78" s="35">
        <f>[1]Source!I35</f>
        <v>2</v>
      </c>
      <c r="H78" s="36">
        <f>[1]Source!AL35+[1]Source!AO35+[1]Source!AM35+[1]Source!AN35</f>
        <v>1040.52</v>
      </c>
      <c r="I78" s="37">
        <f>IF([1]Source!BC35&lt;&gt; 0, [1]Source!BC35, 1)</f>
        <v>1.07</v>
      </c>
      <c r="J78" s="36">
        <f>ROUND(H78*I78, 2)</f>
        <v>1113.3599999999999</v>
      </c>
      <c r="K78" s="37"/>
      <c r="L78" s="36">
        <f>[1]Source!P35</f>
        <v>2226.7199999999998</v>
      </c>
      <c r="AD78">
        <f>ROUND(([1]Source!AT35/100)*((ROUND(ROUND([1]Source!AO35,2)*[1]Source!I35, 2)+ROUND(ROUND([1]Source!AN35,2)*[1]Source!I35, 2))), 2)</f>
        <v>0</v>
      </c>
      <c r="AE78">
        <f>ROUND(([1]Source!AU35/100)*((ROUND(ROUND([1]Source!AO35,2)*[1]Source!I35, 2)+ROUND(ROUND([1]Source!AN35,2)*[1]Source!I35, 2))), 2)</f>
        <v>0</v>
      </c>
      <c r="AN78">
        <f>L78</f>
        <v>2226.7199999999998</v>
      </c>
      <c r="AW78">
        <f>L78</f>
        <v>2226.7199999999998</v>
      </c>
      <c r="AZ78">
        <f>[1]Source!X35</f>
        <v>0</v>
      </c>
      <c r="BA78">
        <f>[1]Source!Y35</f>
        <v>0</v>
      </c>
      <c r="CD78">
        <v>2</v>
      </c>
    </row>
    <row r="79" spans="1:83" ht="42.75" x14ac:dyDescent="0.2">
      <c r="A79" s="32" t="s">
        <v>88</v>
      </c>
      <c r="B79" s="33" t="str">
        <f>[1]Source!F37</f>
        <v>20.2.03.06-1817</v>
      </c>
      <c r="C79" s="33" t="str">
        <f>[1]Source!G37</f>
        <v>Крышка с заземлением, стальная, на лоток, толщина стенки 0,6 мм, размеры 100х3000 мм</v>
      </c>
      <c r="D79" s="34" t="str">
        <f>[1]Source!H37</f>
        <v>ШТ</v>
      </c>
      <c r="E79" s="35">
        <f>[1]SmtRes!AT21</f>
        <v>181.81818179999999</v>
      </c>
      <c r="F79" s="35"/>
      <c r="G79" s="35">
        <f>[1]Source!I37</f>
        <v>2</v>
      </c>
      <c r="H79" s="36">
        <f>[1]Source!AL37+[1]Source!AO37+[1]Source!AM37+[1]Source!AN37</f>
        <v>601.27</v>
      </c>
      <c r="I79" s="37">
        <f>IF([1]Source!BC37&lt;&gt; 0, [1]Source!BC37, 1)</f>
        <v>0.93</v>
      </c>
      <c r="J79" s="36">
        <f>ROUND(H79*I79, 2)</f>
        <v>559.17999999999995</v>
      </c>
      <c r="K79" s="37"/>
      <c r="L79" s="36">
        <f>[1]Source!P37</f>
        <v>1118.3599999999999</v>
      </c>
      <c r="AD79">
        <f>ROUND(([1]Source!AT37/100)*((ROUND(ROUND([1]Source!AO37,2)*[1]Source!I37, 2)+ROUND(ROUND([1]Source!AN37,2)*[1]Source!I37, 2))), 2)</f>
        <v>0</v>
      </c>
      <c r="AE79">
        <f>ROUND(([1]Source!AU37/100)*((ROUND(ROUND([1]Source!AO37,2)*[1]Source!I37, 2)+ROUND(ROUND([1]Source!AN37,2)*[1]Source!I37, 2))), 2)</f>
        <v>0</v>
      </c>
      <c r="AN79">
        <f>L79</f>
        <v>1118.3599999999999</v>
      </c>
      <c r="AW79">
        <f>L79</f>
        <v>1118.3599999999999</v>
      </c>
      <c r="AZ79">
        <f>[1]Source!X37</f>
        <v>0</v>
      </c>
      <c r="BA79">
        <f>[1]Source!Y37</f>
        <v>0</v>
      </c>
      <c r="CD79">
        <v>2</v>
      </c>
    </row>
    <row r="80" spans="1:83" ht="14.25" x14ac:dyDescent="0.2">
      <c r="A80" s="33"/>
      <c r="B80" s="33"/>
      <c r="C80" s="33" t="s">
        <v>56</v>
      </c>
      <c r="D80" s="34"/>
      <c r="E80" s="35"/>
      <c r="F80" s="35"/>
      <c r="G80" s="35"/>
      <c r="H80" s="36"/>
      <c r="I80" s="37"/>
      <c r="J80" s="36"/>
      <c r="K80" s="37"/>
      <c r="L80" s="36">
        <f>SUM(AR64:AR83)+SUM(AS64:AS83)+SUM(AT64:AT83)+SUM(AU64:AU83)+SUM(AV64:AV83)</f>
        <v>442.56</v>
      </c>
    </row>
    <row r="81" spans="1:83" ht="28.5" x14ac:dyDescent="0.2">
      <c r="A81" s="33"/>
      <c r="B81" s="33" t="s">
        <v>89</v>
      </c>
      <c r="C81" s="33" t="s">
        <v>90</v>
      </c>
      <c r="D81" s="34" t="s">
        <v>59</v>
      </c>
      <c r="E81" s="35">
        <f>[1]Source!BZ33</f>
        <v>97</v>
      </c>
      <c r="F81" s="35"/>
      <c r="G81" s="35">
        <f>[1]Source!AT33</f>
        <v>97</v>
      </c>
      <c r="H81" s="36"/>
      <c r="I81" s="37"/>
      <c r="J81" s="36"/>
      <c r="K81" s="37"/>
      <c r="L81" s="36">
        <f>SUM(AZ64:AZ83)</f>
        <v>429.28</v>
      </c>
    </row>
    <row r="82" spans="1:83" ht="28.5" x14ac:dyDescent="0.2">
      <c r="A82" s="42"/>
      <c r="B82" s="42" t="s">
        <v>91</v>
      </c>
      <c r="C82" s="42" t="s">
        <v>92</v>
      </c>
      <c r="D82" s="43" t="s">
        <v>59</v>
      </c>
      <c r="E82" s="44">
        <f>[1]Source!CA33</f>
        <v>51</v>
      </c>
      <c r="F82" s="44"/>
      <c r="G82" s="44">
        <f>[1]Source!AU33</f>
        <v>51</v>
      </c>
      <c r="H82" s="45"/>
      <c r="I82" s="46"/>
      <c r="J82" s="45"/>
      <c r="K82" s="46"/>
      <c r="L82" s="45">
        <f>SUM(BA64:BA83)</f>
        <v>225.71</v>
      </c>
    </row>
    <row r="83" spans="1:83" ht="15" x14ac:dyDescent="0.2">
      <c r="C83" s="71" t="s">
        <v>62</v>
      </c>
      <c r="D83" s="71"/>
      <c r="E83" s="71"/>
      <c r="F83" s="71"/>
      <c r="G83" s="71"/>
      <c r="H83" s="71"/>
      <c r="I83" s="72">
        <f>IF(E64&lt;&gt;0,K83/E64, 0)</f>
        <v>407948.18181818188</v>
      </c>
      <c r="J83" s="72"/>
      <c r="K83" s="72">
        <f>L65+L67+L74+L81+L82+L68+SUM(L78:L79)</f>
        <v>4487.43</v>
      </c>
      <c r="L83" s="72"/>
      <c r="AD83" t="e">
        <f>ROUND(([1]Source!AT33/100)*((ROUND(SUMIF([1]SmtRes!AQ14:'[1]SmtRes'!AQ22,"=1",[1]SmtRes!AD14:'[1]SmtRes'!AD22)*[1]Source!I33, 2)+ROUND(SUMIF([1]SmtRes!AQ14:'[1]SmtRes'!AQ22,"=1",[1]SmtRes!AC14:'[1]SmtRes'!AC22)*[1]Source!I33, 2))), 2)</f>
        <v>#REF!</v>
      </c>
      <c r="AE83" t="e">
        <f>ROUND(([1]Source!AU33/100)*((ROUND(SUMIF([1]SmtRes!AQ14:'[1]SmtRes'!AQ22,"=1",[1]SmtRes!AD14:'[1]SmtRes'!AD22)*[1]Source!I33, 2)+ROUND(SUMIF([1]SmtRes!AQ14:'[1]SmtRes'!AQ22,"=1",[1]SmtRes!AC14:'[1]SmtRes'!AC22)*[1]Source!I33, 2))), 2)</f>
        <v>#REF!</v>
      </c>
      <c r="AN83" s="48">
        <f>L65+L67+L74+L81+L82+L68</f>
        <v>1142.3499999999999</v>
      </c>
      <c r="AO83" s="48">
        <f>L67</f>
        <v>34.979999999999983</v>
      </c>
      <c r="AQ83" t="s">
        <v>63</v>
      </c>
      <c r="AR83" s="48">
        <f>L65</f>
        <v>419.29</v>
      </c>
      <c r="AT83" s="48">
        <f>L68</f>
        <v>23.27</v>
      </c>
      <c r="AV83" t="s">
        <v>63</v>
      </c>
      <c r="AW83" s="48">
        <f>L74</f>
        <v>9.82</v>
      </c>
      <c r="AZ83">
        <f>[1]Source!X33</f>
        <v>429.28</v>
      </c>
      <c r="BA83">
        <f>[1]Source!Y33</f>
        <v>225.71</v>
      </c>
      <c r="CD83">
        <v>2</v>
      </c>
    </row>
    <row r="84" spans="1:83" ht="57" x14ac:dyDescent="0.2">
      <c r="A84" s="32" t="s">
        <v>93</v>
      </c>
      <c r="B84" s="33" t="s">
        <v>94</v>
      </c>
      <c r="C84" s="33" t="str">
        <f>[1]Source!G39</f>
        <v>Кабель до 35 кВ по установленным конструкциям и лоткам с креплением на поворотах и в конце трассы, масса 1 м кабеля: до 1 кг</v>
      </c>
      <c r="D84" s="34" t="str">
        <f>[1]Source!H39</f>
        <v>100 м</v>
      </c>
      <c r="E84" s="35">
        <f>[1]Source!K39</f>
        <v>1.7</v>
      </c>
      <c r="F84" s="35"/>
      <c r="G84" s="35">
        <f>[1]Source!I39</f>
        <v>1.7</v>
      </c>
      <c r="H84" s="36"/>
      <c r="I84" s="37"/>
      <c r="J84" s="36"/>
      <c r="K84" s="37"/>
      <c r="L84" s="36"/>
    </row>
    <row r="85" spans="1:83" x14ac:dyDescent="0.2">
      <c r="C85" s="38" t="str">
        <f>"Объем: "&amp;[1]Source!I39&amp;"=170/"&amp;"100"</f>
        <v>Объем: 1,7=170/100</v>
      </c>
    </row>
    <row r="86" spans="1:83" ht="15" x14ac:dyDescent="0.2">
      <c r="A86" s="39"/>
      <c r="B86" s="35">
        <v>1</v>
      </c>
      <c r="C86" s="39" t="s">
        <v>51</v>
      </c>
      <c r="D86" s="34" t="s">
        <v>30</v>
      </c>
      <c r="E86" s="40"/>
      <c r="F86" s="35"/>
      <c r="G86" s="40">
        <f>[1]Source!U39</f>
        <v>15.776</v>
      </c>
      <c r="H86" s="35"/>
      <c r="I86" s="35"/>
      <c r="J86" s="35"/>
      <c r="K86" s="35"/>
      <c r="L86" s="41">
        <f>SUM(L87:L87)-SUMIF(CE87:CE87, 1, L87:L87)</f>
        <v>11135.96</v>
      </c>
    </row>
    <row r="87" spans="1:83" ht="14.25" x14ac:dyDescent="0.2">
      <c r="A87" s="33"/>
      <c r="B87" s="33" t="s">
        <v>66</v>
      </c>
      <c r="C87" s="33" t="s">
        <v>67</v>
      </c>
      <c r="D87" s="34" t="s">
        <v>30</v>
      </c>
      <c r="E87" s="35">
        <v>9.2799999999999994</v>
      </c>
      <c r="F87" s="35"/>
      <c r="G87" s="35">
        <f>[1]SmtRes!CX35</f>
        <v>15.776</v>
      </c>
      <c r="H87" s="36"/>
      <c r="I87" s="37"/>
      <c r="J87" s="36">
        <f>[1]SmtRes!CZ35</f>
        <v>705.88</v>
      </c>
      <c r="K87" s="37"/>
      <c r="L87" s="36">
        <f>[1]SmtRes!DI35</f>
        <v>11135.96</v>
      </c>
    </row>
    <row r="88" spans="1:83" ht="15" x14ac:dyDescent="0.2">
      <c r="A88" s="39"/>
      <c r="B88" s="35">
        <v>2</v>
      </c>
      <c r="C88" s="39" t="s">
        <v>68</v>
      </c>
      <c r="D88" s="34"/>
      <c r="E88" s="40"/>
      <c r="F88" s="35"/>
      <c r="G88" s="40"/>
      <c r="H88" s="35"/>
      <c r="I88" s="35"/>
      <c r="J88" s="35"/>
      <c r="K88" s="35"/>
      <c r="L88" s="41">
        <f>SUM(L89:L95)-SUMIF(CE89:CE95, 1, L89:L95)</f>
        <v>832.05</v>
      </c>
    </row>
    <row r="89" spans="1:83" ht="15" x14ac:dyDescent="0.2">
      <c r="A89" s="39"/>
      <c r="B89" s="35"/>
      <c r="C89" s="39" t="s">
        <v>69</v>
      </c>
      <c r="D89" s="34" t="s">
        <v>30</v>
      </c>
      <c r="E89" s="40"/>
      <c r="F89" s="35"/>
      <c r="G89" s="40">
        <f>[1]Source!V39</f>
        <v>0.68</v>
      </c>
      <c r="H89" s="35"/>
      <c r="I89" s="35"/>
      <c r="J89" s="35"/>
      <c r="K89" s="35"/>
      <c r="L89" s="41">
        <f>SUMIF(CE90:CE95, 1, L90:L95)</f>
        <v>575.27</v>
      </c>
      <c r="CE89">
        <v>1</v>
      </c>
    </row>
    <row r="90" spans="1:83" ht="28.5" x14ac:dyDescent="0.2">
      <c r="A90" s="33"/>
      <c r="B90" s="33" t="s">
        <v>70</v>
      </c>
      <c r="C90" s="33" t="s">
        <v>71</v>
      </c>
      <c r="D90" s="34" t="s">
        <v>72</v>
      </c>
      <c r="E90" s="35">
        <v>0.2</v>
      </c>
      <c r="F90" s="35"/>
      <c r="G90" s="35">
        <f>[1]SmtRes!CX37</f>
        <v>0.34</v>
      </c>
      <c r="H90" s="36"/>
      <c r="I90" s="37"/>
      <c r="J90" s="36">
        <f>[1]SmtRes!CZ37</f>
        <v>1629.55</v>
      </c>
      <c r="K90" s="37"/>
      <c r="L90" s="36">
        <f>[1]SmtRes!DG37</f>
        <v>554.04999999999995</v>
      </c>
    </row>
    <row r="91" spans="1:83" ht="28.5" x14ac:dyDescent="0.2">
      <c r="A91" s="33"/>
      <c r="B91" s="33" t="s">
        <v>73</v>
      </c>
      <c r="C91" s="33" t="s">
        <v>74</v>
      </c>
      <c r="D91" s="34" t="s">
        <v>30</v>
      </c>
      <c r="E91" s="35">
        <f>[1]SmtRes!DO37*[1]SmtRes!AT37</f>
        <v>0.2</v>
      </c>
      <c r="F91" s="35"/>
      <c r="G91" s="35">
        <f>ROUND(E91*G84, 7)</f>
        <v>0.34</v>
      </c>
      <c r="H91" s="36"/>
      <c r="I91" s="37"/>
      <c r="J91" s="36">
        <f>ROUND([1]SmtRes!AG37/[1]SmtRes!DO37, 2)</f>
        <v>969.91</v>
      </c>
      <c r="K91" s="37"/>
      <c r="L91" s="36">
        <f>[1]SmtRes!DH37</f>
        <v>329.77</v>
      </c>
      <c r="CE91">
        <v>1</v>
      </c>
    </row>
    <row r="92" spans="1:83" ht="28.5" x14ac:dyDescent="0.2">
      <c r="A92" s="33"/>
      <c r="B92" s="33" t="s">
        <v>95</v>
      </c>
      <c r="C92" s="33" t="s">
        <v>96</v>
      </c>
      <c r="D92" s="34" t="s">
        <v>72</v>
      </c>
      <c r="E92" s="35">
        <v>2.2000000000000002</v>
      </c>
      <c r="F92" s="35"/>
      <c r="G92" s="35">
        <f>[1]SmtRes!CX38</f>
        <v>3.74</v>
      </c>
      <c r="H92" s="36">
        <f>[1]SmtRes!CZ38</f>
        <v>1.75</v>
      </c>
      <c r="I92" s="37">
        <f>[1]SmtRes!AJ38</f>
        <v>1.58</v>
      </c>
      <c r="J92" s="36">
        <f>ROUND(H92*I92, 2)</f>
        <v>2.77</v>
      </c>
      <c r="K92" s="37"/>
      <c r="L92" s="36">
        <f>[1]SmtRes!DG38</f>
        <v>10.36</v>
      </c>
    </row>
    <row r="93" spans="1:83" ht="28.5" x14ac:dyDescent="0.2">
      <c r="A93" s="33"/>
      <c r="B93" s="33" t="s">
        <v>97</v>
      </c>
      <c r="C93" s="33" t="s">
        <v>98</v>
      </c>
      <c r="D93" s="34" t="s">
        <v>72</v>
      </c>
      <c r="E93" s="35">
        <v>2.2000000000000002</v>
      </c>
      <c r="F93" s="35"/>
      <c r="G93" s="35">
        <f>[1]SmtRes!CX39</f>
        <v>3.74</v>
      </c>
      <c r="H93" s="36">
        <f>[1]SmtRes!CZ39</f>
        <v>8.84</v>
      </c>
      <c r="I93" s="37">
        <f>[1]SmtRes!AJ39</f>
        <v>1.48</v>
      </c>
      <c r="J93" s="36">
        <f>ROUND(H93*I93, 2)</f>
        <v>13.08</v>
      </c>
      <c r="K93" s="37"/>
      <c r="L93" s="36">
        <f>[1]SmtRes!DG39</f>
        <v>48.92</v>
      </c>
    </row>
    <row r="94" spans="1:83" ht="28.5" x14ac:dyDescent="0.2">
      <c r="A94" s="33"/>
      <c r="B94" s="33" t="s">
        <v>75</v>
      </c>
      <c r="C94" s="33" t="s">
        <v>76</v>
      </c>
      <c r="D94" s="34" t="s">
        <v>72</v>
      </c>
      <c r="E94" s="35">
        <v>0.2</v>
      </c>
      <c r="F94" s="35"/>
      <c r="G94" s="35">
        <f>[1]SmtRes!CX40</f>
        <v>0.34</v>
      </c>
      <c r="H94" s="36"/>
      <c r="I94" s="37"/>
      <c r="J94" s="36">
        <f>[1]SmtRes!CZ40</f>
        <v>643.29</v>
      </c>
      <c r="K94" s="37"/>
      <c r="L94" s="36">
        <f>[1]SmtRes!DG40</f>
        <v>218.72</v>
      </c>
    </row>
    <row r="95" spans="1:83" ht="28.5" x14ac:dyDescent="0.2">
      <c r="A95" s="33"/>
      <c r="B95" s="33" t="s">
        <v>77</v>
      </c>
      <c r="C95" s="33" t="s">
        <v>78</v>
      </c>
      <c r="D95" s="34" t="s">
        <v>30</v>
      </c>
      <c r="E95" s="35">
        <f>[1]SmtRes!DO40*[1]SmtRes!AT40</f>
        <v>0.2</v>
      </c>
      <c r="F95" s="35"/>
      <c r="G95" s="35">
        <f>ROUND(E95*G84, 7)</f>
        <v>0.34</v>
      </c>
      <c r="H95" s="36"/>
      <c r="I95" s="37"/>
      <c r="J95" s="36">
        <f>ROUND([1]SmtRes!AG40/[1]SmtRes!DO40, 2)</f>
        <v>722.05</v>
      </c>
      <c r="K95" s="37"/>
      <c r="L95" s="36">
        <f>[1]SmtRes!DH40</f>
        <v>245.5</v>
      </c>
      <c r="CE95">
        <v>1</v>
      </c>
    </row>
    <row r="96" spans="1:83" ht="15" x14ac:dyDescent="0.2">
      <c r="A96" s="39"/>
      <c r="B96" s="35">
        <v>4</v>
      </c>
      <c r="C96" s="39" t="s">
        <v>81</v>
      </c>
      <c r="D96" s="34"/>
      <c r="E96" s="40"/>
      <c r="F96" s="35"/>
      <c r="G96" s="40"/>
      <c r="H96" s="35"/>
      <c r="I96" s="35"/>
      <c r="J96" s="35"/>
      <c r="K96" s="35"/>
      <c r="L96" s="41">
        <f>SUM(L97:L100)-SUMIF(CE97:CE100, 1, L97:L100)</f>
        <v>841.1400000000001</v>
      </c>
    </row>
    <row r="97" spans="1:82" ht="57" x14ac:dyDescent="0.2">
      <c r="A97" s="33"/>
      <c r="B97" s="33" t="s">
        <v>99</v>
      </c>
      <c r="C97" s="33" t="s">
        <v>100</v>
      </c>
      <c r="D97" s="34" t="s">
        <v>101</v>
      </c>
      <c r="E97" s="35">
        <v>0.245</v>
      </c>
      <c r="F97" s="35"/>
      <c r="G97" s="35">
        <f>[1]SmtRes!CX41</f>
        <v>0.41649999999999998</v>
      </c>
      <c r="H97" s="36">
        <f>[1]SmtRes!CZ41</f>
        <v>37.71</v>
      </c>
      <c r="I97" s="37">
        <f>[1]SmtRes!AI41</f>
        <v>1.53</v>
      </c>
      <c r="J97" s="36">
        <f>ROUND(H97*I97, 2)</f>
        <v>57.7</v>
      </c>
      <c r="K97" s="37"/>
      <c r="L97" s="36">
        <f>[1]SmtRes!DF41</f>
        <v>24.03</v>
      </c>
    </row>
    <row r="98" spans="1:82" ht="57" x14ac:dyDescent="0.2">
      <c r="A98" s="33"/>
      <c r="B98" s="33" t="s">
        <v>102</v>
      </c>
      <c r="C98" s="33" t="s">
        <v>103</v>
      </c>
      <c r="D98" s="34" t="s">
        <v>104</v>
      </c>
      <c r="E98" s="35">
        <v>1.1E-4</v>
      </c>
      <c r="F98" s="35"/>
      <c r="G98" s="35">
        <f>[1]SmtRes!CX42</f>
        <v>1.8699999999999999E-4</v>
      </c>
      <c r="H98" s="36">
        <f>[1]SmtRes!CZ42</f>
        <v>99190.96</v>
      </c>
      <c r="I98" s="37">
        <f>[1]SmtRes!AI42</f>
        <v>1.29</v>
      </c>
      <c r="J98" s="36">
        <f>ROUND(H98*I98, 2)</f>
        <v>127956.34</v>
      </c>
      <c r="K98" s="37"/>
      <c r="L98" s="36">
        <f>[1]SmtRes!DF42</f>
        <v>23.93</v>
      </c>
    </row>
    <row r="99" spans="1:82" ht="28.5" x14ac:dyDescent="0.2">
      <c r="A99" s="33"/>
      <c r="B99" s="33" t="s">
        <v>105</v>
      </c>
      <c r="C99" s="33" t="s">
        <v>106</v>
      </c>
      <c r="D99" s="34" t="s">
        <v>84</v>
      </c>
      <c r="E99" s="35">
        <v>0.26</v>
      </c>
      <c r="F99" s="35"/>
      <c r="G99" s="35">
        <f>[1]SmtRes!CX43</f>
        <v>0.442</v>
      </c>
      <c r="H99" s="36">
        <f>[1]SmtRes!CZ43</f>
        <v>931.11</v>
      </c>
      <c r="I99" s="37">
        <f>[1]SmtRes!AI43</f>
        <v>1.61</v>
      </c>
      <c r="J99" s="36">
        <f>ROUND(H99*I99, 2)</f>
        <v>1499.09</v>
      </c>
      <c r="K99" s="37"/>
      <c r="L99" s="36">
        <f>[1]SmtRes!DF43</f>
        <v>662.6</v>
      </c>
    </row>
    <row r="100" spans="1:82" ht="14.25" x14ac:dyDescent="0.2">
      <c r="A100" s="33"/>
      <c r="B100" s="33" t="s">
        <v>107</v>
      </c>
      <c r="C100" s="42" t="s">
        <v>108</v>
      </c>
      <c r="D100" s="43" t="s">
        <v>104</v>
      </c>
      <c r="E100" s="44">
        <v>7.2000000000000005E-4</v>
      </c>
      <c r="F100" s="44"/>
      <c r="G100" s="44">
        <f>[1]SmtRes!CX44</f>
        <v>1.224E-3</v>
      </c>
      <c r="H100" s="45">
        <f>[1]SmtRes!CZ44</f>
        <v>82698.14</v>
      </c>
      <c r="I100" s="46">
        <f>[1]SmtRes!AI44</f>
        <v>1.29</v>
      </c>
      <c r="J100" s="45">
        <f>ROUND(H100*I100, 2)</f>
        <v>106680.6</v>
      </c>
      <c r="K100" s="46"/>
      <c r="L100" s="45">
        <f>[1]SmtRes!DF44</f>
        <v>130.58000000000001</v>
      </c>
    </row>
    <row r="101" spans="1:82" ht="15" x14ac:dyDescent="0.2">
      <c r="A101" s="33"/>
      <c r="B101" s="33"/>
      <c r="C101" s="47" t="s">
        <v>54</v>
      </c>
      <c r="D101" s="34"/>
      <c r="E101" s="35"/>
      <c r="F101" s="35"/>
      <c r="G101" s="35"/>
      <c r="H101" s="36"/>
      <c r="I101" s="37"/>
      <c r="J101" s="36"/>
      <c r="K101" s="37"/>
      <c r="L101" s="36">
        <f>L86+L88+L89+L96</f>
        <v>13384.419999999998</v>
      </c>
    </row>
    <row r="102" spans="1:82" ht="14.25" x14ac:dyDescent="0.2">
      <c r="A102" s="32" t="s">
        <v>109</v>
      </c>
      <c r="B102" s="33" t="str">
        <f>[1]Source!F41</f>
        <v>21.1.08.03-1164</v>
      </c>
      <c r="C102" s="33" t="str">
        <f>[1]Source!G41</f>
        <v>Кабель контрольный КВБбШв 10х1,5</v>
      </c>
      <c r="D102" s="34" t="str">
        <f>[1]Source!H41</f>
        <v>1000 м</v>
      </c>
      <c r="E102" s="35">
        <f>[1]SmtRes!AT46</f>
        <v>0.05</v>
      </c>
      <c r="F102" s="35"/>
      <c r="G102" s="35">
        <f>[1]Source!I41</f>
        <v>8.5000000000000006E-2</v>
      </c>
      <c r="H102" s="36">
        <f>[1]Source!AL41+[1]Source!AO41+[1]Source!AM41+[1]Source!AN41</f>
        <v>201017.3</v>
      </c>
      <c r="I102" s="37">
        <f>IF([1]Source!BC41&lt;&gt; 0, [1]Source!BC41, 1)</f>
        <v>1.08</v>
      </c>
      <c r="J102" s="36">
        <f>ROUND(H102*I102, 2)</f>
        <v>217098.68</v>
      </c>
      <c r="K102" s="37"/>
      <c r="L102" s="36">
        <f>[1]Source!P41</f>
        <v>18453.39</v>
      </c>
      <c r="AD102">
        <f>ROUND(([1]Source!AT41/100)*((ROUND(ROUND([1]Source!AO41,2)*[1]Source!I41, 2)+ROUND(ROUND([1]Source!AN41,2)*[1]Source!I41, 2))), 2)</f>
        <v>0</v>
      </c>
      <c r="AE102">
        <f>ROUND(([1]Source!AU41/100)*((ROUND(ROUND([1]Source!AO41,2)*[1]Source!I41, 2)+ROUND(ROUND([1]Source!AN41,2)*[1]Source!I41, 2))), 2)</f>
        <v>0</v>
      </c>
      <c r="AN102">
        <f>L102</f>
        <v>18453.39</v>
      </c>
      <c r="AW102">
        <f>L102</f>
        <v>18453.39</v>
      </c>
      <c r="AZ102">
        <f>[1]Source!X41</f>
        <v>0</v>
      </c>
      <c r="BA102">
        <f>[1]Source!Y41</f>
        <v>0</v>
      </c>
      <c r="CD102">
        <v>2</v>
      </c>
    </row>
    <row r="103" spans="1:82" ht="28.5" x14ac:dyDescent="0.2">
      <c r="A103" s="32" t="s">
        <v>110</v>
      </c>
      <c r="B103" s="33" t="str">
        <f>[1]Source!F43</f>
        <v>21.1.06.09-0123</v>
      </c>
      <c r="C103" s="33" t="str">
        <f>[1]Source!G43</f>
        <v>Кабель силовой с медными жилами ВВГнг(A) 5х16мк(N, PE)-660</v>
      </c>
      <c r="D103" s="34" t="str">
        <f>[1]Source!H43</f>
        <v>1000 м</v>
      </c>
      <c r="E103" s="35">
        <f>[1]SmtRes!AT45</f>
        <v>0.05</v>
      </c>
      <c r="F103" s="35"/>
      <c r="G103" s="35">
        <f>[1]Source!I43</f>
        <v>8.5000000000000006E-2</v>
      </c>
      <c r="H103" s="36">
        <f>[1]Source!AL43+[1]Source!AO43+[1]Source!AM43+[1]Source!AN43</f>
        <v>698706.36</v>
      </c>
      <c r="I103" s="37">
        <f>IF([1]Source!BC43&lt;&gt; 0, [1]Source!BC43, 1)</f>
        <v>1.05</v>
      </c>
      <c r="J103" s="36">
        <f>ROUND(H103*I103, 2)</f>
        <v>733641.68</v>
      </c>
      <c r="K103" s="37"/>
      <c r="L103" s="36">
        <f>[1]Source!P43</f>
        <v>62359.54</v>
      </c>
      <c r="AD103">
        <f>ROUND(([1]Source!AT43/100)*((ROUND(ROUND([1]Source!AO43,2)*[1]Source!I43, 2)+ROUND(ROUND([1]Source!AN43,2)*[1]Source!I43, 2))), 2)</f>
        <v>0</v>
      </c>
      <c r="AE103">
        <f>ROUND(([1]Source!AU43/100)*((ROUND(ROUND([1]Source!AO43,2)*[1]Source!I43, 2)+ROUND(ROUND([1]Source!AN43,2)*[1]Source!I43, 2))), 2)</f>
        <v>0</v>
      </c>
      <c r="AN103">
        <f>L103</f>
        <v>62359.54</v>
      </c>
      <c r="AW103">
        <f>L103</f>
        <v>62359.54</v>
      </c>
      <c r="AZ103">
        <f>[1]Source!X43</f>
        <v>0</v>
      </c>
      <c r="BA103">
        <f>[1]Source!Y43</f>
        <v>0</v>
      </c>
      <c r="CD103">
        <v>2</v>
      </c>
    </row>
    <row r="104" spans="1:82" ht="14.25" x14ac:dyDescent="0.2">
      <c r="A104" s="33"/>
      <c r="B104" s="33"/>
      <c r="C104" s="33" t="s">
        <v>56</v>
      </c>
      <c r="D104" s="34"/>
      <c r="E104" s="35"/>
      <c r="F104" s="35"/>
      <c r="G104" s="35"/>
      <c r="H104" s="36"/>
      <c r="I104" s="37"/>
      <c r="J104" s="36"/>
      <c r="K104" s="37"/>
      <c r="L104" s="36">
        <f>SUM(AR84:AR107)+SUM(AS84:AS107)+SUM(AT84:AT107)+SUM(AU84:AU107)+SUM(AV84:AV107)</f>
        <v>11711.23</v>
      </c>
    </row>
    <row r="105" spans="1:82" ht="28.5" x14ac:dyDescent="0.2">
      <c r="A105" s="33"/>
      <c r="B105" s="33" t="s">
        <v>89</v>
      </c>
      <c r="C105" s="33" t="s">
        <v>90</v>
      </c>
      <c r="D105" s="34" t="s">
        <v>59</v>
      </c>
      <c r="E105" s="35">
        <f>[1]Source!BZ39</f>
        <v>97</v>
      </c>
      <c r="F105" s="35"/>
      <c r="G105" s="35">
        <f>[1]Source!AT39</f>
        <v>97</v>
      </c>
      <c r="H105" s="36"/>
      <c r="I105" s="37"/>
      <c r="J105" s="36"/>
      <c r="K105" s="37"/>
      <c r="L105" s="36">
        <f>SUM(AZ84:AZ107)</f>
        <v>11359.89</v>
      </c>
    </row>
    <row r="106" spans="1:82" ht="28.5" x14ac:dyDescent="0.2">
      <c r="A106" s="42"/>
      <c r="B106" s="42" t="s">
        <v>91</v>
      </c>
      <c r="C106" s="42" t="s">
        <v>92</v>
      </c>
      <c r="D106" s="43" t="s">
        <v>59</v>
      </c>
      <c r="E106" s="44">
        <f>[1]Source!CA39</f>
        <v>51</v>
      </c>
      <c r="F106" s="44"/>
      <c r="G106" s="44">
        <f>[1]Source!AU39</f>
        <v>51</v>
      </c>
      <c r="H106" s="45"/>
      <c r="I106" s="46"/>
      <c r="J106" s="45"/>
      <c r="K106" s="46"/>
      <c r="L106" s="45">
        <f>SUM(BA84:BA107)</f>
        <v>5972.73</v>
      </c>
    </row>
    <row r="107" spans="1:82" ht="15" x14ac:dyDescent="0.2">
      <c r="C107" s="71" t="s">
        <v>62</v>
      </c>
      <c r="D107" s="71"/>
      <c r="E107" s="71"/>
      <c r="F107" s="71"/>
      <c r="G107" s="71"/>
      <c r="H107" s="71"/>
      <c r="I107" s="72">
        <f>IF(E84&lt;&gt;0,K107/E84, 0)</f>
        <v>65605.864705882341</v>
      </c>
      <c r="J107" s="72"/>
      <c r="K107" s="72">
        <f>L86+L88+L96+L105+L106+L89+SUM(L102:L103)</f>
        <v>111529.96999999999</v>
      </c>
      <c r="L107" s="72"/>
      <c r="AD107" t="e">
        <f>ROUND(([1]Source!AT39/100)*((ROUND(SUMIF([1]SmtRes!AQ35:'[1]SmtRes'!AQ46,"=1",[1]SmtRes!AD35:'[1]SmtRes'!AD46)*[1]Source!I39, 2)+ROUND(SUMIF([1]SmtRes!AQ35:'[1]SmtRes'!AQ46,"=1",[1]SmtRes!AC35:'[1]SmtRes'!AC46)*[1]Source!I39, 2))), 2)</f>
        <v>#REF!</v>
      </c>
      <c r="AE107" t="e">
        <f>ROUND(([1]Source!AU39/100)*((ROUND(SUMIF([1]SmtRes!AQ35:'[1]SmtRes'!AQ46,"=1",[1]SmtRes!AD35:'[1]SmtRes'!AD46)*[1]Source!I39, 2)+ROUND(SUMIF([1]SmtRes!AQ35:'[1]SmtRes'!AQ46,"=1",[1]SmtRes!AC35:'[1]SmtRes'!AC46)*[1]Source!I39, 2))), 2)</f>
        <v>#REF!</v>
      </c>
      <c r="AN107" s="48">
        <f>L86+L88+L96+L105+L106+L89</f>
        <v>30717.039999999997</v>
      </c>
      <c r="AO107" s="48">
        <f>L88</f>
        <v>832.05</v>
      </c>
      <c r="AQ107" t="s">
        <v>63</v>
      </c>
      <c r="AR107" s="48">
        <f>L86</f>
        <v>11135.96</v>
      </c>
      <c r="AT107" s="48">
        <f>L89</f>
        <v>575.27</v>
      </c>
      <c r="AV107" t="s">
        <v>63</v>
      </c>
      <c r="AW107" s="48">
        <f>L96</f>
        <v>841.1400000000001</v>
      </c>
      <c r="AZ107">
        <f>[1]Source!X39</f>
        <v>11359.89</v>
      </c>
      <c r="BA107">
        <f>[1]Source!Y39</f>
        <v>5972.73</v>
      </c>
      <c r="CD107">
        <v>2</v>
      </c>
    </row>
    <row r="108" spans="1:82" ht="42.75" x14ac:dyDescent="0.2">
      <c r="A108" s="32" t="s">
        <v>111</v>
      </c>
      <c r="B108" s="33" t="s">
        <v>112</v>
      </c>
      <c r="C108" s="33" t="str">
        <f>[1]Source!G45</f>
        <v>Присоединение к зажимам жил проводов или кабелей сечением: до 16 мм2</v>
      </c>
      <c r="D108" s="34" t="str">
        <f>[1]Source!H45</f>
        <v>100 ШТ</v>
      </c>
      <c r="E108" s="35">
        <f>[1]Source!K45</f>
        <v>0.3</v>
      </c>
      <c r="F108" s="35"/>
      <c r="G108" s="35">
        <f>[1]Source!I45</f>
        <v>0.3</v>
      </c>
      <c r="H108" s="36"/>
      <c r="I108" s="37"/>
      <c r="J108" s="36"/>
      <c r="K108" s="37"/>
      <c r="L108" s="36"/>
    </row>
    <row r="109" spans="1:82" x14ac:dyDescent="0.2">
      <c r="C109" s="38" t="str">
        <f>"Объем: "&amp;[1]Source!I45&amp;"=30/"&amp;"100"</f>
        <v>Объем: 0,3=30/100</v>
      </c>
    </row>
    <row r="110" spans="1:82" ht="15" x14ac:dyDescent="0.2">
      <c r="A110" s="39"/>
      <c r="B110" s="35">
        <v>1</v>
      </c>
      <c r="C110" s="39" t="s">
        <v>51</v>
      </c>
      <c r="D110" s="34" t="s">
        <v>30</v>
      </c>
      <c r="E110" s="40"/>
      <c r="F110" s="35"/>
      <c r="G110" s="40">
        <f>[1]Source!U45</f>
        <v>3.6480000000000001</v>
      </c>
      <c r="H110" s="35"/>
      <c r="I110" s="35"/>
      <c r="J110" s="35"/>
      <c r="K110" s="35"/>
      <c r="L110" s="41">
        <f>SUM(L111:L111)-SUMIF(CE111:CE111, 1, L111:L111)</f>
        <v>2575.0500000000002</v>
      </c>
    </row>
    <row r="111" spans="1:82" ht="14.25" x14ac:dyDescent="0.2">
      <c r="A111" s="33"/>
      <c r="B111" s="33" t="s">
        <v>66</v>
      </c>
      <c r="C111" s="42" t="s">
        <v>67</v>
      </c>
      <c r="D111" s="43" t="s">
        <v>30</v>
      </c>
      <c r="E111" s="44">
        <v>12.16</v>
      </c>
      <c r="F111" s="44"/>
      <c r="G111" s="44">
        <f>[1]SmtRes!CX48</f>
        <v>3.6480000000000001</v>
      </c>
      <c r="H111" s="45"/>
      <c r="I111" s="46"/>
      <c r="J111" s="45">
        <f>[1]SmtRes!CZ48</f>
        <v>705.88</v>
      </c>
      <c r="K111" s="46"/>
      <c r="L111" s="45">
        <f>[1]SmtRes!DI48</f>
        <v>2575.0500000000002</v>
      </c>
    </row>
    <row r="112" spans="1:82" ht="15" x14ac:dyDescent="0.2">
      <c r="A112" s="33"/>
      <c r="B112" s="33"/>
      <c r="C112" s="47" t="s">
        <v>54</v>
      </c>
      <c r="D112" s="34"/>
      <c r="E112" s="35"/>
      <c r="F112" s="35"/>
      <c r="G112" s="35"/>
      <c r="H112" s="36"/>
      <c r="I112" s="37"/>
      <c r="J112" s="36"/>
      <c r="K112" s="37"/>
      <c r="L112" s="36">
        <f>L110</f>
        <v>2575.0500000000002</v>
      </c>
    </row>
    <row r="113" spans="1:82" ht="14.25" x14ac:dyDescent="0.2">
      <c r="A113" s="33"/>
      <c r="B113" s="33"/>
      <c r="C113" s="33" t="s">
        <v>56</v>
      </c>
      <c r="D113" s="34"/>
      <c r="E113" s="35"/>
      <c r="F113" s="35"/>
      <c r="G113" s="35"/>
      <c r="H113" s="36"/>
      <c r="I113" s="37"/>
      <c r="J113" s="36"/>
      <c r="K113" s="37"/>
      <c r="L113" s="36">
        <f>SUM(AR108:AR116)+SUM(AS108:AS116)+SUM(AT108:AT116)+SUM(AU108:AU116)+SUM(AV108:AV116)</f>
        <v>2575.0500000000002</v>
      </c>
    </row>
    <row r="114" spans="1:82" ht="28.5" x14ac:dyDescent="0.2">
      <c r="A114" s="33"/>
      <c r="B114" s="33" t="s">
        <v>89</v>
      </c>
      <c r="C114" s="33" t="s">
        <v>90</v>
      </c>
      <c r="D114" s="34" t="s">
        <v>59</v>
      </c>
      <c r="E114" s="35">
        <f>[1]Source!BZ45</f>
        <v>97</v>
      </c>
      <c r="F114" s="35"/>
      <c r="G114" s="35">
        <f>[1]Source!AT45</f>
        <v>97</v>
      </c>
      <c r="H114" s="36"/>
      <c r="I114" s="37"/>
      <c r="J114" s="36"/>
      <c r="K114" s="37"/>
      <c r="L114" s="36">
        <f>SUM(AZ108:AZ116)</f>
        <v>2497.8000000000002</v>
      </c>
    </row>
    <row r="115" spans="1:82" ht="28.5" x14ac:dyDescent="0.2">
      <c r="A115" s="42"/>
      <c r="B115" s="42" t="s">
        <v>91</v>
      </c>
      <c r="C115" s="42" t="s">
        <v>92</v>
      </c>
      <c r="D115" s="43" t="s">
        <v>59</v>
      </c>
      <c r="E115" s="44">
        <f>[1]Source!CA45</f>
        <v>51</v>
      </c>
      <c r="F115" s="44"/>
      <c r="G115" s="44">
        <f>[1]Source!AU45</f>
        <v>51</v>
      </c>
      <c r="H115" s="45"/>
      <c r="I115" s="46"/>
      <c r="J115" s="45"/>
      <c r="K115" s="46"/>
      <c r="L115" s="45">
        <f>SUM(BA108:BA116)</f>
        <v>1313.28</v>
      </c>
    </row>
    <row r="116" spans="1:82" ht="15" x14ac:dyDescent="0.2">
      <c r="C116" s="71" t="s">
        <v>62</v>
      </c>
      <c r="D116" s="71"/>
      <c r="E116" s="71"/>
      <c r="F116" s="71"/>
      <c r="G116" s="71"/>
      <c r="H116" s="71"/>
      <c r="I116" s="72">
        <f>IF(E108&lt;&gt;0,K116/E108, 0)</f>
        <v>21287.100000000002</v>
      </c>
      <c r="J116" s="72"/>
      <c r="K116" s="72">
        <f>L110+L114+L115</f>
        <v>6386.13</v>
      </c>
      <c r="L116" s="72"/>
      <c r="AD116" t="e">
        <f>ROUND(([1]Source!AT45/100)*((ROUND(SUMIF([1]SmtRes!AQ48:'[1]SmtRes'!AQ48,"=1",[1]SmtRes!AD48:'[1]SmtRes'!AD48)*[1]Source!I45, 2)+ROUND(SUMIF([1]SmtRes!AQ48:'[1]SmtRes'!AQ48,"=1",[1]SmtRes!AC48:'[1]SmtRes'!AC48)*[1]Source!I45, 2))), 2)</f>
        <v>#VALUE!</v>
      </c>
      <c r="AE116" t="e">
        <f>ROUND(([1]Source!AU45/100)*((ROUND(SUMIF([1]SmtRes!AQ48:'[1]SmtRes'!AQ48,"=1",[1]SmtRes!AD48:'[1]SmtRes'!AD48)*[1]Source!I45, 2)+ROUND(SUMIF([1]SmtRes!AQ48:'[1]SmtRes'!AQ48,"=1",[1]SmtRes!AC48:'[1]SmtRes'!AC48)*[1]Source!I45, 2))), 2)</f>
        <v>#VALUE!</v>
      </c>
      <c r="AN116" s="48">
        <f>L110+L114+L115</f>
        <v>6386.13</v>
      </c>
      <c r="AO116">
        <f>0</f>
        <v>0</v>
      </c>
      <c r="AQ116" t="s">
        <v>63</v>
      </c>
      <c r="AR116" s="48">
        <f>L110</f>
        <v>2575.0500000000002</v>
      </c>
      <c r="AT116">
        <f>0</f>
        <v>0</v>
      </c>
      <c r="AV116" t="s">
        <v>63</v>
      </c>
      <c r="AW116">
        <f>0</f>
        <v>0</v>
      </c>
      <c r="AZ116">
        <f>[1]Source!X45</f>
        <v>2497.8000000000002</v>
      </c>
      <c r="BA116">
        <f>[1]Source!Y45</f>
        <v>1313.28</v>
      </c>
      <c r="CD116">
        <v>2</v>
      </c>
    </row>
    <row r="117" spans="1:82" ht="28.5" x14ac:dyDescent="0.2">
      <c r="A117" s="32" t="s">
        <v>113</v>
      </c>
      <c r="B117" s="33" t="s">
        <v>114</v>
      </c>
      <c r="C117" s="33" t="str">
        <f>[1]Source!G47</f>
        <v>Замер полного сопротивления цепи "фаза-нуль"</v>
      </c>
      <c r="D117" s="34" t="str">
        <f>[1]Source!H47</f>
        <v>ШТ</v>
      </c>
      <c r="E117" s="35">
        <f>[1]Source!K47</f>
        <v>2</v>
      </c>
      <c r="F117" s="35"/>
      <c r="G117" s="35">
        <f>[1]Source!I47</f>
        <v>2</v>
      </c>
      <c r="H117" s="36"/>
      <c r="I117" s="37"/>
      <c r="J117" s="36"/>
      <c r="K117" s="37"/>
      <c r="L117" s="36"/>
    </row>
    <row r="118" spans="1:82" ht="15" x14ac:dyDescent="0.2">
      <c r="A118" s="39"/>
      <c r="B118" s="35">
        <v>1</v>
      </c>
      <c r="C118" s="39" t="s">
        <v>51</v>
      </c>
      <c r="D118" s="34" t="s">
        <v>30</v>
      </c>
      <c r="E118" s="40"/>
      <c r="F118" s="35"/>
      <c r="G118" s="40">
        <f>[1]Source!U47</f>
        <v>2</v>
      </c>
      <c r="H118" s="35"/>
      <c r="I118" s="35"/>
      <c r="J118" s="35"/>
      <c r="K118" s="35"/>
      <c r="L118" s="41">
        <f>SUM(L119:L120)-SUMIF(CE119:CE120, 1, L119:L120)</f>
        <v>1918.27</v>
      </c>
    </row>
    <row r="119" spans="1:82" ht="14.25" x14ac:dyDescent="0.2">
      <c r="A119" s="33"/>
      <c r="B119" s="33" t="s">
        <v>115</v>
      </c>
      <c r="C119" s="33" t="s">
        <v>116</v>
      </c>
      <c r="D119" s="34" t="s">
        <v>117</v>
      </c>
      <c r="E119" s="35">
        <v>0.5</v>
      </c>
      <c r="F119" s="35"/>
      <c r="G119" s="35">
        <f>[1]SmtRes!CX51</f>
        <v>1</v>
      </c>
      <c r="H119" s="36"/>
      <c r="I119" s="37"/>
      <c r="J119" s="36">
        <f>[1]SmtRes!CZ51</f>
        <v>969.91</v>
      </c>
      <c r="K119" s="37"/>
      <c r="L119" s="36">
        <f>[1]SmtRes!DI51</f>
        <v>969.91</v>
      </c>
    </row>
    <row r="120" spans="1:82" ht="14.25" x14ac:dyDescent="0.2">
      <c r="A120" s="33"/>
      <c r="B120" s="33" t="s">
        <v>118</v>
      </c>
      <c r="C120" s="42" t="s">
        <v>119</v>
      </c>
      <c r="D120" s="43" t="s">
        <v>117</v>
      </c>
      <c r="E120" s="44">
        <v>0.5</v>
      </c>
      <c r="F120" s="44"/>
      <c r="G120" s="44">
        <f>[1]SmtRes!CX52</f>
        <v>1</v>
      </c>
      <c r="H120" s="45"/>
      <c r="I120" s="46"/>
      <c r="J120" s="45">
        <f>[1]SmtRes!CZ52</f>
        <v>948.36</v>
      </c>
      <c r="K120" s="46"/>
      <c r="L120" s="45">
        <f>[1]SmtRes!DI52</f>
        <v>948.36</v>
      </c>
    </row>
    <row r="121" spans="1:82" ht="15" x14ac:dyDescent="0.2">
      <c r="A121" s="33"/>
      <c r="B121" s="33"/>
      <c r="C121" s="47" t="s">
        <v>54</v>
      </c>
      <c r="D121" s="34"/>
      <c r="E121" s="35"/>
      <c r="F121" s="35"/>
      <c r="G121" s="35"/>
      <c r="H121" s="36"/>
      <c r="I121" s="37"/>
      <c r="J121" s="36"/>
      <c r="K121" s="37"/>
      <c r="L121" s="36">
        <f>L118</f>
        <v>1918.27</v>
      </c>
    </row>
    <row r="122" spans="1:82" ht="14.25" x14ac:dyDescent="0.2">
      <c r="A122" s="33"/>
      <c r="B122" s="33"/>
      <c r="C122" s="33" t="s">
        <v>56</v>
      </c>
      <c r="D122" s="34"/>
      <c r="E122" s="35"/>
      <c r="F122" s="35"/>
      <c r="G122" s="35"/>
      <c r="H122" s="36"/>
      <c r="I122" s="37"/>
      <c r="J122" s="36"/>
      <c r="K122" s="37"/>
      <c r="L122" s="36">
        <f>SUM(AR117:AR125)+SUM(AS117:AS125)+SUM(AT117:AT125)+SUM(AU117:AU125)+SUM(AV117:AV125)</f>
        <v>1918.27</v>
      </c>
    </row>
    <row r="123" spans="1:82" ht="14.25" x14ac:dyDescent="0.2">
      <c r="A123" s="33"/>
      <c r="B123" s="33" t="s">
        <v>120</v>
      </c>
      <c r="C123" s="33" t="s">
        <v>121</v>
      </c>
      <c r="D123" s="34" t="s">
        <v>59</v>
      </c>
      <c r="E123" s="35">
        <f>[1]Source!BZ47</f>
        <v>74</v>
      </c>
      <c r="F123" s="35"/>
      <c r="G123" s="35">
        <f>[1]Source!AT47</f>
        <v>74</v>
      </c>
      <c r="H123" s="36"/>
      <c r="I123" s="37"/>
      <c r="J123" s="36"/>
      <c r="K123" s="37"/>
      <c r="L123" s="36">
        <f>SUM(AZ117:AZ125)</f>
        <v>1419.52</v>
      </c>
    </row>
    <row r="124" spans="1:82" ht="14.25" x14ac:dyDescent="0.2">
      <c r="A124" s="42"/>
      <c r="B124" s="42" t="s">
        <v>122</v>
      </c>
      <c r="C124" s="42" t="s">
        <v>123</v>
      </c>
      <c r="D124" s="43" t="s">
        <v>59</v>
      </c>
      <c r="E124" s="44">
        <f>[1]Source!CA47</f>
        <v>36</v>
      </c>
      <c r="F124" s="44"/>
      <c r="G124" s="44">
        <f>[1]Source!AU47</f>
        <v>36</v>
      </c>
      <c r="H124" s="45"/>
      <c r="I124" s="46"/>
      <c r="J124" s="45"/>
      <c r="K124" s="46"/>
      <c r="L124" s="45">
        <f>SUM(BA117:BA125)</f>
        <v>690.58</v>
      </c>
    </row>
    <row r="125" spans="1:82" ht="15" x14ac:dyDescent="0.2">
      <c r="C125" s="71" t="s">
        <v>62</v>
      </c>
      <c r="D125" s="71"/>
      <c r="E125" s="71"/>
      <c r="F125" s="71"/>
      <c r="G125" s="71"/>
      <c r="H125" s="71"/>
      <c r="I125" s="72">
        <f>IF(E117&lt;&gt;0,K125/E117, 0)</f>
        <v>2014.1849999999999</v>
      </c>
      <c r="J125" s="72"/>
      <c r="K125" s="72">
        <f>L118+L123+L124</f>
        <v>4028.37</v>
      </c>
      <c r="L125" s="72"/>
      <c r="AD125" t="e">
        <f>ROUND(([1]Source!AT47/100)*((ROUND(SUMIF([1]SmtRes!AQ51:'[1]SmtRes'!AQ52,"=1",[1]SmtRes!AD51:'[1]SmtRes'!AD52)*[1]Source!I47, 2)+ROUND(SUMIF([1]SmtRes!AQ51:'[1]SmtRes'!AQ52,"=1",[1]SmtRes!AC51:'[1]SmtRes'!AC52)*[1]Source!I47, 2))), 2)</f>
        <v>#VALUE!</v>
      </c>
      <c r="AE125" t="e">
        <f>ROUND(([1]Source!AU47/100)*((ROUND(SUMIF([1]SmtRes!AQ51:'[1]SmtRes'!AQ52,"=1",[1]SmtRes!AD51:'[1]SmtRes'!AD52)*[1]Source!I47, 2)+ROUND(SUMIF([1]SmtRes!AQ51:'[1]SmtRes'!AQ52,"=1",[1]SmtRes!AC51:'[1]SmtRes'!AC52)*[1]Source!I47, 2))), 2)</f>
        <v>#VALUE!</v>
      </c>
      <c r="AN125" s="48">
        <f>L118+L123+L124</f>
        <v>4028.37</v>
      </c>
      <c r="AO125">
        <f>0</f>
        <v>0</v>
      </c>
      <c r="AQ125" t="s">
        <v>63</v>
      </c>
      <c r="AR125" s="48">
        <f>L118</f>
        <v>1918.27</v>
      </c>
      <c r="AT125">
        <f>0</f>
        <v>0</v>
      </c>
      <c r="AV125" t="s">
        <v>63</v>
      </c>
      <c r="AW125">
        <f>0</f>
        <v>0</v>
      </c>
      <c r="AZ125">
        <f>[1]Source!X47</f>
        <v>1419.52</v>
      </c>
      <c r="BA125">
        <f>[1]Source!Y47</f>
        <v>690.58</v>
      </c>
      <c r="BR125" s="48">
        <f>K125</f>
        <v>4028.37</v>
      </c>
      <c r="BU125">
        <f>ROUND(K125*80/100, 2)</f>
        <v>3222.7</v>
      </c>
      <c r="BV125" s="48">
        <f>K125-BU125</f>
        <v>805.67000000000007</v>
      </c>
      <c r="CB125">
        <f>[1]Source!BM47</f>
        <v>200001</v>
      </c>
      <c r="CC125" t="str">
        <f>[1]Source!E47</f>
        <v>5</v>
      </c>
      <c r="CD125">
        <v>4</v>
      </c>
    </row>
    <row r="126" spans="1:82" ht="114" x14ac:dyDescent="0.2">
      <c r="A126" s="32" t="s">
        <v>124</v>
      </c>
      <c r="B126" s="33" t="s">
        <v>125</v>
      </c>
      <c r="C126" s="33" t="str">
        <f>[1]Source!G49</f>
        <v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v>
      </c>
      <c r="D126" s="34" t="str">
        <f>[1]Source!H49</f>
        <v>ШТ</v>
      </c>
      <c r="E126" s="35">
        <f>[1]Source!K49</f>
        <v>2</v>
      </c>
      <c r="F126" s="35"/>
      <c r="G126" s="35">
        <f>[1]Source!I49</f>
        <v>2</v>
      </c>
      <c r="H126" s="36"/>
      <c r="I126" s="37"/>
      <c r="J126" s="36"/>
      <c r="K126" s="37"/>
      <c r="L126" s="36"/>
    </row>
    <row r="127" spans="1:82" ht="15" x14ac:dyDescent="0.2">
      <c r="A127" s="39"/>
      <c r="B127" s="35">
        <v>1</v>
      </c>
      <c r="C127" s="39" t="s">
        <v>51</v>
      </c>
      <c r="D127" s="34" t="s">
        <v>30</v>
      </c>
      <c r="E127" s="40"/>
      <c r="F127" s="35"/>
      <c r="G127" s="40">
        <f>[1]Source!U49</f>
        <v>0.64</v>
      </c>
      <c r="H127" s="35"/>
      <c r="I127" s="35"/>
      <c r="J127" s="35"/>
      <c r="K127" s="35"/>
      <c r="L127" s="41">
        <f>SUM(L128:L129)-SUMIF(CE128:CE129, 1, L128:L129)</f>
        <v>613.85</v>
      </c>
    </row>
    <row r="128" spans="1:82" ht="14.25" x14ac:dyDescent="0.2">
      <c r="A128" s="33"/>
      <c r="B128" s="33" t="s">
        <v>115</v>
      </c>
      <c r="C128" s="33" t="s">
        <v>116</v>
      </c>
      <c r="D128" s="34" t="s">
        <v>117</v>
      </c>
      <c r="E128" s="35">
        <v>0.16</v>
      </c>
      <c r="F128" s="35"/>
      <c r="G128" s="35">
        <f>[1]SmtRes!CX55</f>
        <v>0.32</v>
      </c>
      <c r="H128" s="36"/>
      <c r="I128" s="37"/>
      <c r="J128" s="36">
        <f>[1]SmtRes!CZ55</f>
        <v>969.91</v>
      </c>
      <c r="K128" s="37"/>
      <c r="L128" s="36">
        <f>[1]SmtRes!DI55</f>
        <v>310.37</v>
      </c>
    </row>
    <row r="129" spans="1:82" ht="14.25" x14ac:dyDescent="0.2">
      <c r="A129" s="33"/>
      <c r="B129" s="33" t="s">
        <v>118</v>
      </c>
      <c r="C129" s="42" t="s">
        <v>119</v>
      </c>
      <c r="D129" s="43" t="s">
        <v>117</v>
      </c>
      <c r="E129" s="44">
        <v>0.16</v>
      </c>
      <c r="F129" s="44"/>
      <c r="G129" s="44">
        <f>[1]SmtRes!CX56</f>
        <v>0.32</v>
      </c>
      <c r="H129" s="45"/>
      <c r="I129" s="46"/>
      <c r="J129" s="45">
        <f>[1]SmtRes!CZ56</f>
        <v>948.36</v>
      </c>
      <c r="K129" s="46"/>
      <c r="L129" s="45">
        <f>[1]SmtRes!DI56</f>
        <v>303.48</v>
      </c>
    </row>
    <row r="130" spans="1:82" ht="15" x14ac:dyDescent="0.2">
      <c r="A130" s="33"/>
      <c r="B130" s="33"/>
      <c r="C130" s="47" t="s">
        <v>54</v>
      </c>
      <c r="D130" s="34"/>
      <c r="E130" s="35"/>
      <c r="F130" s="35"/>
      <c r="G130" s="35"/>
      <c r="H130" s="36"/>
      <c r="I130" s="37"/>
      <c r="J130" s="36"/>
      <c r="K130" s="37"/>
      <c r="L130" s="36">
        <f>L127</f>
        <v>613.85</v>
      </c>
    </row>
    <row r="131" spans="1:82" ht="14.25" x14ac:dyDescent="0.2">
      <c r="A131" s="33"/>
      <c r="B131" s="33"/>
      <c r="C131" s="33" t="s">
        <v>56</v>
      </c>
      <c r="D131" s="34"/>
      <c r="E131" s="35"/>
      <c r="F131" s="35"/>
      <c r="G131" s="35"/>
      <c r="H131" s="36"/>
      <c r="I131" s="37"/>
      <c r="J131" s="36"/>
      <c r="K131" s="37"/>
      <c r="L131" s="36">
        <f>SUM(AR126:AR134)+SUM(AS126:AS134)+SUM(AT126:AT134)+SUM(AU126:AU134)+SUM(AV126:AV134)</f>
        <v>613.85</v>
      </c>
    </row>
    <row r="132" spans="1:82" ht="14.25" x14ac:dyDescent="0.2">
      <c r="A132" s="33"/>
      <c r="B132" s="33" t="s">
        <v>120</v>
      </c>
      <c r="C132" s="33" t="s">
        <v>121</v>
      </c>
      <c r="D132" s="34" t="s">
        <v>59</v>
      </c>
      <c r="E132" s="35">
        <f>[1]Source!BZ49</f>
        <v>74</v>
      </c>
      <c r="F132" s="35"/>
      <c r="G132" s="35">
        <f>[1]Source!AT49</f>
        <v>74</v>
      </c>
      <c r="H132" s="36"/>
      <c r="I132" s="37"/>
      <c r="J132" s="36"/>
      <c r="K132" s="37"/>
      <c r="L132" s="36">
        <f>SUM(AZ126:AZ134)</f>
        <v>454.25</v>
      </c>
    </row>
    <row r="133" spans="1:82" ht="14.25" x14ac:dyDescent="0.2">
      <c r="A133" s="42"/>
      <c r="B133" s="42" t="s">
        <v>122</v>
      </c>
      <c r="C133" s="42" t="s">
        <v>123</v>
      </c>
      <c r="D133" s="43" t="s">
        <v>59</v>
      </c>
      <c r="E133" s="44">
        <f>[1]Source!CA49</f>
        <v>36</v>
      </c>
      <c r="F133" s="44"/>
      <c r="G133" s="44">
        <f>[1]Source!AU49</f>
        <v>36</v>
      </c>
      <c r="H133" s="45"/>
      <c r="I133" s="46"/>
      <c r="J133" s="45"/>
      <c r="K133" s="46"/>
      <c r="L133" s="45">
        <f>SUM(BA126:BA134)</f>
        <v>220.99</v>
      </c>
    </row>
    <row r="134" spans="1:82" ht="15" x14ac:dyDescent="0.2">
      <c r="C134" s="71" t="s">
        <v>62</v>
      </c>
      <c r="D134" s="71"/>
      <c r="E134" s="71"/>
      <c r="F134" s="71"/>
      <c r="G134" s="71"/>
      <c r="H134" s="71"/>
      <c r="I134" s="72">
        <f>IF(E126&lt;&gt;0,K134/E126, 0)</f>
        <v>644.54499999999996</v>
      </c>
      <c r="J134" s="72"/>
      <c r="K134" s="72">
        <f>L127+L132+L133</f>
        <v>1289.0899999999999</v>
      </c>
      <c r="L134" s="72"/>
      <c r="AD134" t="e">
        <f>ROUND(([1]Source!AT49/100)*((ROUND(SUMIF([1]SmtRes!AQ55:'[1]SmtRes'!AQ56,"=1",[1]SmtRes!AD55:'[1]SmtRes'!AD56)*[1]Source!I49, 2)+ROUND(SUMIF([1]SmtRes!AQ55:'[1]SmtRes'!AQ56,"=1",[1]SmtRes!AC55:'[1]SmtRes'!AC56)*[1]Source!I49, 2))), 2)</f>
        <v>#VALUE!</v>
      </c>
      <c r="AE134" t="e">
        <f>ROUND(([1]Source!AU49/100)*((ROUND(SUMIF([1]SmtRes!AQ55:'[1]SmtRes'!AQ56,"=1",[1]SmtRes!AD55:'[1]SmtRes'!AD56)*[1]Source!I49, 2)+ROUND(SUMIF([1]SmtRes!AQ55:'[1]SmtRes'!AQ56,"=1",[1]SmtRes!AC55:'[1]SmtRes'!AC56)*[1]Source!I49, 2))), 2)</f>
        <v>#VALUE!</v>
      </c>
      <c r="AN134" s="48">
        <f>L127+L132+L133</f>
        <v>1289.0899999999999</v>
      </c>
      <c r="AO134">
        <f>0</f>
        <v>0</v>
      </c>
      <c r="AQ134" t="s">
        <v>63</v>
      </c>
      <c r="AR134" s="48">
        <f>L127</f>
        <v>613.85</v>
      </c>
      <c r="AT134">
        <f>0</f>
        <v>0</v>
      </c>
      <c r="AV134" t="s">
        <v>63</v>
      </c>
      <c r="AW134">
        <f>0</f>
        <v>0</v>
      </c>
      <c r="AZ134">
        <f>[1]Source!X49</f>
        <v>454.25</v>
      </c>
      <c r="BA134">
        <f>[1]Source!Y49</f>
        <v>220.99</v>
      </c>
      <c r="BR134" s="48">
        <f>K134</f>
        <v>1289.0899999999999</v>
      </c>
      <c r="BU134">
        <f>ROUND(K134*80/100, 2)</f>
        <v>1031.27</v>
      </c>
      <c r="BV134" s="48">
        <f>K134-BU134</f>
        <v>257.81999999999994</v>
      </c>
      <c r="CB134">
        <f>[1]Source!BM49</f>
        <v>200001</v>
      </c>
      <c r="CC134" t="str">
        <f>[1]Source!E49</f>
        <v>6</v>
      </c>
      <c r="CD134">
        <v>4</v>
      </c>
    </row>
    <row r="136" spans="1:82" ht="15" x14ac:dyDescent="0.2">
      <c r="A136" s="49"/>
      <c r="B136" s="50"/>
      <c r="C136" s="68" t="s">
        <v>126</v>
      </c>
      <c r="D136" s="68"/>
      <c r="E136" s="68"/>
      <c r="F136" s="68"/>
      <c r="G136" s="68"/>
      <c r="H136" s="68"/>
      <c r="I136" s="41"/>
      <c r="J136" s="49"/>
      <c r="K136" s="51"/>
      <c r="L136" s="41">
        <f>L138+L139+L145+L149</f>
        <v>104543.05</v>
      </c>
    </row>
    <row r="137" spans="1:82" ht="14.25" x14ac:dyDescent="0.2">
      <c r="A137" s="52"/>
      <c r="B137" s="53"/>
      <c r="C137" s="69" t="s">
        <v>127</v>
      </c>
      <c r="D137" s="66"/>
      <c r="E137" s="66"/>
      <c r="F137" s="66"/>
      <c r="G137" s="66"/>
      <c r="H137" s="66"/>
      <c r="I137" s="36"/>
      <c r="J137" s="52"/>
      <c r="K137" s="35"/>
      <c r="L137" s="36"/>
    </row>
    <row r="138" spans="1:82" ht="14.25" x14ac:dyDescent="0.2">
      <c r="A138" s="52"/>
      <c r="B138" s="53"/>
      <c r="C138" s="66" t="s">
        <v>128</v>
      </c>
      <c r="D138" s="66"/>
      <c r="E138" s="66"/>
      <c r="F138" s="66"/>
      <c r="G138" s="66"/>
      <c r="H138" s="66"/>
      <c r="I138" s="36"/>
      <c r="J138" s="52"/>
      <c r="K138" s="35"/>
      <c r="L138" s="36">
        <f>SUM(AR53:AR134)</f>
        <v>18068.509999999998</v>
      </c>
    </row>
    <row r="139" spans="1:82" ht="14.25" hidden="1" x14ac:dyDescent="0.2">
      <c r="A139" s="52"/>
      <c r="B139" s="53"/>
      <c r="C139" s="66" t="s">
        <v>129</v>
      </c>
      <c r="D139" s="66"/>
      <c r="E139" s="66"/>
      <c r="F139" s="66"/>
      <c r="G139" s="66"/>
      <c r="H139" s="66"/>
      <c r="I139" s="36"/>
      <c r="J139" s="52"/>
      <c r="K139" s="35"/>
      <c r="L139" s="36">
        <f>L141+L144+L143</f>
        <v>1465.57</v>
      </c>
    </row>
    <row r="140" spans="1:82" ht="14.25" hidden="1" x14ac:dyDescent="0.2">
      <c r="A140" s="52"/>
      <c r="B140" s="53"/>
      <c r="C140" s="69" t="s">
        <v>130</v>
      </c>
      <c r="D140" s="66"/>
      <c r="E140" s="66"/>
      <c r="F140" s="66"/>
      <c r="G140" s="66"/>
      <c r="H140" s="66"/>
      <c r="I140" s="36"/>
      <c r="J140" s="52"/>
      <c r="K140" s="35"/>
      <c r="L140" s="36"/>
    </row>
    <row r="141" spans="1:82" ht="14.25" x14ac:dyDescent="0.2">
      <c r="A141" s="52"/>
      <c r="B141" s="53"/>
      <c r="C141" s="66" t="s">
        <v>129</v>
      </c>
      <c r="D141" s="66"/>
      <c r="E141" s="66"/>
      <c r="F141" s="66"/>
      <c r="G141" s="66"/>
      <c r="H141" s="66"/>
      <c r="I141" s="36"/>
      <c r="J141" s="52"/>
      <c r="K141" s="35"/>
      <c r="L141" s="36">
        <f>SUM(AO53:AO134)</f>
        <v>867.03</v>
      </c>
    </row>
    <row r="142" spans="1:82" ht="14.25" hidden="1" x14ac:dyDescent="0.2">
      <c r="A142" s="52"/>
      <c r="B142" s="53"/>
      <c r="C142" s="69" t="s">
        <v>131</v>
      </c>
      <c r="D142" s="66"/>
      <c r="E142" s="66"/>
      <c r="F142" s="66"/>
      <c r="G142" s="66"/>
      <c r="H142" s="66"/>
      <c r="I142" s="36"/>
      <c r="J142" s="52"/>
      <c r="K142" s="35"/>
      <c r="L142" s="36"/>
    </row>
    <row r="143" spans="1:82" ht="14.25" x14ac:dyDescent="0.2">
      <c r="A143" s="52"/>
      <c r="B143" s="53"/>
      <c r="C143" s="66" t="s">
        <v>132</v>
      </c>
      <c r="D143" s="66"/>
      <c r="E143" s="66"/>
      <c r="F143" s="66"/>
      <c r="G143" s="66"/>
      <c r="H143" s="66"/>
      <c r="I143" s="36"/>
      <c r="J143" s="52"/>
      <c r="K143" s="35"/>
      <c r="L143" s="36">
        <f>SUM(AT53:AT134)</f>
        <v>598.54</v>
      </c>
    </row>
    <row r="144" spans="1:82" ht="14.25" hidden="1" x14ac:dyDescent="0.2">
      <c r="A144" s="52"/>
      <c r="B144" s="53"/>
      <c r="C144" s="66" t="s">
        <v>133</v>
      </c>
      <c r="D144" s="66"/>
      <c r="E144" s="66"/>
      <c r="F144" s="66"/>
      <c r="G144" s="66"/>
      <c r="H144" s="66"/>
      <c r="I144" s="36"/>
      <c r="J144" s="52"/>
      <c r="K144" s="35"/>
      <c r="L144" s="36">
        <f>SUM(AV53:AV134)</f>
        <v>0</v>
      </c>
    </row>
    <row r="145" spans="1:12" ht="14.25" x14ac:dyDescent="0.2">
      <c r="A145" s="52"/>
      <c r="B145" s="53"/>
      <c r="C145" s="66" t="s">
        <v>134</v>
      </c>
      <c r="D145" s="66"/>
      <c r="E145" s="66"/>
      <c r="F145" s="66"/>
      <c r="G145" s="66"/>
      <c r="H145" s="66"/>
      <c r="I145" s="36"/>
      <c r="J145" s="52"/>
      <c r="K145" s="35"/>
      <c r="L145" s="36">
        <f>L147+L148</f>
        <v>85008.97</v>
      </c>
    </row>
    <row r="146" spans="1:12" ht="14.25" x14ac:dyDescent="0.2">
      <c r="A146" s="52"/>
      <c r="B146" s="53"/>
      <c r="C146" s="69" t="s">
        <v>130</v>
      </c>
      <c r="D146" s="66"/>
      <c r="E146" s="66"/>
      <c r="F146" s="66"/>
      <c r="G146" s="66"/>
      <c r="H146" s="66"/>
      <c r="I146" s="36"/>
      <c r="J146" s="52"/>
      <c r="K146" s="35"/>
      <c r="L146" s="36"/>
    </row>
    <row r="147" spans="1:12" ht="14.25" x14ac:dyDescent="0.2">
      <c r="A147" s="52"/>
      <c r="B147" s="53"/>
      <c r="C147" s="66" t="s">
        <v>135</v>
      </c>
      <c r="D147" s="66"/>
      <c r="E147" s="66"/>
      <c r="F147" s="66"/>
      <c r="G147" s="66"/>
      <c r="H147" s="66"/>
      <c r="I147" s="36"/>
      <c r="J147" s="52"/>
      <c r="K147" s="35"/>
      <c r="L147" s="36">
        <f>SUM(AW53:AW134)-SUM(BK53:BK134)</f>
        <v>85008.97</v>
      </c>
    </row>
    <row r="148" spans="1:12" ht="14.25" hidden="1" x14ac:dyDescent="0.2">
      <c r="A148" s="52"/>
      <c r="B148" s="53"/>
      <c r="C148" s="66" t="s">
        <v>136</v>
      </c>
      <c r="D148" s="66"/>
      <c r="E148" s="66"/>
      <c r="F148" s="66"/>
      <c r="G148" s="66"/>
      <c r="H148" s="66"/>
      <c r="I148" s="36"/>
      <c r="J148" s="52"/>
      <c r="K148" s="35"/>
      <c r="L148" s="36">
        <f>SUM(BC53:BC134)</f>
        <v>0</v>
      </c>
    </row>
    <row r="149" spans="1:12" ht="14.25" hidden="1" x14ac:dyDescent="0.2">
      <c r="A149" s="52"/>
      <c r="B149" s="53"/>
      <c r="C149" s="66" t="s">
        <v>137</v>
      </c>
      <c r="D149" s="66"/>
      <c r="E149" s="66"/>
      <c r="F149" s="66"/>
      <c r="G149" s="66"/>
      <c r="H149" s="66"/>
      <c r="I149" s="36"/>
      <c r="J149" s="52"/>
      <c r="K149" s="35"/>
      <c r="L149" s="36">
        <f>SUM(BB53:BB134)</f>
        <v>0</v>
      </c>
    </row>
    <row r="150" spans="1:12" ht="14.25" x14ac:dyDescent="0.2">
      <c r="A150" s="52"/>
      <c r="B150" s="53"/>
      <c r="C150" s="66" t="s">
        <v>138</v>
      </c>
      <c r="D150" s="66"/>
      <c r="E150" s="66"/>
      <c r="F150" s="66"/>
      <c r="G150" s="66"/>
      <c r="H150" s="66"/>
      <c r="I150" s="36"/>
      <c r="J150" s="52"/>
      <c r="K150" s="35"/>
      <c r="L150" s="36">
        <f>SUM(AR53:AR134)+SUM(AT53:AT134)+SUM(AV53:AV134)</f>
        <v>18667.05</v>
      </c>
    </row>
    <row r="151" spans="1:12" ht="14.25" x14ac:dyDescent="0.2">
      <c r="A151" s="52"/>
      <c r="B151" s="53"/>
      <c r="C151" s="66" t="s">
        <v>139</v>
      </c>
      <c r="D151" s="66"/>
      <c r="E151" s="66"/>
      <c r="F151" s="66"/>
      <c r="G151" s="66"/>
      <c r="H151" s="66"/>
      <c r="I151" s="36"/>
      <c r="J151" s="52"/>
      <c r="K151" s="35"/>
      <c r="L151" s="36">
        <f>SUM(AZ53:AZ134)</f>
        <v>17454.34</v>
      </c>
    </row>
    <row r="152" spans="1:12" ht="14.25" x14ac:dyDescent="0.2">
      <c r="A152" s="52"/>
      <c r="B152" s="53"/>
      <c r="C152" s="66" t="s">
        <v>140</v>
      </c>
      <c r="D152" s="66"/>
      <c r="E152" s="66"/>
      <c r="F152" s="66"/>
      <c r="G152" s="66"/>
      <c r="H152" s="66"/>
      <c r="I152" s="36"/>
      <c r="J152" s="52"/>
      <c r="K152" s="35"/>
      <c r="L152" s="36">
        <f>SUM(BA53:BA134)</f>
        <v>9041.9699999999993</v>
      </c>
    </row>
    <row r="153" spans="1:12" ht="14.25" hidden="1" x14ac:dyDescent="0.2">
      <c r="A153" s="52"/>
      <c r="B153" s="53"/>
      <c r="C153" s="66" t="s">
        <v>141</v>
      </c>
      <c r="D153" s="66"/>
      <c r="E153" s="66"/>
      <c r="F153" s="66"/>
      <c r="G153" s="66"/>
      <c r="H153" s="66"/>
      <c r="I153" s="36"/>
      <c r="J153" s="52"/>
      <c r="K153" s="35"/>
      <c r="L153" s="36">
        <f>L155+L156</f>
        <v>0</v>
      </c>
    </row>
    <row r="154" spans="1:12" ht="14.25" hidden="1" x14ac:dyDescent="0.2">
      <c r="A154" s="52"/>
      <c r="B154" s="53"/>
      <c r="C154" s="69" t="s">
        <v>127</v>
      </c>
      <c r="D154" s="66"/>
      <c r="E154" s="66"/>
      <c r="F154" s="66"/>
      <c r="G154" s="66"/>
      <c r="H154" s="66"/>
      <c r="I154" s="36"/>
      <c r="J154" s="52"/>
      <c r="K154" s="35"/>
      <c r="L154" s="36"/>
    </row>
    <row r="155" spans="1:12" ht="14.25" hidden="1" x14ac:dyDescent="0.2">
      <c r="A155" s="52"/>
      <c r="B155" s="53"/>
      <c r="C155" s="66" t="s">
        <v>142</v>
      </c>
      <c r="D155" s="66"/>
      <c r="E155" s="66"/>
      <c r="F155" s="66"/>
      <c r="G155" s="66"/>
      <c r="H155" s="66"/>
      <c r="I155" s="36"/>
      <c r="J155" s="52"/>
      <c r="K155" s="35"/>
      <c r="L155" s="36">
        <f>SUM(BK53:BK134)</f>
        <v>0</v>
      </c>
    </row>
    <row r="156" spans="1:12" ht="14.25" hidden="1" x14ac:dyDescent="0.2">
      <c r="A156" s="52"/>
      <c r="B156" s="53"/>
      <c r="C156" s="66" t="s">
        <v>143</v>
      </c>
      <c r="D156" s="66"/>
      <c r="E156" s="66"/>
      <c r="F156" s="66"/>
      <c r="G156" s="66"/>
      <c r="H156" s="66"/>
      <c r="I156" s="36"/>
      <c r="J156" s="52"/>
      <c r="K156" s="35"/>
      <c r="L156" s="36">
        <f>SUM(BD53:BD134)</f>
        <v>0</v>
      </c>
    </row>
    <row r="157" spans="1:12" ht="14.25" hidden="1" x14ac:dyDescent="0.2">
      <c r="A157" s="52"/>
      <c r="B157" s="53"/>
      <c r="C157" s="66" t="s">
        <v>144</v>
      </c>
      <c r="D157" s="66"/>
      <c r="E157" s="66"/>
      <c r="F157" s="66"/>
      <c r="G157" s="66"/>
      <c r="H157" s="66"/>
      <c r="I157" s="36"/>
      <c r="J157" s="52"/>
      <c r="K157" s="35"/>
      <c r="L157" s="36"/>
    </row>
    <row r="158" spans="1:12" ht="14.25" hidden="1" x14ac:dyDescent="0.2">
      <c r="A158" s="52"/>
      <c r="B158" s="53"/>
      <c r="C158" s="66" t="s">
        <v>145</v>
      </c>
      <c r="D158" s="66"/>
      <c r="E158" s="66"/>
      <c r="F158" s="66"/>
      <c r="G158" s="66"/>
      <c r="H158" s="66"/>
      <c r="I158" s="36"/>
      <c r="J158" s="52"/>
      <c r="K158" s="35"/>
      <c r="L158" s="36">
        <f>SUM(BO53:BO134)</f>
        <v>0</v>
      </c>
    </row>
    <row r="159" spans="1:12" ht="15" x14ac:dyDescent="0.2">
      <c r="A159" s="49"/>
      <c r="B159" s="50"/>
      <c r="C159" s="68" t="s">
        <v>146</v>
      </c>
      <c r="D159" s="68"/>
      <c r="E159" s="68"/>
      <c r="F159" s="68"/>
      <c r="G159" s="68"/>
      <c r="H159" s="68"/>
      <c r="I159" s="41"/>
      <c r="J159" s="49"/>
      <c r="K159" s="51"/>
      <c r="L159" s="41">
        <f>L136+L151+L152+L153+L157+L158</f>
        <v>131039.36</v>
      </c>
    </row>
    <row r="160" spans="1:12" ht="14.25" x14ac:dyDescent="0.2">
      <c r="A160" s="52"/>
      <c r="B160" s="53"/>
      <c r="C160" s="69" t="s">
        <v>147</v>
      </c>
      <c r="D160" s="66"/>
      <c r="E160" s="66"/>
      <c r="F160" s="66"/>
      <c r="G160" s="66"/>
      <c r="H160" s="66"/>
      <c r="I160" s="36"/>
      <c r="J160" s="52"/>
      <c r="K160" s="35"/>
      <c r="L160" s="36"/>
    </row>
    <row r="161" spans="1:12" ht="14.25" hidden="1" x14ac:dyDescent="0.2">
      <c r="A161" s="52"/>
      <c r="B161" s="53"/>
      <c r="C161" s="66" t="s">
        <v>148</v>
      </c>
      <c r="D161" s="66"/>
      <c r="E161" s="66"/>
      <c r="F161" s="66"/>
      <c r="G161" s="66"/>
      <c r="H161" s="66"/>
      <c r="I161" s="36"/>
      <c r="J161" s="52"/>
      <c r="K161" s="35"/>
      <c r="L161" s="36">
        <f>SUM(AX53:AX134)</f>
        <v>0</v>
      </c>
    </row>
    <row r="162" spans="1:12" ht="14.25" hidden="1" x14ac:dyDescent="0.2">
      <c r="A162" s="52"/>
      <c r="B162" s="53"/>
      <c r="C162" s="66" t="s">
        <v>149</v>
      </c>
      <c r="D162" s="66"/>
      <c r="E162" s="66"/>
      <c r="F162" s="66"/>
      <c r="G162" s="66"/>
      <c r="H162" s="66"/>
      <c r="I162" s="36"/>
      <c r="J162" s="52"/>
      <c r="K162" s="35"/>
      <c r="L162" s="36">
        <f>SUM(AY53:AY134)</f>
        <v>0</v>
      </c>
    </row>
    <row r="163" spans="1:12" ht="14.25" x14ac:dyDescent="0.2">
      <c r="A163" s="52"/>
      <c r="B163" s="53"/>
      <c r="C163" s="66" t="s">
        <v>150</v>
      </c>
      <c r="D163" s="66"/>
      <c r="E163" s="66"/>
      <c r="F163" s="67"/>
      <c r="G163" s="40">
        <f>[1]Source!P73</f>
        <v>25.052</v>
      </c>
      <c r="H163" s="52"/>
      <c r="I163" s="52"/>
      <c r="J163" s="52"/>
      <c r="K163" s="52"/>
      <c r="L163" s="52"/>
    </row>
    <row r="164" spans="1:12" ht="14.25" x14ac:dyDescent="0.2">
      <c r="A164" s="52"/>
      <c r="B164" s="53"/>
      <c r="C164" s="66" t="s">
        <v>151</v>
      </c>
      <c r="D164" s="66"/>
      <c r="E164" s="66"/>
      <c r="F164" s="67"/>
      <c r="G164" s="40">
        <f>[1]Source!P74</f>
        <v>0.70750000000000002</v>
      </c>
      <c r="H164" s="52"/>
      <c r="I164" s="52"/>
      <c r="J164" s="52"/>
      <c r="K164" s="52"/>
      <c r="L164" s="52"/>
    </row>
    <row r="167" spans="1:12" ht="15" x14ac:dyDescent="0.2">
      <c r="A167" s="54"/>
      <c r="B167" s="55"/>
      <c r="C167" s="70" t="s">
        <v>152</v>
      </c>
      <c r="D167" s="70"/>
      <c r="E167" s="70"/>
      <c r="F167" s="70"/>
      <c r="G167" s="70"/>
      <c r="H167" s="70"/>
      <c r="I167" s="56"/>
      <c r="J167" s="54"/>
      <c r="K167" s="57"/>
      <c r="L167" s="56"/>
    </row>
    <row r="169" spans="1:12" ht="15" x14ac:dyDescent="0.2">
      <c r="A169" s="49"/>
      <c r="B169" s="50"/>
      <c r="C169" s="68" t="s">
        <v>153</v>
      </c>
      <c r="D169" s="68"/>
      <c r="E169" s="68"/>
      <c r="F169" s="68"/>
      <c r="G169" s="68"/>
      <c r="H169" s="68"/>
      <c r="I169" s="41"/>
      <c r="J169" s="49"/>
      <c r="K169" s="51"/>
      <c r="L169" s="41">
        <f>L171+L186+L187</f>
        <v>3318.3699999999994</v>
      </c>
    </row>
    <row r="170" spans="1:12" ht="14.25" x14ac:dyDescent="0.2">
      <c r="A170" s="52"/>
      <c r="B170" s="53"/>
      <c r="C170" s="69" t="s">
        <v>127</v>
      </c>
      <c r="D170" s="66"/>
      <c r="E170" s="66"/>
      <c r="F170" s="66"/>
      <c r="G170" s="66"/>
      <c r="H170" s="66"/>
      <c r="I170" s="36"/>
      <c r="J170" s="52"/>
      <c r="K170" s="35"/>
      <c r="L170" s="36"/>
    </row>
    <row r="171" spans="1:12" ht="14.25" x14ac:dyDescent="0.2">
      <c r="A171" s="52"/>
      <c r="B171" s="53"/>
      <c r="C171" s="66" t="s">
        <v>154</v>
      </c>
      <c r="D171" s="66"/>
      <c r="E171" s="66"/>
      <c r="F171" s="66"/>
      <c r="G171" s="66"/>
      <c r="H171" s="66"/>
      <c r="I171" s="36"/>
      <c r="J171" s="52"/>
      <c r="K171" s="35"/>
      <c r="L171" s="36">
        <f>L173+L174+L180+L184</f>
        <v>1406.09</v>
      </c>
    </row>
    <row r="172" spans="1:12" ht="14.25" x14ac:dyDescent="0.2">
      <c r="A172" s="52"/>
      <c r="B172" s="53"/>
      <c r="C172" s="69" t="s">
        <v>127</v>
      </c>
      <c r="D172" s="66"/>
      <c r="E172" s="66"/>
      <c r="F172" s="66"/>
      <c r="G172" s="66"/>
      <c r="H172" s="66"/>
      <c r="I172" s="36"/>
      <c r="J172" s="52"/>
      <c r="K172" s="35"/>
      <c r="L172" s="36"/>
    </row>
    <row r="173" spans="1:12" ht="14.25" x14ac:dyDescent="0.2">
      <c r="A173" s="52"/>
      <c r="B173" s="53"/>
      <c r="C173" s="66" t="s">
        <v>155</v>
      </c>
      <c r="D173" s="66"/>
      <c r="E173" s="66"/>
      <c r="F173" s="66"/>
      <c r="G173" s="66"/>
      <c r="H173" s="66"/>
      <c r="I173" s="36"/>
      <c r="J173" s="52"/>
      <c r="K173" s="35"/>
      <c r="L173" s="36">
        <f>SUMIF(CD52:CD165, 1, AR52:AR165)</f>
        <v>1406.09</v>
      </c>
    </row>
    <row r="174" spans="1:12" ht="14.25" hidden="1" x14ac:dyDescent="0.2">
      <c r="A174" s="52"/>
      <c r="B174" s="53"/>
      <c r="C174" s="66" t="s">
        <v>129</v>
      </c>
      <c r="D174" s="66"/>
      <c r="E174" s="66"/>
      <c r="F174" s="66"/>
      <c r="G174" s="66"/>
      <c r="H174" s="66"/>
      <c r="I174" s="36"/>
      <c r="J174" s="52"/>
      <c r="K174" s="35"/>
      <c r="L174" s="36">
        <f>L176+L179+L178</f>
        <v>0</v>
      </c>
    </row>
    <row r="175" spans="1:12" ht="14.25" hidden="1" x14ac:dyDescent="0.2">
      <c r="A175" s="52"/>
      <c r="B175" s="53"/>
      <c r="C175" s="69" t="s">
        <v>130</v>
      </c>
      <c r="D175" s="66"/>
      <c r="E175" s="66"/>
      <c r="F175" s="66"/>
      <c r="G175" s="66"/>
      <c r="H175" s="66"/>
      <c r="I175" s="36"/>
      <c r="J175" s="52"/>
      <c r="K175" s="35"/>
      <c r="L175" s="36"/>
    </row>
    <row r="176" spans="1:12" ht="14.25" hidden="1" x14ac:dyDescent="0.2">
      <c r="A176" s="52"/>
      <c r="B176" s="53"/>
      <c r="C176" s="66" t="s">
        <v>129</v>
      </c>
      <c r="D176" s="66"/>
      <c r="E176" s="66"/>
      <c r="F176" s="66"/>
      <c r="G176" s="66"/>
      <c r="H176" s="66"/>
      <c r="I176" s="36"/>
      <c r="J176" s="52"/>
      <c r="K176" s="35"/>
      <c r="L176" s="36">
        <f>SUMIF(CD52:CD165, 1, AO52:AO165)</f>
        <v>0</v>
      </c>
    </row>
    <row r="177" spans="1:12" ht="14.25" hidden="1" x14ac:dyDescent="0.2">
      <c r="A177" s="52"/>
      <c r="B177" s="53"/>
      <c r="C177" s="69" t="s">
        <v>131</v>
      </c>
      <c r="D177" s="66"/>
      <c r="E177" s="66"/>
      <c r="F177" s="66"/>
      <c r="G177" s="66"/>
      <c r="H177" s="66"/>
      <c r="I177" s="36"/>
      <c r="J177" s="52"/>
      <c r="K177" s="35"/>
      <c r="L177" s="36"/>
    </row>
    <row r="178" spans="1:12" ht="14.25" hidden="1" x14ac:dyDescent="0.2">
      <c r="A178" s="52"/>
      <c r="B178" s="53"/>
      <c r="C178" s="66" t="s">
        <v>132</v>
      </c>
      <c r="D178" s="66"/>
      <c r="E178" s="66"/>
      <c r="F178" s="66"/>
      <c r="G178" s="66"/>
      <c r="H178" s="66"/>
      <c r="I178" s="36"/>
      <c r="J178" s="52"/>
      <c r="K178" s="35"/>
      <c r="L178" s="36">
        <f>SUMIF(CD52:CD165, 1, AT52:AT165)</f>
        <v>0</v>
      </c>
    </row>
    <row r="179" spans="1:12" ht="14.25" hidden="1" x14ac:dyDescent="0.2">
      <c r="A179" s="52"/>
      <c r="B179" s="53"/>
      <c r="C179" s="66" t="s">
        <v>133</v>
      </c>
      <c r="D179" s="66"/>
      <c r="E179" s="66"/>
      <c r="F179" s="66"/>
      <c r="G179" s="66"/>
      <c r="H179" s="66"/>
      <c r="I179" s="36"/>
      <c r="J179" s="52"/>
      <c r="K179" s="35"/>
      <c r="L179" s="36">
        <f>SUMIF(CD52:CD165, 1, AV52:AV165)</f>
        <v>0</v>
      </c>
    </row>
    <row r="180" spans="1:12" ht="14.25" hidden="1" x14ac:dyDescent="0.2">
      <c r="A180" s="52"/>
      <c r="B180" s="53"/>
      <c r="C180" s="66" t="s">
        <v>134</v>
      </c>
      <c r="D180" s="66"/>
      <c r="E180" s="66"/>
      <c r="F180" s="66"/>
      <c r="G180" s="66"/>
      <c r="H180" s="66"/>
      <c r="I180" s="36"/>
      <c r="J180" s="52"/>
      <c r="K180" s="35"/>
      <c r="L180" s="36">
        <f>L182+L183</f>
        <v>0</v>
      </c>
    </row>
    <row r="181" spans="1:12" ht="14.25" hidden="1" x14ac:dyDescent="0.2">
      <c r="A181" s="52"/>
      <c r="B181" s="53"/>
      <c r="C181" s="69" t="s">
        <v>130</v>
      </c>
      <c r="D181" s="66"/>
      <c r="E181" s="66"/>
      <c r="F181" s="66"/>
      <c r="G181" s="66"/>
      <c r="H181" s="66"/>
      <c r="I181" s="36"/>
      <c r="J181" s="52"/>
      <c r="K181" s="35"/>
      <c r="L181" s="36"/>
    </row>
    <row r="182" spans="1:12" ht="14.25" hidden="1" x14ac:dyDescent="0.2">
      <c r="A182" s="52"/>
      <c r="B182" s="53"/>
      <c r="C182" s="66" t="s">
        <v>135</v>
      </c>
      <c r="D182" s="66"/>
      <c r="E182" s="66"/>
      <c r="F182" s="66"/>
      <c r="G182" s="66"/>
      <c r="H182" s="66"/>
      <c r="I182" s="36"/>
      <c r="J182" s="52"/>
      <c r="K182" s="35"/>
      <c r="L182" s="36">
        <f>SUMIF(CD52:CD165, 1, AW52:AW165)-SUMIF(CD52:CD165, 1, BK52:BK165)</f>
        <v>0</v>
      </c>
    </row>
    <row r="183" spans="1:12" ht="14.25" hidden="1" x14ac:dyDescent="0.2">
      <c r="A183" s="52"/>
      <c r="B183" s="53"/>
      <c r="C183" s="66" t="s">
        <v>136</v>
      </c>
      <c r="D183" s="66"/>
      <c r="E183" s="66"/>
      <c r="F183" s="66"/>
      <c r="G183" s="66"/>
      <c r="H183" s="66"/>
      <c r="I183" s="36"/>
      <c r="J183" s="52"/>
      <c r="K183" s="35"/>
      <c r="L183" s="36">
        <f>SUMIF(CD52:CD165, 1, BC52:BC165)</f>
        <v>0</v>
      </c>
    </row>
    <row r="184" spans="1:12" ht="14.25" hidden="1" x14ac:dyDescent="0.2">
      <c r="A184" s="52"/>
      <c r="B184" s="53"/>
      <c r="C184" s="66" t="s">
        <v>137</v>
      </c>
      <c r="D184" s="66"/>
      <c r="E184" s="66"/>
      <c r="F184" s="66"/>
      <c r="G184" s="66"/>
      <c r="H184" s="66"/>
      <c r="I184" s="36"/>
      <c r="J184" s="52"/>
      <c r="K184" s="35"/>
      <c r="L184" s="36">
        <f>SUMIF(CD52:CD165, 1, BB52:BB165)</f>
        <v>0</v>
      </c>
    </row>
    <row r="185" spans="1:12" ht="14.25" x14ac:dyDescent="0.2">
      <c r="A185" s="52"/>
      <c r="B185" s="53"/>
      <c r="C185" s="66" t="s">
        <v>156</v>
      </c>
      <c r="D185" s="66"/>
      <c r="E185" s="66"/>
      <c r="F185" s="66"/>
      <c r="G185" s="66"/>
      <c r="H185" s="66"/>
      <c r="I185" s="36"/>
      <c r="J185" s="52"/>
      <c r="K185" s="35"/>
      <c r="L185" s="36">
        <f>SUMIF(CD52:CD165, 1, AR52:AR165)+SUMIF(CD52:CD165, 1, AT52:AT165)+SUMIF(CD52:CD165, 1, AV52:AV165)</f>
        <v>1406.09</v>
      </c>
    </row>
    <row r="186" spans="1:12" ht="14.25" x14ac:dyDescent="0.2">
      <c r="A186" s="52"/>
      <c r="B186" s="53"/>
      <c r="C186" s="66" t="s">
        <v>157</v>
      </c>
      <c r="D186" s="66"/>
      <c r="E186" s="66"/>
      <c r="F186" s="66"/>
      <c r="G186" s="66"/>
      <c r="H186" s="66"/>
      <c r="I186" s="36"/>
      <c r="J186" s="52"/>
      <c r="K186" s="35"/>
      <c r="L186" s="36">
        <f>SUMIF(CD52:CD165, 1, AZ52:AZ165)</f>
        <v>1293.5999999999999</v>
      </c>
    </row>
    <row r="187" spans="1:12" ht="14.25" x14ac:dyDescent="0.2">
      <c r="A187" s="52"/>
      <c r="B187" s="53"/>
      <c r="C187" s="66" t="s">
        <v>158</v>
      </c>
      <c r="D187" s="66"/>
      <c r="E187" s="66"/>
      <c r="F187" s="66"/>
      <c r="G187" s="66"/>
      <c r="H187" s="66"/>
      <c r="I187" s="36"/>
      <c r="J187" s="52"/>
      <c r="K187" s="35"/>
      <c r="L187" s="36">
        <f>SUMIF(CD52:CD165, 1, BA52:BA165)</f>
        <v>618.67999999999995</v>
      </c>
    </row>
    <row r="189" spans="1:12" ht="15" x14ac:dyDescent="0.2">
      <c r="A189" s="49"/>
      <c r="B189" s="50"/>
      <c r="C189" s="68" t="s">
        <v>159</v>
      </c>
      <c r="D189" s="68"/>
      <c r="E189" s="68"/>
      <c r="F189" s="68"/>
      <c r="G189" s="68"/>
      <c r="H189" s="68"/>
      <c r="I189" s="41"/>
      <c r="J189" s="49"/>
      <c r="K189" s="51"/>
      <c r="L189" s="41">
        <f>L191+L206+L207</f>
        <v>122403.53</v>
      </c>
    </row>
    <row r="190" spans="1:12" ht="14.25" x14ac:dyDescent="0.2">
      <c r="A190" s="52"/>
      <c r="B190" s="53"/>
      <c r="C190" s="69" t="s">
        <v>127</v>
      </c>
      <c r="D190" s="66"/>
      <c r="E190" s="66"/>
      <c r="F190" s="66"/>
      <c r="G190" s="66"/>
      <c r="H190" s="66"/>
      <c r="I190" s="36"/>
      <c r="J190" s="52"/>
      <c r="K190" s="35"/>
      <c r="L190" s="36"/>
    </row>
    <row r="191" spans="1:12" ht="14.25" x14ac:dyDescent="0.2">
      <c r="A191" s="52"/>
      <c r="B191" s="53"/>
      <c r="C191" s="66" t="s">
        <v>154</v>
      </c>
      <c r="D191" s="66"/>
      <c r="E191" s="66"/>
      <c r="F191" s="66"/>
      <c r="G191" s="66"/>
      <c r="H191" s="66"/>
      <c r="I191" s="36"/>
      <c r="J191" s="52"/>
      <c r="K191" s="35"/>
      <c r="L191" s="36">
        <f>L193+L194+L200+L204</f>
        <v>100604.84</v>
      </c>
    </row>
    <row r="192" spans="1:12" ht="14.25" x14ac:dyDescent="0.2">
      <c r="A192" s="52"/>
      <c r="B192" s="53"/>
      <c r="C192" s="69" t="s">
        <v>127</v>
      </c>
      <c r="D192" s="66"/>
      <c r="E192" s="66"/>
      <c r="F192" s="66"/>
      <c r="G192" s="66"/>
      <c r="H192" s="66"/>
      <c r="I192" s="36"/>
      <c r="J192" s="52"/>
      <c r="K192" s="35"/>
      <c r="L192" s="36"/>
    </row>
    <row r="193" spans="1:12" ht="14.25" x14ac:dyDescent="0.2">
      <c r="A193" s="52"/>
      <c r="B193" s="53"/>
      <c r="C193" s="66" t="s">
        <v>155</v>
      </c>
      <c r="D193" s="66"/>
      <c r="E193" s="66"/>
      <c r="F193" s="66"/>
      <c r="G193" s="66"/>
      <c r="H193" s="66"/>
      <c r="I193" s="36"/>
      <c r="J193" s="52"/>
      <c r="K193" s="35"/>
      <c r="L193" s="36">
        <f>SUMIF(CD52:CD187, 2, AR52:AR187)</f>
        <v>14130.3</v>
      </c>
    </row>
    <row r="194" spans="1:12" ht="14.25" hidden="1" x14ac:dyDescent="0.2">
      <c r="A194" s="52"/>
      <c r="B194" s="53"/>
      <c r="C194" s="66" t="s">
        <v>129</v>
      </c>
      <c r="D194" s="66"/>
      <c r="E194" s="66"/>
      <c r="F194" s="66"/>
      <c r="G194" s="66"/>
      <c r="H194" s="66"/>
      <c r="I194" s="36"/>
      <c r="J194" s="52"/>
      <c r="K194" s="35"/>
      <c r="L194" s="36">
        <f>L196+L199+L198</f>
        <v>1465.57</v>
      </c>
    </row>
    <row r="195" spans="1:12" ht="14.25" hidden="1" x14ac:dyDescent="0.2">
      <c r="A195" s="52"/>
      <c r="B195" s="53"/>
      <c r="C195" s="69" t="s">
        <v>130</v>
      </c>
      <c r="D195" s="66"/>
      <c r="E195" s="66"/>
      <c r="F195" s="66"/>
      <c r="G195" s="66"/>
      <c r="H195" s="66"/>
      <c r="I195" s="36"/>
      <c r="J195" s="52"/>
      <c r="K195" s="35"/>
      <c r="L195" s="36"/>
    </row>
    <row r="196" spans="1:12" ht="14.25" x14ac:dyDescent="0.2">
      <c r="A196" s="52"/>
      <c r="B196" s="53"/>
      <c r="C196" s="66" t="s">
        <v>129</v>
      </c>
      <c r="D196" s="66"/>
      <c r="E196" s="66"/>
      <c r="F196" s="66"/>
      <c r="G196" s="66"/>
      <c r="H196" s="66"/>
      <c r="I196" s="36"/>
      <c r="J196" s="52"/>
      <c r="K196" s="35"/>
      <c r="L196" s="36">
        <f>SUMIF(CD52:CD187, 2, AO52:AO187)</f>
        <v>867.03</v>
      </c>
    </row>
    <row r="197" spans="1:12" ht="14.25" hidden="1" x14ac:dyDescent="0.2">
      <c r="A197" s="52"/>
      <c r="B197" s="53"/>
      <c r="C197" s="69" t="s">
        <v>131</v>
      </c>
      <c r="D197" s="66"/>
      <c r="E197" s="66"/>
      <c r="F197" s="66"/>
      <c r="G197" s="66"/>
      <c r="H197" s="66"/>
      <c r="I197" s="36"/>
      <c r="J197" s="52"/>
      <c r="K197" s="35"/>
      <c r="L197" s="36"/>
    </row>
    <row r="198" spans="1:12" ht="14.25" x14ac:dyDescent="0.2">
      <c r="A198" s="52"/>
      <c r="B198" s="53"/>
      <c r="C198" s="66" t="s">
        <v>132</v>
      </c>
      <c r="D198" s="66"/>
      <c r="E198" s="66"/>
      <c r="F198" s="66"/>
      <c r="G198" s="66"/>
      <c r="H198" s="66"/>
      <c r="I198" s="36"/>
      <c r="J198" s="52"/>
      <c r="K198" s="35"/>
      <c r="L198" s="36">
        <f>SUMIF(CD52:CD187, 2, AT52:AT187)</f>
        <v>598.54</v>
      </c>
    </row>
    <row r="199" spans="1:12" ht="14.25" hidden="1" x14ac:dyDescent="0.2">
      <c r="A199" s="52"/>
      <c r="B199" s="53"/>
      <c r="C199" s="66" t="s">
        <v>133</v>
      </c>
      <c r="D199" s="66"/>
      <c r="E199" s="66"/>
      <c r="F199" s="66"/>
      <c r="G199" s="66"/>
      <c r="H199" s="66"/>
      <c r="I199" s="36"/>
      <c r="J199" s="52"/>
      <c r="K199" s="35"/>
      <c r="L199" s="36">
        <f>SUMIF(CD52:CD187, 2, AV52:AV187)</f>
        <v>0</v>
      </c>
    </row>
    <row r="200" spans="1:12" ht="14.25" x14ac:dyDescent="0.2">
      <c r="A200" s="52"/>
      <c r="B200" s="53"/>
      <c r="C200" s="66" t="s">
        <v>134</v>
      </c>
      <c r="D200" s="66"/>
      <c r="E200" s="66"/>
      <c r="F200" s="66"/>
      <c r="G200" s="66"/>
      <c r="H200" s="66"/>
      <c r="I200" s="36"/>
      <c r="J200" s="52"/>
      <c r="K200" s="35"/>
      <c r="L200" s="36">
        <f>L202+L203</f>
        <v>85008.97</v>
      </c>
    </row>
    <row r="201" spans="1:12" ht="14.25" x14ac:dyDescent="0.2">
      <c r="A201" s="52"/>
      <c r="B201" s="53"/>
      <c r="C201" s="69" t="s">
        <v>130</v>
      </c>
      <c r="D201" s="66"/>
      <c r="E201" s="66"/>
      <c r="F201" s="66"/>
      <c r="G201" s="66"/>
      <c r="H201" s="66"/>
      <c r="I201" s="36"/>
      <c r="J201" s="52"/>
      <c r="K201" s="35"/>
      <c r="L201" s="36"/>
    </row>
    <row r="202" spans="1:12" ht="14.25" x14ac:dyDescent="0.2">
      <c r="A202" s="52"/>
      <c r="B202" s="53"/>
      <c r="C202" s="66" t="s">
        <v>135</v>
      </c>
      <c r="D202" s="66"/>
      <c r="E202" s="66"/>
      <c r="F202" s="66"/>
      <c r="G202" s="66"/>
      <c r="H202" s="66"/>
      <c r="I202" s="36"/>
      <c r="J202" s="52"/>
      <c r="K202" s="35"/>
      <c r="L202" s="36">
        <f>SUMIF(CD52:CD187, 2, AW52:AW187)-SUMIF(CD52:CD187, 2, BK52:BK187)</f>
        <v>85008.97</v>
      </c>
    </row>
    <row r="203" spans="1:12" ht="14.25" hidden="1" x14ac:dyDescent="0.2">
      <c r="A203" s="52"/>
      <c r="B203" s="53"/>
      <c r="C203" s="66" t="s">
        <v>136</v>
      </c>
      <c r="D203" s="66"/>
      <c r="E203" s="66"/>
      <c r="F203" s="66"/>
      <c r="G203" s="66"/>
      <c r="H203" s="66"/>
      <c r="I203" s="36"/>
      <c r="J203" s="52"/>
      <c r="K203" s="35"/>
      <c r="L203" s="36">
        <f>SUMIF(CD52:CD187, 2, BC52:BC187)</f>
        <v>0</v>
      </c>
    </row>
    <row r="204" spans="1:12" ht="14.25" hidden="1" x14ac:dyDescent="0.2">
      <c r="A204" s="52"/>
      <c r="B204" s="53"/>
      <c r="C204" s="66" t="s">
        <v>137</v>
      </c>
      <c r="D204" s="66"/>
      <c r="E204" s="66"/>
      <c r="F204" s="66"/>
      <c r="G204" s="66"/>
      <c r="H204" s="66"/>
      <c r="I204" s="36"/>
      <c r="J204" s="52"/>
      <c r="K204" s="35"/>
      <c r="L204" s="36">
        <f>SUMIF(CD52:CD187, 2, BB52:BB187)</f>
        <v>0</v>
      </c>
    </row>
    <row r="205" spans="1:12" ht="14.25" x14ac:dyDescent="0.2">
      <c r="A205" s="52"/>
      <c r="B205" s="53"/>
      <c r="C205" s="66" t="s">
        <v>156</v>
      </c>
      <c r="D205" s="66"/>
      <c r="E205" s="66"/>
      <c r="F205" s="66"/>
      <c r="G205" s="66"/>
      <c r="H205" s="66"/>
      <c r="I205" s="36"/>
      <c r="J205" s="52"/>
      <c r="K205" s="35"/>
      <c r="L205" s="36">
        <f>SUMIF(CD52:CD187, 2, AR52:AR187)+SUMIF(CD52:CD187, 2, AT52:AT187)+SUMIF(CD52:CD187, 2, AV52:AV187)</f>
        <v>14728.84</v>
      </c>
    </row>
    <row r="206" spans="1:12" ht="14.25" x14ac:dyDescent="0.2">
      <c r="A206" s="52"/>
      <c r="B206" s="53"/>
      <c r="C206" s="66" t="s">
        <v>157</v>
      </c>
      <c r="D206" s="66"/>
      <c r="E206" s="66"/>
      <c r="F206" s="66"/>
      <c r="G206" s="66"/>
      <c r="H206" s="66"/>
      <c r="I206" s="36"/>
      <c r="J206" s="52"/>
      <c r="K206" s="35"/>
      <c r="L206" s="36">
        <f>SUMIF(CD52:CD187, 2, AZ52:AZ187)</f>
        <v>14286.970000000001</v>
      </c>
    </row>
    <row r="207" spans="1:12" ht="14.25" x14ac:dyDescent="0.2">
      <c r="A207" s="52"/>
      <c r="B207" s="53"/>
      <c r="C207" s="66" t="s">
        <v>158</v>
      </c>
      <c r="D207" s="66"/>
      <c r="E207" s="66"/>
      <c r="F207" s="66"/>
      <c r="G207" s="66"/>
      <c r="H207" s="66"/>
      <c r="I207" s="36"/>
      <c r="J207" s="52"/>
      <c r="K207" s="35"/>
      <c r="L207" s="36">
        <f>SUMIF(CD52:CD187, 2, BA52:BA187)</f>
        <v>7511.7199999999993</v>
      </c>
    </row>
    <row r="208" spans="1:12" hidden="1" x14ac:dyDescent="0.2"/>
    <row r="209" spans="1:12" ht="15" hidden="1" x14ac:dyDescent="0.2">
      <c r="A209" s="49"/>
      <c r="B209" s="50"/>
      <c r="C209" s="68" t="s">
        <v>160</v>
      </c>
      <c r="D209" s="68"/>
      <c r="E209" s="68"/>
      <c r="F209" s="68"/>
      <c r="G209" s="68"/>
      <c r="H209" s="68"/>
      <c r="I209" s="41"/>
      <c r="J209" s="49"/>
      <c r="K209" s="51"/>
      <c r="L209" s="41">
        <f>L211+L212</f>
        <v>0</v>
      </c>
    </row>
    <row r="210" spans="1:12" ht="14.25" hidden="1" x14ac:dyDescent="0.2">
      <c r="A210" s="52"/>
      <c r="B210" s="53"/>
      <c r="C210" s="69" t="s">
        <v>127</v>
      </c>
      <c r="D210" s="66"/>
      <c r="E210" s="66"/>
      <c r="F210" s="66"/>
      <c r="G210" s="66"/>
      <c r="H210" s="66"/>
      <c r="I210" s="36"/>
      <c r="J210" s="52"/>
      <c r="K210" s="35"/>
      <c r="L210" s="36"/>
    </row>
    <row r="211" spans="1:12" ht="14.25" hidden="1" x14ac:dyDescent="0.2">
      <c r="A211" s="52"/>
      <c r="B211" s="53"/>
      <c r="C211" s="66" t="s">
        <v>142</v>
      </c>
      <c r="D211" s="66"/>
      <c r="E211" s="66"/>
      <c r="F211" s="66"/>
      <c r="G211" s="66"/>
      <c r="H211" s="66"/>
      <c r="I211" s="36"/>
      <c r="J211" s="52"/>
      <c r="K211" s="35"/>
      <c r="L211" s="36">
        <f>SUMIF(CD52:CD207, 3, BK52:BK207)</f>
        <v>0</v>
      </c>
    </row>
    <row r="212" spans="1:12" ht="14.25" hidden="1" x14ac:dyDescent="0.2">
      <c r="A212" s="52"/>
      <c r="B212" s="53"/>
      <c r="C212" s="66" t="s">
        <v>143</v>
      </c>
      <c r="D212" s="66"/>
      <c r="E212" s="66"/>
      <c r="F212" s="66"/>
      <c r="G212" s="66"/>
      <c r="H212" s="66"/>
      <c r="I212" s="36"/>
      <c r="J212" s="52"/>
      <c r="K212" s="35"/>
      <c r="L212" s="36">
        <f>SUMIF(CD52:CD207, 3, BD52:BD207)</f>
        <v>0</v>
      </c>
    </row>
    <row r="214" spans="1:12" ht="15" x14ac:dyDescent="0.2">
      <c r="A214" s="49"/>
      <c r="B214" s="50"/>
      <c r="C214" s="68" t="s">
        <v>161</v>
      </c>
      <c r="D214" s="68"/>
      <c r="E214" s="68"/>
      <c r="F214" s="68"/>
      <c r="G214" s="68"/>
      <c r="H214" s="68"/>
      <c r="I214" s="41"/>
      <c r="J214" s="49"/>
      <c r="K214" s="51"/>
      <c r="L214" s="41">
        <f>L220+L235+L236+L216+L217</f>
        <v>5317.4599999999991</v>
      </c>
    </row>
    <row r="215" spans="1:12" ht="14.25" x14ac:dyDescent="0.2">
      <c r="A215" s="52"/>
      <c r="B215" s="53"/>
      <c r="C215" s="69" t="s">
        <v>127</v>
      </c>
      <c r="D215" s="66"/>
      <c r="E215" s="66"/>
      <c r="F215" s="66"/>
      <c r="G215" s="66"/>
      <c r="H215" s="66"/>
      <c r="I215" s="36"/>
      <c r="J215" s="52"/>
      <c r="K215" s="35"/>
      <c r="L215" s="36"/>
    </row>
    <row r="216" spans="1:12" ht="14.25" hidden="1" x14ac:dyDescent="0.2">
      <c r="A216" s="52"/>
      <c r="B216" s="53"/>
      <c r="C216" s="66" t="s">
        <v>162</v>
      </c>
      <c r="D216" s="66"/>
      <c r="E216" s="66"/>
      <c r="F216" s="66"/>
      <c r="G216" s="66"/>
      <c r="H216" s="66"/>
      <c r="I216" s="36"/>
      <c r="J216" s="52"/>
      <c r="K216" s="35"/>
      <c r="L216" s="36"/>
    </row>
    <row r="217" spans="1:12" ht="14.25" hidden="1" x14ac:dyDescent="0.2">
      <c r="A217" s="52"/>
      <c r="B217" s="53"/>
      <c r="C217" s="66" t="s">
        <v>163</v>
      </c>
      <c r="D217" s="66"/>
      <c r="E217" s="66"/>
      <c r="F217" s="66"/>
      <c r="G217" s="66"/>
      <c r="H217" s="66"/>
      <c r="I217" s="36"/>
      <c r="J217" s="52"/>
      <c r="K217" s="35"/>
      <c r="L217" s="36">
        <f>SUM(BO52:BO212)</f>
        <v>0</v>
      </c>
    </row>
    <row r="218" spans="1:12" ht="14.25" x14ac:dyDescent="0.2">
      <c r="A218" s="52"/>
      <c r="B218" s="53"/>
      <c r="C218" s="66" t="s">
        <v>164</v>
      </c>
      <c r="D218" s="66"/>
      <c r="E218" s="66"/>
      <c r="F218" s="66"/>
      <c r="G218" s="66"/>
      <c r="H218" s="66"/>
      <c r="I218" s="36"/>
      <c r="J218" s="52"/>
      <c r="K218" s="35"/>
      <c r="L218" s="36">
        <f>L220+L235+L236</f>
        <v>5317.4599999999991</v>
      </c>
    </row>
    <row r="219" spans="1:12" ht="14.25" x14ac:dyDescent="0.2">
      <c r="A219" s="52"/>
      <c r="B219" s="53"/>
      <c r="C219" s="69" t="s">
        <v>127</v>
      </c>
      <c r="D219" s="66"/>
      <c r="E219" s="66"/>
      <c r="F219" s="66"/>
      <c r="G219" s="66"/>
      <c r="H219" s="66"/>
      <c r="I219" s="36"/>
      <c r="J219" s="52"/>
      <c r="K219" s="35"/>
      <c r="L219" s="36"/>
    </row>
    <row r="220" spans="1:12" ht="14.25" x14ac:dyDescent="0.2">
      <c r="A220" s="52"/>
      <c r="B220" s="53"/>
      <c r="C220" s="66" t="s">
        <v>154</v>
      </c>
      <c r="D220" s="66"/>
      <c r="E220" s="66"/>
      <c r="F220" s="66"/>
      <c r="G220" s="66"/>
      <c r="H220" s="66"/>
      <c r="I220" s="36"/>
      <c r="J220" s="52"/>
      <c r="K220" s="35"/>
      <c r="L220" s="36">
        <f>L222+L223+L229+L233</f>
        <v>2532.12</v>
      </c>
    </row>
    <row r="221" spans="1:12" ht="14.25" x14ac:dyDescent="0.2">
      <c r="A221" s="52"/>
      <c r="B221" s="53"/>
      <c r="C221" s="69" t="s">
        <v>127</v>
      </c>
      <c r="D221" s="66"/>
      <c r="E221" s="66"/>
      <c r="F221" s="66"/>
      <c r="G221" s="66"/>
      <c r="H221" s="66"/>
      <c r="I221" s="36"/>
      <c r="J221" s="52"/>
      <c r="K221" s="35"/>
      <c r="L221" s="36"/>
    </row>
    <row r="222" spans="1:12" ht="14.25" x14ac:dyDescent="0.2">
      <c r="A222" s="52"/>
      <c r="B222" s="53"/>
      <c r="C222" s="66" t="s">
        <v>155</v>
      </c>
      <c r="D222" s="66"/>
      <c r="E222" s="66"/>
      <c r="F222" s="66"/>
      <c r="G222" s="66"/>
      <c r="H222" s="66"/>
      <c r="I222" s="36"/>
      <c r="J222" s="52"/>
      <c r="K222" s="35"/>
      <c r="L222" s="36">
        <f>SUMIF(CD52:CD212, 4, AR52:AR212)</f>
        <v>2532.12</v>
      </c>
    </row>
    <row r="223" spans="1:12" ht="14.25" hidden="1" x14ac:dyDescent="0.2">
      <c r="A223" s="52"/>
      <c r="B223" s="53"/>
      <c r="C223" s="66" t="s">
        <v>129</v>
      </c>
      <c r="D223" s="66"/>
      <c r="E223" s="66"/>
      <c r="F223" s="66"/>
      <c r="G223" s="66"/>
      <c r="H223" s="66"/>
      <c r="I223" s="36"/>
      <c r="J223" s="52"/>
      <c r="K223" s="35"/>
      <c r="L223" s="36">
        <f>L225+L228+L227</f>
        <v>0</v>
      </c>
    </row>
    <row r="224" spans="1:12" ht="14.25" hidden="1" x14ac:dyDescent="0.2">
      <c r="A224" s="52"/>
      <c r="B224" s="53"/>
      <c r="C224" s="69" t="s">
        <v>130</v>
      </c>
      <c r="D224" s="66"/>
      <c r="E224" s="66"/>
      <c r="F224" s="66"/>
      <c r="G224" s="66"/>
      <c r="H224" s="66"/>
      <c r="I224" s="36"/>
      <c r="J224" s="52"/>
      <c r="K224" s="35"/>
      <c r="L224" s="36"/>
    </row>
    <row r="225" spans="1:12" ht="14.25" hidden="1" x14ac:dyDescent="0.2">
      <c r="A225" s="52"/>
      <c r="B225" s="53"/>
      <c r="C225" s="66" t="s">
        <v>129</v>
      </c>
      <c r="D225" s="66"/>
      <c r="E225" s="66"/>
      <c r="F225" s="66"/>
      <c r="G225" s="66"/>
      <c r="H225" s="66"/>
      <c r="I225" s="36"/>
      <c r="J225" s="52"/>
      <c r="K225" s="35"/>
      <c r="L225" s="36">
        <f>SUMIF(CD52:CD212, 4, AO52:AO212)</f>
        <v>0</v>
      </c>
    </row>
    <row r="226" spans="1:12" ht="14.25" hidden="1" x14ac:dyDescent="0.2">
      <c r="A226" s="52"/>
      <c r="B226" s="53"/>
      <c r="C226" s="69" t="s">
        <v>131</v>
      </c>
      <c r="D226" s="66"/>
      <c r="E226" s="66"/>
      <c r="F226" s="66"/>
      <c r="G226" s="66"/>
      <c r="H226" s="66"/>
      <c r="I226" s="36"/>
      <c r="J226" s="52"/>
      <c r="K226" s="35"/>
      <c r="L226" s="36"/>
    </row>
    <row r="227" spans="1:12" ht="14.25" hidden="1" x14ac:dyDescent="0.2">
      <c r="A227" s="52"/>
      <c r="B227" s="53"/>
      <c r="C227" s="66" t="s">
        <v>132</v>
      </c>
      <c r="D227" s="66"/>
      <c r="E227" s="66"/>
      <c r="F227" s="66"/>
      <c r="G227" s="66"/>
      <c r="H227" s="66"/>
      <c r="I227" s="36"/>
      <c r="J227" s="52"/>
      <c r="K227" s="35"/>
      <c r="L227" s="36">
        <f>SUMIF(CD52:CD212, 4, AT52:AT212)</f>
        <v>0</v>
      </c>
    </row>
    <row r="228" spans="1:12" ht="14.25" hidden="1" x14ac:dyDescent="0.2">
      <c r="A228" s="52"/>
      <c r="B228" s="53"/>
      <c r="C228" s="66" t="s">
        <v>133</v>
      </c>
      <c r="D228" s="66"/>
      <c r="E228" s="66"/>
      <c r="F228" s="66"/>
      <c r="G228" s="66"/>
      <c r="H228" s="66"/>
      <c r="I228" s="36"/>
      <c r="J228" s="52"/>
      <c r="K228" s="35"/>
      <c r="L228" s="36">
        <f>SUMIF(CD52:CD212, 4, AV52:AV212)</f>
        <v>0</v>
      </c>
    </row>
    <row r="229" spans="1:12" ht="14.25" hidden="1" x14ac:dyDescent="0.2">
      <c r="A229" s="52"/>
      <c r="B229" s="53"/>
      <c r="C229" s="66" t="s">
        <v>134</v>
      </c>
      <c r="D229" s="66"/>
      <c r="E229" s="66"/>
      <c r="F229" s="66"/>
      <c r="G229" s="66"/>
      <c r="H229" s="66"/>
      <c r="I229" s="36"/>
      <c r="J229" s="52"/>
      <c r="K229" s="35"/>
      <c r="L229" s="36">
        <f>L231+L232</f>
        <v>0</v>
      </c>
    </row>
    <row r="230" spans="1:12" ht="14.25" hidden="1" x14ac:dyDescent="0.2">
      <c r="A230" s="52"/>
      <c r="B230" s="53"/>
      <c r="C230" s="69" t="s">
        <v>130</v>
      </c>
      <c r="D230" s="66"/>
      <c r="E230" s="66"/>
      <c r="F230" s="66"/>
      <c r="G230" s="66"/>
      <c r="H230" s="66"/>
      <c r="I230" s="36"/>
      <c r="J230" s="52"/>
      <c r="K230" s="35"/>
      <c r="L230" s="36"/>
    </row>
    <row r="231" spans="1:12" ht="14.25" hidden="1" x14ac:dyDescent="0.2">
      <c r="A231" s="52"/>
      <c r="B231" s="53"/>
      <c r="C231" s="66" t="s">
        <v>135</v>
      </c>
      <c r="D231" s="66"/>
      <c r="E231" s="66"/>
      <c r="F231" s="66"/>
      <c r="G231" s="66"/>
      <c r="H231" s="66"/>
      <c r="I231" s="36"/>
      <c r="J231" s="52"/>
      <c r="K231" s="35"/>
      <c r="L231" s="36">
        <f>SUMIF(CD52:CD212, 4, AW52:AW212)-SUMIF(CD52:CD212, 4, BK52:BK212)</f>
        <v>0</v>
      </c>
    </row>
    <row r="232" spans="1:12" ht="14.25" hidden="1" x14ac:dyDescent="0.2">
      <c r="A232" s="52"/>
      <c r="B232" s="53"/>
      <c r="C232" s="66" t="s">
        <v>136</v>
      </c>
      <c r="D232" s="66"/>
      <c r="E232" s="66"/>
      <c r="F232" s="66"/>
      <c r="G232" s="66"/>
      <c r="H232" s="66"/>
      <c r="I232" s="36"/>
      <c r="J232" s="52"/>
      <c r="K232" s="35"/>
      <c r="L232" s="36">
        <f>SUMIF(CD52:CD212, 4, BC52:BC212)</f>
        <v>0</v>
      </c>
    </row>
    <row r="233" spans="1:12" ht="14.25" hidden="1" x14ac:dyDescent="0.2">
      <c r="A233" s="52"/>
      <c r="B233" s="53"/>
      <c r="C233" s="66" t="s">
        <v>137</v>
      </c>
      <c r="D233" s="66"/>
      <c r="E233" s="66"/>
      <c r="F233" s="66"/>
      <c r="G233" s="66"/>
      <c r="H233" s="66"/>
      <c r="I233" s="36"/>
      <c r="J233" s="52"/>
      <c r="K233" s="35"/>
      <c r="L233" s="36">
        <f>SUMIF(CD52:CD212, 4, BB52:BB212)</f>
        <v>0</v>
      </c>
    </row>
    <row r="234" spans="1:12" ht="14.25" x14ac:dyDescent="0.2">
      <c r="A234" s="52"/>
      <c r="B234" s="53"/>
      <c r="C234" s="66" t="s">
        <v>156</v>
      </c>
      <c r="D234" s="66"/>
      <c r="E234" s="66"/>
      <c r="F234" s="66"/>
      <c r="G234" s="66"/>
      <c r="H234" s="66"/>
      <c r="I234" s="36"/>
      <c r="J234" s="52"/>
      <c r="K234" s="35"/>
      <c r="L234" s="36">
        <f>SUMIF(CD52:CD212, 4, AR52:AR212)+SUMIF(CD52:CD212, 4, AT52:AT212)+SUMIF(CD52:CD212, 4, AV52:AV212)</f>
        <v>2532.12</v>
      </c>
    </row>
    <row r="235" spans="1:12" ht="14.25" x14ac:dyDescent="0.2">
      <c r="A235" s="52"/>
      <c r="B235" s="53"/>
      <c r="C235" s="66" t="s">
        <v>157</v>
      </c>
      <c r="D235" s="66"/>
      <c r="E235" s="66"/>
      <c r="F235" s="66"/>
      <c r="G235" s="66"/>
      <c r="H235" s="66"/>
      <c r="I235" s="36"/>
      <c r="J235" s="52"/>
      <c r="K235" s="35"/>
      <c r="L235" s="36">
        <f>SUMIF(CD52:CD212, 4, AZ52:AZ212)</f>
        <v>1873.77</v>
      </c>
    </row>
    <row r="236" spans="1:12" ht="14.25" x14ac:dyDescent="0.2">
      <c r="A236" s="52"/>
      <c r="B236" s="53"/>
      <c r="C236" s="66" t="s">
        <v>158</v>
      </c>
      <c r="D236" s="66"/>
      <c r="E236" s="66"/>
      <c r="F236" s="66"/>
      <c r="G236" s="66"/>
      <c r="H236" s="66"/>
      <c r="I236" s="36"/>
      <c r="J236" s="52"/>
      <c r="K236" s="35"/>
      <c r="L236" s="36">
        <f>SUMIF(CD52:CD212, 4, BA52:BA212)</f>
        <v>911.57</v>
      </c>
    </row>
    <row r="238" spans="1:12" ht="15" x14ac:dyDescent="0.2">
      <c r="A238" s="49"/>
      <c r="B238" s="50"/>
      <c r="C238" s="68" t="s">
        <v>165</v>
      </c>
      <c r="D238" s="68"/>
      <c r="E238" s="68"/>
      <c r="F238" s="68"/>
      <c r="G238" s="68"/>
      <c r="H238" s="68"/>
      <c r="I238" s="41"/>
      <c r="J238" s="49"/>
      <c r="K238" s="51"/>
      <c r="L238" s="41">
        <f>L169+L189+L209+L214</f>
        <v>131039.35999999999</v>
      </c>
    </row>
    <row r="239" spans="1:12" ht="14.25" x14ac:dyDescent="0.2">
      <c r="A239" s="52"/>
      <c r="B239" s="53"/>
      <c r="C239" s="69" t="s">
        <v>127</v>
      </c>
      <c r="D239" s="66"/>
      <c r="E239" s="66"/>
      <c r="F239" s="66"/>
      <c r="G239" s="66"/>
      <c r="H239" s="66"/>
      <c r="I239" s="36"/>
      <c r="J239" s="52"/>
      <c r="K239" s="35"/>
      <c r="L239" s="36"/>
    </row>
    <row r="240" spans="1:12" ht="14.25" x14ac:dyDescent="0.2">
      <c r="A240" s="52"/>
      <c r="B240" s="53"/>
      <c r="C240" s="66" t="s">
        <v>154</v>
      </c>
      <c r="D240" s="66"/>
      <c r="E240" s="66"/>
      <c r="F240" s="66"/>
      <c r="G240" s="66"/>
      <c r="H240" s="66"/>
      <c r="I240" s="36"/>
      <c r="J240" s="52"/>
      <c r="K240" s="35"/>
      <c r="L240" s="36">
        <f>L242+L243+L249+L253</f>
        <v>104543.05</v>
      </c>
    </row>
    <row r="241" spans="1:12" ht="14.25" x14ac:dyDescent="0.2">
      <c r="A241" s="52"/>
      <c r="B241" s="53"/>
      <c r="C241" s="69" t="s">
        <v>127</v>
      </c>
      <c r="D241" s="66"/>
      <c r="E241" s="66"/>
      <c r="F241" s="66"/>
      <c r="G241" s="66"/>
      <c r="H241" s="66"/>
      <c r="I241" s="36"/>
      <c r="J241" s="52"/>
      <c r="K241" s="35"/>
      <c r="L241" s="36"/>
    </row>
    <row r="242" spans="1:12" ht="14.25" x14ac:dyDescent="0.2">
      <c r="A242" s="52"/>
      <c r="B242" s="53"/>
      <c r="C242" s="66" t="s">
        <v>155</v>
      </c>
      <c r="D242" s="66"/>
      <c r="E242" s="66"/>
      <c r="F242" s="66"/>
      <c r="G242" s="66"/>
      <c r="H242" s="66"/>
      <c r="I242" s="36"/>
      <c r="J242" s="52"/>
      <c r="K242" s="35"/>
      <c r="L242" s="36">
        <f>SUM(AR52:AR236)</f>
        <v>18068.509999999998</v>
      </c>
    </row>
    <row r="243" spans="1:12" ht="14.25" hidden="1" x14ac:dyDescent="0.2">
      <c r="A243" s="52"/>
      <c r="B243" s="53"/>
      <c r="C243" s="66" t="s">
        <v>129</v>
      </c>
      <c r="D243" s="66"/>
      <c r="E243" s="66"/>
      <c r="F243" s="66"/>
      <c r="G243" s="66"/>
      <c r="H243" s="66"/>
      <c r="I243" s="36"/>
      <c r="J243" s="52"/>
      <c r="K243" s="35"/>
      <c r="L243" s="36">
        <f>L245+L248+L247</f>
        <v>1465.57</v>
      </c>
    </row>
    <row r="244" spans="1:12" ht="14.25" hidden="1" x14ac:dyDescent="0.2">
      <c r="A244" s="52"/>
      <c r="B244" s="53"/>
      <c r="C244" s="69" t="s">
        <v>130</v>
      </c>
      <c r="D244" s="66"/>
      <c r="E244" s="66"/>
      <c r="F244" s="66"/>
      <c r="G244" s="66"/>
      <c r="H244" s="66"/>
      <c r="I244" s="36"/>
      <c r="J244" s="52"/>
      <c r="K244" s="35"/>
      <c r="L244" s="36"/>
    </row>
    <row r="245" spans="1:12" ht="14.25" x14ac:dyDescent="0.2">
      <c r="A245" s="52"/>
      <c r="B245" s="53"/>
      <c r="C245" s="66" t="s">
        <v>129</v>
      </c>
      <c r="D245" s="66"/>
      <c r="E245" s="66"/>
      <c r="F245" s="66"/>
      <c r="G245" s="66"/>
      <c r="H245" s="66"/>
      <c r="I245" s="36"/>
      <c r="J245" s="52"/>
      <c r="K245" s="35"/>
      <c r="L245" s="36">
        <f>SUM(AO52:AO236)</f>
        <v>867.03</v>
      </c>
    </row>
    <row r="246" spans="1:12" ht="14.25" hidden="1" x14ac:dyDescent="0.2">
      <c r="A246" s="52"/>
      <c r="B246" s="53"/>
      <c r="C246" s="69" t="s">
        <v>131</v>
      </c>
      <c r="D246" s="66"/>
      <c r="E246" s="66"/>
      <c r="F246" s="66"/>
      <c r="G246" s="66"/>
      <c r="H246" s="66"/>
      <c r="I246" s="36"/>
      <c r="J246" s="52"/>
      <c r="K246" s="35"/>
      <c r="L246" s="36"/>
    </row>
    <row r="247" spans="1:12" ht="14.25" x14ac:dyDescent="0.2">
      <c r="A247" s="52"/>
      <c r="B247" s="53"/>
      <c r="C247" s="66" t="s">
        <v>132</v>
      </c>
      <c r="D247" s="66"/>
      <c r="E247" s="66"/>
      <c r="F247" s="66"/>
      <c r="G247" s="66"/>
      <c r="H247" s="66"/>
      <c r="I247" s="36"/>
      <c r="J247" s="52"/>
      <c r="K247" s="35"/>
      <c r="L247" s="36">
        <f>SUM(AT52:AT236)</f>
        <v>598.54</v>
      </c>
    </row>
    <row r="248" spans="1:12" ht="14.25" hidden="1" x14ac:dyDescent="0.2">
      <c r="A248" s="52"/>
      <c r="B248" s="53"/>
      <c r="C248" s="66" t="s">
        <v>133</v>
      </c>
      <c r="D248" s="66"/>
      <c r="E248" s="66"/>
      <c r="F248" s="66"/>
      <c r="G248" s="66"/>
      <c r="H248" s="66"/>
      <c r="I248" s="36"/>
      <c r="J248" s="52"/>
      <c r="K248" s="35"/>
      <c r="L248" s="36">
        <f>SUM(AV52:AV236)</f>
        <v>0</v>
      </c>
    </row>
    <row r="249" spans="1:12" ht="14.25" x14ac:dyDescent="0.2">
      <c r="A249" s="52"/>
      <c r="B249" s="53"/>
      <c r="C249" s="66" t="s">
        <v>134</v>
      </c>
      <c r="D249" s="66"/>
      <c r="E249" s="66"/>
      <c r="F249" s="66"/>
      <c r="G249" s="66"/>
      <c r="H249" s="66"/>
      <c r="I249" s="36"/>
      <c r="J249" s="52"/>
      <c r="K249" s="35"/>
      <c r="L249" s="36">
        <f>L251+L252</f>
        <v>85008.97</v>
      </c>
    </row>
    <row r="250" spans="1:12" ht="14.25" x14ac:dyDescent="0.2">
      <c r="A250" s="52"/>
      <c r="B250" s="53"/>
      <c r="C250" s="69" t="s">
        <v>130</v>
      </c>
      <c r="D250" s="66"/>
      <c r="E250" s="66"/>
      <c r="F250" s="66"/>
      <c r="G250" s="66"/>
      <c r="H250" s="66"/>
      <c r="I250" s="36"/>
      <c r="J250" s="52"/>
      <c r="K250" s="35"/>
      <c r="L250" s="36"/>
    </row>
    <row r="251" spans="1:12" ht="14.25" x14ac:dyDescent="0.2">
      <c r="A251" s="52"/>
      <c r="B251" s="53"/>
      <c r="C251" s="66" t="s">
        <v>135</v>
      </c>
      <c r="D251" s="66"/>
      <c r="E251" s="66"/>
      <c r="F251" s="66"/>
      <c r="G251" s="66"/>
      <c r="H251" s="66"/>
      <c r="I251" s="36"/>
      <c r="J251" s="52"/>
      <c r="K251" s="35"/>
      <c r="L251" s="36">
        <f>SUM(AW52:AW236)-SUM(BK52:BK236)</f>
        <v>85008.97</v>
      </c>
    </row>
    <row r="252" spans="1:12" ht="14.25" hidden="1" x14ac:dyDescent="0.2">
      <c r="A252" s="52"/>
      <c r="B252" s="53"/>
      <c r="C252" s="66" t="s">
        <v>136</v>
      </c>
      <c r="D252" s="66"/>
      <c r="E252" s="66"/>
      <c r="F252" s="66"/>
      <c r="G252" s="66"/>
      <c r="H252" s="66"/>
      <c r="I252" s="36"/>
      <c r="J252" s="52"/>
      <c r="K252" s="35"/>
      <c r="L252" s="36">
        <f>SUM(BC52:BC236)</f>
        <v>0</v>
      </c>
    </row>
    <row r="253" spans="1:12" ht="14.25" hidden="1" x14ac:dyDescent="0.2">
      <c r="A253" s="52"/>
      <c r="B253" s="53"/>
      <c r="C253" s="66" t="s">
        <v>137</v>
      </c>
      <c r="D253" s="66"/>
      <c r="E253" s="66"/>
      <c r="F253" s="66"/>
      <c r="G253" s="66"/>
      <c r="H253" s="66"/>
      <c r="I253" s="36"/>
      <c r="J253" s="52"/>
      <c r="K253" s="35"/>
      <c r="L253" s="36">
        <f>SUM(BB52:BB236)</f>
        <v>0</v>
      </c>
    </row>
    <row r="254" spans="1:12" ht="14.25" x14ac:dyDescent="0.2">
      <c r="A254" s="52"/>
      <c r="B254" s="53"/>
      <c r="C254" s="66" t="s">
        <v>138</v>
      </c>
      <c r="D254" s="66"/>
      <c r="E254" s="66"/>
      <c r="F254" s="66"/>
      <c r="G254" s="66"/>
      <c r="H254" s="66"/>
      <c r="I254" s="36"/>
      <c r="J254" s="52"/>
      <c r="K254" s="35"/>
      <c r="L254" s="36">
        <f>SUM(AR52:AR236)+SUM(AT52:AT236)+SUM(AV52:AV236)</f>
        <v>18667.05</v>
      </c>
    </row>
    <row r="255" spans="1:12" ht="14.25" x14ac:dyDescent="0.2">
      <c r="A255" s="52"/>
      <c r="B255" s="53"/>
      <c r="C255" s="66" t="s">
        <v>139</v>
      </c>
      <c r="D255" s="66"/>
      <c r="E255" s="66"/>
      <c r="F255" s="66"/>
      <c r="G255" s="66"/>
      <c r="H255" s="66"/>
      <c r="I255" s="36"/>
      <c r="J255" s="52"/>
      <c r="K255" s="35"/>
      <c r="L255" s="36">
        <f>SUM(AZ52:AZ236)</f>
        <v>17454.34</v>
      </c>
    </row>
    <row r="256" spans="1:12" ht="14.25" x14ac:dyDescent="0.2">
      <c r="A256" s="52"/>
      <c r="B256" s="53"/>
      <c r="C256" s="66" t="s">
        <v>140</v>
      </c>
      <c r="D256" s="66"/>
      <c r="E256" s="66"/>
      <c r="F256" s="66"/>
      <c r="G256" s="66"/>
      <c r="H256" s="66"/>
      <c r="I256" s="36"/>
      <c r="J256" s="52"/>
      <c r="K256" s="35"/>
      <c r="L256" s="36">
        <f>SUM(BA52:BA236)</f>
        <v>9041.9699999999993</v>
      </c>
    </row>
    <row r="257" spans="1:12" ht="14.25" hidden="1" x14ac:dyDescent="0.2">
      <c r="A257" s="52"/>
      <c r="B257" s="53"/>
      <c r="C257" s="66" t="s">
        <v>166</v>
      </c>
      <c r="D257" s="66"/>
      <c r="E257" s="66"/>
      <c r="F257" s="66"/>
      <c r="G257" s="66"/>
      <c r="H257" s="66"/>
      <c r="I257" s="36"/>
      <c r="J257" s="52"/>
      <c r="K257" s="35"/>
      <c r="L257" s="36">
        <f>L259+L260</f>
        <v>0</v>
      </c>
    </row>
    <row r="258" spans="1:12" ht="14.25" hidden="1" x14ac:dyDescent="0.2">
      <c r="A258" s="52"/>
      <c r="B258" s="53"/>
      <c r="C258" s="69" t="s">
        <v>127</v>
      </c>
      <c r="D258" s="66"/>
      <c r="E258" s="66"/>
      <c r="F258" s="66"/>
      <c r="G258" s="66"/>
      <c r="H258" s="66"/>
      <c r="I258" s="36"/>
      <c r="J258" s="52"/>
      <c r="K258" s="35"/>
      <c r="L258" s="36"/>
    </row>
    <row r="259" spans="1:12" ht="14.25" hidden="1" x14ac:dyDescent="0.2">
      <c r="A259" s="52"/>
      <c r="B259" s="53"/>
      <c r="C259" s="66" t="s">
        <v>142</v>
      </c>
      <c r="D259" s="66"/>
      <c r="E259" s="66"/>
      <c r="F259" s="66"/>
      <c r="G259" s="66"/>
      <c r="H259" s="66"/>
      <c r="I259" s="36"/>
      <c r="J259" s="52"/>
      <c r="K259" s="35"/>
      <c r="L259" s="36">
        <f>SUM(BK52:BK236)</f>
        <v>0</v>
      </c>
    </row>
    <row r="260" spans="1:12" ht="14.25" hidden="1" x14ac:dyDescent="0.2">
      <c r="A260" s="52"/>
      <c r="B260" s="53"/>
      <c r="C260" s="66" t="s">
        <v>143</v>
      </c>
      <c r="D260" s="66"/>
      <c r="E260" s="66"/>
      <c r="F260" s="66"/>
      <c r="G260" s="66"/>
      <c r="H260" s="66"/>
      <c r="I260" s="36"/>
      <c r="J260" s="52"/>
      <c r="K260" s="35"/>
      <c r="L260" s="36">
        <f>SUM(BD52:BD236)</f>
        <v>0</v>
      </c>
    </row>
    <row r="261" spans="1:12" ht="14.25" x14ac:dyDescent="0.2">
      <c r="A261" s="52"/>
      <c r="B261" s="53"/>
      <c r="C261" s="66" t="s">
        <v>167</v>
      </c>
      <c r="D261" s="66"/>
      <c r="E261" s="66"/>
      <c r="F261" s="66"/>
      <c r="G261" s="66"/>
      <c r="H261" s="66"/>
      <c r="I261" s="36"/>
      <c r="J261" s="52"/>
      <c r="K261" s="35"/>
      <c r="L261" s="36">
        <f>L214</f>
        <v>5317.4599999999991</v>
      </c>
    </row>
    <row r="262" spans="1:12" ht="14.25" x14ac:dyDescent="0.2">
      <c r="A262" s="52"/>
      <c r="B262" s="53"/>
      <c r="C262" s="68" t="s">
        <v>147</v>
      </c>
      <c r="D262" s="66"/>
      <c r="E262" s="66"/>
      <c r="F262" s="66"/>
      <c r="G262" s="66"/>
      <c r="H262" s="66"/>
      <c r="I262" s="36"/>
      <c r="J262" s="52"/>
      <c r="K262" s="35"/>
      <c r="L262" s="36"/>
    </row>
    <row r="263" spans="1:12" ht="14.25" hidden="1" x14ac:dyDescent="0.2">
      <c r="A263" s="52"/>
      <c r="B263" s="53"/>
      <c r="C263" s="66" t="s">
        <v>148</v>
      </c>
      <c r="D263" s="66"/>
      <c r="E263" s="66"/>
      <c r="F263" s="66"/>
      <c r="G263" s="66"/>
      <c r="H263" s="66"/>
      <c r="I263" s="36"/>
      <c r="J263" s="52"/>
      <c r="K263" s="35"/>
      <c r="L263" s="36">
        <f>SUM(AX52:AX236)</f>
        <v>0</v>
      </c>
    </row>
    <row r="264" spans="1:12" ht="14.25" hidden="1" x14ac:dyDescent="0.2">
      <c r="A264" s="52"/>
      <c r="B264" s="53"/>
      <c r="C264" s="66" t="s">
        <v>149</v>
      </c>
      <c r="D264" s="66"/>
      <c r="E264" s="66"/>
      <c r="F264" s="66"/>
      <c r="G264" s="66"/>
      <c r="H264" s="66"/>
      <c r="I264" s="36"/>
      <c r="J264" s="52"/>
      <c r="K264" s="35"/>
      <c r="L264" s="36">
        <f>SUM(AY52:AY236)</f>
        <v>0</v>
      </c>
    </row>
    <row r="265" spans="1:12" ht="14.25" x14ac:dyDescent="0.2">
      <c r="A265" s="52"/>
      <c r="B265" s="53"/>
      <c r="C265" s="66" t="s">
        <v>150</v>
      </c>
      <c r="D265" s="66"/>
      <c r="E265" s="66"/>
      <c r="F265" s="67"/>
      <c r="G265" s="40">
        <f>[1]Source!P103</f>
        <v>25.052</v>
      </c>
      <c r="H265" s="52"/>
      <c r="I265" s="52"/>
      <c r="J265" s="52"/>
      <c r="K265" s="52"/>
      <c r="L265" s="52"/>
    </row>
    <row r="266" spans="1:12" ht="14.25" x14ac:dyDescent="0.2">
      <c r="A266" s="52"/>
      <c r="B266" s="53"/>
      <c r="C266" s="66" t="s">
        <v>151</v>
      </c>
      <c r="D266" s="66"/>
      <c r="E266" s="66"/>
      <c r="F266" s="67"/>
      <c r="G266" s="40">
        <f>[1]Source!P104</f>
        <v>0.70750000000000002</v>
      </c>
      <c r="H266" s="52"/>
      <c r="I266" s="52"/>
      <c r="J266" s="52"/>
      <c r="K266" s="52"/>
      <c r="L266" s="52"/>
    </row>
    <row r="268" spans="1:12" ht="15" x14ac:dyDescent="0.2">
      <c r="C268" s="68" t="s">
        <v>168</v>
      </c>
      <c r="D268" s="68"/>
      <c r="E268" s="68"/>
      <c r="F268" s="68"/>
      <c r="G268" s="68"/>
      <c r="H268" s="68"/>
      <c r="L268" s="41">
        <f>L238*1.22</f>
        <v>159868.01919999998</v>
      </c>
    </row>
    <row r="270" spans="1:12" ht="14.25" customHeight="1" x14ac:dyDescent="0.2">
      <c r="A270" s="58"/>
      <c r="B270" s="59" t="s">
        <v>169</v>
      </c>
      <c r="C270" s="60" t="s">
        <v>170</v>
      </c>
      <c r="D270" s="27"/>
      <c r="E270" s="27"/>
      <c r="F270" s="27"/>
      <c r="G270" s="27"/>
      <c r="H270" s="61" t="s">
        <v>171</v>
      </c>
      <c r="I270" s="62"/>
      <c r="J270" s="62"/>
      <c r="K270" s="63"/>
      <c r="L270" s="63"/>
    </row>
    <row r="271" spans="1:12" ht="14.25" customHeight="1" x14ac:dyDescent="0.2">
      <c r="A271" s="58"/>
      <c r="B271" s="64"/>
      <c r="C271" s="65" t="s">
        <v>172</v>
      </c>
      <c r="D271" s="65"/>
      <c r="E271" s="65"/>
      <c r="F271" s="65"/>
      <c r="G271" s="65"/>
      <c r="H271" s="62"/>
      <c r="I271" s="62"/>
      <c r="J271" s="62"/>
      <c r="K271" s="63"/>
      <c r="L271" s="63"/>
    </row>
    <row r="272" spans="1:12" ht="14.25" customHeight="1" x14ac:dyDescent="0.2">
      <c r="A272" s="58"/>
      <c r="B272" s="64"/>
      <c r="C272" s="9"/>
      <c r="D272" s="9"/>
      <c r="E272" s="9"/>
      <c r="F272" s="9"/>
      <c r="G272" s="9"/>
      <c r="H272" s="62"/>
      <c r="I272" s="62"/>
      <c r="J272" s="62"/>
      <c r="K272" s="63"/>
      <c r="L272" s="63"/>
    </row>
    <row r="273" spans="1:12" ht="14.25" customHeight="1" x14ac:dyDescent="0.2">
      <c r="A273" s="58"/>
      <c r="B273" s="59" t="s">
        <v>173</v>
      </c>
      <c r="C273" s="60" t="s">
        <v>174</v>
      </c>
      <c r="D273" s="27"/>
      <c r="E273" s="27"/>
      <c r="F273" s="27"/>
      <c r="G273" s="27"/>
      <c r="H273" s="61" t="s">
        <v>175</v>
      </c>
      <c r="I273" s="62"/>
      <c r="J273" s="62"/>
      <c r="K273" s="63"/>
      <c r="L273" s="63"/>
    </row>
    <row r="274" spans="1:12" ht="14.25" customHeight="1" x14ac:dyDescent="0.2">
      <c r="A274" s="9"/>
      <c r="B274" s="9"/>
      <c r="C274" s="65" t="s">
        <v>172</v>
      </c>
      <c r="D274" s="65"/>
      <c r="E274" s="65"/>
      <c r="F274" s="65"/>
      <c r="G274" s="65"/>
      <c r="H274" s="62"/>
      <c r="I274" s="62"/>
      <c r="J274" s="62"/>
      <c r="K274" s="63"/>
      <c r="L274" s="63"/>
    </row>
  </sheetData>
  <mergeCells count="183">
    <mergeCell ref="J1:L1"/>
    <mergeCell ref="A8:E8"/>
    <mergeCell ref="F8:L8"/>
    <mergeCell ref="A10:E10"/>
    <mergeCell ref="F10:L10"/>
    <mergeCell ref="A12:E12"/>
    <mergeCell ref="F12:L12"/>
    <mergeCell ref="A2:E2"/>
    <mergeCell ref="F2:L2"/>
    <mergeCell ref="A4:E4"/>
    <mergeCell ref="F4:L4"/>
    <mergeCell ref="A6:E6"/>
    <mergeCell ref="F6:L6"/>
    <mergeCell ref="A22:L22"/>
    <mergeCell ref="A23:L23"/>
    <mergeCell ref="A25:L25"/>
    <mergeCell ref="A27:L27"/>
    <mergeCell ref="A28:L28"/>
    <mergeCell ref="C33:L33"/>
    <mergeCell ref="A14:E14"/>
    <mergeCell ref="F14:L14"/>
    <mergeCell ref="A16:E16"/>
    <mergeCell ref="F16:L16"/>
    <mergeCell ref="A19:L19"/>
    <mergeCell ref="A20:L20"/>
    <mergeCell ref="A46:A50"/>
    <mergeCell ref="B46:B50"/>
    <mergeCell ref="C46:C50"/>
    <mergeCell ref="D46:D50"/>
    <mergeCell ref="E46:G49"/>
    <mergeCell ref="H46:L49"/>
    <mergeCell ref="C34:L34"/>
    <mergeCell ref="C38:D38"/>
    <mergeCell ref="C41:D41"/>
    <mergeCell ref="C42:D42"/>
    <mergeCell ref="C43:D43"/>
    <mergeCell ref="C44:D44"/>
    <mergeCell ref="C107:H107"/>
    <mergeCell ref="I107:J107"/>
    <mergeCell ref="K107:L107"/>
    <mergeCell ref="C116:H116"/>
    <mergeCell ref="I116:J116"/>
    <mergeCell ref="K116:L116"/>
    <mergeCell ref="A53:L53"/>
    <mergeCell ref="C63:H63"/>
    <mergeCell ref="I63:J63"/>
    <mergeCell ref="K63:L63"/>
    <mergeCell ref="C83:H83"/>
    <mergeCell ref="I83:J83"/>
    <mergeCell ref="K83:L83"/>
    <mergeCell ref="C136:H136"/>
    <mergeCell ref="C137:H137"/>
    <mergeCell ref="C138:H138"/>
    <mergeCell ref="C139:H139"/>
    <mergeCell ref="C140:H140"/>
    <mergeCell ref="C141:H141"/>
    <mergeCell ref="C125:H125"/>
    <mergeCell ref="I125:J125"/>
    <mergeCell ref="K125:L125"/>
    <mergeCell ref="C134:H134"/>
    <mergeCell ref="I134:J134"/>
    <mergeCell ref="K134:L134"/>
    <mergeCell ref="C148:H148"/>
    <mergeCell ref="C149:H149"/>
    <mergeCell ref="C150:H150"/>
    <mergeCell ref="C151:H151"/>
    <mergeCell ref="C152:H152"/>
    <mergeCell ref="C153:H153"/>
    <mergeCell ref="C142:H142"/>
    <mergeCell ref="C143:H143"/>
    <mergeCell ref="C144:H144"/>
    <mergeCell ref="C145:H145"/>
    <mergeCell ref="C146:H146"/>
    <mergeCell ref="C147:H147"/>
    <mergeCell ref="C160:H160"/>
    <mergeCell ref="C161:H161"/>
    <mergeCell ref="C162:H162"/>
    <mergeCell ref="C163:F163"/>
    <mergeCell ref="C164:F164"/>
    <mergeCell ref="C167:H167"/>
    <mergeCell ref="C154:H154"/>
    <mergeCell ref="C155:H155"/>
    <mergeCell ref="C156:H156"/>
    <mergeCell ref="C157:H157"/>
    <mergeCell ref="C158:H158"/>
    <mergeCell ref="C159:H159"/>
    <mergeCell ref="C175:H175"/>
    <mergeCell ref="C176:H176"/>
    <mergeCell ref="C177:H177"/>
    <mergeCell ref="C178:H178"/>
    <mergeCell ref="C179:H179"/>
    <mergeCell ref="C180:H180"/>
    <mergeCell ref="C169:H169"/>
    <mergeCell ref="C170:H170"/>
    <mergeCell ref="C171:H171"/>
    <mergeCell ref="C172:H172"/>
    <mergeCell ref="C173:H173"/>
    <mergeCell ref="C174:H174"/>
    <mergeCell ref="C187:H187"/>
    <mergeCell ref="C189:H189"/>
    <mergeCell ref="C190:H190"/>
    <mergeCell ref="C191:H191"/>
    <mergeCell ref="C192:H192"/>
    <mergeCell ref="C193:H193"/>
    <mergeCell ref="C181:H181"/>
    <mergeCell ref="C182:H182"/>
    <mergeCell ref="C183:H183"/>
    <mergeCell ref="C184:H184"/>
    <mergeCell ref="C185:H185"/>
    <mergeCell ref="C186:H186"/>
    <mergeCell ref="C200:H200"/>
    <mergeCell ref="C201:H201"/>
    <mergeCell ref="C202:H202"/>
    <mergeCell ref="C203:H203"/>
    <mergeCell ref="C204:H204"/>
    <mergeCell ref="C205:H205"/>
    <mergeCell ref="C194:H194"/>
    <mergeCell ref="C195:H195"/>
    <mergeCell ref="C196:H196"/>
    <mergeCell ref="C197:H197"/>
    <mergeCell ref="C198:H198"/>
    <mergeCell ref="C199:H199"/>
    <mergeCell ref="C214:H214"/>
    <mergeCell ref="C215:H215"/>
    <mergeCell ref="C216:H216"/>
    <mergeCell ref="C217:H217"/>
    <mergeCell ref="C218:H218"/>
    <mergeCell ref="C219:H219"/>
    <mergeCell ref="C206:H206"/>
    <mergeCell ref="C207:H207"/>
    <mergeCell ref="C209:H209"/>
    <mergeCell ref="C210:H210"/>
    <mergeCell ref="C211:H211"/>
    <mergeCell ref="C212:H212"/>
    <mergeCell ref="C226:H226"/>
    <mergeCell ref="C227:H227"/>
    <mergeCell ref="C228:H228"/>
    <mergeCell ref="C229:H229"/>
    <mergeCell ref="C230:H230"/>
    <mergeCell ref="C231:H231"/>
    <mergeCell ref="C220:H220"/>
    <mergeCell ref="C221:H221"/>
    <mergeCell ref="C222:H222"/>
    <mergeCell ref="C223:H223"/>
    <mergeCell ref="C224:H224"/>
    <mergeCell ref="C225:H225"/>
    <mergeCell ref="C239:H239"/>
    <mergeCell ref="C240:H240"/>
    <mergeCell ref="C241:H241"/>
    <mergeCell ref="C242:H242"/>
    <mergeCell ref="C243:H243"/>
    <mergeCell ref="C244:H244"/>
    <mergeCell ref="C232:H232"/>
    <mergeCell ref="C233:H233"/>
    <mergeCell ref="C234:H234"/>
    <mergeCell ref="C235:H235"/>
    <mergeCell ref="C236:H236"/>
    <mergeCell ref="C238:H238"/>
    <mergeCell ref="C251:H251"/>
    <mergeCell ref="C252:H252"/>
    <mergeCell ref="C253:H253"/>
    <mergeCell ref="C254:H254"/>
    <mergeCell ref="C255:H255"/>
    <mergeCell ref="C256:H256"/>
    <mergeCell ref="C245:H245"/>
    <mergeCell ref="C246:H246"/>
    <mergeCell ref="C247:H247"/>
    <mergeCell ref="C248:H248"/>
    <mergeCell ref="C249:H249"/>
    <mergeCell ref="C250:H250"/>
    <mergeCell ref="C274:G274"/>
    <mergeCell ref="C263:H263"/>
    <mergeCell ref="C264:H264"/>
    <mergeCell ref="C265:F265"/>
    <mergeCell ref="C266:F266"/>
    <mergeCell ref="C268:H268"/>
    <mergeCell ref="C271:G271"/>
    <mergeCell ref="C257:H257"/>
    <mergeCell ref="C258:H258"/>
    <mergeCell ref="C259:H259"/>
    <mergeCell ref="C260:H260"/>
    <mergeCell ref="C261:H261"/>
    <mergeCell ref="C262:H262"/>
  </mergeCells>
  <pageMargins left="0.4" right="0.2" top="0.2" bottom="0.4" header="0.2" footer="0.2"/>
  <pageSetup paperSize="9" scale="48" fitToHeight="0" orientation="portrait" r:id="rId1"/>
  <headerFooter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по ФСНБ 421+557прРИМ</vt:lpstr>
      <vt:lpstr>'Смета по ФСНБ 421+557прРИМ'!Заголовки_для_печати</vt:lpstr>
      <vt:lpstr>'Смета по ФСНБ 421+557прРИМ'!Область_печати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Пешина Ольга Владимировна</dc:creator>
  <cp:lastModifiedBy>Карпунов Андрей Иванович</cp:lastModifiedBy>
  <dcterms:created xsi:type="dcterms:W3CDTF">2026-05-15T07:08:00Z</dcterms:created>
  <dcterms:modified xsi:type="dcterms:W3CDTF">2026-07-21T07:56:17Z</dcterms:modified>
</cp:coreProperties>
</file>