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Professional\Downloads\"/>
    </mc:Choice>
  </mc:AlternateContent>
  <xr:revisionPtr revIDLastSave="0" documentId="13_ncr:1_{703E86AC-4572-4ACE-9483-CAB3864FF06F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Смета по ФСНБ 421+557прРИМ" sheetId="8" r:id="rId1"/>
    <sheet name="Ведомость объемов работ" sheetId="7" r:id="rId2"/>
    <sheet name="Дефектная ведомость" sheetId="9" r:id="rId3"/>
    <sheet name="RV_DATA" sheetId="11" state="hidden" r:id="rId4"/>
    <sheet name="Расчет стоимости ресурсов" sheetId="10" state="hidden" r:id="rId5"/>
    <sheet name="Source" sheetId="1" state="hidden" r:id="rId6"/>
    <sheet name="SourceObSm" sheetId="2" state="hidden" r:id="rId7"/>
    <sheet name="SmtRes" sheetId="3" state="hidden" r:id="rId8"/>
    <sheet name="EtalonRes" sheetId="4" state="hidden" r:id="rId9"/>
    <sheet name="SrcPoprs" sheetId="5" state="hidden" r:id="rId10"/>
    <sheet name="SrcKA" sheetId="6" state="hidden" r:id="rId11"/>
  </sheets>
  <definedNames>
    <definedName name="_xlnm.Print_Titles" localSheetId="1">'Ведомость объемов работ'!$17:$17</definedName>
    <definedName name="_xlnm.Print_Titles" localSheetId="2">'Дефектная ведомость'!$18:$18</definedName>
    <definedName name="_xlnm.Print_Titles" localSheetId="4">'Расчет стоимости ресурсов'!$4:$7</definedName>
    <definedName name="_xlnm.Print_Titles" localSheetId="0">'Смета по ФСНБ 421+557прРИМ'!$59:$59</definedName>
    <definedName name="_xlnm.Print_Area" localSheetId="1">'Ведомость объемов работ'!$A$1:$H$116</definedName>
    <definedName name="_xlnm.Print_Area" localSheetId="2">'Дефектная ведомость'!$A$1:$E$96</definedName>
    <definedName name="_xlnm.Print_Area" localSheetId="4">'Расчет стоимости ресурсов'!$A$1:$F$130</definedName>
    <definedName name="_xlnm.Print_Area" localSheetId="0">'Смета по ФСНБ 421+557прРИМ'!$A$1:$L$1070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3" i="8" l="1"/>
  <c r="B63" i="8"/>
  <c r="H5" i="8"/>
  <c r="E128" i="10" l="1"/>
  <c r="Z271" i="11"/>
  <c r="H271" i="11"/>
  <c r="G271" i="11"/>
  <c r="F271" i="11"/>
  <c r="E271" i="11"/>
  <c r="D271" i="11"/>
  <c r="A271" i="11"/>
  <c r="Z270" i="11"/>
  <c r="S270" i="11"/>
  <c r="P270" i="11"/>
  <c r="N270" i="11"/>
  <c r="K270" i="11"/>
  <c r="J270" i="11"/>
  <c r="H270" i="11"/>
  <c r="G270" i="11"/>
  <c r="F270" i="11"/>
  <c r="E270" i="11"/>
  <c r="Z269" i="11"/>
  <c r="H269" i="11"/>
  <c r="G269" i="11"/>
  <c r="F269" i="11"/>
  <c r="E269" i="11"/>
  <c r="D269" i="11"/>
  <c r="A269" i="11"/>
  <c r="Z268" i="11"/>
  <c r="S268" i="11"/>
  <c r="P268" i="11"/>
  <c r="N268" i="11"/>
  <c r="E12" i="10" s="1"/>
  <c r="K268" i="11"/>
  <c r="J268" i="11"/>
  <c r="H268" i="11"/>
  <c r="G268" i="11"/>
  <c r="F268" i="11"/>
  <c r="E268" i="11"/>
  <c r="Z267" i="11"/>
  <c r="S267" i="11"/>
  <c r="P267" i="11"/>
  <c r="N267" i="11"/>
  <c r="K267" i="11"/>
  <c r="J267" i="11"/>
  <c r="H267" i="11"/>
  <c r="G267" i="11"/>
  <c r="F267" i="11"/>
  <c r="E267" i="11"/>
  <c r="Z266" i="11"/>
  <c r="S266" i="11"/>
  <c r="P266" i="11"/>
  <c r="N266" i="11"/>
  <c r="E47" i="10" s="1"/>
  <c r="K266" i="11"/>
  <c r="J266" i="11"/>
  <c r="H266" i="11"/>
  <c r="G266" i="11"/>
  <c r="F266" i="11"/>
  <c r="E266" i="11"/>
  <c r="Z265" i="11"/>
  <c r="S265" i="11"/>
  <c r="P265" i="11"/>
  <c r="N265" i="11"/>
  <c r="E50" i="10" s="1"/>
  <c r="K265" i="11"/>
  <c r="J265" i="11"/>
  <c r="H265" i="11"/>
  <c r="G265" i="11"/>
  <c r="F265" i="11"/>
  <c r="E265" i="11"/>
  <c r="G264" i="11"/>
  <c r="A264" i="11"/>
  <c r="Z263" i="11"/>
  <c r="H263" i="11"/>
  <c r="G263" i="11"/>
  <c r="F263" i="11"/>
  <c r="E263" i="11"/>
  <c r="D263" i="11"/>
  <c r="A263" i="11"/>
  <c r="Z262" i="11"/>
  <c r="H262" i="11"/>
  <c r="G262" i="11"/>
  <c r="F262" i="11"/>
  <c r="E262" i="11"/>
  <c r="D262" i="11"/>
  <c r="A262" i="11"/>
  <c r="Z261" i="11"/>
  <c r="S261" i="11"/>
  <c r="P261" i="11"/>
  <c r="N261" i="11"/>
  <c r="E17" i="10" s="1"/>
  <c r="K261" i="11"/>
  <c r="J261" i="11"/>
  <c r="H261" i="11"/>
  <c r="G261" i="11"/>
  <c r="F261" i="11"/>
  <c r="E261" i="11"/>
  <c r="Z260" i="11"/>
  <c r="S260" i="11"/>
  <c r="P260" i="11"/>
  <c r="N260" i="11"/>
  <c r="K260" i="11"/>
  <c r="J260" i="11"/>
  <c r="H260" i="11"/>
  <c r="G260" i="11"/>
  <c r="F260" i="11"/>
  <c r="E260" i="11"/>
  <c r="Z259" i="11"/>
  <c r="S259" i="11"/>
  <c r="P259" i="11"/>
  <c r="N259" i="11"/>
  <c r="E42" i="10" s="1"/>
  <c r="K259" i="11"/>
  <c r="J259" i="11"/>
  <c r="H259" i="11"/>
  <c r="G259" i="11"/>
  <c r="F259" i="11"/>
  <c r="E259" i="11"/>
  <c r="Z258" i="11"/>
  <c r="S258" i="11"/>
  <c r="P258" i="11"/>
  <c r="N258" i="11"/>
  <c r="K258" i="11"/>
  <c r="J258" i="11"/>
  <c r="H258" i="11"/>
  <c r="G258" i="11"/>
  <c r="F258" i="11"/>
  <c r="E258" i="11"/>
  <c r="Z257" i="11"/>
  <c r="S257" i="11"/>
  <c r="P257" i="11"/>
  <c r="N257" i="11"/>
  <c r="E66" i="10" s="1"/>
  <c r="K257" i="11"/>
  <c r="J257" i="11"/>
  <c r="H257" i="11"/>
  <c r="G257" i="11"/>
  <c r="F257" i="11"/>
  <c r="E257" i="11"/>
  <c r="Z256" i="11"/>
  <c r="S256" i="11"/>
  <c r="P256" i="11"/>
  <c r="N256" i="11"/>
  <c r="E83" i="10" s="1"/>
  <c r="K256" i="11"/>
  <c r="J256" i="11"/>
  <c r="H256" i="11"/>
  <c r="G256" i="11"/>
  <c r="F256" i="11"/>
  <c r="E256" i="11"/>
  <c r="Z255" i="11"/>
  <c r="H255" i="11"/>
  <c r="G255" i="11"/>
  <c r="F255" i="11"/>
  <c r="E255" i="11"/>
  <c r="D255" i="11"/>
  <c r="A255" i="11"/>
  <c r="Z254" i="11"/>
  <c r="S254" i="11"/>
  <c r="P254" i="11"/>
  <c r="N254" i="11"/>
  <c r="K254" i="11"/>
  <c r="J254" i="11"/>
  <c r="H254" i="11"/>
  <c r="G254" i="11"/>
  <c r="F254" i="11"/>
  <c r="E254" i="11"/>
  <c r="Z253" i="11"/>
  <c r="S253" i="11"/>
  <c r="P253" i="11"/>
  <c r="N253" i="11"/>
  <c r="E36" i="10" s="1"/>
  <c r="K253" i="11"/>
  <c r="J253" i="11"/>
  <c r="H253" i="11"/>
  <c r="G253" i="11"/>
  <c r="F253" i="11"/>
  <c r="E253" i="11"/>
  <c r="Z252" i="11"/>
  <c r="S252" i="11"/>
  <c r="P252" i="11"/>
  <c r="N252" i="11"/>
  <c r="E40" i="10" s="1"/>
  <c r="K252" i="11"/>
  <c r="J252" i="11"/>
  <c r="H252" i="11"/>
  <c r="G252" i="11"/>
  <c r="F252" i="11"/>
  <c r="E252" i="11"/>
  <c r="Z251" i="11"/>
  <c r="S251" i="11"/>
  <c r="P251" i="11"/>
  <c r="N251" i="11"/>
  <c r="K251" i="11"/>
  <c r="J251" i="11"/>
  <c r="H251" i="11"/>
  <c r="G251" i="11"/>
  <c r="F251" i="11"/>
  <c r="E251" i="11"/>
  <c r="Z250" i="11"/>
  <c r="H250" i="11"/>
  <c r="G250" i="11"/>
  <c r="F250" i="11"/>
  <c r="E250" i="11"/>
  <c r="D250" i="11"/>
  <c r="A250" i="11"/>
  <c r="Z249" i="11"/>
  <c r="H249" i="11"/>
  <c r="G249" i="11"/>
  <c r="F249" i="11"/>
  <c r="E249" i="11"/>
  <c r="D249" i="11"/>
  <c r="A249" i="11"/>
  <c r="Z248" i="11"/>
  <c r="S248" i="11"/>
  <c r="P248" i="11"/>
  <c r="N248" i="11"/>
  <c r="K248" i="11"/>
  <c r="J248" i="11"/>
  <c r="H248" i="11"/>
  <c r="G248" i="11"/>
  <c r="F248" i="11"/>
  <c r="E248" i="11"/>
  <c r="Z247" i="11"/>
  <c r="S247" i="11"/>
  <c r="P247" i="11"/>
  <c r="N247" i="11"/>
  <c r="K247" i="11"/>
  <c r="J247" i="11"/>
  <c r="H247" i="11"/>
  <c r="G247" i="11"/>
  <c r="F247" i="11"/>
  <c r="E247" i="11"/>
  <c r="Z246" i="11"/>
  <c r="S246" i="11"/>
  <c r="P246" i="11"/>
  <c r="N246" i="11"/>
  <c r="E35" i="10" s="1"/>
  <c r="K246" i="11"/>
  <c r="J246" i="11"/>
  <c r="H246" i="11"/>
  <c r="G246" i="11"/>
  <c r="F246" i="11"/>
  <c r="E246" i="11"/>
  <c r="Z245" i="11"/>
  <c r="S245" i="11"/>
  <c r="P245" i="11"/>
  <c r="N245" i="11"/>
  <c r="E39" i="10" s="1"/>
  <c r="K245" i="11"/>
  <c r="J245" i="11"/>
  <c r="H245" i="11"/>
  <c r="G245" i="11"/>
  <c r="F245" i="11"/>
  <c r="E245" i="11"/>
  <c r="Z244" i="11"/>
  <c r="S244" i="11"/>
  <c r="P244" i="11"/>
  <c r="N244" i="11"/>
  <c r="K244" i="11"/>
  <c r="J244" i="11"/>
  <c r="H244" i="11"/>
  <c r="G244" i="11"/>
  <c r="F244" i="11"/>
  <c r="E244" i="11"/>
  <c r="Z243" i="11"/>
  <c r="S243" i="11"/>
  <c r="P243" i="11"/>
  <c r="N243" i="11"/>
  <c r="E58" i="10" s="1"/>
  <c r="K243" i="11"/>
  <c r="J243" i="11"/>
  <c r="H243" i="11"/>
  <c r="G243" i="11"/>
  <c r="F243" i="11"/>
  <c r="E243" i="11"/>
  <c r="Z242" i="11"/>
  <c r="K242" i="11"/>
  <c r="H242" i="11"/>
  <c r="G242" i="11"/>
  <c r="F242" i="11"/>
  <c r="E242" i="11"/>
  <c r="D242" i="11"/>
  <c r="A242" i="11"/>
  <c r="Z241" i="11"/>
  <c r="K241" i="11"/>
  <c r="H241" i="11"/>
  <c r="G241" i="11"/>
  <c r="F241" i="11"/>
  <c r="E241" i="11"/>
  <c r="D241" i="11"/>
  <c r="A241" i="11"/>
  <c r="Z240" i="11"/>
  <c r="S240" i="11"/>
  <c r="P240" i="11"/>
  <c r="N240" i="11"/>
  <c r="K240" i="11"/>
  <c r="J240" i="11"/>
  <c r="H240" i="11"/>
  <c r="G240" i="11"/>
  <c r="F240" i="11"/>
  <c r="E240" i="11"/>
  <c r="Z239" i="11"/>
  <c r="S239" i="11"/>
  <c r="P239" i="11"/>
  <c r="N239" i="11"/>
  <c r="K239" i="11"/>
  <c r="J239" i="11"/>
  <c r="H239" i="11"/>
  <c r="G239" i="11"/>
  <c r="F239" i="11"/>
  <c r="E239" i="11"/>
  <c r="Z238" i="11"/>
  <c r="S238" i="11"/>
  <c r="P238" i="11"/>
  <c r="N238" i="11"/>
  <c r="K238" i="11"/>
  <c r="J238" i="11"/>
  <c r="H238" i="11"/>
  <c r="G238" i="11"/>
  <c r="F238" i="11"/>
  <c r="E238" i="11"/>
  <c r="Z237" i="11"/>
  <c r="S237" i="11"/>
  <c r="P237" i="11"/>
  <c r="N237" i="11"/>
  <c r="K237" i="11"/>
  <c r="J237" i="11"/>
  <c r="H237" i="11"/>
  <c r="G237" i="11"/>
  <c r="F237" i="11"/>
  <c r="E237" i="11"/>
  <c r="Z236" i="11"/>
  <c r="S236" i="11"/>
  <c r="P236" i="11"/>
  <c r="N236" i="11"/>
  <c r="K236" i="11"/>
  <c r="J236" i="11"/>
  <c r="H236" i="11"/>
  <c r="G236" i="11"/>
  <c r="F236" i="11"/>
  <c r="E236" i="11"/>
  <c r="Z235" i="11"/>
  <c r="S235" i="11"/>
  <c r="P235" i="11"/>
  <c r="N235" i="11"/>
  <c r="K235" i="11"/>
  <c r="J235" i="11"/>
  <c r="H235" i="11"/>
  <c r="G235" i="11"/>
  <c r="F235" i="11"/>
  <c r="E235" i="11"/>
  <c r="Z234" i="11"/>
  <c r="S234" i="11"/>
  <c r="P234" i="11"/>
  <c r="N234" i="11"/>
  <c r="K234" i="11"/>
  <c r="J234" i="11"/>
  <c r="H234" i="11"/>
  <c r="G234" i="11"/>
  <c r="F234" i="11"/>
  <c r="E234" i="11"/>
  <c r="Z233" i="11"/>
  <c r="S233" i="11"/>
  <c r="P233" i="11"/>
  <c r="N233" i="11"/>
  <c r="K233" i="11"/>
  <c r="J233" i="11"/>
  <c r="H233" i="11"/>
  <c r="G233" i="11"/>
  <c r="F233" i="11"/>
  <c r="E233" i="11"/>
  <c r="Z232" i="11"/>
  <c r="S232" i="11"/>
  <c r="P232" i="11"/>
  <c r="N232" i="11"/>
  <c r="K232" i="11"/>
  <c r="J232" i="11"/>
  <c r="H232" i="11"/>
  <c r="G232" i="11"/>
  <c r="F232" i="11"/>
  <c r="E232" i="11"/>
  <c r="Z231" i="11"/>
  <c r="S231" i="11"/>
  <c r="P231" i="11"/>
  <c r="N231" i="11"/>
  <c r="K231" i="11"/>
  <c r="J231" i="11"/>
  <c r="H231" i="11"/>
  <c r="G231" i="11"/>
  <c r="F231" i="11"/>
  <c r="E231" i="11"/>
  <c r="Z230" i="11"/>
  <c r="S230" i="11"/>
  <c r="P230" i="11"/>
  <c r="N230" i="11"/>
  <c r="K230" i="11"/>
  <c r="J230" i="11"/>
  <c r="H230" i="11"/>
  <c r="G230" i="11"/>
  <c r="F230" i="11"/>
  <c r="E230" i="11"/>
  <c r="Z229" i="11"/>
  <c r="S229" i="11"/>
  <c r="P229" i="11"/>
  <c r="N229" i="11"/>
  <c r="K229" i="11"/>
  <c r="J229" i="11"/>
  <c r="H229" i="11"/>
  <c r="G229" i="11"/>
  <c r="F229" i="11"/>
  <c r="E229" i="11"/>
  <c r="Z228" i="11"/>
  <c r="S228" i="11"/>
  <c r="P228" i="11"/>
  <c r="N228" i="11"/>
  <c r="K228" i="11"/>
  <c r="J228" i="11"/>
  <c r="H228" i="11"/>
  <c r="G228" i="11"/>
  <c r="F228" i="11"/>
  <c r="E228" i="11"/>
  <c r="Z227" i="11"/>
  <c r="S227" i="11"/>
  <c r="P227" i="11"/>
  <c r="N227" i="11"/>
  <c r="K227" i="11"/>
  <c r="J227" i="11"/>
  <c r="H227" i="11"/>
  <c r="G227" i="11"/>
  <c r="F227" i="11"/>
  <c r="E227" i="11"/>
  <c r="Z226" i="11"/>
  <c r="S226" i="11"/>
  <c r="P226" i="11"/>
  <c r="N226" i="11"/>
  <c r="K226" i="11"/>
  <c r="J226" i="11"/>
  <c r="H226" i="11"/>
  <c r="G226" i="11"/>
  <c r="F226" i="11"/>
  <c r="E226" i="11"/>
  <c r="Z225" i="11"/>
  <c r="S225" i="11"/>
  <c r="P225" i="11"/>
  <c r="N225" i="11"/>
  <c r="K225" i="11"/>
  <c r="J225" i="11"/>
  <c r="H225" i="11"/>
  <c r="G225" i="11"/>
  <c r="F225" i="11"/>
  <c r="E225" i="11"/>
  <c r="Z224" i="11"/>
  <c r="S224" i="11"/>
  <c r="P224" i="11"/>
  <c r="N224" i="11"/>
  <c r="K224" i="11"/>
  <c r="J224" i="11"/>
  <c r="H224" i="11"/>
  <c r="G224" i="11"/>
  <c r="F224" i="11"/>
  <c r="E224" i="11"/>
  <c r="Z223" i="11"/>
  <c r="S223" i="11"/>
  <c r="P223" i="11"/>
  <c r="N223" i="11"/>
  <c r="K223" i="11"/>
  <c r="J223" i="11"/>
  <c r="H223" i="11"/>
  <c r="G223" i="11"/>
  <c r="F223" i="11"/>
  <c r="E223" i="11"/>
  <c r="Z222" i="11"/>
  <c r="S222" i="11"/>
  <c r="P222" i="11"/>
  <c r="N222" i="11"/>
  <c r="K222" i="11"/>
  <c r="J222" i="11"/>
  <c r="H222" i="11"/>
  <c r="G222" i="11"/>
  <c r="F222" i="11"/>
  <c r="E222" i="11"/>
  <c r="Z221" i="11"/>
  <c r="K221" i="11"/>
  <c r="H221" i="11"/>
  <c r="G221" i="11"/>
  <c r="F221" i="11"/>
  <c r="E221" i="11"/>
  <c r="D221" i="11"/>
  <c r="A221" i="11"/>
  <c r="Z220" i="11"/>
  <c r="K220" i="11"/>
  <c r="H220" i="11"/>
  <c r="G220" i="11"/>
  <c r="F220" i="11"/>
  <c r="E220" i="11"/>
  <c r="D220" i="11"/>
  <c r="A220" i="11"/>
  <c r="Z219" i="11"/>
  <c r="S219" i="11"/>
  <c r="P219" i="11"/>
  <c r="N219" i="11"/>
  <c r="K219" i="11"/>
  <c r="J219" i="11"/>
  <c r="H219" i="11"/>
  <c r="G219" i="11"/>
  <c r="F219" i="11"/>
  <c r="E219" i="11"/>
  <c r="Z218" i="11"/>
  <c r="S218" i="11"/>
  <c r="P218" i="11"/>
  <c r="N218" i="11"/>
  <c r="K218" i="11"/>
  <c r="J218" i="11"/>
  <c r="H218" i="11"/>
  <c r="G218" i="11"/>
  <c r="F218" i="11"/>
  <c r="E218" i="11"/>
  <c r="Z217" i="11"/>
  <c r="S217" i="11"/>
  <c r="P217" i="11"/>
  <c r="N217" i="11"/>
  <c r="E31" i="10" s="1"/>
  <c r="K217" i="11"/>
  <c r="J217" i="11"/>
  <c r="H217" i="11"/>
  <c r="G217" i="11"/>
  <c r="F217" i="11"/>
  <c r="E217" i="11"/>
  <c r="Z216" i="11"/>
  <c r="S216" i="11"/>
  <c r="P216" i="11"/>
  <c r="N216" i="11"/>
  <c r="K216" i="11"/>
  <c r="J216" i="11"/>
  <c r="H216" i="11"/>
  <c r="G216" i="11"/>
  <c r="F216" i="11"/>
  <c r="E216" i="11"/>
  <c r="Z215" i="11"/>
  <c r="S215" i="11"/>
  <c r="P215" i="11"/>
  <c r="N215" i="11"/>
  <c r="K215" i="11"/>
  <c r="J215" i="11"/>
  <c r="H215" i="11"/>
  <c r="G215" i="11"/>
  <c r="F215" i="11"/>
  <c r="E215" i="11"/>
  <c r="Z214" i="11"/>
  <c r="S214" i="11"/>
  <c r="P214" i="11"/>
  <c r="N214" i="11"/>
  <c r="E22" i="10" s="1"/>
  <c r="K214" i="11"/>
  <c r="J214" i="11"/>
  <c r="H214" i="11"/>
  <c r="G214" i="11"/>
  <c r="F214" i="11"/>
  <c r="E214" i="11"/>
  <c r="Z213" i="11"/>
  <c r="S213" i="11"/>
  <c r="P213" i="11"/>
  <c r="N213" i="11"/>
  <c r="K213" i="11"/>
  <c r="J213" i="11"/>
  <c r="H213" i="11"/>
  <c r="G213" i="11"/>
  <c r="F213" i="11"/>
  <c r="E213" i="11"/>
  <c r="Z212" i="11"/>
  <c r="S212" i="11"/>
  <c r="P212" i="11"/>
  <c r="N212" i="11"/>
  <c r="K212" i="11"/>
  <c r="J212" i="11"/>
  <c r="H212" i="11"/>
  <c r="G212" i="11"/>
  <c r="F212" i="11"/>
  <c r="E212" i="11"/>
  <c r="Z211" i="11"/>
  <c r="S211" i="11"/>
  <c r="P211" i="11"/>
  <c r="N211" i="11"/>
  <c r="K211" i="11"/>
  <c r="J211" i="11"/>
  <c r="H211" i="11"/>
  <c r="G211" i="11"/>
  <c r="F211" i="11"/>
  <c r="E211" i="11"/>
  <c r="Z210" i="11"/>
  <c r="S210" i="11"/>
  <c r="P210" i="11"/>
  <c r="N210" i="11"/>
  <c r="K210" i="11"/>
  <c r="J210" i="11"/>
  <c r="H210" i="11"/>
  <c r="G210" i="11"/>
  <c r="F210" i="11"/>
  <c r="E210" i="11"/>
  <c r="Z209" i="11"/>
  <c r="S209" i="11"/>
  <c r="P209" i="11"/>
  <c r="N209" i="11"/>
  <c r="K209" i="11"/>
  <c r="J209" i="11"/>
  <c r="H209" i="11"/>
  <c r="G209" i="11"/>
  <c r="F209" i="11"/>
  <c r="E209" i="11"/>
  <c r="Z208" i="11"/>
  <c r="S208" i="11"/>
  <c r="P208" i="11"/>
  <c r="N208" i="11"/>
  <c r="K208" i="11"/>
  <c r="J208" i="11"/>
  <c r="H208" i="11"/>
  <c r="G208" i="11"/>
  <c r="F208" i="11"/>
  <c r="E208" i="11"/>
  <c r="Z207" i="11"/>
  <c r="S207" i="11"/>
  <c r="P207" i="11"/>
  <c r="N207" i="11"/>
  <c r="K207" i="11"/>
  <c r="J207" i="11"/>
  <c r="H207" i="11"/>
  <c r="G207" i="11"/>
  <c r="F207" i="11"/>
  <c r="E207" i="11"/>
  <c r="Z206" i="11"/>
  <c r="S206" i="11"/>
  <c r="P206" i="11"/>
  <c r="N206" i="11"/>
  <c r="E68" i="10" s="1"/>
  <c r="K206" i="11"/>
  <c r="J206" i="11"/>
  <c r="H206" i="11"/>
  <c r="G206" i="11"/>
  <c r="F206" i="11"/>
  <c r="E206" i="11"/>
  <c r="Z205" i="11"/>
  <c r="S205" i="11"/>
  <c r="P205" i="11"/>
  <c r="N205" i="11"/>
  <c r="K205" i="11"/>
  <c r="J205" i="11"/>
  <c r="H205" i="11"/>
  <c r="G205" i="11"/>
  <c r="F205" i="11"/>
  <c r="E205" i="11"/>
  <c r="Z204" i="11"/>
  <c r="S204" i="11"/>
  <c r="P204" i="11"/>
  <c r="N204" i="11"/>
  <c r="K204" i="11"/>
  <c r="J204" i="11"/>
  <c r="H204" i="11"/>
  <c r="G204" i="11"/>
  <c r="F204" i="11"/>
  <c r="E204" i="11"/>
  <c r="Z203" i="11"/>
  <c r="S203" i="11"/>
  <c r="P203" i="11"/>
  <c r="N203" i="11"/>
  <c r="K203" i="11"/>
  <c r="J203" i="11"/>
  <c r="H203" i="11"/>
  <c r="G203" i="11"/>
  <c r="F203" i="11"/>
  <c r="E203" i="11"/>
  <c r="Z202" i="11"/>
  <c r="S202" i="11"/>
  <c r="P202" i="11"/>
  <c r="N202" i="11"/>
  <c r="E81" i="10" s="1"/>
  <c r="K202" i="11"/>
  <c r="J202" i="11"/>
  <c r="H202" i="11"/>
  <c r="G202" i="11"/>
  <c r="F202" i="11"/>
  <c r="E202" i="11"/>
  <c r="Z201" i="11"/>
  <c r="S201" i="11"/>
  <c r="P201" i="11"/>
  <c r="N201" i="11"/>
  <c r="K201" i="11"/>
  <c r="J201" i="11"/>
  <c r="H201" i="11"/>
  <c r="G201" i="11"/>
  <c r="F201" i="11"/>
  <c r="E201" i="11"/>
  <c r="Z200" i="11"/>
  <c r="S200" i="11"/>
  <c r="P200" i="11"/>
  <c r="N200" i="11"/>
  <c r="K200" i="11"/>
  <c r="J200" i="11"/>
  <c r="H200" i="11"/>
  <c r="G200" i="11"/>
  <c r="F200" i="11"/>
  <c r="E200" i="11"/>
  <c r="Z199" i="11"/>
  <c r="S199" i="11"/>
  <c r="P199" i="11"/>
  <c r="N199" i="11"/>
  <c r="K199" i="11"/>
  <c r="J199" i="11"/>
  <c r="H199" i="11"/>
  <c r="G199" i="11"/>
  <c r="F199" i="11"/>
  <c r="E199" i="11"/>
  <c r="Z198" i="11"/>
  <c r="S198" i="11"/>
  <c r="P198" i="11"/>
  <c r="N198" i="11"/>
  <c r="K198" i="11"/>
  <c r="J198" i="11"/>
  <c r="H198" i="11"/>
  <c r="G198" i="11"/>
  <c r="F198" i="11"/>
  <c r="E198" i="11"/>
  <c r="Z197" i="11"/>
  <c r="S197" i="11"/>
  <c r="P197" i="11"/>
  <c r="N197" i="11"/>
  <c r="K197" i="11"/>
  <c r="J197" i="11"/>
  <c r="H197" i="11"/>
  <c r="G197" i="11"/>
  <c r="F197" i="11"/>
  <c r="E197" i="11"/>
  <c r="Z196" i="11"/>
  <c r="S196" i="11"/>
  <c r="P196" i="11"/>
  <c r="N196" i="11"/>
  <c r="K196" i="11"/>
  <c r="J196" i="11"/>
  <c r="H196" i="11"/>
  <c r="G196" i="11"/>
  <c r="F196" i="11"/>
  <c r="E196" i="11"/>
  <c r="Z195" i="11"/>
  <c r="S195" i="11"/>
  <c r="P195" i="11"/>
  <c r="N195" i="11"/>
  <c r="E20" i="10" s="1"/>
  <c r="K195" i="11"/>
  <c r="J195" i="11"/>
  <c r="H195" i="11"/>
  <c r="G195" i="11"/>
  <c r="F195" i="11"/>
  <c r="E195" i="11"/>
  <c r="Z194" i="11"/>
  <c r="S194" i="11"/>
  <c r="P194" i="11"/>
  <c r="N194" i="11"/>
  <c r="K194" i="11"/>
  <c r="J194" i="11"/>
  <c r="H194" i="11"/>
  <c r="G194" i="11"/>
  <c r="F194" i="11"/>
  <c r="E194" i="11"/>
  <c r="Z193" i="11"/>
  <c r="S193" i="11"/>
  <c r="P193" i="11"/>
  <c r="N193" i="11"/>
  <c r="K193" i="11"/>
  <c r="J193" i="11"/>
  <c r="H193" i="11"/>
  <c r="G193" i="11"/>
  <c r="F193" i="11"/>
  <c r="E193" i="11"/>
  <c r="Z192" i="11"/>
  <c r="S192" i="11"/>
  <c r="P192" i="11"/>
  <c r="N192" i="11"/>
  <c r="K192" i="11"/>
  <c r="J192" i="11"/>
  <c r="H192" i="11"/>
  <c r="G192" i="11"/>
  <c r="F192" i="11"/>
  <c r="E192" i="11"/>
  <c r="Z191" i="11"/>
  <c r="S191" i="11"/>
  <c r="P191" i="11"/>
  <c r="N191" i="11"/>
  <c r="K191" i="11"/>
  <c r="J191" i="11"/>
  <c r="H191" i="11"/>
  <c r="G191" i="11"/>
  <c r="F191" i="11"/>
  <c r="E191" i="11"/>
  <c r="Z190" i="11"/>
  <c r="S190" i="11"/>
  <c r="P190" i="11"/>
  <c r="N190" i="11"/>
  <c r="E76" i="10" s="1"/>
  <c r="K190" i="11"/>
  <c r="J190" i="11"/>
  <c r="H190" i="11"/>
  <c r="G190" i="11"/>
  <c r="F190" i="11"/>
  <c r="E190" i="11"/>
  <c r="Z189" i="11"/>
  <c r="H189" i="11"/>
  <c r="G189" i="11"/>
  <c r="F189" i="11"/>
  <c r="E189" i="11"/>
  <c r="D189" i="11"/>
  <c r="A189" i="11"/>
  <c r="Z188" i="11"/>
  <c r="S188" i="11"/>
  <c r="P188" i="11"/>
  <c r="N188" i="11"/>
  <c r="K188" i="11"/>
  <c r="J188" i="11"/>
  <c r="H188" i="11"/>
  <c r="G188" i="11"/>
  <c r="F188" i="11"/>
  <c r="E188" i="11"/>
  <c r="Z187" i="11"/>
  <c r="S187" i="11"/>
  <c r="P187" i="11"/>
  <c r="N187" i="11"/>
  <c r="K187" i="11"/>
  <c r="J187" i="11"/>
  <c r="H187" i="11"/>
  <c r="G187" i="11"/>
  <c r="F187" i="11"/>
  <c r="E187" i="11"/>
  <c r="Z186" i="11"/>
  <c r="S186" i="11"/>
  <c r="P186" i="11"/>
  <c r="N186" i="11"/>
  <c r="E41" i="10" s="1"/>
  <c r="K186" i="11"/>
  <c r="J186" i="11"/>
  <c r="H186" i="11"/>
  <c r="G186" i="11"/>
  <c r="F186" i="11"/>
  <c r="E186" i="11"/>
  <c r="Z185" i="11"/>
  <c r="S185" i="11"/>
  <c r="P185" i="11"/>
  <c r="N185" i="11"/>
  <c r="K185" i="11"/>
  <c r="J185" i="11"/>
  <c r="H185" i="11"/>
  <c r="G185" i="11"/>
  <c r="F185" i="11"/>
  <c r="E185" i="11"/>
  <c r="Z184" i="11"/>
  <c r="S184" i="11"/>
  <c r="P184" i="11"/>
  <c r="N184" i="11"/>
  <c r="K184" i="11"/>
  <c r="J184" i="11"/>
  <c r="H184" i="11"/>
  <c r="G184" i="11"/>
  <c r="F184" i="11"/>
  <c r="E184" i="11"/>
  <c r="Z183" i="11"/>
  <c r="S183" i="11"/>
  <c r="P183" i="11"/>
  <c r="N183" i="11"/>
  <c r="E62" i="10" s="1"/>
  <c r="K183" i="11"/>
  <c r="J183" i="11"/>
  <c r="H183" i="11"/>
  <c r="G183" i="11"/>
  <c r="F183" i="11"/>
  <c r="E183" i="11"/>
  <c r="Z182" i="11"/>
  <c r="S182" i="11"/>
  <c r="P182" i="11"/>
  <c r="N182" i="11"/>
  <c r="E65" i="10" s="1"/>
  <c r="K182" i="11"/>
  <c r="J182" i="11"/>
  <c r="H182" i="11"/>
  <c r="G182" i="11"/>
  <c r="F182" i="11"/>
  <c r="E182" i="11"/>
  <c r="Z181" i="11"/>
  <c r="S181" i="11"/>
  <c r="P181" i="11"/>
  <c r="N181" i="11"/>
  <c r="K181" i="11"/>
  <c r="J181" i="11"/>
  <c r="H181" i="11"/>
  <c r="G181" i="11"/>
  <c r="F181" i="11"/>
  <c r="E181" i="11"/>
  <c r="Z180" i="11"/>
  <c r="S180" i="11"/>
  <c r="P180" i="11"/>
  <c r="N180" i="11"/>
  <c r="E113" i="10" s="1"/>
  <c r="K180" i="11"/>
  <c r="J180" i="11"/>
  <c r="H180" i="11"/>
  <c r="G180" i="11"/>
  <c r="F180" i="11"/>
  <c r="E180" i="11"/>
  <c r="Z179" i="11"/>
  <c r="H179" i="11"/>
  <c r="G179" i="11"/>
  <c r="F179" i="11"/>
  <c r="E179" i="11"/>
  <c r="D179" i="11"/>
  <c r="A179" i="11"/>
  <c r="Z178" i="11"/>
  <c r="S178" i="11"/>
  <c r="P178" i="11"/>
  <c r="N178" i="11"/>
  <c r="K178" i="11"/>
  <c r="J178" i="11"/>
  <c r="H178" i="11"/>
  <c r="G178" i="11"/>
  <c r="F178" i="11"/>
  <c r="E178" i="11"/>
  <c r="Z177" i="11"/>
  <c r="S177" i="11"/>
  <c r="P177" i="11"/>
  <c r="N177" i="11"/>
  <c r="K177" i="11"/>
  <c r="J177" i="11"/>
  <c r="H177" i="11"/>
  <c r="G177" i="11"/>
  <c r="F177" i="11"/>
  <c r="E177" i="11"/>
  <c r="Z176" i="11"/>
  <c r="S176" i="11"/>
  <c r="P176" i="11"/>
  <c r="N176" i="11"/>
  <c r="K176" i="11"/>
  <c r="J176" i="11"/>
  <c r="H176" i="11"/>
  <c r="G176" i="11"/>
  <c r="F176" i="11"/>
  <c r="E176" i="11"/>
  <c r="Z175" i="11"/>
  <c r="S175" i="11"/>
  <c r="P175" i="11"/>
  <c r="N175" i="11"/>
  <c r="E59" i="10" s="1"/>
  <c r="K175" i="11"/>
  <c r="J175" i="11"/>
  <c r="H175" i="11"/>
  <c r="G175" i="11"/>
  <c r="F175" i="11"/>
  <c r="E175" i="11"/>
  <c r="Z174" i="11"/>
  <c r="S174" i="11"/>
  <c r="P174" i="11"/>
  <c r="N174" i="11"/>
  <c r="E79" i="10" s="1"/>
  <c r="K174" i="11"/>
  <c r="J174" i="11"/>
  <c r="H174" i="11"/>
  <c r="G174" i="11"/>
  <c r="F174" i="11"/>
  <c r="E174" i="11"/>
  <c r="Z173" i="11"/>
  <c r="S173" i="11"/>
  <c r="P173" i="11"/>
  <c r="N173" i="11"/>
  <c r="E94" i="10" s="1"/>
  <c r="K173" i="11"/>
  <c r="J173" i="11"/>
  <c r="H173" i="11"/>
  <c r="G173" i="11"/>
  <c r="F173" i="11"/>
  <c r="E173" i="11"/>
  <c r="Z172" i="11"/>
  <c r="S172" i="11"/>
  <c r="P172" i="11"/>
  <c r="N172" i="11"/>
  <c r="E95" i="10" s="1"/>
  <c r="K172" i="11"/>
  <c r="J172" i="11"/>
  <c r="H172" i="11"/>
  <c r="G172" i="11"/>
  <c r="F172" i="11"/>
  <c r="E172" i="11"/>
  <c r="Z171" i="11"/>
  <c r="S171" i="11"/>
  <c r="P171" i="11"/>
  <c r="N171" i="11"/>
  <c r="E96" i="10" s="1"/>
  <c r="K171" i="11"/>
  <c r="J171" i="11"/>
  <c r="H171" i="11"/>
  <c r="G171" i="11"/>
  <c r="F171" i="11"/>
  <c r="E171" i="11"/>
  <c r="Z170" i="11"/>
  <c r="S170" i="11"/>
  <c r="P170" i="11"/>
  <c r="N170" i="11"/>
  <c r="E100" i="10" s="1"/>
  <c r="K170" i="11"/>
  <c r="J170" i="11"/>
  <c r="H170" i="11"/>
  <c r="G170" i="11"/>
  <c r="F170" i="11"/>
  <c r="E170" i="11"/>
  <c r="Z169" i="11"/>
  <c r="S169" i="11"/>
  <c r="P169" i="11"/>
  <c r="N169" i="11"/>
  <c r="E107" i="10" s="1"/>
  <c r="K169" i="11"/>
  <c r="J169" i="11"/>
  <c r="H169" i="11"/>
  <c r="G169" i="11"/>
  <c r="F169" i="11"/>
  <c r="E169" i="11"/>
  <c r="Z168" i="11"/>
  <c r="S168" i="11"/>
  <c r="P168" i="11"/>
  <c r="N168" i="11"/>
  <c r="K168" i="11"/>
  <c r="J168" i="11"/>
  <c r="H168" i="11"/>
  <c r="G168" i="11"/>
  <c r="F168" i="11"/>
  <c r="E168" i="11"/>
  <c r="Z167" i="11"/>
  <c r="S167" i="11"/>
  <c r="P167" i="11"/>
  <c r="N167" i="11"/>
  <c r="K167" i="11"/>
  <c r="J167" i="11"/>
  <c r="H167" i="11"/>
  <c r="G167" i="11"/>
  <c r="F167" i="11"/>
  <c r="E167" i="11"/>
  <c r="Z166" i="11"/>
  <c r="S166" i="11"/>
  <c r="P166" i="11"/>
  <c r="N166" i="11"/>
  <c r="E34" i="10" s="1"/>
  <c r="K166" i="11"/>
  <c r="J166" i="11"/>
  <c r="H166" i="11"/>
  <c r="G166" i="11"/>
  <c r="F166" i="11"/>
  <c r="E166" i="11"/>
  <c r="Z165" i="11"/>
  <c r="S165" i="11"/>
  <c r="P165" i="11"/>
  <c r="N165" i="11"/>
  <c r="E38" i="10" s="1"/>
  <c r="K165" i="11"/>
  <c r="J165" i="11"/>
  <c r="H165" i="11"/>
  <c r="G165" i="11"/>
  <c r="F165" i="11"/>
  <c r="E165" i="11"/>
  <c r="Z164" i="11"/>
  <c r="S164" i="11"/>
  <c r="P164" i="11"/>
  <c r="N164" i="11"/>
  <c r="E49" i="10" s="1"/>
  <c r="K164" i="11"/>
  <c r="J164" i="11"/>
  <c r="H164" i="11"/>
  <c r="G164" i="11"/>
  <c r="F164" i="11"/>
  <c r="E164" i="11"/>
  <c r="Z163" i="11"/>
  <c r="S163" i="11"/>
  <c r="P163" i="11"/>
  <c r="N163" i="11"/>
  <c r="E57" i="10" s="1"/>
  <c r="K163" i="11"/>
  <c r="J163" i="11"/>
  <c r="H163" i="11"/>
  <c r="G163" i="11"/>
  <c r="F163" i="11"/>
  <c r="E163" i="11"/>
  <c r="Z162" i="11"/>
  <c r="S162" i="11"/>
  <c r="P162" i="11"/>
  <c r="N162" i="11"/>
  <c r="E110" i="10" s="1"/>
  <c r="K162" i="11"/>
  <c r="J162" i="11"/>
  <c r="H162" i="11"/>
  <c r="G162" i="11"/>
  <c r="F162" i="11"/>
  <c r="E162" i="11"/>
  <c r="Z161" i="11"/>
  <c r="S161" i="11"/>
  <c r="P161" i="11"/>
  <c r="N161" i="11"/>
  <c r="E115" i="10" s="1"/>
  <c r="K161" i="11"/>
  <c r="J161" i="11"/>
  <c r="H161" i="11"/>
  <c r="G161" i="11"/>
  <c r="F161" i="11"/>
  <c r="E161" i="11"/>
  <c r="Z160" i="11"/>
  <c r="S160" i="11"/>
  <c r="P160" i="11"/>
  <c r="N160" i="11"/>
  <c r="E18" i="10" s="1"/>
  <c r="K160" i="11"/>
  <c r="J160" i="11"/>
  <c r="H160" i="11"/>
  <c r="G160" i="11"/>
  <c r="F160" i="11"/>
  <c r="E160" i="11"/>
  <c r="Z159" i="11"/>
  <c r="S159" i="11"/>
  <c r="P159" i="11"/>
  <c r="N159" i="11"/>
  <c r="K159" i="11"/>
  <c r="J159" i="11"/>
  <c r="H159" i="11"/>
  <c r="G159" i="11"/>
  <c r="F159" i="11"/>
  <c r="E159" i="11"/>
  <c r="Z158" i="11"/>
  <c r="S158" i="11"/>
  <c r="P158" i="11"/>
  <c r="N158" i="11"/>
  <c r="E33" i="10" s="1"/>
  <c r="K158" i="11"/>
  <c r="J158" i="11"/>
  <c r="H158" i="11"/>
  <c r="G158" i="11"/>
  <c r="F158" i="11"/>
  <c r="E158" i="11"/>
  <c r="Z157" i="11"/>
  <c r="S157" i="11"/>
  <c r="P157" i="11"/>
  <c r="N157" i="11"/>
  <c r="K157" i="11"/>
  <c r="J157" i="11"/>
  <c r="H157" i="11"/>
  <c r="G157" i="11"/>
  <c r="F157" i="11"/>
  <c r="E157" i="11"/>
  <c r="Z156" i="11"/>
  <c r="S156" i="11"/>
  <c r="P156" i="11"/>
  <c r="N156" i="11"/>
  <c r="E67" i="10" s="1"/>
  <c r="K156" i="11"/>
  <c r="J156" i="11"/>
  <c r="H156" i="11"/>
  <c r="G156" i="11"/>
  <c r="F156" i="11"/>
  <c r="E156" i="11"/>
  <c r="Z155" i="11"/>
  <c r="S155" i="11"/>
  <c r="P155" i="11"/>
  <c r="N155" i="11"/>
  <c r="E82" i="10" s="1"/>
  <c r="K155" i="11"/>
  <c r="J155" i="11"/>
  <c r="H155" i="11"/>
  <c r="G155" i="11"/>
  <c r="F155" i="11"/>
  <c r="E155" i="11"/>
  <c r="Z154" i="11"/>
  <c r="S154" i="11"/>
  <c r="P154" i="11"/>
  <c r="N154" i="11"/>
  <c r="E90" i="10" s="1"/>
  <c r="K154" i="11"/>
  <c r="J154" i="11"/>
  <c r="H154" i="11"/>
  <c r="G154" i="11"/>
  <c r="F154" i="11"/>
  <c r="E154" i="11"/>
  <c r="Z153" i="11"/>
  <c r="H153" i="11"/>
  <c r="G153" i="11"/>
  <c r="F153" i="11"/>
  <c r="E153" i="11"/>
  <c r="D153" i="11"/>
  <c r="A153" i="11"/>
  <c r="Z152" i="11"/>
  <c r="S152" i="11"/>
  <c r="P152" i="11"/>
  <c r="N152" i="11"/>
  <c r="K152" i="11"/>
  <c r="J152" i="11"/>
  <c r="H152" i="11"/>
  <c r="G152" i="11"/>
  <c r="F152" i="11"/>
  <c r="E152" i="11"/>
  <c r="Z151" i="11"/>
  <c r="S151" i="11"/>
  <c r="P151" i="11"/>
  <c r="N151" i="11"/>
  <c r="K151" i="11"/>
  <c r="J151" i="11"/>
  <c r="H151" i="11"/>
  <c r="G151" i="11"/>
  <c r="F151" i="11"/>
  <c r="E151" i="11"/>
  <c r="Z150" i="11"/>
  <c r="S150" i="11"/>
  <c r="P150" i="11"/>
  <c r="N150" i="11"/>
  <c r="K150" i="11"/>
  <c r="J150" i="11"/>
  <c r="H150" i="11"/>
  <c r="G150" i="11"/>
  <c r="F150" i="11"/>
  <c r="E150" i="11"/>
  <c r="Z149" i="11"/>
  <c r="S149" i="11"/>
  <c r="P149" i="11"/>
  <c r="N149" i="11"/>
  <c r="K149" i="11"/>
  <c r="J149" i="11"/>
  <c r="H149" i="11"/>
  <c r="G149" i="11"/>
  <c r="F149" i="11"/>
  <c r="E149" i="11"/>
  <c r="Z148" i="11"/>
  <c r="S148" i="11"/>
  <c r="P148" i="11"/>
  <c r="N148" i="11"/>
  <c r="K148" i="11"/>
  <c r="J148" i="11"/>
  <c r="H148" i="11"/>
  <c r="G148" i="11"/>
  <c r="F148" i="11"/>
  <c r="E148" i="11"/>
  <c r="Z147" i="11"/>
  <c r="S147" i="11"/>
  <c r="P147" i="11"/>
  <c r="N147" i="11"/>
  <c r="K147" i="11"/>
  <c r="J147" i="11"/>
  <c r="H147" i="11"/>
  <c r="G147" i="11"/>
  <c r="F147" i="11"/>
  <c r="E147" i="11"/>
  <c r="Z146" i="11"/>
  <c r="S146" i="11"/>
  <c r="P146" i="11"/>
  <c r="N146" i="11"/>
  <c r="K146" i="11"/>
  <c r="J146" i="11"/>
  <c r="H146" i="11"/>
  <c r="G146" i="11"/>
  <c r="F146" i="11"/>
  <c r="E146" i="11"/>
  <c r="Z145" i="11"/>
  <c r="S145" i="11"/>
  <c r="P145" i="11"/>
  <c r="N145" i="11"/>
  <c r="K145" i="11"/>
  <c r="J145" i="11"/>
  <c r="H145" i="11"/>
  <c r="G145" i="11"/>
  <c r="F145" i="11"/>
  <c r="E145" i="11"/>
  <c r="Z144" i="11"/>
  <c r="S144" i="11"/>
  <c r="P144" i="11"/>
  <c r="N144" i="11"/>
  <c r="K144" i="11"/>
  <c r="J144" i="11"/>
  <c r="H144" i="11"/>
  <c r="G144" i="11"/>
  <c r="F144" i="11"/>
  <c r="E144" i="11"/>
  <c r="Z143" i="11"/>
  <c r="S143" i="11"/>
  <c r="P143" i="11"/>
  <c r="N143" i="11"/>
  <c r="K143" i="11"/>
  <c r="J143" i="11"/>
  <c r="H143" i="11"/>
  <c r="G143" i="11"/>
  <c r="F143" i="11"/>
  <c r="E143" i="11"/>
  <c r="Z142" i="11"/>
  <c r="S142" i="11"/>
  <c r="P142" i="11"/>
  <c r="N142" i="11"/>
  <c r="K142" i="11"/>
  <c r="J142" i="11"/>
  <c r="H142" i="11"/>
  <c r="G142" i="11"/>
  <c r="F142" i="11"/>
  <c r="E142" i="11"/>
  <c r="Z141" i="11"/>
  <c r="S141" i="11"/>
  <c r="P141" i="11"/>
  <c r="N141" i="11"/>
  <c r="K141" i="11"/>
  <c r="J141" i="11"/>
  <c r="H141" i="11"/>
  <c r="G141" i="11"/>
  <c r="F141" i="11"/>
  <c r="E141" i="11"/>
  <c r="Z140" i="11"/>
  <c r="S140" i="11"/>
  <c r="P140" i="11"/>
  <c r="N140" i="11"/>
  <c r="K140" i="11"/>
  <c r="J140" i="11"/>
  <c r="H140" i="11"/>
  <c r="G140" i="11"/>
  <c r="F140" i="11"/>
  <c r="E140" i="11"/>
  <c r="Z139" i="11"/>
  <c r="S139" i="11"/>
  <c r="P139" i="11"/>
  <c r="N139" i="11"/>
  <c r="K139" i="11"/>
  <c r="J139" i="11"/>
  <c r="H139" i="11"/>
  <c r="G139" i="11"/>
  <c r="F139" i="11"/>
  <c r="E139" i="11"/>
  <c r="Z138" i="11"/>
  <c r="S138" i="11"/>
  <c r="P138" i="11"/>
  <c r="N138" i="11"/>
  <c r="K138" i="11"/>
  <c r="J138" i="11"/>
  <c r="H138" i="11"/>
  <c r="G138" i="11"/>
  <c r="F138" i="11"/>
  <c r="E138" i="11"/>
  <c r="Z137" i="11"/>
  <c r="S137" i="11"/>
  <c r="P137" i="11"/>
  <c r="N137" i="11"/>
  <c r="K137" i="11"/>
  <c r="J137" i="11"/>
  <c r="H137" i="11"/>
  <c r="G137" i="11"/>
  <c r="F137" i="11"/>
  <c r="E137" i="11"/>
  <c r="Z136" i="11"/>
  <c r="S136" i="11"/>
  <c r="P136" i="11"/>
  <c r="N136" i="11"/>
  <c r="K136" i="11"/>
  <c r="J136" i="11"/>
  <c r="H136" i="11"/>
  <c r="G136" i="11"/>
  <c r="F136" i="11"/>
  <c r="E136" i="11"/>
  <c r="Z135" i="11"/>
  <c r="S135" i="11"/>
  <c r="P135" i="11"/>
  <c r="N135" i="11"/>
  <c r="K135" i="11"/>
  <c r="J135" i="11"/>
  <c r="H135" i="11"/>
  <c r="G135" i="11"/>
  <c r="F135" i="11"/>
  <c r="E135" i="11"/>
  <c r="Z134" i="11"/>
  <c r="S134" i="11"/>
  <c r="P134" i="11"/>
  <c r="N134" i="11"/>
  <c r="K134" i="11"/>
  <c r="J134" i="11"/>
  <c r="H134" i="11"/>
  <c r="G134" i="11"/>
  <c r="F134" i="11"/>
  <c r="E134" i="11"/>
  <c r="Z133" i="11"/>
  <c r="S133" i="11"/>
  <c r="P133" i="11"/>
  <c r="N133" i="11"/>
  <c r="K133" i="11"/>
  <c r="J133" i="11"/>
  <c r="H133" i="11"/>
  <c r="G133" i="11"/>
  <c r="F133" i="11"/>
  <c r="E133" i="11"/>
  <c r="Z132" i="11"/>
  <c r="H132" i="11"/>
  <c r="G132" i="11"/>
  <c r="F132" i="11"/>
  <c r="E132" i="11"/>
  <c r="D132" i="11"/>
  <c r="A132" i="11"/>
  <c r="Z131" i="11"/>
  <c r="H131" i="11"/>
  <c r="G131" i="11"/>
  <c r="F131" i="11"/>
  <c r="E131" i="11"/>
  <c r="D131" i="11"/>
  <c r="A131" i="11"/>
  <c r="Z130" i="11"/>
  <c r="H130" i="11"/>
  <c r="G130" i="11"/>
  <c r="F130" i="11"/>
  <c r="E130" i="11"/>
  <c r="D130" i="11"/>
  <c r="A130" i="11"/>
  <c r="Z129" i="11"/>
  <c r="S129" i="11"/>
  <c r="P129" i="11"/>
  <c r="N129" i="11"/>
  <c r="K129" i="11"/>
  <c r="J129" i="11"/>
  <c r="H129" i="11"/>
  <c r="G129" i="11"/>
  <c r="F129" i="11"/>
  <c r="E129" i="11"/>
  <c r="Z128" i="11"/>
  <c r="S128" i="11"/>
  <c r="P128" i="11"/>
  <c r="N128" i="11"/>
  <c r="K128" i="11"/>
  <c r="J128" i="11"/>
  <c r="H128" i="11"/>
  <c r="G128" i="11"/>
  <c r="F128" i="11"/>
  <c r="E128" i="11"/>
  <c r="Z127" i="11"/>
  <c r="S127" i="11"/>
  <c r="P127" i="11"/>
  <c r="N127" i="11"/>
  <c r="K127" i="11"/>
  <c r="J127" i="11"/>
  <c r="H127" i="11"/>
  <c r="G127" i="11"/>
  <c r="F127" i="11"/>
  <c r="E127" i="11"/>
  <c r="Z126" i="11"/>
  <c r="S126" i="11"/>
  <c r="P126" i="11"/>
  <c r="N126" i="11"/>
  <c r="K126" i="11"/>
  <c r="J126" i="11"/>
  <c r="H126" i="11"/>
  <c r="G126" i="11"/>
  <c r="F126" i="11"/>
  <c r="E126" i="11"/>
  <c r="Z125" i="11"/>
  <c r="S125" i="11"/>
  <c r="P125" i="11"/>
  <c r="N125" i="11"/>
  <c r="K125" i="11"/>
  <c r="J125" i="11"/>
  <c r="H125" i="11"/>
  <c r="G125" i="11"/>
  <c r="F125" i="11"/>
  <c r="E125" i="11"/>
  <c r="Z124" i="11"/>
  <c r="S124" i="11"/>
  <c r="P124" i="11"/>
  <c r="N124" i="11"/>
  <c r="K124" i="11"/>
  <c r="J124" i="11"/>
  <c r="H124" i="11"/>
  <c r="G124" i="11"/>
  <c r="F124" i="11"/>
  <c r="E124" i="11"/>
  <c r="Z123" i="11"/>
  <c r="S123" i="11"/>
  <c r="P123" i="11"/>
  <c r="N123" i="11"/>
  <c r="K123" i="11"/>
  <c r="J123" i="11"/>
  <c r="H123" i="11"/>
  <c r="G123" i="11"/>
  <c r="F123" i="11"/>
  <c r="E123" i="11"/>
  <c r="Z122" i="11"/>
  <c r="S122" i="11"/>
  <c r="P122" i="11"/>
  <c r="N122" i="11"/>
  <c r="K122" i="11"/>
  <c r="J122" i="11"/>
  <c r="H122" i="11"/>
  <c r="G122" i="11"/>
  <c r="F122" i="11"/>
  <c r="E122" i="11"/>
  <c r="Z121" i="11"/>
  <c r="S121" i="11"/>
  <c r="P121" i="11"/>
  <c r="N121" i="11"/>
  <c r="K121" i="11"/>
  <c r="J121" i="11"/>
  <c r="H121" i="11"/>
  <c r="G121" i="11"/>
  <c r="F121" i="11"/>
  <c r="E121" i="11"/>
  <c r="Z120" i="11"/>
  <c r="S120" i="11"/>
  <c r="P120" i="11"/>
  <c r="N120" i="11"/>
  <c r="K120" i="11"/>
  <c r="J120" i="11"/>
  <c r="H120" i="11"/>
  <c r="G120" i="11"/>
  <c r="F120" i="11"/>
  <c r="E120" i="11"/>
  <c r="Z119" i="11"/>
  <c r="S119" i="11"/>
  <c r="P119" i="11"/>
  <c r="N119" i="11"/>
  <c r="K119" i="11"/>
  <c r="J119" i="11"/>
  <c r="H119" i="11"/>
  <c r="G119" i="11"/>
  <c r="F119" i="11"/>
  <c r="E119" i="11"/>
  <c r="Z118" i="11"/>
  <c r="S118" i="11"/>
  <c r="P118" i="11"/>
  <c r="N118" i="11"/>
  <c r="K118" i="11"/>
  <c r="J118" i="11"/>
  <c r="H118" i="11"/>
  <c r="G118" i="11"/>
  <c r="F118" i="11"/>
  <c r="E118" i="11"/>
  <c r="Z117" i="11"/>
  <c r="S117" i="11"/>
  <c r="P117" i="11"/>
  <c r="N117" i="11"/>
  <c r="K117" i="11"/>
  <c r="J117" i="11"/>
  <c r="H117" i="11"/>
  <c r="G117" i="11"/>
  <c r="F117" i="11"/>
  <c r="E117" i="11"/>
  <c r="Z116" i="11"/>
  <c r="H116" i="11"/>
  <c r="G116" i="11"/>
  <c r="F116" i="11"/>
  <c r="E116" i="11"/>
  <c r="D116" i="11"/>
  <c r="A116" i="11"/>
  <c r="Z115" i="11"/>
  <c r="S115" i="11"/>
  <c r="P115" i="11"/>
  <c r="N115" i="11"/>
  <c r="E16" i="10" s="1"/>
  <c r="K115" i="11"/>
  <c r="J115" i="11"/>
  <c r="H115" i="11"/>
  <c r="G115" i="11"/>
  <c r="F115" i="11"/>
  <c r="E115" i="11"/>
  <c r="Z114" i="11"/>
  <c r="S114" i="11"/>
  <c r="P114" i="11"/>
  <c r="N114" i="11"/>
  <c r="K114" i="11"/>
  <c r="J114" i="11"/>
  <c r="H114" i="11"/>
  <c r="G114" i="11"/>
  <c r="F114" i="11"/>
  <c r="E114" i="11"/>
  <c r="Z113" i="11"/>
  <c r="S113" i="11"/>
  <c r="P113" i="11"/>
  <c r="N113" i="11"/>
  <c r="K113" i="11"/>
  <c r="J113" i="11"/>
  <c r="H113" i="11"/>
  <c r="G113" i="11"/>
  <c r="F113" i="11"/>
  <c r="E113" i="11"/>
  <c r="Z112" i="11"/>
  <c r="S112" i="11"/>
  <c r="P112" i="11"/>
  <c r="N112" i="11"/>
  <c r="E37" i="10" s="1"/>
  <c r="K112" i="11"/>
  <c r="J112" i="11"/>
  <c r="H112" i="11"/>
  <c r="G112" i="11"/>
  <c r="F112" i="11"/>
  <c r="E112" i="11"/>
  <c r="Z111" i="11"/>
  <c r="S111" i="11"/>
  <c r="P111" i="11"/>
  <c r="N111" i="11"/>
  <c r="K111" i="11"/>
  <c r="J111" i="11"/>
  <c r="H111" i="11"/>
  <c r="G111" i="11"/>
  <c r="F111" i="11"/>
  <c r="E111" i="11"/>
  <c r="Z110" i="11"/>
  <c r="S110" i="11"/>
  <c r="P110" i="11"/>
  <c r="N110" i="11"/>
  <c r="K110" i="11"/>
  <c r="J110" i="11"/>
  <c r="H110" i="11"/>
  <c r="G110" i="11"/>
  <c r="F110" i="11"/>
  <c r="E110" i="11"/>
  <c r="Z109" i="11"/>
  <c r="S109" i="11"/>
  <c r="P109" i="11"/>
  <c r="N109" i="11"/>
  <c r="E53" i="10" s="1"/>
  <c r="K109" i="11"/>
  <c r="J109" i="11"/>
  <c r="H109" i="11"/>
  <c r="G109" i="11"/>
  <c r="F109" i="11"/>
  <c r="E109" i="11"/>
  <c r="Z108" i="11"/>
  <c r="S108" i="11"/>
  <c r="P108" i="11"/>
  <c r="N108" i="11"/>
  <c r="K108" i="11"/>
  <c r="J108" i="11"/>
  <c r="H108" i="11"/>
  <c r="G108" i="11"/>
  <c r="F108" i="11"/>
  <c r="E108" i="11"/>
  <c r="Z107" i="11"/>
  <c r="S107" i="11"/>
  <c r="P107" i="11"/>
  <c r="N107" i="11"/>
  <c r="K107" i="11"/>
  <c r="J107" i="11"/>
  <c r="H107" i="11"/>
  <c r="G107" i="11"/>
  <c r="F107" i="11"/>
  <c r="E107" i="11"/>
  <c r="Z106" i="11"/>
  <c r="S106" i="11"/>
  <c r="P106" i="11"/>
  <c r="N106" i="11"/>
  <c r="K106" i="11"/>
  <c r="J106" i="11"/>
  <c r="H106" i="11"/>
  <c r="G106" i="11"/>
  <c r="F106" i="11"/>
  <c r="E106" i="11"/>
  <c r="Z105" i="11"/>
  <c r="S105" i="11"/>
  <c r="P105" i="11"/>
  <c r="N105" i="11"/>
  <c r="E73" i="10" s="1"/>
  <c r="K105" i="11"/>
  <c r="J105" i="11"/>
  <c r="H105" i="11"/>
  <c r="G105" i="11"/>
  <c r="F105" i="11"/>
  <c r="E105" i="11"/>
  <c r="Z104" i="11"/>
  <c r="S104" i="11"/>
  <c r="P104" i="11"/>
  <c r="N104" i="11"/>
  <c r="E77" i="10" s="1"/>
  <c r="K104" i="11"/>
  <c r="J104" i="11"/>
  <c r="H104" i="11"/>
  <c r="G104" i="11"/>
  <c r="F104" i="11"/>
  <c r="E104" i="11"/>
  <c r="Z103" i="11"/>
  <c r="S103" i="11"/>
  <c r="P103" i="11"/>
  <c r="N103" i="11"/>
  <c r="K103" i="11"/>
  <c r="J103" i="11"/>
  <c r="H103" i="11"/>
  <c r="G103" i="11"/>
  <c r="F103" i="11"/>
  <c r="E103" i="11"/>
  <c r="Z102" i="11"/>
  <c r="S102" i="11"/>
  <c r="P102" i="11"/>
  <c r="N102" i="11"/>
  <c r="E84" i="10" s="1"/>
  <c r="K102" i="11"/>
  <c r="J102" i="11"/>
  <c r="H102" i="11"/>
  <c r="G102" i="11"/>
  <c r="F102" i="11"/>
  <c r="E102" i="11"/>
  <c r="Z101" i="11"/>
  <c r="S101" i="11"/>
  <c r="P101" i="11"/>
  <c r="N101" i="11"/>
  <c r="E93" i="10" s="1"/>
  <c r="K101" i="11"/>
  <c r="J101" i="11"/>
  <c r="H101" i="11"/>
  <c r="G101" i="11"/>
  <c r="F101" i="11"/>
  <c r="E101" i="11"/>
  <c r="Z100" i="11"/>
  <c r="S100" i="11"/>
  <c r="P100" i="11"/>
  <c r="N100" i="11"/>
  <c r="K100" i="11"/>
  <c r="J100" i="11"/>
  <c r="H100" i="11"/>
  <c r="G100" i="11"/>
  <c r="F100" i="11"/>
  <c r="E100" i="11"/>
  <c r="Z99" i="11"/>
  <c r="S99" i="11"/>
  <c r="P99" i="11"/>
  <c r="N99" i="11"/>
  <c r="E102" i="10" s="1"/>
  <c r="K99" i="11"/>
  <c r="J99" i="11"/>
  <c r="H99" i="11"/>
  <c r="G99" i="11"/>
  <c r="F99" i="11"/>
  <c r="E99" i="11"/>
  <c r="Z98" i="11"/>
  <c r="S98" i="11"/>
  <c r="P98" i="11"/>
  <c r="N98" i="11"/>
  <c r="E104" i="10" s="1"/>
  <c r="K98" i="11"/>
  <c r="J98" i="11"/>
  <c r="H98" i="11"/>
  <c r="G98" i="11"/>
  <c r="F98" i="11"/>
  <c r="E98" i="11"/>
  <c r="Z97" i="11"/>
  <c r="S97" i="11"/>
  <c r="P97" i="11"/>
  <c r="N97" i="11"/>
  <c r="E112" i="10" s="1"/>
  <c r="K97" i="11"/>
  <c r="J97" i="11"/>
  <c r="H97" i="11"/>
  <c r="G97" i="11"/>
  <c r="F97" i="11"/>
  <c r="E97" i="11"/>
  <c r="Z96" i="11"/>
  <c r="S96" i="11"/>
  <c r="P96" i="11"/>
  <c r="N96" i="11"/>
  <c r="E114" i="10" s="1"/>
  <c r="K96" i="11"/>
  <c r="J96" i="11"/>
  <c r="H96" i="11"/>
  <c r="G96" i="11"/>
  <c r="F96" i="11"/>
  <c r="E96" i="11"/>
  <c r="Z95" i="11"/>
  <c r="H95" i="11"/>
  <c r="G95" i="11"/>
  <c r="F95" i="11"/>
  <c r="E95" i="11"/>
  <c r="D95" i="11"/>
  <c r="A95" i="11"/>
  <c r="Z94" i="11"/>
  <c r="H94" i="11"/>
  <c r="G94" i="11"/>
  <c r="F94" i="11"/>
  <c r="E94" i="11"/>
  <c r="D94" i="11"/>
  <c r="A94" i="11"/>
  <c r="Z93" i="11"/>
  <c r="H93" i="11"/>
  <c r="G93" i="11"/>
  <c r="F93" i="11"/>
  <c r="E93" i="11"/>
  <c r="D93" i="11"/>
  <c r="A93" i="11"/>
  <c r="Z92" i="11"/>
  <c r="S92" i="11"/>
  <c r="P92" i="11"/>
  <c r="N92" i="11"/>
  <c r="E19" i="10" s="1"/>
  <c r="K92" i="11"/>
  <c r="J92" i="11"/>
  <c r="H92" i="11"/>
  <c r="G92" i="11"/>
  <c r="F92" i="11"/>
  <c r="E92" i="11"/>
  <c r="Z91" i="11"/>
  <c r="S91" i="11"/>
  <c r="P91" i="11"/>
  <c r="N91" i="11"/>
  <c r="K91" i="11"/>
  <c r="J91" i="11"/>
  <c r="H91" i="11"/>
  <c r="G91" i="11"/>
  <c r="F91" i="11"/>
  <c r="E91" i="11"/>
  <c r="Z90" i="11"/>
  <c r="S90" i="11"/>
  <c r="P90" i="11"/>
  <c r="N90" i="11"/>
  <c r="K90" i="11"/>
  <c r="J90" i="11"/>
  <c r="H90" i="11"/>
  <c r="G90" i="11"/>
  <c r="F90" i="11"/>
  <c r="E90" i="11"/>
  <c r="Z89" i="11"/>
  <c r="S89" i="11"/>
  <c r="P89" i="11"/>
  <c r="N89" i="11"/>
  <c r="E44" i="10" s="1"/>
  <c r="K89" i="11"/>
  <c r="J89" i="11"/>
  <c r="H89" i="11"/>
  <c r="G89" i="11"/>
  <c r="F89" i="11"/>
  <c r="E89" i="11"/>
  <c r="Z88" i="11"/>
  <c r="S88" i="11"/>
  <c r="P88" i="11"/>
  <c r="N88" i="11"/>
  <c r="E45" i="10" s="1"/>
  <c r="K88" i="11"/>
  <c r="J88" i="11"/>
  <c r="H88" i="11"/>
  <c r="G88" i="11"/>
  <c r="F88" i="11"/>
  <c r="E88" i="11"/>
  <c r="Z87" i="11"/>
  <c r="S87" i="11"/>
  <c r="P87" i="11"/>
  <c r="N87" i="11"/>
  <c r="K87" i="11"/>
  <c r="J87" i="11"/>
  <c r="H87" i="11"/>
  <c r="G87" i="11"/>
  <c r="F87" i="11"/>
  <c r="E87" i="11"/>
  <c r="Z86" i="11"/>
  <c r="S86" i="11"/>
  <c r="P86" i="11"/>
  <c r="N86" i="11"/>
  <c r="E54" i="10" s="1"/>
  <c r="K86" i="11"/>
  <c r="J86" i="11"/>
  <c r="H86" i="11"/>
  <c r="G86" i="11"/>
  <c r="F86" i="11"/>
  <c r="E86" i="11"/>
  <c r="Z85" i="11"/>
  <c r="S85" i="11"/>
  <c r="P85" i="11"/>
  <c r="N85" i="11"/>
  <c r="K85" i="11"/>
  <c r="J85" i="11"/>
  <c r="H85" i="11"/>
  <c r="G85" i="11"/>
  <c r="F85" i="11"/>
  <c r="E85" i="11"/>
  <c r="Z84" i="11"/>
  <c r="S84" i="11"/>
  <c r="P84" i="11"/>
  <c r="N84" i="11"/>
  <c r="E71" i="10" s="1"/>
  <c r="K84" i="11"/>
  <c r="J84" i="11"/>
  <c r="H84" i="11"/>
  <c r="G84" i="11"/>
  <c r="F84" i="11"/>
  <c r="E84" i="11"/>
  <c r="Z83" i="11"/>
  <c r="S83" i="11"/>
  <c r="P83" i="11"/>
  <c r="N83" i="11"/>
  <c r="K83" i="11"/>
  <c r="J83" i="11"/>
  <c r="H83" i="11"/>
  <c r="G83" i="11"/>
  <c r="F83" i="11"/>
  <c r="E83" i="11"/>
  <c r="Z82" i="11"/>
  <c r="S82" i="11"/>
  <c r="P82" i="11"/>
  <c r="N82" i="11"/>
  <c r="E75" i="10" s="1"/>
  <c r="K82" i="11"/>
  <c r="J82" i="11"/>
  <c r="H82" i="11"/>
  <c r="G82" i="11"/>
  <c r="F82" i="11"/>
  <c r="E82" i="11"/>
  <c r="Z81" i="11"/>
  <c r="S81" i="11"/>
  <c r="P81" i="11"/>
  <c r="N81" i="11"/>
  <c r="E85" i="10" s="1"/>
  <c r="K81" i="11"/>
  <c r="J81" i="11"/>
  <c r="H81" i="11"/>
  <c r="G81" i="11"/>
  <c r="F81" i="11"/>
  <c r="E81" i="11"/>
  <c r="Z80" i="11"/>
  <c r="S80" i="11"/>
  <c r="P80" i="11"/>
  <c r="N80" i="11"/>
  <c r="E89" i="10" s="1"/>
  <c r="K80" i="11"/>
  <c r="J80" i="11"/>
  <c r="H80" i="11"/>
  <c r="G80" i="11"/>
  <c r="F80" i="11"/>
  <c r="E80" i="11"/>
  <c r="G79" i="11"/>
  <c r="A79" i="11"/>
  <c r="Z78" i="11"/>
  <c r="S78" i="11"/>
  <c r="P78" i="11"/>
  <c r="N78" i="11"/>
  <c r="E15" i="10" s="1"/>
  <c r="K78" i="11"/>
  <c r="J78" i="11"/>
  <c r="H78" i="11"/>
  <c r="G78" i="11"/>
  <c r="F78" i="11"/>
  <c r="E78" i="11"/>
  <c r="Z77" i="11"/>
  <c r="S77" i="11"/>
  <c r="P77" i="11"/>
  <c r="N77" i="11"/>
  <c r="K77" i="11"/>
  <c r="J77" i="11"/>
  <c r="H77" i="11"/>
  <c r="G77" i="11"/>
  <c r="F77" i="11"/>
  <c r="E77" i="11"/>
  <c r="Z76" i="11"/>
  <c r="S76" i="11"/>
  <c r="P76" i="11"/>
  <c r="N76" i="11"/>
  <c r="K76" i="11"/>
  <c r="J76" i="11"/>
  <c r="H76" i="11"/>
  <c r="G76" i="11"/>
  <c r="F76" i="11"/>
  <c r="E76" i="11"/>
  <c r="Z75" i="11"/>
  <c r="S75" i="11"/>
  <c r="P75" i="11"/>
  <c r="N75" i="11"/>
  <c r="K75" i="11"/>
  <c r="J75" i="11"/>
  <c r="H75" i="11"/>
  <c r="G75" i="11"/>
  <c r="F75" i="11"/>
  <c r="E75" i="11"/>
  <c r="Z74" i="11"/>
  <c r="S74" i="11"/>
  <c r="P74" i="11"/>
  <c r="N74" i="11"/>
  <c r="K74" i="11"/>
  <c r="J74" i="11"/>
  <c r="H74" i="11"/>
  <c r="G74" i="11"/>
  <c r="F74" i="11"/>
  <c r="E74" i="11"/>
  <c r="Z73" i="11"/>
  <c r="S73" i="11"/>
  <c r="P73" i="11"/>
  <c r="N73" i="11"/>
  <c r="K73" i="11"/>
  <c r="J73" i="11"/>
  <c r="H73" i="11"/>
  <c r="G73" i="11"/>
  <c r="F73" i="11"/>
  <c r="E73" i="11"/>
  <c r="Z72" i="11"/>
  <c r="S72" i="11"/>
  <c r="P72" i="11"/>
  <c r="N72" i="11"/>
  <c r="K72" i="11"/>
  <c r="J72" i="11"/>
  <c r="H72" i="11"/>
  <c r="G72" i="11"/>
  <c r="F72" i="11"/>
  <c r="E72" i="11"/>
  <c r="Z71" i="11"/>
  <c r="S71" i="11"/>
  <c r="P71" i="11"/>
  <c r="N71" i="11"/>
  <c r="K71" i="11"/>
  <c r="J71" i="11"/>
  <c r="H71" i="11"/>
  <c r="G71" i="11"/>
  <c r="F71" i="11"/>
  <c r="E71" i="11"/>
  <c r="Z70" i="11"/>
  <c r="S70" i="11"/>
  <c r="P70" i="11"/>
  <c r="N70" i="11"/>
  <c r="K70" i="11"/>
  <c r="J70" i="11"/>
  <c r="H70" i="11"/>
  <c r="G70" i="11"/>
  <c r="F70" i="11"/>
  <c r="E70" i="11"/>
  <c r="Z69" i="11"/>
  <c r="S69" i="11"/>
  <c r="P69" i="11"/>
  <c r="N69" i="11"/>
  <c r="K69" i="11"/>
  <c r="J69" i="11"/>
  <c r="H69" i="11"/>
  <c r="G69" i="11"/>
  <c r="F69" i="11"/>
  <c r="E69" i="11"/>
  <c r="Z68" i="11"/>
  <c r="S68" i="11"/>
  <c r="P68" i="11"/>
  <c r="N68" i="11"/>
  <c r="K68" i="11"/>
  <c r="J68" i="11"/>
  <c r="H68" i="11"/>
  <c r="G68" i="11"/>
  <c r="F68" i="11"/>
  <c r="E68" i="11"/>
  <c r="Z67" i="11"/>
  <c r="S67" i="11"/>
  <c r="P67" i="11"/>
  <c r="N67" i="11"/>
  <c r="K67" i="11"/>
  <c r="J67" i="11"/>
  <c r="H67" i="11"/>
  <c r="G67" i="11"/>
  <c r="F67" i="11"/>
  <c r="E67" i="11"/>
  <c r="Z66" i="11"/>
  <c r="S66" i="11"/>
  <c r="P66" i="11"/>
  <c r="N66" i="11"/>
  <c r="E32" i="10" s="1"/>
  <c r="K66" i="11"/>
  <c r="J66" i="11"/>
  <c r="H66" i="11"/>
  <c r="G66" i="11"/>
  <c r="F66" i="11"/>
  <c r="E66" i="11"/>
  <c r="Z65" i="11"/>
  <c r="S65" i="11"/>
  <c r="P65" i="11"/>
  <c r="N65" i="11"/>
  <c r="K65" i="11"/>
  <c r="J65" i="11"/>
  <c r="H65" i="11"/>
  <c r="G65" i="11"/>
  <c r="F65" i="11"/>
  <c r="E65" i="11"/>
  <c r="Z64" i="11"/>
  <c r="S64" i="11"/>
  <c r="P64" i="11"/>
  <c r="N64" i="11"/>
  <c r="E52" i="10" s="1"/>
  <c r="K64" i="11"/>
  <c r="J64" i="11"/>
  <c r="H64" i="11"/>
  <c r="G64" i="11"/>
  <c r="F64" i="11"/>
  <c r="E64" i="11"/>
  <c r="Z63" i="11"/>
  <c r="S63" i="11"/>
  <c r="P63" i="11"/>
  <c r="N63" i="11"/>
  <c r="E69" i="10" s="1"/>
  <c r="K63" i="11"/>
  <c r="J63" i="11"/>
  <c r="H63" i="11"/>
  <c r="G63" i="11"/>
  <c r="F63" i="11"/>
  <c r="E63" i="11"/>
  <c r="Z62" i="11"/>
  <c r="S62" i="11"/>
  <c r="P62" i="11"/>
  <c r="N62" i="11"/>
  <c r="E70" i="10" s="1"/>
  <c r="K62" i="11"/>
  <c r="J62" i="11"/>
  <c r="H62" i="11"/>
  <c r="G62" i="11"/>
  <c r="F62" i="11"/>
  <c r="E62" i="11"/>
  <c r="Z61" i="11"/>
  <c r="S61" i="11"/>
  <c r="P61" i="11"/>
  <c r="N61" i="11"/>
  <c r="K61" i="11"/>
  <c r="J61" i="11"/>
  <c r="H61" i="11"/>
  <c r="G61" i="11"/>
  <c r="F61" i="11"/>
  <c r="E61" i="11"/>
  <c r="Z60" i="11"/>
  <c r="S60" i="11"/>
  <c r="P60" i="11"/>
  <c r="N60" i="11"/>
  <c r="E10" i="10" s="1"/>
  <c r="K60" i="11"/>
  <c r="J60" i="11"/>
  <c r="H60" i="11"/>
  <c r="G60" i="11"/>
  <c r="F60" i="11"/>
  <c r="E60" i="11"/>
  <c r="Z59" i="11"/>
  <c r="S59" i="11"/>
  <c r="P59" i="11"/>
  <c r="N59" i="11"/>
  <c r="E13" i="10" s="1"/>
  <c r="K59" i="11"/>
  <c r="J59" i="11"/>
  <c r="H59" i="11"/>
  <c r="G59" i="11"/>
  <c r="F59" i="11"/>
  <c r="E59" i="11"/>
  <c r="Z58" i="11"/>
  <c r="S58" i="11"/>
  <c r="P58" i="11"/>
  <c r="N58" i="11"/>
  <c r="K58" i="11"/>
  <c r="J58" i="11"/>
  <c r="H58" i="11"/>
  <c r="G58" i="11"/>
  <c r="F58" i="11"/>
  <c r="E58" i="11"/>
  <c r="Z57" i="11"/>
  <c r="S57" i="11"/>
  <c r="P57" i="11"/>
  <c r="N57" i="11"/>
  <c r="K57" i="11"/>
  <c r="J57" i="11"/>
  <c r="H57" i="11"/>
  <c r="G57" i="11"/>
  <c r="F57" i="11"/>
  <c r="E57" i="11"/>
  <c r="Z56" i="11"/>
  <c r="S56" i="11"/>
  <c r="P56" i="11"/>
  <c r="N56" i="11"/>
  <c r="K56" i="11"/>
  <c r="J56" i="11"/>
  <c r="H56" i="11"/>
  <c r="G56" i="11"/>
  <c r="F56" i="11"/>
  <c r="E56" i="11"/>
  <c r="Z55" i="11"/>
  <c r="S55" i="11"/>
  <c r="P55" i="11"/>
  <c r="N55" i="11"/>
  <c r="K55" i="11"/>
  <c r="J55" i="11"/>
  <c r="H55" i="11"/>
  <c r="G55" i="11"/>
  <c r="F55" i="11"/>
  <c r="E55" i="11"/>
  <c r="Z54" i="11"/>
  <c r="S54" i="11"/>
  <c r="P54" i="11"/>
  <c r="N54" i="11"/>
  <c r="K54" i="11"/>
  <c r="J54" i="11"/>
  <c r="H54" i="11"/>
  <c r="G54" i="11"/>
  <c r="F54" i="11"/>
  <c r="E54" i="11"/>
  <c r="Z53" i="11"/>
  <c r="S53" i="11"/>
  <c r="P53" i="11"/>
  <c r="N53" i="11"/>
  <c r="K53" i="11"/>
  <c r="J53" i="11"/>
  <c r="H53" i="11"/>
  <c r="G53" i="11"/>
  <c r="F53" i="11"/>
  <c r="E53" i="11"/>
  <c r="Z52" i="11"/>
  <c r="S52" i="11"/>
  <c r="P52" i="11"/>
  <c r="N52" i="11"/>
  <c r="K52" i="11"/>
  <c r="J52" i="11"/>
  <c r="H52" i="11"/>
  <c r="G52" i="11"/>
  <c r="F52" i="11"/>
  <c r="E52" i="11"/>
  <c r="Z51" i="11"/>
  <c r="S51" i="11"/>
  <c r="P51" i="11"/>
  <c r="N51" i="11"/>
  <c r="K51" i="11"/>
  <c r="J51" i="11"/>
  <c r="H51" i="11"/>
  <c r="G51" i="11"/>
  <c r="F51" i="11"/>
  <c r="E51" i="11"/>
  <c r="Z50" i="11"/>
  <c r="S50" i="11"/>
  <c r="P50" i="11"/>
  <c r="N50" i="11"/>
  <c r="K50" i="11"/>
  <c r="J50" i="11"/>
  <c r="H50" i="11"/>
  <c r="G50" i="11"/>
  <c r="F50" i="11"/>
  <c r="E50" i="11"/>
  <c r="Z49" i="11"/>
  <c r="S49" i="11"/>
  <c r="P49" i="11"/>
  <c r="N49" i="11"/>
  <c r="K49" i="11"/>
  <c r="J49" i="11"/>
  <c r="H49" i="11"/>
  <c r="G49" i="11"/>
  <c r="F49" i="11"/>
  <c r="E49" i="11"/>
  <c r="Z48" i="11"/>
  <c r="K48" i="11"/>
  <c r="H48" i="11"/>
  <c r="G48" i="11"/>
  <c r="F48" i="11"/>
  <c r="E48" i="11"/>
  <c r="D48" i="11"/>
  <c r="A48" i="11"/>
  <c r="Z47" i="11"/>
  <c r="S47" i="11"/>
  <c r="P47" i="11"/>
  <c r="N47" i="11"/>
  <c r="E21" i="10" s="1"/>
  <c r="K47" i="11"/>
  <c r="J47" i="11"/>
  <c r="H47" i="11"/>
  <c r="G47" i="11"/>
  <c r="F47" i="11"/>
  <c r="E47" i="11"/>
  <c r="Z46" i="11"/>
  <c r="S46" i="11"/>
  <c r="P46" i="11"/>
  <c r="N46" i="11"/>
  <c r="E23" i="10" s="1"/>
  <c r="K46" i="11"/>
  <c r="J46" i="11"/>
  <c r="H46" i="11"/>
  <c r="G46" i="11"/>
  <c r="F46" i="11"/>
  <c r="E46" i="11"/>
  <c r="Z45" i="11"/>
  <c r="S45" i="11"/>
  <c r="P45" i="11"/>
  <c r="N45" i="11"/>
  <c r="E24" i="10" s="1"/>
  <c r="K45" i="11"/>
  <c r="J45" i="11"/>
  <c r="H45" i="11"/>
  <c r="G45" i="11"/>
  <c r="F45" i="11"/>
  <c r="E45" i="11"/>
  <c r="Z44" i="11"/>
  <c r="S44" i="11"/>
  <c r="P44" i="11"/>
  <c r="N44" i="11"/>
  <c r="E25" i="10" s="1"/>
  <c r="K44" i="11"/>
  <c r="J44" i="11"/>
  <c r="H44" i="11"/>
  <c r="G44" i="11"/>
  <c r="F44" i="11"/>
  <c r="E44" i="11"/>
  <c r="Z43" i="11"/>
  <c r="S43" i="11"/>
  <c r="P43" i="11"/>
  <c r="N43" i="11"/>
  <c r="K43" i="11"/>
  <c r="J43" i="11"/>
  <c r="H43" i="11"/>
  <c r="G43" i="11"/>
  <c r="F43" i="11"/>
  <c r="E43" i="11"/>
  <c r="Z42" i="11"/>
  <c r="S42" i="11"/>
  <c r="P42" i="11"/>
  <c r="N42" i="11"/>
  <c r="K42" i="11"/>
  <c r="J42" i="11"/>
  <c r="H42" i="11"/>
  <c r="G42" i="11"/>
  <c r="F42" i="11"/>
  <c r="E42" i="11"/>
  <c r="Z41" i="11"/>
  <c r="S41" i="11"/>
  <c r="P41" i="11"/>
  <c r="N41" i="11"/>
  <c r="E51" i="10" s="1"/>
  <c r="K41" i="11"/>
  <c r="J41" i="11"/>
  <c r="H41" i="11"/>
  <c r="G41" i="11"/>
  <c r="F41" i="11"/>
  <c r="E41" i="11"/>
  <c r="Z40" i="11"/>
  <c r="S40" i="11"/>
  <c r="P40" i="11"/>
  <c r="N40" i="11"/>
  <c r="E72" i="10" s="1"/>
  <c r="K40" i="11"/>
  <c r="J40" i="11"/>
  <c r="H40" i="11"/>
  <c r="G40" i="11"/>
  <c r="F40" i="11"/>
  <c r="E40" i="11"/>
  <c r="Z39" i="11"/>
  <c r="S39" i="11"/>
  <c r="P39" i="11"/>
  <c r="N39" i="11"/>
  <c r="E74" i="10" s="1"/>
  <c r="K39" i="11"/>
  <c r="J39" i="11"/>
  <c r="H39" i="11"/>
  <c r="G39" i="11"/>
  <c r="F39" i="11"/>
  <c r="E39" i="11"/>
  <c r="Z38" i="11"/>
  <c r="S38" i="11"/>
  <c r="P38" i="11"/>
  <c r="N38" i="11"/>
  <c r="E80" i="10" s="1"/>
  <c r="K38" i="11"/>
  <c r="J38" i="11"/>
  <c r="H38" i="11"/>
  <c r="G38" i="11"/>
  <c r="F38" i="11"/>
  <c r="E38" i="11"/>
  <c r="Z37" i="11"/>
  <c r="S37" i="11"/>
  <c r="P37" i="11"/>
  <c r="N37" i="11"/>
  <c r="K37" i="11"/>
  <c r="J37" i="11"/>
  <c r="H37" i="11"/>
  <c r="G37" i="11"/>
  <c r="F37" i="11"/>
  <c r="E37" i="11"/>
  <c r="Z36" i="11"/>
  <c r="S36" i="11"/>
  <c r="P36" i="11"/>
  <c r="N36" i="11"/>
  <c r="E56" i="10" s="1"/>
  <c r="K36" i="11"/>
  <c r="J36" i="11"/>
  <c r="H36" i="11"/>
  <c r="G36" i="11"/>
  <c r="F36" i="11"/>
  <c r="E36" i="11"/>
  <c r="G35" i="11"/>
  <c r="A35" i="11"/>
  <c r="Z34" i="11"/>
  <c r="S34" i="11"/>
  <c r="P34" i="11"/>
  <c r="N34" i="11"/>
  <c r="K34" i="11"/>
  <c r="J34" i="11"/>
  <c r="H34" i="11"/>
  <c r="G34" i="11"/>
  <c r="F34" i="11"/>
  <c r="E34" i="11"/>
  <c r="Z33" i="11"/>
  <c r="S33" i="11"/>
  <c r="P33" i="11"/>
  <c r="N33" i="11"/>
  <c r="K33" i="11"/>
  <c r="J33" i="11"/>
  <c r="H33" i="11"/>
  <c r="G33" i="11"/>
  <c r="F33" i="11"/>
  <c r="E33" i="11"/>
  <c r="Z32" i="11"/>
  <c r="S32" i="11"/>
  <c r="P32" i="11"/>
  <c r="N32" i="11"/>
  <c r="E46" i="10" s="1"/>
  <c r="K32" i="11"/>
  <c r="J32" i="11"/>
  <c r="H32" i="11"/>
  <c r="G32" i="11"/>
  <c r="F32" i="11"/>
  <c r="E32" i="11"/>
  <c r="Z31" i="11"/>
  <c r="S31" i="11"/>
  <c r="P31" i="11"/>
  <c r="N31" i="11"/>
  <c r="E48" i="10" s="1"/>
  <c r="K31" i="11"/>
  <c r="J31" i="11"/>
  <c r="H31" i="11"/>
  <c r="G31" i="11"/>
  <c r="F31" i="11"/>
  <c r="E31" i="11"/>
  <c r="Z30" i="11"/>
  <c r="S30" i="11"/>
  <c r="P30" i="11"/>
  <c r="N30" i="11"/>
  <c r="E78" i="10" s="1"/>
  <c r="K30" i="11"/>
  <c r="J30" i="11"/>
  <c r="H30" i="11"/>
  <c r="G30" i="11"/>
  <c r="F30" i="11"/>
  <c r="E30" i="11"/>
  <c r="Z29" i="11"/>
  <c r="S29" i="11"/>
  <c r="P29" i="11"/>
  <c r="N29" i="11"/>
  <c r="E97" i="10" s="1"/>
  <c r="K29" i="11"/>
  <c r="J29" i="11"/>
  <c r="H29" i="11"/>
  <c r="G29" i="11"/>
  <c r="F29" i="11"/>
  <c r="E29" i="11"/>
  <c r="Z28" i="11"/>
  <c r="S28" i="11"/>
  <c r="P28" i="11"/>
  <c r="N28" i="11"/>
  <c r="E103" i="10" s="1"/>
  <c r="K28" i="11"/>
  <c r="J28" i="11"/>
  <c r="H28" i="11"/>
  <c r="G28" i="11"/>
  <c r="F28" i="11"/>
  <c r="E28" i="11"/>
  <c r="Z27" i="11"/>
  <c r="S27" i="11"/>
  <c r="P27" i="11"/>
  <c r="N27" i="11"/>
  <c r="E105" i="10" s="1"/>
  <c r="K27" i="11"/>
  <c r="J27" i="11"/>
  <c r="H27" i="11"/>
  <c r="G27" i="11"/>
  <c r="F27" i="11"/>
  <c r="E27" i="11"/>
  <c r="Z26" i="11"/>
  <c r="S26" i="11"/>
  <c r="P26" i="11"/>
  <c r="N26" i="11"/>
  <c r="E106" i="10" s="1"/>
  <c r="K26" i="11"/>
  <c r="J26" i="11"/>
  <c r="H26" i="11"/>
  <c r="G26" i="11"/>
  <c r="F26" i="11"/>
  <c r="E26" i="11"/>
  <c r="Z25" i="11"/>
  <c r="S25" i="11"/>
  <c r="P25" i="11"/>
  <c r="N25" i="11"/>
  <c r="K25" i="11"/>
  <c r="J25" i="11"/>
  <c r="H25" i="11"/>
  <c r="G25" i="11"/>
  <c r="F25" i="11"/>
  <c r="E25" i="11"/>
  <c r="Z24" i="11"/>
  <c r="S24" i="11"/>
  <c r="P24" i="11"/>
  <c r="N24" i="11"/>
  <c r="E14" i="10" s="1"/>
  <c r="K24" i="11"/>
  <c r="J24" i="11"/>
  <c r="H24" i="11"/>
  <c r="G24" i="11"/>
  <c r="F24" i="11"/>
  <c r="E24" i="11"/>
  <c r="Z23" i="11"/>
  <c r="S23" i="11"/>
  <c r="P23" i="11"/>
  <c r="N23" i="11"/>
  <c r="K23" i="11"/>
  <c r="J23" i="11"/>
  <c r="H23" i="11"/>
  <c r="G23" i="11"/>
  <c r="F23" i="11"/>
  <c r="E23" i="11"/>
  <c r="Z22" i="11"/>
  <c r="S22" i="11"/>
  <c r="P22" i="11"/>
  <c r="N22" i="11"/>
  <c r="E43" i="10" s="1"/>
  <c r="K22" i="11"/>
  <c r="J22" i="11"/>
  <c r="H22" i="11"/>
  <c r="G22" i="11"/>
  <c r="F22" i="11"/>
  <c r="E22" i="11"/>
  <c r="Z21" i="11"/>
  <c r="S21" i="11"/>
  <c r="P21" i="11"/>
  <c r="N21" i="11"/>
  <c r="E55" i="10" s="1"/>
  <c r="K21" i="11"/>
  <c r="J21" i="11"/>
  <c r="H21" i="11"/>
  <c r="G21" i="11"/>
  <c r="F21" i="11"/>
  <c r="E21" i="11"/>
  <c r="Z20" i="11"/>
  <c r="S20" i="11"/>
  <c r="P20" i="11"/>
  <c r="N20" i="11"/>
  <c r="K20" i="11"/>
  <c r="J20" i="11"/>
  <c r="H20" i="11"/>
  <c r="G20" i="11"/>
  <c r="F20" i="11"/>
  <c r="E20" i="11"/>
  <c r="Z19" i="11"/>
  <c r="S19" i="11"/>
  <c r="P19" i="11"/>
  <c r="N19" i="11"/>
  <c r="K19" i="11"/>
  <c r="J19" i="11"/>
  <c r="H19" i="11"/>
  <c r="G19" i="11"/>
  <c r="F19" i="11"/>
  <c r="E19" i="11"/>
  <c r="Z18" i="11"/>
  <c r="S18" i="11"/>
  <c r="P18" i="11"/>
  <c r="N18" i="11"/>
  <c r="E29" i="10" s="1"/>
  <c r="K18" i="11"/>
  <c r="J18" i="11"/>
  <c r="H18" i="11"/>
  <c r="G18" i="11"/>
  <c r="F18" i="11"/>
  <c r="E18" i="11"/>
  <c r="Z17" i="11"/>
  <c r="S17" i="11"/>
  <c r="P17" i="11"/>
  <c r="N17" i="11"/>
  <c r="K17" i="11"/>
  <c r="J17" i="11"/>
  <c r="H17" i="11"/>
  <c r="G17" i="11"/>
  <c r="F17" i="11"/>
  <c r="E17" i="11"/>
  <c r="Z16" i="11"/>
  <c r="S16" i="11"/>
  <c r="P16" i="11"/>
  <c r="N16" i="11"/>
  <c r="K16" i="11"/>
  <c r="J16" i="11"/>
  <c r="H16" i="11"/>
  <c r="G16" i="11"/>
  <c r="F16" i="11"/>
  <c r="E16" i="11"/>
  <c r="Z15" i="11"/>
  <c r="S15" i="11"/>
  <c r="P15" i="11"/>
  <c r="N15" i="11"/>
  <c r="K15" i="11"/>
  <c r="J15" i="11"/>
  <c r="H15" i="11"/>
  <c r="G15" i="11"/>
  <c r="F15" i="11"/>
  <c r="E15" i="11"/>
  <c r="Z14" i="11"/>
  <c r="S14" i="11"/>
  <c r="P14" i="11"/>
  <c r="N14" i="11"/>
  <c r="K14" i="11"/>
  <c r="J14" i="11"/>
  <c r="H14" i="11"/>
  <c r="G14" i="11"/>
  <c r="F14" i="11"/>
  <c r="E14" i="11"/>
  <c r="Z13" i="11"/>
  <c r="S13" i="11"/>
  <c r="P13" i="11"/>
  <c r="N13" i="11"/>
  <c r="K13" i="11"/>
  <c r="J13" i="11"/>
  <c r="H13" i="11"/>
  <c r="G13" i="11"/>
  <c r="F13" i="11"/>
  <c r="E13" i="11"/>
  <c r="Z12" i="11"/>
  <c r="S12" i="11"/>
  <c r="P12" i="11"/>
  <c r="N12" i="11"/>
  <c r="K12" i="11"/>
  <c r="J12" i="11"/>
  <c r="H12" i="11"/>
  <c r="G12" i="11"/>
  <c r="F12" i="11"/>
  <c r="E12" i="11"/>
  <c r="Z11" i="11"/>
  <c r="S11" i="11"/>
  <c r="P11" i="11"/>
  <c r="N11" i="11"/>
  <c r="E26" i="10" s="1"/>
  <c r="K11" i="11"/>
  <c r="J11" i="11"/>
  <c r="H11" i="11"/>
  <c r="G11" i="11"/>
  <c r="F11" i="11"/>
  <c r="E11" i="11"/>
  <c r="Z10" i="11"/>
  <c r="S10" i="11"/>
  <c r="P10" i="11"/>
  <c r="N10" i="11"/>
  <c r="E30" i="10" s="1"/>
  <c r="K10" i="11"/>
  <c r="J10" i="11"/>
  <c r="H10" i="11"/>
  <c r="G10" i="11"/>
  <c r="F10" i="11"/>
  <c r="E10" i="11"/>
  <c r="Z9" i="11"/>
  <c r="S9" i="11"/>
  <c r="P9" i="11"/>
  <c r="N9" i="11"/>
  <c r="E9" i="10" s="1"/>
  <c r="K9" i="11"/>
  <c r="J9" i="11"/>
  <c r="H9" i="11"/>
  <c r="G9" i="11"/>
  <c r="F9" i="11"/>
  <c r="E9" i="11"/>
  <c r="Z8" i="11"/>
  <c r="S8" i="11"/>
  <c r="P8" i="11"/>
  <c r="N8" i="11"/>
  <c r="E11" i="10" s="1"/>
  <c r="K8" i="11"/>
  <c r="J8" i="11"/>
  <c r="H8" i="11"/>
  <c r="G8" i="11"/>
  <c r="F8" i="11"/>
  <c r="E8" i="11"/>
  <c r="G7" i="11"/>
  <c r="A7" i="11"/>
  <c r="G6" i="11"/>
  <c r="A6" i="11"/>
  <c r="C91" i="9"/>
  <c r="B91" i="9"/>
  <c r="D90" i="9"/>
  <c r="C90" i="9"/>
  <c r="B90" i="9"/>
  <c r="E90" i="9"/>
  <c r="C89" i="9"/>
  <c r="B89" i="9"/>
  <c r="D88" i="9"/>
  <c r="C88" i="9"/>
  <c r="B88" i="9"/>
  <c r="A87" i="9"/>
  <c r="C86" i="9"/>
  <c r="B86" i="9"/>
  <c r="C85" i="9"/>
  <c r="B85" i="9"/>
  <c r="D84" i="9"/>
  <c r="C84" i="9"/>
  <c r="B84" i="9"/>
  <c r="C83" i="9"/>
  <c r="B83" i="9"/>
  <c r="D82" i="9"/>
  <c r="C82" i="9"/>
  <c r="B82" i="9"/>
  <c r="C81" i="9"/>
  <c r="B81" i="9"/>
  <c r="C80" i="9"/>
  <c r="B80" i="9"/>
  <c r="D79" i="9"/>
  <c r="C79" i="9"/>
  <c r="B79" i="9"/>
  <c r="C78" i="9"/>
  <c r="B78" i="9"/>
  <c r="C77" i="9"/>
  <c r="B77" i="9"/>
  <c r="D76" i="9"/>
  <c r="C76" i="9"/>
  <c r="B76" i="9"/>
  <c r="C75" i="9"/>
  <c r="B75" i="9"/>
  <c r="C74" i="9"/>
  <c r="B74" i="9"/>
  <c r="D73" i="9"/>
  <c r="C73" i="9"/>
  <c r="B73" i="9"/>
  <c r="E73" i="9"/>
  <c r="D72" i="9"/>
  <c r="C72" i="9"/>
  <c r="B72" i="9"/>
  <c r="E72" i="9"/>
  <c r="D71" i="9"/>
  <c r="C71" i="9"/>
  <c r="B71" i="9"/>
  <c r="D70" i="9"/>
  <c r="C70" i="9"/>
  <c r="B70" i="9"/>
  <c r="E70" i="9"/>
  <c r="C69" i="9"/>
  <c r="B69" i="9"/>
  <c r="D68" i="9"/>
  <c r="C68" i="9"/>
  <c r="B68" i="9"/>
  <c r="C67" i="9"/>
  <c r="B67" i="9"/>
  <c r="D66" i="9"/>
  <c r="C66" i="9"/>
  <c r="B66" i="9"/>
  <c r="D65" i="9"/>
  <c r="C65" i="9"/>
  <c r="B65" i="9"/>
  <c r="E65" i="9"/>
  <c r="D64" i="9"/>
  <c r="C64" i="9"/>
  <c r="B64" i="9"/>
  <c r="E64" i="9"/>
  <c r="C63" i="9"/>
  <c r="B63" i="9"/>
  <c r="D62" i="9"/>
  <c r="C62" i="9"/>
  <c r="B62" i="9"/>
  <c r="E62" i="9"/>
  <c r="C61" i="9"/>
  <c r="B61" i="9"/>
  <c r="C60" i="9"/>
  <c r="B60" i="9"/>
  <c r="C59" i="9"/>
  <c r="B59" i="9"/>
  <c r="D58" i="9"/>
  <c r="C58" i="9"/>
  <c r="B58" i="9"/>
  <c r="E58" i="9"/>
  <c r="C57" i="9"/>
  <c r="B57" i="9"/>
  <c r="D56" i="9"/>
  <c r="C56" i="9"/>
  <c r="B56" i="9"/>
  <c r="E56" i="9"/>
  <c r="C55" i="9"/>
  <c r="B55" i="9"/>
  <c r="C54" i="9"/>
  <c r="B54" i="9"/>
  <c r="C53" i="9"/>
  <c r="B53" i="9"/>
  <c r="D52" i="9"/>
  <c r="C52" i="9"/>
  <c r="B52" i="9"/>
  <c r="E52" i="9"/>
  <c r="A51" i="9"/>
  <c r="D50" i="9"/>
  <c r="C50" i="9"/>
  <c r="B50" i="9"/>
  <c r="D49" i="9"/>
  <c r="C49" i="9"/>
  <c r="B49" i="9"/>
  <c r="D48" i="9"/>
  <c r="C48" i="9"/>
  <c r="B48" i="9"/>
  <c r="D47" i="9"/>
  <c r="C47" i="9"/>
  <c r="B47" i="9"/>
  <c r="D46" i="9"/>
  <c r="C46" i="9"/>
  <c r="B46" i="9"/>
  <c r="E46" i="9"/>
  <c r="D45" i="9"/>
  <c r="C45" i="9"/>
  <c r="B45" i="9"/>
  <c r="D44" i="9"/>
  <c r="C44" i="9"/>
  <c r="B44" i="9"/>
  <c r="D43" i="9"/>
  <c r="C43" i="9"/>
  <c r="B43" i="9"/>
  <c r="D42" i="9"/>
  <c r="C42" i="9"/>
  <c r="B42" i="9"/>
  <c r="D41" i="9"/>
  <c r="C41" i="9"/>
  <c r="B41" i="9"/>
  <c r="D40" i="9"/>
  <c r="C40" i="9"/>
  <c r="B40" i="9"/>
  <c r="E40" i="9"/>
  <c r="D39" i="9"/>
  <c r="C39" i="9"/>
  <c r="B39" i="9"/>
  <c r="C38" i="9"/>
  <c r="B38" i="9"/>
  <c r="D37" i="9"/>
  <c r="C37" i="9"/>
  <c r="B37" i="9"/>
  <c r="E37" i="9"/>
  <c r="D36" i="9"/>
  <c r="C36" i="9"/>
  <c r="B36" i="9"/>
  <c r="A35" i="9"/>
  <c r="D34" i="9"/>
  <c r="C34" i="9"/>
  <c r="B34" i="9"/>
  <c r="D33" i="9"/>
  <c r="C33" i="9"/>
  <c r="B33" i="9"/>
  <c r="D32" i="9"/>
  <c r="C32" i="9"/>
  <c r="B32" i="9"/>
  <c r="D31" i="9"/>
  <c r="C31" i="9"/>
  <c r="B31" i="9"/>
  <c r="E31" i="9"/>
  <c r="D30" i="9"/>
  <c r="C30" i="9"/>
  <c r="B30" i="9"/>
  <c r="D29" i="9"/>
  <c r="C29" i="9"/>
  <c r="B29" i="9"/>
  <c r="D28" i="9"/>
  <c r="C28" i="9"/>
  <c r="B28" i="9"/>
  <c r="D27" i="9"/>
  <c r="C27" i="9"/>
  <c r="B27" i="9"/>
  <c r="E27" i="9"/>
  <c r="D26" i="9"/>
  <c r="C26" i="9"/>
  <c r="B26" i="9"/>
  <c r="D25" i="9"/>
  <c r="C25" i="9"/>
  <c r="B25" i="9"/>
  <c r="D24" i="9"/>
  <c r="C24" i="9"/>
  <c r="B24" i="9"/>
  <c r="D23" i="9"/>
  <c r="C23" i="9"/>
  <c r="B23" i="9"/>
  <c r="E23" i="9"/>
  <c r="D22" i="9"/>
  <c r="C22" i="9"/>
  <c r="B22" i="9"/>
  <c r="D21" i="9"/>
  <c r="C21" i="9"/>
  <c r="B21" i="9"/>
  <c r="D20" i="9"/>
  <c r="C20" i="9"/>
  <c r="B20" i="9"/>
  <c r="E20" i="9"/>
  <c r="A19" i="9"/>
  <c r="A11" i="9"/>
  <c r="A1" i="9"/>
  <c r="H1064" i="8"/>
  <c r="H1061" i="8"/>
  <c r="C1064" i="8"/>
  <c r="C1061" i="8"/>
  <c r="L1051" i="8"/>
  <c r="L1050" i="8"/>
  <c r="L1047" i="8"/>
  <c r="L1046" i="8"/>
  <c r="L1039" i="8"/>
  <c r="L1035" i="8"/>
  <c r="L1023" i="8"/>
  <c r="L1022" i="8"/>
  <c r="L1021" i="8"/>
  <c r="L1020" i="8"/>
  <c r="L1019" i="8"/>
  <c r="L1018" i="8"/>
  <c r="L1015" i="8"/>
  <c r="L1014" i="8"/>
  <c r="L1012" i="8"/>
  <c r="L1009" i="8"/>
  <c r="L1004" i="8"/>
  <c r="L1003" i="8"/>
  <c r="L1002" i="8"/>
  <c r="L997" i="8"/>
  <c r="L996" i="8"/>
  <c r="L989" i="8"/>
  <c r="L988" i="8"/>
  <c r="L984" i="8"/>
  <c r="L968" i="8"/>
  <c r="L964" i="8"/>
  <c r="L948" i="8"/>
  <c r="L947" i="8"/>
  <c r="L944" i="8"/>
  <c r="L943" i="8"/>
  <c r="L941" i="8"/>
  <c r="L940" i="8"/>
  <c r="L934" i="8"/>
  <c r="L933" i="8"/>
  <c r="L929" i="8"/>
  <c r="AW919" i="8"/>
  <c r="AT919" i="8"/>
  <c r="AO919" i="8"/>
  <c r="AE919" i="8"/>
  <c r="AD919" i="8"/>
  <c r="G918" i="8"/>
  <c r="E918" i="8"/>
  <c r="G917" i="8"/>
  <c r="E917" i="8"/>
  <c r="I915" i="8"/>
  <c r="H915" i="8"/>
  <c r="E915" i="8"/>
  <c r="D915" i="8"/>
  <c r="B915" i="8"/>
  <c r="G913" i="8"/>
  <c r="E913" i="8"/>
  <c r="D913" i="8"/>
  <c r="C913" i="8"/>
  <c r="B913" i="8"/>
  <c r="F912" i="8"/>
  <c r="E909" i="8"/>
  <c r="G909" i="8"/>
  <c r="D909" i="8"/>
  <c r="C909" i="8"/>
  <c r="C908" i="8"/>
  <c r="AW907" i="8"/>
  <c r="AE907" i="8"/>
  <c r="AD907" i="8"/>
  <c r="G906" i="8"/>
  <c r="E906" i="8"/>
  <c r="G905" i="8"/>
  <c r="E905" i="8"/>
  <c r="I903" i="8"/>
  <c r="H903" i="8"/>
  <c r="E903" i="8"/>
  <c r="D903" i="8"/>
  <c r="C903" i="8"/>
  <c r="B903" i="8"/>
  <c r="G901" i="8"/>
  <c r="E901" i="8"/>
  <c r="D901" i="8"/>
  <c r="C901" i="8"/>
  <c r="B901" i="8"/>
  <c r="J900" i="8"/>
  <c r="F900" i="8"/>
  <c r="E900" i="8"/>
  <c r="F899" i="8"/>
  <c r="I898" i="8"/>
  <c r="F898" i="8"/>
  <c r="F895" i="8"/>
  <c r="E892" i="8"/>
  <c r="G892" i="8"/>
  <c r="D892" i="8"/>
  <c r="C892" i="8"/>
  <c r="L887" i="8"/>
  <c r="L886" i="8"/>
  <c r="L883" i="8"/>
  <c r="L882" i="8"/>
  <c r="L880" i="8"/>
  <c r="L879" i="8"/>
  <c r="L873" i="8"/>
  <c r="L872" i="8"/>
  <c r="L868" i="8"/>
  <c r="AE858" i="8"/>
  <c r="AD858" i="8"/>
  <c r="G857" i="8"/>
  <c r="E857" i="8"/>
  <c r="G856" i="8"/>
  <c r="E856" i="8"/>
  <c r="I854" i="8"/>
  <c r="H854" i="8"/>
  <c r="E854" i="8"/>
  <c r="D854" i="8"/>
  <c r="C854" i="8"/>
  <c r="B854" i="8"/>
  <c r="I853" i="8"/>
  <c r="H853" i="8"/>
  <c r="E853" i="8"/>
  <c r="D853" i="8"/>
  <c r="C853" i="8"/>
  <c r="B853" i="8"/>
  <c r="G851" i="8"/>
  <c r="E851" i="8"/>
  <c r="D851" i="8"/>
  <c r="C851" i="8"/>
  <c r="B851" i="8"/>
  <c r="G850" i="8"/>
  <c r="E850" i="8"/>
  <c r="D850" i="8"/>
  <c r="C850" i="8"/>
  <c r="B850" i="8"/>
  <c r="I849" i="8"/>
  <c r="I848" i="8"/>
  <c r="J846" i="8"/>
  <c r="F846" i="8"/>
  <c r="E846" i="8"/>
  <c r="F845" i="8"/>
  <c r="I844" i="8"/>
  <c r="F844" i="8"/>
  <c r="F841" i="8"/>
  <c r="E838" i="8"/>
  <c r="G838" i="8"/>
  <c r="D838" i="8"/>
  <c r="C838" i="8"/>
  <c r="AE837" i="8"/>
  <c r="AD837" i="8"/>
  <c r="G836" i="8"/>
  <c r="E836" i="8"/>
  <c r="G835" i="8"/>
  <c r="E835" i="8"/>
  <c r="I833" i="8"/>
  <c r="H833" i="8"/>
  <c r="E833" i="8"/>
  <c r="D833" i="8"/>
  <c r="C833" i="8"/>
  <c r="B833" i="8"/>
  <c r="G831" i="8"/>
  <c r="E831" i="8"/>
  <c r="D831" i="8"/>
  <c r="C831" i="8"/>
  <c r="B831" i="8"/>
  <c r="I830" i="8"/>
  <c r="L826" i="8"/>
  <c r="AT837" i="8" s="1"/>
  <c r="F828" i="8"/>
  <c r="I827" i="8"/>
  <c r="F827" i="8"/>
  <c r="F824" i="8"/>
  <c r="E821" i="8"/>
  <c r="G821" i="8"/>
  <c r="D821" i="8"/>
  <c r="C821" i="8"/>
  <c r="AW820" i="8"/>
  <c r="AE820" i="8"/>
  <c r="AD820" i="8"/>
  <c r="G819" i="8"/>
  <c r="E819" i="8"/>
  <c r="G818" i="8"/>
  <c r="E818" i="8"/>
  <c r="I816" i="8"/>
  <c r="H816" i="8"/>
  <c r="E816" i="8"/>
  <c r="D816" i="8"/>
  <c r="C816" i="8"/>
  <c r="B816" i="8"/>
  <c r="I815" i="8"/>
  <c r="H815" i="8"/>
  <c r="E815" i="8"/>
  <c r="D815" i="8"/>
  <c r="C815" i="8"/>
  <c r="B815" i="8"/>
  <c r="G813" i="8"/>
  <c r="F813" i="8"/>
  <c r="E813" i="8"/>
  <c r="D813" i="8"/>
  <c r="C813" i="8"/>
  <c r="B813" i="8"/>
  <c r="G812" i="8"/>
  <c r="F812" i="8"/>
  <c r="E812" i="8"/>
  <c r="D812" i="8"/>
  <c r="C812" i="8"/>
  <c r="B812" i="8"/>
  <c r="I811" i="8"/>
  <c r="F811" i="8"/>
  <c r="J810" i="8"/>
  <c r="F810" i="8"/>
  <c r="E810" i="8"/>
  <c r="F809" i="8"/>
  <c r="J808" i="8"/>
  <c r="F808" i="8"/>
  <c r="E808" i="8"/>
  <c r="F807" i="8"/>
  <c r="I806" i="8"/>
  <c r="F806" i="8"/>
  <c r="F803" i="8"/>
  <c r="C801" i="8"/>
  <c r="B801" i="8"/>
  <c r="E800" i="8"/>
  <c r="G800" i="8"/>
  <c r="D800" i="8"/>
  <c r="AE799" i="8"/>
  <c r="AD799" i="8"/>
  <c r="G798" i="8"/>
  <c r="E798" i="8"/>
  <c r="G797" i="8"/>
  <c r="E797" i="8"/>
  <c r="J795" i="8"/>
  <c r="E795" i="8"/>
  <c r="D795" i="8"/>
  <c r="C795" i="8"/>
  <c r="B795" i="8"/>
  <c r="J794" i="8"/>
  <c r="E794" i="8"/>
  <c r="D794" i="8"/>
  <c r="C794" i="8"/>
  <c r="B794" i="8"/>
  <c r="G792" i="8"/>
  <c r="E792" i="8"/>
  <c r="D792" i="8"/>
  <c r="C792" i="8"/>
  <c r="B792" i="8"/>
  <c r="I791" i="8"/>
  <c r="I790" i="8"/>
  <c r="I789" i="8"/>
  <c r="I788" i="8"/>
  <c r="I787" i="8"/>
  <c r="I786" i="8"/>
  <c r="I785" i="8"/>
  <c r="I784" i="8"/>
  <c r="I783" i="8"/>
  <c r="I781" i="8"/>
  <c r="I780" i="8"/>
  <c r="F778" i="8"/>
  <c r="I777" i="8"/>
  <c r="F777" i="8"/>
  <c r="J776" i="8"/>
  <c r="F776" i="8"/>
  <c r="E776" i="8"/>
  <c r="F775" i="8"/>
  <c r="I774" i="8"/>
  <c r="F774" i="8"/>
  <c r="J773" i="8"/>
  <c r="F773" i="8"/>
  <c r="E773" i="8"/>
  <c r="F772" i="8"/>
  <c r="F769" i="8"/>
  <c r="E766" i="8"/>
  <c r="G766" i="8"/>
  <c r="D766" i="8"/>
  <c r="C766" i="8"/>
  <c r="AE765" i="8"/>
  <c r="AD765" i="8"/>
  <c r="G764" i="8"/>
  <c r="E764" i="8"/>
  <c r="G763" i="8"/>
  <c r="E763" i="8"/>
  <c r="J761" i="8"/>
  <c r="E761" i="8"/>
  <c r="D761" i="8"/>
  <c r="C761" i="8"/>
  <c r="B761" i="8"/>
  <c r="J760" i="8"/>
  <c r="E760" i="8"/>
  <c r="D760" i="8"/>
  <c r="C760" i="8"/>
  <c r="B760" i="8"/>
  <c r="G758" i="8"/>
  <c r="E758" i="8"/>
  <c r="D758" i="8"/>
  <c r="C758" i="8"/>
  <c r="B758" i="8"/>
  <c r="G757" i="8"/>
  <c r="E757" i="8"/>
  <c r="D757" i="8"/>
  <c r="C757" i="8"/>
  <c r="B757" i="8"/>
  <c r="I756" i="8"/>
  <c r="I755" i="8"/>
  <c r="J753" i="8"/>
  <c r="F753" i="8"/>
  <c r="E753" i="8"/>
  <c r="F752" i="8"/>
  <c r="F749" i="8"/>
  <c r="E746" i="8"/>
  <c r="G746" i="8"/>
  <c r="D746" i="8"/>
  <c r="C746" i="8"/>
  <c r="C745" i="8"/>
  <c r="AE744" i="8"/>
  <c r="AD744" i="8"/>
  <c r="G743" i="8"/>
  <c r="E743" i="8"/>
  <c r="G742" i="8"/>
  <c r="E742" i="8"/>
  <c r="G739" i="8"/>
  <c r="E739" i="8"/>
  <c r="D739" i="8"/>
  <c r="C739" i="8"/>
  <c r="B739" i="8"/>
  <c r="I738" i="8"/>
  <c r="I737" i="8"/>
  <c r="I735" i="8"/>
  <c r="I734" i="8"/>
  <c r="F732" i="8"/>
  <c r="I731" i="8"/>
  <c r="F731" i="8"/>
  <c r="J730" i="8"/>
  <c r="F730" i="8"/>
  <c r="E730" i="8"/>
  <c r="F729" i="8"/>
  <c r="F726" i="8"/>
  <c r="F725" i="8"/>
  <c r="F724" i="8"/>
  <c r="F723" i="8"/>
  <c r="E720" i="8"/>
  <c r="G720" i="8"/>
  <c r="D720" i="8"/>
  <c r="C720" i="8"/>
  <c r="C719" i="8"/>
  <c r="AE718" i="8"/>
  <c r="AD718" i="8"/>
  <c r="G717" i="8"/>
  <c r="E717" i="8"/>
  <c r="G716" i="8"/>
  <c r="E716" i="8"/>
  <c r="I713" i="8"/>
  <c r="I711" i="8"/>
  <c r="I710" i="8"/>
  <c r="L707" i="8"/>
  <c r="AT718" i="8" s="1"/>
  <c r="F708" i="8"/>
  <c r="F705" i="8"/>
  <c r="E702" i="8"/>
  <c r="G702" i="8"/>
  <c r="D702" i="8"/>
  <c r="C702" i="8"/>
  <c r="AE701" i="8"/>
  <c r="AD701" i="8"/>
  <c r="G700" i="8"/>
  <c r="E700" i="8"/>
  <c r="G699" i="8"/>
  <c r="E699" i="8"/>
  <c r="I696" i="8"/>
  <c r="I694" i="8"/>
  <c r="I693" i="8"/>
  <c r="L690" i="8"/>
  <c r="AT701" i="8" s="1"/>
  <c r="F691" i="8"/>
  <c r="F688" i="8"/>
  <c r="E685" i="8"/>
  <c r="G685" i="8"/>
  <c r="D685" i="8"/>
  <c r="C685" i="8"/>
  <c r="C684" i="8"/>
  <c r="AE683" i="8"/>
  <c r="AD683" i="8"/>
  <c r="G682" i="8"/>
  <c r="E682" i="8"/>
  <c r="G681" i="8"/>
  <c r="E681" i="8"/>
  <c r="I679" i="8"/>
  <c r="H679" i="8"/>
  <c r="E679" i="8"/>
  <c r="D679" i="8"/>
  <c r="C679" i="8"/>
  <c r="B679" i="8"/>
  <c r="G677" i="8"/>
  <c r="E677" i="8"/>
  <c r="D677" i="8"/>
  <c r="C677" i="8"/>
  <c r="B677" i="8"/>
  <c r="I676" i="8"/>
  <c r="I675" i="8"/>
  <c r="I674" i="8"/>
  <c r="I673" i="8"/>
  <c r="I671" i="8"/>
  <c r="F671" i="8"/>
  <c r="J670" i="8"/>
  <c r="F670" i="8"/>
  <c r="E670" i="8"/>
  <c r="F669" i="8"/>
  <c r="I668" i="8"/>
  <c r="F668" i="8"/>
  <c r="F665" i="8"/>
  <c r="E662" i="8"/>
  <c r="G662" i="8"/>
  <c r="D662" i="8"/>
  <c r="C662" i="8"/>
  <c r="AE661" i="8"/>
  <c r="AD661" i="8"/>
  <c r="G660" i="8"/>
  <c r="E660" i="8"/>
  <c r="G659" i="8"/>
  <c r="E659" i="8"/>
  <c r="I657" i="8"/>
  <c r="H657" i="8"/>
  <c r="E657" i="8"/>
  <c r="D657" i="8"/>
  <c r="C657" i="8"/>
  <c r="B657" i="8"/>
  <c r="G655" i="8"/>
  <c r="E655" i="8"/>
  <c r="D655" i="8"/>
  <c r="C655" i="8"/>
  <c r="B655" i="8"/>
  <c r="G654" i="8"/>
  <c r="E654" i="8"/>
  <c r="D654" i="8"/>
  <c r="C654" i="8"/>
  <c r="B654" i="8"/>
  <c r="I653" i="8"/>
  <c r="I651" i="8"/>
  <c r="I650" i="8"/>
  <c r="I649" i="8"/>
  <c r="I648" i="8"/>
  <c r="I646" i="8"/>
  <c r="F646" i="8"/>
  <c r="J645" i="8"/>
  <c r="F645" i="8"/>
  <c r="E645" i="8"/>
  <c r="F644" i="8"/>
  <c r="F641" i="8"/>
  <c r="E638" i="8"/>
  <c r="G638" i="8"/>
  <c r="D638" i="8"/>
  <c r="C638" i="8"/>
  <c r="AE637" i="8"/>
  <c r="AD637" i="8"/>
  <c r="G636" i="8"/>
  <c r="E636" i="8"/>
  <c r="G635" i="8"/>
  <c r="E635" i="8"/>
  <c r="I632" i="8"/>
  <c r="F632" i="8"/>
  <c r="I631" i="8"/>
  <c r="F631" i="8"/>
  <c r="I629" i="8"/>
  <c r="F629" i="8"/>
  <c r="J628" i="8"/>
  <c r="F628" i="8"/>
  <c r="E628" i="8"/>
  <c r="F627" i="8"/>
  <c r="J626" i="8"/>
  <c r="F626" i="8"/>
  <c r="E626" i="8"/>
  <c r="F625" i="8"/>
  <c r="I624" i="8"/>
  <c r="F624" i="8"/>
  <c r="F621" i="8"/>
  <c r="C619" i="8"/>
  <c r="B619" i="8"/>
  <c r="E618" i="8"/>
  <c r="G618" i="8"/>
  <c r="D618" i="8"/>
  <c r="C617" i="8"/>
  <c r="AE616" i="8"/>
  <c r="AD616" i="8"/>
  <c r="G615" i="8"/>
  <c r="E615" i="8"/>
  <c r="G614" i="8"/>
  <c r="E614" i="8"/>
  <c r="I611" i="8"/>
  <c r="F611" i="8"/>
  <c r="I610" i="8"/>
  <c r="F610" i="8"/>
  <c r="I609" i="8"/>
  <c r="F609" i="8"/>
  <c r="J607" i="8"/>
  <c r="F607" i="8"/>
  <c r="E607" i="8"/>
  <c r="F606" i="8"/>
  <c r="I605" i="8"/>
  <c r="F605" i="8"/>
  <c r="F602" i="8"/>
  <c r="C600" i="8"/>
  <c r="B600" i="8"/>
  <c r="E599" i="8"/>
  <c r="G599" i="8"/>
  <c r="D599" i="8"/>
  <c r="C598" i="8"/>
  <c r="AE597" i="8"/>
  <c r="AD597" i="8"/>
  <c r="G596" i="8"/>
  <c r="E596" i="8"/>
  <c r="G595" i="8"/>
  <c r="E595" i="8"/>
  <c r="I593" i="8"/>
  <c r="H593" i="8"/>
  <c r="E593" i="8"/>
  <c r="D593" i="8"/>
  <c r="C593" i="8"/>
  <c r="B593" i="8"/>
  <c r="G591" i="8"/>
  <c r="E591" i="8"/>
  <c r="D591" i="8"/>
  <c r="C591" i="8"/>
  <c r="B591" i="8"/>
  <c r="I590" i="8"/>
  <c r="I589" i="8"/>
  <c r="I588" i="8"/>
  <c r="I587" i="8"/>
  <c r="I586" i="8"/>
  <c r="I585" i="8"/>
  <c r="I584" i="8"/>
  <c r="I583" i="8"/>
  <c r="I582" i="8"/>
  <c r="I581" i="8"/>
  <c r="I579" i="8"/>
  <c r="I578" i="8"/>
  <c r="F576" i="8"/>
  <c r="I575" i="8"/>
  <c r="F575" i="8"/>
  <c r="J574" i="8"/>
  <c r="F574" i="8"/>
  <c r="E574" i="8"/>
  <c r="F573" i="8"/>
  <c r="I572" i="8"/>
  <c r="F572" i="8"/>
  <c r="J571" i="8"/>
  <c r="F571" i="8"/>
  <c r="E571" i="8"/>
  <c r="F570" i="8"/>
  <c r="F567" i="8"/>
  <c r="E564" i="8"/>
  <c r="G564" i="8"/>
  <c r="D564" i="8"/>
  <c r="C564" i="8"/>
  <c r="C563" i="8"/>
  <c r="AE562" i="8"/>
  <c r="AD562" i="8"/>
  <c r="G561" i="8"/>
  <c r="E561" i="8"/>
  <c r="G560" i="8"/>
  <c r="E560" i="8"/>
  <c r="I558" i="8"/>
  <c r="H558" i="8"/>
  <c r="E558" i="8"/>
  <c r="D558" i="8"/>
  <c r="C558" i="8"/>
  <c r="B558" i="8"/>
  <c r="I557" i="8"/>
  <c r="H557" i="8"/>
  <c r="E557" i="8"/>
  <c r="D557" i="8"/>
  <c r="C557" i="8"/>
  <c r="B557" i="8"/>
  <c r="I556" i="8"/>
  <c r="H556" i="8"/>
  <c r="E556" i="8"/>
  <c r="D556" i="8"/>
  <c r="C556" i="8"/>
  <c r="B556" i="8"/>
  <c r="G554" i="8"/>
  <c r="E554" i="8"/>
  <c r="D554" i="8"/>
  <c r="C554" i="8"/>
  <c r="B554" i="8"/>
  <c r="G553" i="8"/>
  <c r="E553" i="8"/>
  <c r="D553" i="8"/>
  <c r="C553" i="8"/>
  <c r="B553" i="8"/>
  <c r="G552" i="8"/>
  <c r="E552" i="8"/>
  <c r="D552" i="8"/>
  <c r="C552" i="8"/>
  <c r="B552" i="8"/>
  <c r="G551" i="8"/>
  <c r="E551" i="8"/>
  <c r="D551" i="8"/>
  <c r="C551" i="8"/>
  <c r="B551" i="8"/>
  <c r="G550" i="8"/>
  <c r="E550" i="8"/>
  <c r="D550" i="8"/>
  <c r="C550" i="8"/>
  <c r="B550" i="8"/>
  <c r="I549" i="8"/>
  <c r="I548" i="8"/>
  <c r="I547" i="8"/>
  <c r="I545" i="8"/>
  <c r="J543" i="8"/>
  <c r="F543" i="8"/>
  <c r="E543" i="8"/>
  <c r="F542" i="8"/>
  <c r="F541" i="8"/>
  <c r="J540" i="8"/>
  <c r="F540" i="8"/>
  <c r="E540" i="8"/>
  <c r="F539" i="8"/>
  <c r="J538" i="8"/>
  <c r="F538" i="8"/>
  <c r="E538" i="8"/>
  <c r="I537" i="8"/>
  <c r="F537" i="8"/>
  <c r="J536" i="8"/>
  <c r="F536" i="8"/>
  <c r="E536" i="8"/>
  <c r="I535" i="8"/>
  <c r="F535" i="8"/>
  <c r="J534" i="8"/>
  <c r="F534" i="8"/>
  <c r="E534" i="8"/>
  <c r="F533" i="8"/>
  <c r="F530" i="8"/>
  <c r="E527" i="8"/>
  <c r="G527" i="8"/>
  <c r="D527" i="8"/>
  <c r="C527" i="8"/>
  <c r="C526" i="8"/>
  <c r="AE525" i="8"/>
  <c r="AD525" i="8"/>
  <c r="G524" i="8"/>
  <c r="E524" i="8"/>
  <c r="G523" i="8"/>
  <c r="E523" i="8"/>
  <c r="I521" i="8"/>
  <c r="H521" i="8"/>
  <c r="E521" i="8"/>
  <c r="D521" i="8"/>
  <c r="C521" i="8"/>
  <c r="B521" i="8"/>
  <c r="G519" i="8"/>
  <c r="E519" i="8"/>
  <c r="D519" i="8"/>
  <c r="C519" i="8"/>
  <c r="B519" i="8"/>
  <c r="I518" i="8"/>
  <c r="I517" i="8"/>
  <c r="I516" i="8"/>
  <c r="I515" i="8"/>
  <c r="I514" i="8"/>
  <c r="I513" i="8"/>
  <c r="I512" i="8"/>
  <c r="I511" i="8"/>
  <c r="I510" i="8"/>
  <c r="I509" i="8"/>
  <c r="I507" i="8"/>
  <c r="I506" i="8"/>
  <c r="F504" i="8"/>
  <c r="I503" i="8"/>
  <c r="F503" i="8"/>
  <c r="J502" i="8"/>
  <c r="F502" i="8"/>
  <c r="E502" i="8"/>
  <c r="F501" i="8"/>
  <c r="I500" i="8"/>
  <c r="F500" i="8"/>
  <c r="J499" i="8"/>
  <c r="F499" i="8"/>
  <c r="E499" i="8"/>
  <c r="F498" i="8"/>
  <c r="F495" i="8"/>
  <c r="E492" i="8"/>
  <c r="G492" i="8"/>
  <c r="D492" i="8"/>
  <c r="C492" i="8"/>
  <c r="C491" i="8"/>
  <c r="AE490" i="8"/>
  <c r="AD490" i="8"/>
  <c r="G489" i="8"/>
  <c r="E489" i="8"/>
  <c r="G488" i="8"/>
  <c r="E488" i="8"/>
  <c r="I486" i="8"/>
  <c r="H486" i="8"/>
  <c r="E486" i="8"/>
  <c r="D486" i="8"/>
  <c r="C486" i="8"/>
  <c r="B486" i="8"/>
  <c r="I485" i="8"/>
  <c r="H485" i="8"/>
  <c r="E485" i="8"/>
  <c r="D485" i="8"/>
  <c r="C485" i="8"/>
  <c r="B485" i="8"/>
  <c r="I484" i="8"/>
  <c r="H484" i="8"/>
  <c r="E484" i="8"/>
  <c r="D484" i="8"/>
  <c r="C484" i="8"/>
  <c r="B484" i="8"/>
  <c r="G482" i="8"/>
  <c r="E482" i="8"/>
  <c r="D482" i="8"/>
  <c r="C482" i="8"/>
  <c r="B482" i="8"/>
  <c r="G481" i="8"/>
  <c r="E481" i="8"/>
  <c r="D481" i="8"/>
  <c r="C481" i="8"/>
  <c r="B481" i="8"/>
  <c r="G480" i="8"/>
  <c r="E480" i="8"/>
  <c r="D480" i="8"/>
  <c r="C480" i="8"/>
  <c r="B480" i="8"/>
  <c r="G479" i="8"/>
  <c r="E479" i="8"/>
  <c r="D479" i="8"/>
  <c r="C479" i="8"/>
  <c r="B479" i="8"/>
  <c r="G478" i="8"/>
  <c r="E478" i="8"/>
  <c r="D478" i="8"/>
  <c r="C478" i="8"/>
  <c r="B478" i="8"/>
  <c r="I477" i="8"/>
  <c r="I476" i="8"/>
  <c r="I475" i="8"/>
  <c r="I473" i="8"/>
  <c r="J471" i="8"/>
  <c r="F471" i="8"/>
  <c r="E471" i="8"/>
  <c r="F470" i="8"/>
  <c r="F469" i="8"/>
  <c r="J468" i="8"/>
  <c r="F468" i="8"/>
  <c r="E468" i="8"/>
  <c r="F467" i="8"/>
  <c r="J466" i="8"/>
  <c r="F466" i="8"/>
  <c r="E466" i="8"/>
  <c r="I465" i="8"/>
  <c r="F465" i="8"/>
  <c r="J464" i="8"/>
  <c r="F464" i="8"/>
  <c r="E464" i="8"/>
  <c r="I463" i="8"/>
  <c r="F463" i="8"/>
  <c r="J462" i="8"/>
  <c r="F462" i="8"/>
  <c r="E462" i="8"/>
  <c r="F461" i="8"/>
  <c r="F458" i="8"/>
  <c r="E455" i="8"/>
  <c r="G455" i="8"/>
  <c r="D455" i="8"/>
  <c r="C455" i="8"/>
  <c r="C454" i="8"/>
  <c r="C453" i="8"/>
  <c r="L447" i="8"/>
  <c r="L446" i="8"/>
  <c r="L443" i="8"/>
  <c r="L442" i="8"/>
  <c r="L440" i="8"/>
  <c r="L439" i="8"/>
  <c r="L432" i="8"/>
  <c r="L428" i="8"/>
  <c r="AU418" i="8"/>
  <c r="AS418" i="8"/>
  <c r="AP418" i="8"/>
  <c r="AE418" i="8"/>
  <c r="AD418" i="8"/>
  <c r="G417" i="8"/>
  <c r="E417" i="8"/>
  <c r="G416" i="8"/>
  <c r="E416" i="8"/>
  <c r="J414" i="8"/>
  <c r="E414" i="8"/>
  <c r="G414" i="8"/>
  <c r="D414" i="8"/>
  <c r="C414" i="8"/>
  <c r="AU413" i="8"/>
  <c r="AS413" i="8"/>
  <c r="AP413" i="8"/>
  <c r="AE413" i="8"/>
  <c r="AD413" i="8"/>
  <c r="G412" i="8"/>
  <c r="E412" i="8"/>
  <c r="G411" i="8"/>
  <c r="E411" i="8"/>
  <c r="J409" i="8"/>
  <c r="E409" i="8"/>
  <c r="G409" i="8"/>
  <c r="D409" i="8"/>
  <c r="C409" i="8"/>
  <c r="AW408" i="8"/>
  <c r="AE408" i="8"/>
  <c r="AD408" i="8"/>
  <c r="G407" i="8"/>
  <c r="E407" i="8"/>
  <c r="G406" i="8"/>
  <c r="E406" i="8"/>
  <c r="J403" i="8"/>
  <c r="F403" i="8"/>
  <c r="E403" i="8"/>
  <c r="F402" i="8"/>
  <c r="F399" i="8"/>
  <c r="E396" i="8"/>
  <c r="G396" i="8"/>
  <c r="D396" i="8"/>
  <c r="C396" i="8"/>
  <c r="AE395" i="8"/>
  <c r="AD395" i="8"/>
  <c r="G394" i="8"/>
  <c r="E394" i="8"/>
  <c r="G393" i="8"/>
  <c r="E393" i="8"/>
  <c r="I390" i="8"/>
  <c r="I389" i="8"/>
  <c r="I387" i="8"/>
  <c r="F387" i="8"/>
  <c r="J386" i="8"/>
  <c r="F386" i="8"/>
  <c r="E386" i="8"/>
  <c r="F385" i="8"/>
  <c r="J384" i="8"/>
  <c r="F384" i="8"/>
  <c r="E384" i="8"/>
  <c r="F383" i="8"/>
  <c r="F380" i="8"/>
  <c r="E377" i="8"/>
  <c r="G377" i="8"/>
  <c r="D377" i="8"/>
  <c r="C377" i="8"/>
  <c r="AE376" i="8"/>
  <c r="AD376" i="8"/>
  <c r="G375" i="8"/>
  <c r="E375" i="8"/>
  <c r="G374" i="8"/>
  <c r="E374" i="8"/>
  <c r="I371" i="8"/>
  <c r="I370" i="8"/>
  <c r="I368" i="8"/>
  <c r="F368" i="8"/>
  <c r="J367" i="8"/>
  <c r="F367" i="8"/>
  <c r="E367" i="8"/>
  <c r="F366" i="8"/>
  <c r="J365" i="8"/>
  <c r="F365" i="8"/>
  <c r="E365" i="8"/>
  <c r="F364" i="8"/>
  <c r="F361" i="8"/>
  <c r="E358" i="8"/>
  <c r="G358" i="8"/>
  <c r="D358" i="8"/>
  <c r="C358" i="8"/>
  <c r="C357" i="8"/>
  <c r="AU356" i="8"/>
  <c r="AS356" i="8"/>
  <c r="AP356" i="8"/>
  <c r="AE356" i="8"/>
  <c r="AD356" i="8"/>
  <c r="G355" i="8"/>
  <c r="E355" i="8"/>
  <c r="G354" i="8"/>
  <c r="E354" i="8"/>
  <c r="J352" i="8"/>
  <c r="E352" i="8"/>
  <c r="G352" i="8"/>
  <c r="D352" i="8"/>
  <c r="C352" i="8"/>
  <c r="AW351" i="8"/>
  <c r="AT351" i="8"/>
  <c r="AO351" i="8"/>
  <c r="AE351" i="8"/>
  <c r="AD351" i="8"/>
  <c r="G350" i="8"/>
  <c r="E350" i="8"/>
  <c r="G349" i="8"/>
  <c r="E349" i="8"/>
  <c r="F346" i="8"/>
  <c r="E343" i="8"/>
  <c r="G343" i="8"/>
  <c r="D343" i="8"/>
  <c r="C343" i="8"/>
  <c r="AW342" i="8"/>
  <c r="AT342" i="8"/>
  <c r="AO342" i="8"/>
  <c r="AE342" i="8"/>
  <c r="AD342" i="8"/>
  <c r="G341" i="8"/>
  <c r="E341" i="8"/>
  <c r="G340" i="8"/>
  <c r="E340" i="8"/>
  <c r="F337" i="8"/>
  <c r="E334" i="8"/>
  <c r="G334" i="8"/>
  <c r="D334" i="8"/>
  <c r="C334" i="8"/>
  <c r="AU333" i="8"/>
  <c r="AS333" i="8"/>
  <c r="AP333" i="8"/>
  <c r="AE333" i="8"/>
  <c r="AD333" i="8"/>
  <c r="G332" i="8"/>
  <c r="E332" i="8"/>
  <c r="G331" i="8"/>
  <c r="E331" i="8"/>
  <c r="J329" i="8"/>
  <c r="E329" i="8"/>
  <c r="G329" i="8"/>
  <c r="D329" i="8"/>
  <c r="C329" i="8"/>
  <c r="AU328" i="8"/>
  <c r="AS328" i="8"/>
  <c r="AP328" i="8"/>
  <c r="AE328" i="8"/>
  <c r="AD328" i="8"/>
  <c r="G327" i="8"/>
  <c r="E327" i="8"/>
  <c r="G326" i="8"/>
  <c r="E326" i="8"/>
  <c r="J324" i="8"/>
  <c r="E324" i="8"/>
  <c r="G324" i="8"/>
  <c r="D324" i="8"/>
  <c r="C324" i="8"/>
  <c r="AW323" i="8"/>
  <c r="AT323" i="8"/>
  <c r="AO323" i="8"/>
  <c r="AE323" i="8"/>
  <c r="AD323" i="8"/>
  <c r="G322" i="8"/>
  <c r="E322" i="8"/>
  <c r="G321" i="8"/>
  <c r="E321" i="8"/>
  <c r="F318" i="8"/>
  <c r="E315" i="8"/>
  <c r="G315" i="8"/>
  <c r="D315" i="8"/>
  <c r="C315" i="8"/>
  <c r="C314" i="8"/>
  <c r="AE313" i="8"/>
  <c r="AD313" i="8"/>
  <c r="G312" i="8"/>
  <c r="E312" i="8"/>
  <c r="G311" i="8"/>
  <c r="E311" i="8"/>
  <c r="G308" i="8"/>
  <c r="F308" i="8"/>
  <c r="E308" i="8"/>
  <c r="D308" i="8"/>
  <c r="C308" i="8"/>
  <c r="B308" i="8"/>
  <c r="I307" i="8"/>
  <c r="F307" i="8"/>
  <c r="I306" i="8"/>
  <c r="F306" i="8"/>
  <c r="F305" i="8"/>
  <c r="J303" i="8"/>
  <c r="F303" i="8"/>
  <c r="E303" i="8"/>
  <c r="I302" i="8"/>
  <c r="F302" i="8"/>
  <c r="J301" i="8"/>
  <c r="F301" i="8"/>
  <c r="E301" i="8"/>
  <c r="F300" i="8"/>
  <c r="F297" i="8"/>
  <c r="F296" i="8"/>
  <c r="F295" i="8"/>
  <c r="F294" i="8"/>
  <c r="E289" i="8"/>
  <c r="G289" i="8"/>
  <c r="D289" i="8"/>
  <c r="C289" i="8"/>
  <c r="AE288" i="8"/>
  <c r="AD288" i="8"/>
  <c r="G287" i="8"/>
  <c r="E287" i="8"/>
  <c r="G286" i="8"/>
  <c r="E286" i="8"/>
  <c r="J284" i="8"/>
  <c r="E284" i="8"/>
  <c r="D284" i="8"/>
  <c r="C284" i="8"/>
  <c r="B284" i="8"/>
  <c r="G282" i="8"/>
  <c r="E282" i="8"/>
  <c r="D282" i="8"/>
  <c r="C282" i="8"/>
  <c r="B282" i="8"/>
  <c r="I281" i="8"/>
  <c r="I280" i="8"/>
  <c r="J277" i="8"/>
  <c r="F277" i="8"/>
  <c r="E277" i="8"/>
  <c r="I276" i="8"/>
  <c r="F276" i="8"/>
  <c r="J275" i="8"/>
  <c r="F275" i="8"/>
  <c r="E275" i="8"/>
  <c r="F274" i="8"/>
  <c r="F271" i="8"/>
  <c r="F270" i="8"/>
  <c r="F269" i="8"/>
  <c r="F268" i="8"/>
  <c r="E265" i="8"/>
  <c r="G265" i="8"/>
  <c r="D265" i="8"/>
  <c r="C265" i="8"/>
  <c r="C264" i="8"/>
  <c r="AW263" i="8"/>
  <c r="AE263" i="8"/>
  <c r="AD263" i="8"/>
  <c r="G262" i="8"/>
  <c r="E262" i="8"/>
  <c r="G261" i="8"/>
  <c r="E261" i="8"/>
  <c r="L257" i="8"/>
  <c r="I258" i="8"/>
  <c r="F258" i="8"/>
  <c r="F255" i="8"/>
  <c r="E252" i="8"/>
  <c r="G252" i="8"/>
  <c r="D252" i="8"/>
  <c r="C252" i="8"/>
  <c r="L246" i="8"/>
  <c r="L245" i="8"/>
  <c r="L242" i="8"/>
  <c r="L241" i="8"/>
  <c r="L239" i="8"/>
  <c r="L238" i="8"/>
  <c r="L231" i="8"/>
  <c r="L227" i="8"/>
  <c r="AE217" i="8"/>
  <c r="AD217" i="8"/>
  <c r="G216" i="8"/>
  <c r="E216" i="8"/>
  <c r="G215" i="8"/>
  <c r="E215" i="8"/>
  <c r="I212" i="8"/>
  <c r="I211" i="8"/>
  <c r="I210" i="8"/>
  <c r="I209" i="8"/>
  <c r="I208" i="8"/>
  <c r="J206" i="8"/>
  <c r="F206" i="8"/>
  <c r="E206" i="8"/>
  <c r="F205" i="8"/>
  <c r="J204" i="8"/>
  <c r="F204" i="8"/>
  <c r="E204" i="8"/>
  <c r="I203" i="8"/>
  <c r="F203" i="8"/>
  <c r="F200" i="8"/>
  <c r="E197" i="8"/>
  <c r="G197" i="8"/>
  <c r="D197" i="8"/>
  <c r="C197" i="8"/>
  <c r="AW196" i="8"/>
  <c r="AT196" i="8"/>
  <c r="AO196" i="8"/>
  <c r="AE196" i="8"/>
  <c r="AD196" i="8"/>
  <c r="G195" i="8"/>
  <c r="E195" i="8"/>
  <c r="G194" i="8"/>
  <c r="E194" i="8"/>
  <c r="F191" i="8"/>
  <c r="E188" i="8"/>
  <c r="G188" i="8"/>
  <c r="D188" i="8"/>
  <c r="C188" i="8"/>
  <c r="AW187" i="8"/>
  <c r="AE187" i="8"/>
  <c r="AD187" i="8"/>
  <c r="G186" i="8"/>
  <c r="E186" i="8"/>
  <c r="G185" i="8"/>
  <c r="E185" i="8"/>
  <c r="J182" i="8"/>
  <c r="F182" i="8"/>
  <c r="E182" i="8"/>
  <c r="F181" i="8"/>
  <c r="I180" i="8"/>
  <c r="F180" i="8"/>
  <c r="F177" i="8"/>
  <c r="E174" i="8"/>
  <c r="G174" i="8"/>
  <c r="D174" i="8"/>
  <c r="C174" i="8"/>
  <c r="AW173" i="8"/>
  <c r="AE173" i="8"/>
  <c r="AD173" i="8"/>
  <c r="G172" i="8"/>
  <c r="E172" i="8"/>
  <c r="G171" i="8"/>
  <c r="E171" i="8"/>
  <c r="J168" i="8"/>
  <c r="F168" i="8"/>
  <c r="E168" i="8"/>
  <c r="I167" i="8"/>
  <c r="F167" i="8"/>
  <c r="F164" i="8"/>
  <c r="C162" i="8"/>
  <c r="B162" i="8"/>
  <c r="E161" i="8"/>
  <c r="G161" i="8"/>
  <c r="D161" i="8"/>
  <c r="C160" i="8"/>
  <c r="AW159" i="8"/>
  <c r="AT159" i="8"/>
  <c r="AO159" i="8"/>
  <c r="AE159" i="8"/>
  <c r="AD159" i="8"/>
  <c r="G158" i="8"/>
  <c r="E158" i="8"/>
  <c r="G157" i="8"/>
  <c r="E157" i="8"/>
  <c r="F154" i="8"/>
  <c r="E151" i="8"/>
  <c r="G151" i="8"/>
  <c r="D151" i="8"/>
  <c r="C151" i="8"/>
  <c r="AW150" i="8"/>
  <c r="AT150" i="8"/>
  <c r="AO150" i="8"/>
  <c r="AE150" i="8"/>
  <c r="AD150" i="8"/>
  <c r="G149" i="8"/>
  <c r="E149" i="8"/>
  <c r="G148" i="8"/>
  <c r="E148" i="8"/>
  <c r="F145" i="8"/>
  <c r="E142" i="8"/>
  <c r="G142" i="8"/>
  <c r="D142" i="8"/>
  <c r="C142" i="8"/>
  <c r="AU141" i="8"/>
  <c r="AS141" i="8"/>
  <c r="AP141" i="8"/>
  <c r="AE141" i="8"/>
  <c r="AD141" i="8"/>
  <c r="G140" i="8"/>
  <c r="E140" i="8"/>
  <c r="G139" i="8"/>
  <c r="E139" i="8"/>
  <c r="J137" i="8"/>
  <c r="E137" i="8"/>
  <c r="G137" i="8"/>
  <c r="D137" i="8"/>
  <c r="C137" i="8"/>
  <c r="AW136" i="8"/>
  <c r="AR136" i="8"/>
  <c r="AE136" i="8"/>
  <c r="AD136" i="8"/>
  <c r="G135" i="8"/>
  <c r="E135" i="8"/>
  <c r="G134" i="8"/>
  <c r="E134" i="8"/>
  <c r="J131" i="8"/>
  <c r="F131" i="8"/>
  <c r="E131" i="8"/>
  <c r="I130" i="8"/>
  <c r="F130" i="8"/>
  <c r="E126" i="8"/>
  <c r="G126" i="8"/>
  <c r="D126" i="8"/>
  <c r="C126" i="8"/>
  <c r="C125" i="8"/>
  <c r="C124" i="8"/>
  <c r="AU123" i="8"/>
  <c r="AS123" i="8"/>
  <c r="AP123" i="8"/>
  <c r="AE123" i="8"/>
  <c r="AD123" i="8"/>
  <c r="G122" i="8"/>
  <c r="E122" i="8"/>
  <c r="G121" i="8"/>
  <c r="E121" i="8"/>
  <c r="J119" i="8"/>
  <c r="E119" i="8"/>
  <c r="G119" i="8"/>
  <c r="D119" i="8"/>
  <c r="C119" i="8"/>
  <c r="AW118" i="8"/>
  <c r="AT118" i="8"/>
  <c r="AO118" i="8"/>
  <c r="AE118" i="8"/>
  <c r="AD118" i="8"/>
  <c r="G117" i="8"/>
  <c r="E117" i="8"/>
  <c r="G116" i="8"/>
  <c r="E116" i="8"/>
  <c r="F113" i="8"/>
  <c r="E110" i="8"/>
  <c r="G110" i="8"/>
  <c r="D110" i="8"/>
  <c r="C110" i="8"/>
  <c r="AW109" i="8"/>
  <c r="AT109" i="8"/>
  <c r="AO109" i="8"/>
  <c r="AE109" i="8"/>
  <c r="AD109" i="8"/>
  <c r="G108" i="8"/>
  <c r="E108" i="8"/>
  <c r="G107" i="8"/>
  <c r="E107" i="8"/>
  <c r="F104" i="8"/>
  <c r="E99" i="8"/>
  <c r="G99" i="8"/>
  <c r="D99" i="8"/>
  <c r="C99" i="8"/>
  <c r="AW98" i="8"/>
  <c r="AR98" i="8"/>
  <c r="AE98" i="8"/>
  <c r="AD98" i="8"/>
  <c r="G97" i="8"/>
  <c r="E97" i="8"/>
  <c r="G96" i="8"/>
  <c r="E96" i="8"/>
  <c r="J93" i="8"/>
  <c r="F93" i="8"/>
  <c r="E93" i="8"/>
  <c r="I92" i="8"/>
  <c r="F92" i="8"/>
  <c r="E88" i="8"/>
  <c r="G88" i="8"/>
  <c r="D88" i="8"/>
  <c r="C88" i="8"/>
  <c r="C87" i="8"/>
  <c r="AU86" i="8"/>
  <c r="AS86" i="8"/>
  <c r="AP86" i="8"/>
  <c r="AE86" i="8"/>
  <c r="AD86" i="8"/>
  <c r="G85" i="8"/>
  <c r="E85" i="8"/>
  <c r="G84" i="8"/>
  <c r="E84" i="8"/>
  <c r="J82" i="8"/>
  <c r="E82" i="8"/>
  <c r="G82" i="8"/>
  <c r="D82" i="8"/>
  <c r="C82" i="8"/>
  <c r="AW81" i="8"/>
  <c r="AT81" i="8"/>
  <c r="AO81" i="8"/>
  <c r="AE81" i="8"/>
  <c r="AD81" i="8"/>
  <c r="G80" i="8"/>
  <c r="E80" i="8"/>
  <c r="G79" i="8"/>
  <c r="E79" i="8"/>
  <c r="F76" i="8"/>
  <c r="E73" i="8"/>
  <c r="G73" i="8"/>
  <c r="D73" i="8"/>
  <c r="C73" i="8"/>
  <c r="AW72" i="8"/>
  <c r="AT72" i="8"/>
  <c r="AO72" i="8"/>
  <c r="AE72" i="8"/>
  <c r="AD72" i="8"/>
  <c r="G71" i="8"/>
  <c r="E71" i="8"/>
  <c r="G70" i="8"/>
  <c r="E70" i="8"/>
  <c r="F67" i="8"/>
  <c r="E62" i="8"/>
  <c r="G62" i="8"/>
  <c r="D62" i="8"/>
  <c r="C62" i="8"/>
  <c r="C61" i="8"/>
  <c r="CN35" i="8"/>
  <c r="CO14" i="8"/>
  <c r="F14" i="8"/>
  <c r="CO12" i="8"/>
  <c r="F12" i="8"/>
  <c r="H6" i="8"/>
  <c r="B6" i="8"/>
  <c r="A1" i="8"/>
  <c r="D114" i="7"/>
  <c r="D112" i="7"/>
  <c r="F109" i="7"/>
  <c r="C109" i="7"/>
  <c r="B109" i="7"/>
  <c r="G108" i="7"/>
  <c r="F108" i="7"/>
  <c r="E108" i="7"/>
  <c r="C108" i="7"/>
  <c r="B108" i="7"/>
  <c r="C107" i="7"/>
  <c r="F106" i="7"/>
  <c r="C106" i="7"/>
  <c r="B106" i="7"/>
  <c r="G105" i="7"/>
  <c r="F105" i="7"/>
  <c r="E105" i="7"/>
  <c r="C105" i="7"/>
  <c r="B105" i="7"/>
  <c r="A104" i="7"/>
  <c r="F103" i="7"/>
  <c r="C103" i="7"/>
  <c r="B103" i="7"/>
  <c r="F102" i="7"/>
  <c r="C102" i="7"/>
  <c r="B102" i="7"/>
  <c r="G101" i="7"/>
  <c r="F101" i="7"/>
  <c r="E101" i="7"/>
  <c r="C101" i="7"/>
  <c r="B101" i="7"/>
  <c r="F100" i="7"/>
  <c r="C100" i="7"/>
  <c r="B100" i="7"/>
  <c r="G99" i="7"/>
  <c r="F99" i="7"/>
  <c r="E99" i="7"/>
  <c r="C99" i="7"/>
  <c r="B99" i="7"/>
  <c r="F98" i="7"/>
  <c r="C98" i="7"/>
  <c r="B98" i="7"/>
  <c r="F97" i="7"/>
  <c r="C97" i="7"/>
  <c r="B97" i="7"/>
  <c r="G96" i="7"/>
  <c r="F96" i="7"/>
  <c r="E96" i="7"/>
  <c r="C96" i="7"/>
  <c r="B96" i="7"/>
  <c r="F95" i="7"/>
  <c r="C95" i="7"/>
  <c r="B95" i="7"/>
  <c r="F94" i="7"/>
  <c r="C94" i="7"/>
  <c r="B94" i="7"/>
  <c r="G93" i="7"/>
  <c r="F93" i="7"/>
  <c r="E93" i="7"/>
  <c r="C93" i="7"/>
  <c r="B93" i="7"/>
  <c r="F92" i="7"/>
  <c r="C92" i="7"/>
  <c r="B92" i="7"/>
  <c r="F91" i="7"/>
  <c r="C91" i="7"/>
  <c r="B91" i="7"/>
  <c r="G90" i="7"/>
  <c r="F90" i="7"/>
  <c r="E90" i="7"/>
  <c r="C90" i="7"/>
  <c r="B90" i="7"/>
  <c r="C89" i="7"/>
  <c r="G88" i="7"/>
  <c r="F88" i="7"/>
  <c r="E88" i="7"/>
  <c r="C88" i="7"/>
  <c r="B88" i="7"/>
  <c r="C87" i="7"/>
  <c r="G86" i="7"/>
  <c r="F86" i="7"/>
  <c r="E86" i="7"/>
  <c r="C86" i="7"/>
  <c r="B86" i="7"/>
  <c r="G85" i="7"/>
  <c r="F85" i="7"/>
  <c r="E85" i="7"/>
  <c r="C85" i="7"/>
  <c r="B85" i="7"/>
  <c r="C84" i="7"/>
  <c r="F83" i="7"/>
  <c r="C83" i="7"/>
  <c r="B83" i="7"/>
  <c r="G82" i="7"/>
  <c r="F82" i="7"/>
  <c r="E82" i="7"/>
  <c r="C82" i="7"/>
  <c r="B82" i="7"/>
  <c r="F81" i="7"/>
  <c r="C81" i="7"/>
  <c r="B81" i="7"/>
  <c r="G80" i="7"/>
  <c r="F80" i="7"/>
  <c r="E80" i="7"/>
  <c r="C80" i="7"/>
  <c r="B80" i="7"/>
  <c r="G79" i="7"/>
  <c r="F79" i="7"/>
  <c r="E79" i="7"/>
  <c r="C79" i="7"/>
  <c r="B79" i="7"/>
  <c r="C78" i="7"/>
  <c r="G77" i="7"/>
  <c r="F77" i="7"/>
  <c r="E77" i="7"/>
  <c r="C77" i="7"/>
  <c r="B77" i="7"/>
  <c r="C76" i="7"/>
  <c r="F75" i="7"/>
  <c r="C75" i="7"/>
  <c r="B75" i="7"/>
  <c r="G74" i="7"/>
  <c r="F74" i="7"/>
  <c r="E74" i="7"/>
  <c r="C74" i="7"/>
  <c r="B74" i="7"/>
  <c r="C73" i="7"/>
  <c r="F72" i="7"/>
  <c r="C72" i="7"/>
  <c r="B72" i="7"/>
  <c r="F71" i="7"/>
  <c r="C71" i="7"/>
  <c r="B71" i="7"/>
  <c r="F70" i="7"/>
  <c r="C70" i="7"/>
  <c r="B70" i="7"/>
  <c r="G69" i="7"/>
  <c r="F69" i="7"/>
  <c r="E69" i="7"/>
  <c r="C69" i="7"/>
  <c r="B69" i="7"/>
  <c r="C68" i="7"/>
  <c r="F67" i="7"/>
  <c r="C67" i="7"/>
  <c r="B67" i="7"/>
  <c r="G66" i="7"/>
  <c r="F66" i="7"/>
  <c r="E66" i="7"/>
  <c r="C66" i="7"/>
  <c r="B66" i="7"/>
  <c r="C65" i="7"/>
  <c r="F64" i="7"/>
  <c r="C64" i="7"/>
  <c r="B64" i="7"/>
  <c r="F63" i="7"/>
  <c r="C63" i="7"/>
  <c r="B63" i="7"/>
  <c r="F62" i="7"/>
  <c r="C62" i="7"/>
  <c r="B62" i="7"/>
  <c r="G61" i="7"/>
  <c r="F61" i="7"/>
  <c r="E61" i="7"/>
  <c r="C61" i="7"/>
  <c r="B61" i="7"/>
  <c r="C60" i="7"/>
  <c r="C59" i="7"/>
  <c r="A58" i="7"/>
  <c r="G57" i="7"/>
  <c r="F57" i="7"/>
  <c r="E57" i="7"/>
  <c r="C57" i="7"/>
  <c r="B57" i="7"/>
  <c r="G56" i="7"/>
  <c r="F56" i="7"/>
  <c r="E56" i="7"/>
  <c r="C56" i="7"/>
  <c r="B56" i="7"/>
  <c r="G55" i="7"/>
  <c r="F55" i="7"/>
  <c r="E55" i="7"/>
  <c r="C55" i="7"/>
  <c r="B55" i="7"/>
  <c r="G54" i="7"/>
  <c r="F54" i="7"/>
  <c r="E54" i="7"/>
  <c r="C54" i="7"/>
  <c r="B54" i="7"/>
  <c r="G53" i="7"/>
  <c r="F53" i="7"/>
  <c r="E53" i="7"/>
  <c r="C53" i="7"/>
  <c r="B53" i="7"/>
  <c r="C52" i="7"/>
  <c r="G51" i="7"/>
  <c r="F51" i="7"/>
  <c r="E51" i="7"/>
  <c r="C51" i="7"/>
  <c r="B51" i="7"/>
  <c r="G50" i="7"/>
  <c r="F50" i="7"/>
  <c r="E50" i="7"/>
  <c r="C50" i="7"/>
  <c r="B50" i="7"/>
  <c r="G49" i="7"/>
  <c r="F49" i="7"/>
  <c r="E49" i="7"/>
  <c r="C49" i="7"/>
  <c r="B49" i="7"/>
  <c r="G48" i="7"/>
  <c r="F48" i="7"/>
  <c r="E48" i="7"/>
  <c r="C48" i="7"/>
  <c r="B48" i="7"/>
  <c r="G47" i="7"/>
  <c r="F47" i="7"/>
  <c r="E47" i="7"/>
  <c r="C47" i="7"/>
  <c r="B47" i="7"/>
  <c r="G46" i="7"/>
  <c r="F46" i="7"/>
  <c r="E46" i="7"/>
  <c r="C46" i="7"/>
  <c r="B46" i="7"/>
  <c r="C45" i="7"/>
  <c r="G44" i="7"/>
  <c r="F44" i="7"/>
  <c r="E44" i="7"/>
  <c r="C44" i="7"/>
  <c r="B44" i="7"/>
  <c r="F43" i="7"/>
  <c r="C43" i="7"/>
  <c r="B43" i="7"/>
  <c r="G42" i="7"/>
  <c r="F42" i="7"/>
  <c r="E42" i="7"/>
  <c r="C42" i="7"/>
  <c r="B42" i="7"/>
  <c r="C41" i="7"/>
  <c r="G40" i="7"/>
  <c r="F40" i="7"/>
  <c r="E40" i="7"/>
  <c r="C40" i="7"/>
  <c r="B40" i="7"/>
  <c r="A39" i="7"/>
  <c r="G38" i="7"/>
  <c r="F38" i="7"/>
  <c r="E38" i="7"/>
  <c r="C38" i="7"/>
  <c r="B38" i="7"/>
  <c r="G37" i="7"/>
  <c r="F37" i="7"/>
  <c r="E37" i="7"/>
  <c r="C37" i="7"/>
  <c r="B37" i="7"/>
  <c r="G36" i="7"/>
  <c r="F36" i="7"/>
  <c r="E36" i="7"/>
  <c r="C36" i="7"/>
  <c r="B36" i="7"/>
  <c r="G35" i="7"/>
  <c r="F35" i="7"/>
  <c r="E35" i="7"/>
  <c r="C35" i="7"/>
  <c r="B35" i="7"/>
  <c r="C34" i="7"/>
  <c r="G33" i="7"/>
  <c r="F33" i="7"/>
  <c r="E33" i="7"/>
  <c r="C33" i="7"/>
  <c r="B33" i="7"/>
  <c r="G32" i="7"/>
  <c r="F32" i="7"/>
  <c r="E32" i="7"/>
  <c r="C32" i="7"/>
  <c r="B32" i="7"/>
  <c r="G31" i="7"/>
  <c r="F31" i="7"/>
  <c r="E31" i="7"/>
  <c r="C31" i="7"/>
  <c r="B31" i="7"/>
  <c r="G30" i="7"/>
  <c r="F30" i="7"/>
  <c r="E30" i="7"/>
  <c r="C30" i="7"/>
  <c r="B30" i="7"/>
  <c r="C29" i="7"/>
  <c r="C28" i="7"/>
  <c r="G27" i="7"/>
  <c r="F27" i="7"/>
  <c r="E27" i="7"/>
  <c r="C27" i="7"/>
  <c r="B27" i="7"/>
  <c r="G26" i="7"/>
  <c r="F26" i="7"/>
  <c r="E26" i="7"/>
  <c r="C26" i="7"/>
  <c r="B26" i="7"/>
  <c r="G25" i="7"/>
  <c r="F25" i="7"/>
  <c r="E25" i="7"/>
  <c r="C25" i="7"/>
  <c r="B25" i="7"/>
  <c r="G24" i="7"/>
  <c r="F24" i="7"/>
  <c r="E24" i="7"/>
  <c r="C24" i="7"/>
  <c r="B24" i="7"/>
  <c r="C23" i="7"/>
  <c r="G22" i="7"/>
  <c r="F22" i="7"/>
  <c r="E22" i="7"/>
  <c r="C22" i="7"/>
  <c r="B22" i="7"/>
  <c r="G21" i="7"/>
  <c r="F21" i="7"/>
  <c r="E21" i="7"/>
  <c r="C21" i="7"/>
  <c r="B21" i="7"/>
  <c r="G20" i="7"/>
  <c r="F20" i="7"/>
  <c r="E20" i="7"/>
  <c r="C20" i="7"/>
  <c r="B20" i="7"/>
  <c r="C19" i="7"/>
  <c r="A18" i="7"/>
  <c r="B12" i="7"/>
  <c r="A1" i="7"/>
  <c r="L330" i="8" l="1"/>
  <c r="G607" i="8"/>
  <c r="G628" i="8"/>
  <c r="G574" i="8"/>
  <c r="G846" i="8"/>
  <c r="J854" i="8"/>
  <c r="L877" i="8"/>
  <c r="G645" i="8"/>
  <c r="L938" i="8"/>
  <c r="L994" i="8"/>
  <c r="G462" i="8"/>
  <c r="L1044" i="8"/>
  <c r="G277" i="8"/>
  <c r="L325" i="8"/>
  <c r="G468" i="8"/>
  <c r="G131" i="8"/>
  <c r="L138" i="8"/>
  <c r="G543" i="8"/>
  <c r="J853" i="8"/>
  <c r="G384" i="8"/>
  <c r="J679" i="8"/>
  <c r="J556" i="8"/>
  <c r="J558" i="8"/>
  <c r="L83" i="8"/>
  <c r="G571" i="8"/>
  <c r="G626" i="8"/>
  <c r="G753" i="8"/>
  <c r="J816" i="8"/>
  <c r="J915" i="8"/>
  <c r="L1016" i="8"/>
  <c r="L236" i="8"/>
  <c r="G275" i="8"/>
  <c r="G808" i="8"/>
  <c r="J485" i="8"/>
  <c r="G540" i="8"/>
  <c r="L120" i="8"/>
  <c r="L353" i="8"/>
  <c r="G403" i="8"/>
  <c r="L437" i="8"/>
  <c r="G466" i="8"/>
  <c r="J657" i="8"/>
  <c r="L1010" i="8"/>
  <c r="J521" i="8"/>
  <c r="G536" i="8"/>
  <c r="G670" i="8"/>
  <c r="G773" i="8"/>
  <c r="J486" i="8"/>
  <c r="G499" i="8"/>
  <c r="G538" i="8"/>
  <c r="J593" i="8"/>
  <c r="J815" i="8"/>
  <c r="J833" i="8"/>
  <c r="G93" i="8"/>
  <c r="G168" i="8"/>
  <c r="AT263" i="8"/>
  <c r="J557" i="8"/>
  <c r="L983" i="8"/>
  <c r="G730" i="8"/>
  <c r="G776" i="8"/>
  <c r="J903" i="8"/>
  <c r="G182" i="8"/>
  <c r="G900" i="8"/>
  <c r="G534" i="8"/>
  <c r="G810" i="8"/>
  <c r="G204" i="8"/>
  <c r="G206" i="8"/>
  <c r="J484" i="8"/>
  <c r="G303" i="8"/>
  <c r="L410" i="8"/>
  <c r="G502" i="8"/>
  <c r="G471" i="8"/>
  <c r="G301" i="8"/>
  <c r="G386" i="8"/>
  <c r="L415" i="8"/>
  <c r="G464" i="8"/>
  <c r="G365" i="8"/>
  <c r="G367" i="8"/>
  <c r="A1" i="4"/>
  <c r="A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1" i="3"/>
  <c r="Y1" i="3"/>
  <c r="I8" i="11" s="1"/>
  <c r="M8" i="11" s="1"/>
  <c r="CU1" i="3"/>
  <c r="CY1" i="3"/>
  <c r="CZ1" i="3"/>
  <c r="DA1" i="3"/>
  <c r="DC1" i="3"/>
  <c r="A2" i="3"/>
  <c r="Y2" i="3"/>
  <c r="CU2" i="3"/>
  <c r="CY2" i="3"/>
  <c r="CZ2" i="3"/>
  <c r="DA2" i="3"/>
  <c r="DC2" i="3"/>
  <c r="A3" i="3"/>
  <c r="Y3" i="3"/>
  <c r="I11" i="11" s="1"/>
  <c r="CX3" i="3"/>
  <c r="DG3" i="3" s="1"/>
  <c r="CY3" i="3"/>
  <c r="CZ3" i="3"/>
  <c r="DB3" i="3" s="1"/>
  <c r="DA3" i="3"/>
  <c r="DC3" i="3"/>
  <c r="DH3" i="3"/>
  <c r="T11" i="11" s="1"/>
  <c r="A4" i="3"/>
  <c r="Y4" i="3"/>
  <c r="I10" i="11" s="1"/>
  <c r="M10" i="11" s="1"/>
  <c r="CW4" i="3"/>
  <c r="CX4" i="3"/>
  <c r="CY4" i="3"/>
  <c r="CZ4" i="3"/>
  <c r="H92" i="8" s="1"/>
  <c r="J92" i="8" s="1"/>
  <c r="DA4" i="3"/>
  <c r="DB4" i="3"/>
  <c r="DC4" i="3"/>
  <c r="A5" i="3"/>
  <c r="Y5" i="3"/>
  <c r="CU5" i="3"/>
  <c r="CY5" i="3"/>
  <c r="CZ5" i="3"/>
  <c r="DA5" i="3"/>
  <c r="DC5" i="3"/>
  <c r="A6" i="3"/>
  <c r="Y6" i="3"/>
  <c r="I13" i="11" s="1"/>
  <c r="R13" i="11" s="1"/>
  <c r="CU6" i="3"/>
  <c r="CY6" i="3"/>
  <c r="CZ6" i="3"/>
  <c r="DA6" i="3"/>
  <c r="DC6" i="3"/>
  <c r="A7" i="3"/>
  <c r="Y7" i="3"/>
  <c r="CY7" i="3"/>
  <c r="CZ7" i="3"/>
  <c r="DA7" i="3"/>
  <c r="DB7" i="3"/>
  <c r="DC7" i="3"/>
  <c r="A8" i="3"/>
  <c r="Y8" i="3"/>
  <c r="CY8" i="3"/>
  <c r="CZ8" i="3"/>
  <c r="DA8" i="3"/>
  <c r="DC8" i="3"/>
  <c r="A9" i="3"/>
  <c r="Y9" i="3"/>
  <c r="I16" i="11" s="1"/>
  <c r="CU9" i="3"/>
  <c r="CV9" i="3"/>
  <c r="CX9" i="3"/>
  <c r="CY9" i="3"/>
  <c r="CZ9" i="3"/>
  <c r="DA9" i="3"/>
  <c r="DC9" i="3"/>
  <c r="DH9" i="3"/>
  <c r="T16" i="11" s="1"/>
  <c r="A10" i="3"/>
  <c r="Y10" i="3"/>
  <c r="CU10" i="3"/>
  <c r="CY10" i="3"/>
  <c r="CZ10" i="3"/>
  <c r="J154" i="8" s="1"/>
  <c r="DA10" i="3"/>
  <c r="DC10" i="3"/>
  <c r="A11" i="3"/>
  <c r="Y11" i="3"/>
  <c r="I20" i="11" s="1"/>
  <c r="M20" i="11" s="1"/>
  <c r="CU11" i="3"/>
  <c r="CY11" i="3"/>
  <c r="CZ11" i="3"/>
  <c r="DA11" i="3"/>
  <c r="DC11" i="3"/>
  <c r="A12" i="3"/>
  <c r="Y12" i="3"/>
  <c r="I19" i="11" s="1"/>
  <c r="CX12" i="3"/>
  <c r="CY12" i="3"/>
  <c r="CZ12" i="3"/>
  <c r="DB12" i="3" s="1"/>
  <c r="DA12" i="3"/>
  <c r="DC12" i="3"/>
  <c r="DH12" i="3"/>
  <c r="T19" i="11" s="1"/>
  <c r="A13" i="3"/>
  <c r="Y13" i="3"/>
  <c r="CY13" i="3"/>
  <c r="CZ13" i="3"/>
  <c r="DA13" i="3"/>
  <c r="DC13" i="3"/>
  <c r="A14" i="3"/>
  <c r="Y14" i="3"/>
  <c r="I24" i="11" s="1"/>
  <c r="M24" i="11" s="1"/>
  <c r="CU14" i="3"/>
  <c r="CX14" i="3"/>
  <c r="CY14" i="3"/>
  <c r="CZ14" i="3"/>
  <c r="J177" i="8" s="1"/>
  <c r="DA14" i="3"/>
  <c r="DB14" i="3"/>
  <c r="DC14" i="3"/>
  <c r="A15" i="3"/>
  <c r="Y15" i="3"/>
  <c r="CY15" i="3"/>
  <c r="CZ15" i="3"/>
  <c r="DB15" i="3" s="1"/>
  <c r="DA15" i="3"/>
  <c r="DC15" i="3"/>
  <c r="A16" i="3"/>
  <c r="Y16" i="3"/>
  <c r="CY16" i="3"/>
  <c r="CZ16" i="3"/>
  <c r="DA16" i="3"/>
  <c r="DC16" i="3"/>
  <c r="A17" i="3"/>
  <c r="Y17" i="3"/>
  <c r="CW17" i="3"/>
  <c r="CY17" i="3"/>
  <c r="CZ17" i="3"/>
  <c r="DA17" i="3"/>
  <c r="DC17" i="3"/>
  <c r="A18" i="3"/>
  <c r="Y18" i="3"/>
  <c r="CU18" i="3"/>
  <c r="CY18" i="3"/>
  <c r="CZ18" i="3"/>
  <c r="J191" i="8" s="1"/>
  <c r="DA18" i="3"/>
  <c r="DC18" i="3"/>
  <c r="A19" i="3"/>
  <c r="Y19" i="3"/>
  <c r="I34" i="11" s="1"/>
  <c r="R34" i="11" s="1"/>
  <c r="CU19" i="3"/>
  <c r="CY19" i="3"/>
  <c r="CZ19" i="3"/>
  <c r="J200" i="8" s="1"/>
  <c r="DA19" i="3"/>
  <c r="DC19" i="3"/>
  <c r="A20" i="3"/>
  <c r="Y20" i="3"/>
  <c r="I33" i="11" s="1"/>
  <c r="R33" i="11" s="1"/>
  <c r="CY20" i="3"/>
  <c r="CZ20" i="3"/>
  <c r="DB20" i="3" s="1"/>
  <c r="DA20" i="3"/>
  <c r="DC20" i="3"/>
  <c r="A21" i="3"/>
  <c r="Y21" i="3"/>
  <c r="I32" i="11" s="1"/>
  <c r="R32" i="11" s="1"/>
  <c r="CY21" i="3"/>
  <c r="CZ21" i="3"/>
  <c r="DA21" i="3"/>
  <c r="DC21" i="3"/>
  <c r="A22" i="3"/>
  <c r="Y22" i="3"/>
  <c r="I31" i="11" s="1"/>
  <c r="R31" i="11" s="1"/>
  <c r="CW22" i="3"/>
  <c r="CY22" i="3"/>
  <c r="CZ22" i="3"/>
  <c r="J205" i="8" s="1"/>
  <c r="DA22" i="3"/>
  <c r="DC22" i="3"/>
  <c r="A23" i="3"/>
  <c r="Y23" i="3"/>
  <c r="CY23" i="3"/>
  <c r="CZ23" i="3"/>
  <c r="DA23" i="3"/>
  <c r="DC23" i="3"/>
  <c r="A24" i="3"/>
  <c r="Y24" i="3"/>
  <c r="I29" i="11" s="1"/>
  <c r="CX24" i="3"/>
  <c r="CY24" i="3"/>
  <c r="CZ24" i="3"/>
  <c r="DA24" i="3"/>
  <c r="DC24" i="3"/>
  <c r="A25" i="3"/>
  <c r="Y25" i="3"/>
  <c r="I28" i="11" s="1"/>
  <c r="D103" i="10" s="1"/>
  <c r="CX25" i="3"/>
  <c r="CY25" i="3"/>
  <c r="CZ25" i="3"/>
  <c r="DA25" i="3"/>
  <c r="DC25" i="3"/>
  <c r="DH25" i="3"/>
  <c r="T28" i="11" s="1"/>
  <c r="A26" i="3"/>
  <c r="Y26" i="3"/>
  <c r="I27" i="11" s="1"/>
  <c r="CX26" i="3"/>
  <c r="G211" i="8" s="1"/>
  <c r="CY26" i="3"/>
  <c r="CZ26" i="3"/>
  <c r="H211" i="8" s="1"/>
  <c r="J211" i="8" s="1"/>
  <c r="DA26" i="3"/>
  <c r="DB26" i="3"/>
  <c r="DC26" i="3"/>
  <c r="A27" i="3"/>
  <c r="Y27" i="3"/>
  <c r="CY27" i="3"/>
  <c r="CZ27" i="3"/>
  <c r="DA27" i="3"/>
  <c r="DC27" i="3"/>
  <c r="A28" i="3"/>
  <c r="Y28" i="3"/>
  <c r="CU28" i="3"/>
  <c r="CY28" i="3"/>
  <c r="CZ28" i="3"/>
  <c r="J255" i="8" s="1"/>
  <c r="DA28" i="3"/>
  <c r="DB28" i="3"/>
  <c r="DC28" i="3"/>
  <c r="A29" i="3"/>
  <c r="Y29" i="3"/>
  <c r="I36" i="11" s="1"/>
  <c r="CY29" i="3"/>
  <c r="CZ29" i="3"/>
  <c r="DA29" i="3"/>
  <c r="DC29" i="3"/>
  <c r="A30" i="3"/>
  <c r="Y30" i="3"/>
  <c r="CU30" i="3"/>
  <c r="CY30" i="3"/>
  <c r="CZ30" i="3"/>
  <c r="DA30" i="3"/>
  <c r="DC30" i="3"/>
  <c r="A31" i="3"/>
  <c r="Y31" i="3"/>
  <c r="I46" i="11" s="1"/>
  <c r="R46" i="11" s="1"/>
  <c r="CU31" i="3"/>
  <c r="CV31" i="3"/>
  <c r="CX31" i="3"/>
  <c r="CY31" i="3"/>
  <c r="CZ31" i="3"/>
  <c r="J269" i="8" s="1"/>
  <c r="DA31" i="3"/>
  <c r="DC31" i="3"/>
  <c r="DG31" i="3"/>
  <c r="A32" i="3"/>
  <c r="Y32" i="3"/>
  <c r="CU32" i="3"/>
  <c r="CX32" i="3"/>
  <c r="CY32" i="3"/>
  <c r="CZ32" i="3"/>
  <c r="J270" i="8" s="1"/>
  <c r="DA32" i="3"/>
  <c r="DB32" i="3"/>
  <c r="DC32" i="3"/>
  <c r="A33" i="3"/>
  <c r="Y33" i="3"/>
  <c r="I44" i="11" s="1"/>
  <c r="CU33" i="3"/>
  <c r="CY33" i="3"/>
  <c r="CZ33" i="3"/>
  <c r="DA33" i="3"/>
  <c r="DC33" i="3"/>
  <c r="A34" i="3"/>
  <c r="Y34" i="3"/>
  <c r="I43" i="11" s="1"/>
  <c r="CX34" i="3"/>
  <c r="CY34" i="3"/>
  <c r="CZ34" i="3"/>
  <c r="DA34" i="3"/>
  <c r="DB34" i="3"/>
  <c r="DC34" i="3"/>
  <c r="A35" i="3"/>
  <c r="Y35" i="3"/>
  <c r="CW35" i="3"/>
  <c r="CY35" i="3"/>
  <c r="CZ35" i="3"/>
  <c r="DA35" i="3"/>
  <c r="DC35" i="3"/>
  <c r="A36" i="3"/>
  <c r="Y36" i="3"/>
  <c r="CX36" i="3"/>
  <c r="CY36" i="3"/>
  <c r="CZ36" i="3"/>
  <c r="H276" i="8" s="1"/>
  <c r="J276" i="8" s="1"/>
  <c r="DA36" i="3"/>
  <c r="DB36" i="3"/>
  <c r="DC36" i="3"/>
  <c r="A37" i="3"/>
  <c r="Y37" i="3"/>
  <c r="I40" i="11" s="1"/>
  <c r="CX37" i="3"/>
  <c r="G279" i="8" s="1"/>
  <c r="CY37" i="3"/>
  <c r="CZ37" i="3"/>
  <c r="J279" i="8" s="1"/>
  <c r="DA37" i="3"/>
  <c r="DB37" i="3"/>
  <c r="DC37" i="3"/>
  <c r="A38" i="3"/>
  <c r="Y38" i="3"/>
  <c r="CY38" i="3"/>
  <c r="CZ38" i="3"/>
  <c r="DA38" i="3"/>
  <c r="DC38" i="3"/>
  <c r="A39" i="3"/>
  <c r="Y39" i="3"/>
  <c r="I38" i="11" s="1"/>
  <c r="CX39" i="3"/>
  <c r="CY39" i="3"/>
  <c r="CZ39" i="3"/>
  <c r="DA39" i="3"/>
  <c r="DC39" i="3"/>
  <c r="DH39" i="3"/>
  <c r="T38" i="11" s="1"/>
  <c r="A40" i="3"/>
  <c r="Y40" i="3"/>
  <c r="CX40" i="3"/>
  <c r="DI40" i="3" s="1"/>
  <c r="CY40" i="3"/>
  <c r="CZ40" i="3"/>
  <c r="DB40" i="3" s="1"/>
  <c r="DA40" i="3"/>
  <c r="DC40" i="3"/>
  <c r="DH40" i="3"/>
  <c r="A41" i="3"/>
  <c r="Y41" i="3"/>
  <c r="I58" i="11" s="1"/>
  <c r="R58" i="11" s="1"/>
  <c r="CU41" i="3"/>
  <c r="CY41" i="3"/>
  <c r="CZ41" i="3"/>
  <c r="DA41" i="3"/>
  <c r="DC41" i="3"/>
  <c r="A42" i="3"/>
  <c r="Y42" i="3"/>
  <c r="CU42" i="3"/>
  <c r="CV42" i="3"/>
  <c r="CY42" i="3"/>
  <c r="CZ42" i="3"/>
  <c r="DA42" i="3"/>
  <c r="DC42" i="3"/>
  <c r="A43" i="3"/>
  <c r="Y43" i="3"/>
  <c r="CU43" i="3"/>
  <c r="CV43" i="3"/>
  <c r="CY43" i="3"/>
  <c r="CZ43" i="3"/>
  <c r="J296" i="8" s="1"/>
  <c r="DA43" i="3"/>
  <c r="DC43" i="3"/>
  <c r="A44" i="3"/>
  <c r="Y44" i="3"/>
  <c r="CU44" i="3"/>
  <c r="CY44" i="3"/>
  <c r="CZ44" i="3"/>
  <c r="J297" i="8" s="1"/>
  <c r="DA44" i="3"/>
  <c r="DC44" i="3"/>
  <c r="A45" i="3"/>
  <c r="Y45" i="3"/>
  <c r="I54" i="11" s="1"/>
  <c r="R54" i="11" s="1"/>
  <c r="CX45" i="3"/>
  <c r="DG45" i="3" s="1"/>
  <c r="CY45" i="3"/>
  <c r="CZ45" i="3"/>
  <c r="DB45" i="3" s="1"/>
  <c r="DA45" i="3"/>
  <c r="DC45" i="3"/>
  <c r="A46" i="3"/>
  <c r="Y46" i="3"/>
  <c r="I53" i="11" s="1"/>
  <c r="R53" i="11" s="1"/>
  <c r="CY46" i="3"/>
  <c r="CZ46" i="3"/>
  <c r="DA46" i="3"/>
  <c r="DC46" i="3"/>
  <c r="A47" i="3"/>
  <c r="Y47" i="3"/>
  <c r="I52" i="11" s="1"/>
  <c r="CW47" i="3"/>
  <c r="CY47" i="3"/>
  <c r="CZ47" i="3"/>
  <c r="H302" i="8" s="1"/>
  <c r="J302" i="8" s="1"/>
  <c r="DA47" i="3"/>
  <c r="DC47" i="3"/>
  <c r="A48" i="3"/>
  <c r="Y48" i="3"/>
  <c r="CY48" i="3"/>
  <c r="CZ48" i="3"/>
  <c r="DA48" i="3"/>
  <c r="DC48" i="3"/>
  <c r="A49" i="3"/>
  <c r="Y49" i="3"/>
  <c r="CY49" i="3"/>
  <c r="CZ49" i="3"/>
  <c r="DA49" i="3"/>
  <c r="DC49" i="3"/>
  <c r="A50" i="3"/>
  <c r="Y50" i="3"/>
  <c r="CY50" i="3"/>
  <c r="CZ50" i="3"/>
  <c r="H307" i="8" s="1"/>
  <c r="J307" i="8" s="1"/>
  <c r="DA50" i="3"/>
  <c r="DC50" i="3"/>
  <c r="A51" i="3"/>
  <c r="Y51" i="3"/>
  <c r="I59" i="11" s="1"/>
  <c r="CU51" i="3"/>
  <c r="CY51" i="3"/>
  <c r="CZ51" i="3"/>
  <c r="DA51" i="3"/>
  <c r="DC51" i="3"/>
  <c r="A52" i="3"/>
  <c r="Y52" i="3"/>
  <c r="CU52" i="3"/>
  <c r="CV52" i="3"/>
  <c r="CY52" i="3"/>
  <c r="CZ52" i="3"/>
  <c r="DA52" i="3"/>
  <c r="DC52" i="3"/>
  <c r="A53" i="3"/>
  <c r="Y53" i="3"/>
  <c r="CU53" i="3"/>
  <c r="CY53" i="3"/>
  <c r="CZ53" i="3"/>
  <c r="J346" i="8" s="1"/>
  <c r="DA53" i="3"/>
  <c r="DC53" i="3"/>
  <c r="A54" i="3"/>
  <c r="Y54" i="3"/>
  <c r="CU54" i="3"/>
  <c r="CY54" i="3"/>
  <c r="CZ54" i="3"/>
  <c r="J361" i="8" s="1"/>
  <c r="DA54" i="3"/>
  <c r="DB54" i="3"/>
  <c r="DC54" i="3"/>
  <c r="A55" i="3"/>
  <c r="Y55" i="3"/>
  <c r="I67" i="11" s="1"/>
  <c r="M67" i="11" s="1"/>
  <c r="CX55" i="3"/>
  <c r="DG55" i="3" s="1"/>
  <c r="CY55" i="3"/>
  <c r="CZ55" i="3"/>
  <c r="DA55" i="3"/>
  <c r="DB55" i="3"/>
  <c r="DC55" i="3"/>
  <c r="A56" i="3"/>
  <c r="Y56" i="3"/>
  <c r="I66" i="11" s="1"/>
  <c r="CY56" i="3"/>
  <c r="CZ56" i="3"/>
  <c r="DA56" i="3"/>
  <c r="DC56" i="3"/>
  <c r="A57" i="3"/>
  <c r="Y57" i="3"/>
  <c r="I65" i="11" s="1"/>
  <c r="CW57" i="3"/>
  <c r="CY57" i="3"/>
  <c r="CZ57" i="3"/>
  <c r="J366" i="8" s="1"/>
  <c r="DA57" i="3"/>
  <c r="DC57" i="3"/>
  <c r="A58" i="3"/>
  <c r="Y58" i="3"/>
  <c r="I64" i="11" s="1"/>
  <c r="CY58" i="3"/>
  <c r="CZ58" i="3"/>
  <c r="DA58" i="3"/>
  <c r="DC58" i="3"/>
  <c r="A59" i="3"/>
  <c r="Y59" i="3"/>
  <c r="CY59" i="3"/>
  <c r="CZ59" i="3"/>
  <c r="H370" i="8" s="1"/>
  <c r="J370" i="8" s="1"/>
  <c r="DA59" i="3"/>
  <c r="DB59" i="3"/>
  <c r="DC59" i="3"/>
  <c r="A60" i="3"/>
  <c r="Y60" i="3"/>
  <c r="I62" i="11" s="1"/>
  <c r="R62" i="11" s="1"/>
  <c r="CX60" i="3"/>
  <c r="G371" i="8" s="1"/>
  <c r="CY60" i="3"/>
  <c r="CZ60" i="3"/>
  <c r="H371" i="8" s="1"/>
  <c r="J371" i="8" s="1"/>
  <c r="DA60" i="3"/>
  <c r="DC60" i="3"/>
  <c r="A61" i="3"/>
  <c r="Y61" i="3"/>
  <c r="CU61" i="3"/>
  <c r="CY61" i="3"/>
  <c r="CZ61" i="3"/>
  <c r="J380" i="8" s="1"/>
  <c r="DA61" i="3"/>
  <c r="DC61" i="3"/>
  <c r="A62" i="3"/>
  <c r="Y62" i="3"/>
  <c r="CY62" i="3"/>
  <c r="CZ62" i="3"/>
  <c r="DA62" i="3"/>
  <c r="DB62" i="3"/>
  <c r="DC62" i="3"/>
  <c r="A63" i="3"/>
  <c r="Y63" i="3"/>
  <c r="I73" i="11" s="1"/>
  <c r="CY63" i="3"/>
  <c r="CZ63" i="3"/>
  <c r="DA63" i="3"/>
  <c r="DC63" i="3"/>
  <c r="A64" i="3"/>
  <c r="Y64" i="3"/>
  <c r="CX64" i="3"/>
  <c r="G385" i="8" s="1"/>
  <c r="CY64" i="3"/>
  <c r="CZ64" i="3"/>
  <c r="J385" i="8" s="1"/>
  <c r="DA64" i="3"/>
  <c r="DB64" i="3"/>
  <c r="DC64" i="3"/>
  <c r="A65" i="3"/>
  <c r="Y65" i="3"/>
  <c r="I71" i="11" s="1"/>
  <c r="CY65" i="3"/>
  <c r="CZ65" i="3"/>
  <c r="DA65" i="3"/>
  <c r="DC65" i="3"/>
  <c r="A66" i="3"/>
  <c r="Y66" i="3"/>
  <c r="I70" i="11" s="1"/>
  <c r="CX66" i="3"/>
  <c r="G389" i="8" s="1"/>
  <c r="CY66" i="3"/>
  <c r="CZ66" i="3"/>
  <c r="H389" i="8" s="1"/>
  <c r="J389" i="8" s="1"/>
  <c r="DA66" i="3"/>
  <c r="DB66" i="3"/>
  <c r="DC66" i="3"/>
  <c r="A67" i="3"/>
  <c r="Y67" i="3"/>
  <c r="I69" i="11" s="1"/>
  <c r="CX67" i="3"/>
  <c r="G390" i="8" s="1"/>
  <c r="CY67" i="3"/>
  <c r="CZ67" i="3"/>
  <c r="H390" i="8" s="1"/>
  <c r="J390" i="8" s="1"/>
  <c r="DA67" i="3"/>
  <c r="DB67" i="3"/>
  <c r="DC67" i="3"/>
  <c r="A68" i="3"/>
  <c r="Y68" i="3"/>
  <c r="CU68" i="3"/>
  <c r="CY68" i="3"/>
  <c r="CZ68" i="3"/>
  <c r="DA68" i="3"/>
  <c r="DC68" i="3"/>
  <c r="A69" i="3"/>
  <c r="Y69" i="3"/>
  <c r="CY69" i="3"/>
  <c r="CZ69" i="3"/>
  <c r="DB69" i="3" s="1"/>
  <c r="DA69" i="3"/>
  <c r="DC69" i="3"/>
  <c r="A70" i="3"/>
  <c r="Y70" i="3"/>
  <c r="I76" i="11" s="1"/>
  <c r="CY70" i="3"/>
  <c r="CZ70" i="3"/>
  <c r="DA70" i="3"/>
  <c r="DC70" i="3"/>
  <c r="A71" i="3"/>
  <c r="Y71" i="3"/>
  <c r="CU71" i="3"/>
  <c r="CV71" i="3"/>
  <c r="CY71" i="3"/>
  <c r="CZ71" i="3"/>
  <c r="DA71" i="3"/>
  <c r="DC71" i="3"/>
  <c r="A72" i="3"/>
  <c r="Y72" i="3"/>
  <c r="CY72" i="3"/>
  <c r="CZ72" i="3"/>
  <c r="DB72" i="3" s="1"/>
  <c r="DA72" i="3"/>
  <c r="DC72" i="3"/>
  <c r="A73" i="3"/>
  <c r="Y73" i="3"/>
  <c r="I90" i="11" s="1"/>
  <c r="CY73" i="3"/>
  <c r="CZ73" i="3"/>
  <c r="J461" i="8" s="1"/>
  <c r="DA73" i="3"/>
  <c r="DC73" i="3"/>
  <c r="A74" i="3"/>
  <c r="Y74" i="3"/>
  <c r="I89" i="11" s="1"/>
  <c r="R89" i="11" s="1"/>
  <c r="CY74" i="3"/>
  <c r="CZ74" i="3"/>
  <c r="DA74" i="3"/>
  <c r="DC74" i="3"/>
  <c r="A75" i="3"/>
  <c r="Y75" i="3"/>
  <c r="CW75" i="3"/>
  <c r="CY75" i="3"/>
  <c r="CZ75" i="3"/>
  <c r="DA75" i="3"/>
  <c r="DC75" i="3"/>
  <c r="A76" i="3"/>
  <c r="Y76" i="3"/>
  <c r="I87" i="11" s="1"/>
  <c r="CY76" i="3"/>
  <c r="CZ76" i="3"/>
  <c r="DA76" i="3"/>
  <c r="DC76" i="3"/>
  <c r="A77" i="3"/>
  <c r="Y77" i="3"/>
  <c r="CY77" i="3"/>
  <c r="CZ77" i="3"/>
  <c r="J469" i="8" s="1"/>
  <c r="DA77" i="3"/>
  <c r="DC77" i="3"/>
  <c r="A78" i="3"/>
  <c r="Y78" i="3"/>
  <c r="I85" i="11" s="1"/>
  <c r="CY78" i="3"/>
  <c r="CZ78" i="3"/>
  <c r="DA78" i="3"/>
  <c r="DC78" i="3"/>
  <c r="A79" i="3"/>
  <c r="Y79" i="3"/>
  <c r="I84" i="11" s="1"/>
  <c r="CX79" i="3"/>
  <c r="CY79" i="3"/>
  <c r="CZ79" i="3"/>
  <c r="H473" i="8" s="1"/>
  <c r="J473" i="8" s="1"/>
  <c r="DA79" i="3"/>
  <c r="DB79" i="3"/>
  <c r="DC79" i="3"/>
  <c r="A80" i="3"/>
  <c r="Y80" i="3"/>
  <c r="I83" i="11" s="1"/>
  <c r="CX80" i="3"/>
  <c r="G474" i="8" s="1"/>
  <c r="CY80" i="3"/>
  <c r="CZ80" i="3"/>
  <c r="J474" i="8" s="1"/>
  <c r="DA80" i="3"/>
  <c r="DB80" i="3"/>
  <c r="DC80" i="3"/>
  <c r="A81" i="3"/>
  <c r="Y81" i="3"/>
  <c r="CY81" i="3"/>
  <c r="CZ81" i="3"/>
  <c r="DA81" i="3"/>
  <c r="DC81" i="3"/>
  <c r="A82" i="3"/>
  <c r="Y82" i="3"/>
  <c r="CY82" i="3"/>
  <c r="CZ82" i="3"/>
  <c r="DA82" i="3"/>
  <c r="DC82" i="3"/>
  <c r="A83" i="3"/>
  <c r="Y83" i="3"/>
  <c r="I80" i="11" s="1"/>
  <c r="CX83" i="3"/>
  <c r="G477" i="8" s="1"/>
  <c r="CY83" i="3"/>
  <c r="CZ83" i="3"/>
  <c r="H477" i="8" s="1"/>
  <c r="J477" i="8" s="1"/>
  <c r="DA83" i="3"/>
  <c r="DB83" i="3"/>
  <c r="DC83" i="3"/>
  <c r="A84" i="3"/>
  <c r="Y84" i="3"/>
  <c r="CX84" i="3"/>
  <c r="DG84" i="3" s="1"/>
  <c r="CY84" i="3"/>
  <c r="CZ84" i="3"/>
  <c r="DA84" i="3"/>
  <c r="DB84" i="3"/>
  <c r="DC84" i="3"/>
  <c r="A85" i="3"/>
  <c r="Y85" i="3"/>
  <c r="CX85" i="3" s="1"/>
  <c r="CY85" i="3"/>
  <c r="CZ85" i="3"/>
  <c r="DB85" i="3" s="1"/>
  <c r="DA85" i="3"/>
  <c r="DC85" i="3"/>
  <c r="A86" i="3"/>
  <c r="Y86" i="3"/>
  <c r="CX86" i="3"/>
  <c r="CY86" i="3"/>
  <c r="CZ86" i="3"/>
  <c r="DB86" i="3" s="1"/>
  <c r="DA86" i="3"/>
  <c r="DC86" i="3"/>
  <c r="DF86" i="3"/>
  <c r="DJ86" i="3" s="1"/>
  <c r="DH86" i="3"/>
  <c r="A87" i="3"/>
  <c r="Y87" i="3"/>
  <c r="CU87" i="3"/>
  <c r="CY87" i="3"/>
  <c r="CZ87" i="3"/>
  <c r="DA87" i="3"/>
  <c r="DC87" i="3"/>
  <c r="A88" i="3"/>
  <c r="Y88" i="3"/>
  <c r="CY88" i="3"/>
  <c r="CZ88" i="3"/>
  <c r="DB88" i="3" s="1"/>
  <c r="DA88" i="3"/>
  <c r="DC88" i="3"/>
  <c r="A89" i="3"/>
  <c r="Y89" i="3"/>
  <c r="CW89" i="3"/>
  <c r="CY89" i="3"/>
  <c r="CZ89" i="3"/>
  <c r="DA89" i="3"/>
  <c r="DC89" i="3"/>
  <c r="A90" i="3"/>
  <c r="Y90" i="3"/>
  <c r="I112" i="11" s="1"/>
  <c r="CY90" i="3"/>
  <c r="CZ90" i="3"/>
  <c r="DA90" i="3"/>
  <c r="DC90" i="3"/>
  <c r="A91" i="3"/>
  <c r="Y91" i="3"/>
  <c r="I111" i="11" s="1"/>
  <c r="CY91" i="3"/>
  <c r="CZ91" i="3"/>
  <c r="J501" i="8" s="1"/>
  <c r="DA91" i="3"/>
  <c r="DC91" i="3"/>
  <c r="A92" i="3"/>
  <c r="Y92" i="3"/>
  <c r="I110" i="11" s="1"/>
  <c r="CY92" i="3"/>
  <c r="CZ92" i="3"/>
  <c r="DA92" i="3"/>
  <c r="DC92" i="3"/>
  <c r="A93" i="3"/>
  <c r="Y93" i="3"/>
  <c r="I109" i="11" s="1"/>
  <c r="R109" i="11" s="1"/>
  <c r="CW93" i="3"/>
  <c r="CX93" i="3"/>
  <c r="CY93" i="3"/>
  <c r="CZ93" i="3"/>
  <c r="J504" i="8" s="1"/>
  <c r="DA93" i="3"/>
  <c r="DB93" i="3"/>
  <c r="DC93" i="3"/>
  <c r="DH93" i="3"/>
  <c r="T109" i="11" s="1"/>
  <c r="A94" i="3"/>
  <c r="Y94" i="3"/>
  <c r="CY94" i="3"/>
  <c r="CZ94" i="3"/>
  <c r="DA94" i="3"/>
  <c r="DC94" i="3"/>
  <c r="A95" i="3"/>
  <c r="Y95" i="3"/>
  <c r="CY95" i="3"/>
  <c r="CZ95" i="3"/>
  <c r="DA95" i="3"/>
  <c r="DC95" i="3"/>
  <c r="A96" i="3"/>
  <c r="Y96" i="3"/>
  <c r="CY96" i="3"/>
  <c r="CZ96" i="3"/>
  <c r="J508" i="8" s="1"/>
  <c r="DA96" i="3"/>
  <c r="DC96" i="3"/>
  <c r="A97" i="3"/>
  <c r="Y97" i="3"/>
  <c r="CY97" i="3"/>
  <c r="CZ97" i="3"/>
  <c r="DA97" i="3"/>
  <c r="DC97" i="3"/>
  <c r="A98" i="3"/>
  <c r="Y98" i="3"/>
  <c r="I104" i="11" s="1"/>
  <c r="CY98" i="3"/>
  <c r="CZ98" i="3"/>
  <c r="DA98" i="3"/>
  <c r="DC98" i="3"/>
  <c r="A99" i="3"/>
  <c r="Y99" i="3"/>
  <c r="I103" i="11" s="1"/>
  <c r="R103" i="11" s="1"/>
  <c r="CX99" i="3"/>
  <c r="CY99" i="3"/>
  <c r="CZ99" i="3"/>
  <c r="H511" i="8" s="1"/>
  <c r="J511" i="8" s="1"/>
  <c r="DA99" i="3"/>
  <c r="DB99" i="3"/>
  <c r="DC99" i="3"/>
  <c r="A100" i="3"/>
  <c r="Y100" i="3"/>
  <c r="CY100" i="3"/>
  <c r="CZ100" i="3"/>
  <c r="DA100" i="3"/>
  <c r="DC100" i="3"/>
  <c r="A101" i="3"/>
  <c r="Y101" i="3"/>
  <c r="CX101" i="3" s="1"/>
  <c r="DF101" i="3" s="1"/>
  <c r="DJ101" i="3" s="1"/>
  <c r="CY101" i="3"/>
  <c r="CZ101" i="3"/>
  <c r="DB101" i="3" s="1"/>
  <c r="DA101" i="3"/>
  <c r="DC101" i="3"/>
  <c r="A102" i="3"/>
  <c r="Y102" i="3"/>
  <c r="I101" i="11" s="1"/>
  <c r="CX102" i="3"/>
  <c r="CY102" i="3"/>
  <c r="CZ102" i="3"/>
  <c r="DA102" i="3"/>
  <c r="DC102" i="3"/>
  <c r="DH102" i="3"/>
  <c r="T101" i="11" s="1"/>
  <c r="A103" i="3"/>
  <c r="Y103" i="3"/>
  <c r="I100" i="11" s="1"/>
  <c r="CY103" i="3"/>
  <c r="CZ103" i="3"/>
  <c r="H514" i="8" s="1"/>
  <c r="J514" i="8" s="1"/>
  <c r="DA103" i="3"/>
  <c r="DC103" i="3"/>
  <c r="A104" i="3"/>
  <c r="Y104" i="3"/>
  <c r="CY104" i="3"/>
  <c r="CZ104" i="3"/>
  <c r="H515" i="8" s="1"/>
  <c r="J515" i="8" s="1"/>
  <c r="DA104" i="3"/>
  <c r="DB104" i="3"/>
  <c r="DC104" i="3"/>
  <c r="A105" i="3"/>
  <c r="Y105" i="3"/>
  <c r="CY105" i="3"/>
  <c r="CZ105" i="3"/>
  <c r="DA105" i="3"/>
  <c r="DC105" i="3"/>
  <c r="A106" i="3"/>
  <c r="Y106" i="3"/>
  <c r="I97" i="11" s="1"/>
  <c r="CX106" i="3"/>
  <c r="CY106" i="3"/>
  <c r="CZ106" i="3"/>
  <c r="DA106" i="3"/>
  <c r="DC106" i="3"/>
  <c r="DF106" i="3"/>
  <c r="A107" i="3"/>
  <c r="Y107" i="3"/>
  <c r="I96" i="11" s="1"/>
  <c r="CX107" i="3"/>
  <c r="G518" i="8" s="1"/>
  <c r="CY107" i="3"/>
  <c r="CZ107" i="3"/>
  <c r="H518" i="8" s="1"/>
  <c r="J518" i="8" s="1"/>
  <c r="DA107" i="3"/>
  <c r="DC107" i="3"/>
  <c r="A108" i="3"/>
  <c r="Y108" i="3"/>
  <c r="I129" i="11" s="1"/>
  <c r="CU108" i="3"/>
  <c r="CY108" i="3"/>
  <c r="CZ108" i="3"/>
  <c r="DA108" i="3"/>
  <c r="DC108" i="3"/>
  <c r="A109" i="3"/>
  <c r="Y109" i="3"/>
  <c r="I128" i="11" s="1"/>
  <c r="CY109" i="3"/>
  <c r="CZ109" i="3"/>
  <c r="DB109" i="3" s="1"/>
  <c r="DA109" i="3"/>
  <c r="DC109" i="3"/>
  <c r="A110" i="3"/>
  <c r="Y110" i="3"/>
  <c r="CY110" i="3"/>
  <c r="CZ110" i="3"/>
  <c r="DA110" i="3"/>
  <c r="DC110" i="3"/>
  <c r="A111" i="3"/>
  <c r="Y111" i="3"/>
  <c r="I126" i="11" s="1"/>
  <c r="CY111" i="3"/>
  <c r="CZ111" i="3"/>
  <c r="H535" i="8" s="1"/>
  <c r="J535" i="8" s="1"/>
  <c r="DA111" i="3"/>
  <c r="DC111" i="3"/>
  <c r="A112" i="3"/>
  <c r="Y112" i="3"/>
  <c r="CW112" i="3"/>
  <c r="CY112" i="3"/>
  <c r="CZ112" i="3"/>
  <c r="DA112" i="3"/>
  <c r="DC112" i="3"/>
  <c r="A113" i="3"/>
  <c r="Y113" i="3"/>
  <c r="I124" i="11" s="1"/>
  <c r="CY113" i="3"/>
  <c r="CZ113" i="3"/>
  <c r="J539" i="8" s="1"/>
  <c r="DA113" i="3"/>
  <c r="DC113" i="3"/>
  <c r="A114" i="3"/>
  <c r="Y114" i="3"/>
  <c r="CW114" i="3"/>
  <c r="CY114" i="3"/>
  <c r="CZ114" i="3"/>
  <c r="DA114" i="3"/>
  <c r="DC114" i="3"/>
  <c r="A115" i="3"/>
  <c r="Y115" i="3"/>
  <c r="I122" i="11" s="1"/>
  <c r="CW115" i="3"/>
  <c r="CX115" i="3"/>
  <c r="G542" i="8" s="1"/>
  <c r="CY115" i="3"/>
  <c r="CZ115" i="3"/>
  <c r="J542" i="8" s="1"/>
  <c r="DA115" i="3"/>
  <c r="DB115" i="3"/>
  <c r="DC115" i="3"/>
  <c r="A116" i="3"/>
  <c r="Y116" i="3"/>
  <c r="CY116" i="3"/>
  <c r="CZ116" i="3"/>
  <c r="H545" i="8" s="1"/>
  <c r="J545" i="8" s="1"/>
  <c r="DA116" i="3"/>
  <c r="DB116" i="3"/>
  <c r="DC116" i="3"/>
  <c r="A117" i="3"/>
  <c r="Y117" i="3"/>
  <c r="CY117" i="3"/>
  <c r="CZ117" i="3"/>
  <c r="DA117" i="3"/>
  <c r="DC117" i="3"/>
  <c r="A118" i="3"/>
  <c r="Y118" i="3"/>
  <c r="I119" i="11" s="1"/>
  <c r="CX118" i="3"/>
  <c r="CY118" i="3"/>
  <c r="CZ118" i="3"/>
  <c r="DA118" i="3"/>
  <c r="DC118" i="3"/>
  <c r="A119" i="3"/>
  <c r="Y119" i="3"/>
  <c r="I118" i="11" s="1"/>
  <c r="CX119" i="3"/>
  <c r="G548" i="8" s="1"/>
  <c r="CY119" i="3"/>
  <c r="CZ119" i="3"/>
  <c r="H548" i="8" s="1"/>
  <c r="J548" i="8" s="1"/>
  <c r="DA119" i="3"/>
  <c r="DB119" i="3"/>
  <c r="DC119" i="3"/>
  <c r="A120" i="3"/>
  <c r="Y120" i="3"/>
  <c r="CY120" i="3"/>
  <c r="CZ120" i="3"/>
  <c r="H549" i="8" s="1"/>
  <c r="J549" i="8" s="1"/>
  <c r="DA120" i="3"/>
  <c r="DC120" i="3"/>
  <c r="A121" i="3"/>
  <c r="Y121" i="3"/>
  <c r="CX121" i="3" s="1"/>
  <c r="CY121" i="3"/>
  <c r="CZ121" i="3"/>
  <c r="DB121" i="3" s="1"/>
  <c r="DA121" i="3"/>
  <c r="DC121" i="3"/>
  <c r="DF121" i="3"/>
  <c r="DJ121" i="3" s="1"/>
  <c r="DG121" i="3"/>
  <c r="A122" i="3"/>
  <c r="Y122" i="3"/>
  <c r="CX122" i="3"/>
  <c r="DG122" i="3" s="1"/>
  <c r="CY122" i="3"/>
  <c r="CZ122" i="3"/>
  <c r="DB122" i="3" s="1"/>
  <c r="DA122" i="3"/>
  <c r="DC122" i="3"/>
  <c r="DF122" i="3"/>
  <c r="DJ122" i="3" s="1"/>
  <c r="A123" i="3"/>
  <c r="Y123" i="3"/>
  <c r="CX123" i="3"/>
  <c r="CY123" i="3"/>
  <c r="CZ123" i="3"/>
  <c r="DB123" i="3" s="1"/>
  <c r="DA123" i="3"/>
  <c r="DC123" i="3"/>
  <c r="A124" i="3"/>
  <c r="Y124" i="3"/>
  <c r="I152" i="11" s="1"/>
  <c r="CU124" i="3"/>
  <c r="CY124" i="3"/>
  <c r="CZ124" i="3"/>
  <c r="DA124" i="3"/>
  <c r="DC124" i="3"/>
  <c r="A125" i="3"/>
  <c r="Y125" i="3"/>
  <c r="I151" i="11" s="1"/>
  <c r="CY125" i="3"/>
  <c r="CZ125" i="3"/>
  <c r="DB125" i="3" s="1"/>
  <c r="DA125" i="3"/>
  <c r="DC125" i="3"/>
  <c r="A126" i="3"/>
  <c r="Y126" i="3"/>
  <c r="I150" i="11" s="1"/>
  <c r="CY126" i="3"/>
  <c r="CZ126" i="3"/>
  <c r="DA126" i="3"/>
  <c r="DC126" i="3"/>
  <c r="A127" i="3"/>
  <c r="Y127" i="3"/>
  <c r="I149" i="11" s="1"/>
  <c r="CW127" i="3"/>
  <c r="CX127" i="3"/>
  <c r="CY127" i="3"/>
  <c r="CZ127" i="3"/>
  <c r="H572" i="8" s="1"/>
  <c r="J572" i="8" s="1"/>
  <c r="DA127" i="3"/>
  <c r="DB127" i="3"/>
  <c r="DC127" i="3"/>
  <c r="DI127" i="3"/>
  <c r="A128" i="3"/>
  <c r="Y128" i="3"/>
  <c r="CW128" i="3"/>
  <c r="CY128" i="3"/>
  <c r="CZ128" i="3"/>
  <c r="DA128" i="3"/>
  <c r="DC128" i="3"/>
  <c r="A129" i="3"/>
  <c r="Y129" i="3"/>
  <c r="I147" i="11" s="1"/>
  <c r="CW129" i="3"/>
  <c r="CX129" i="3"/>
  <c r="G575" i="8" s="1"/>
  <c r="CY129" i="3"/>
  <c r="CZ129" i="3"/>
  <c r="H575" i="8" s="1"/>
  <c r="J575" i="8" s="1"/>
  <c r="DA129" i="3"/>
  <c r="DB129" i="3"/>
  <c r="DC129" i="3"/>
  <c r="A130" i="3"/>
  <c r="Y130" i="3"/>
  <c r="CY130" i="3"/>
  <c r="CZ130" i="3"/>
  <c r="DA130" i="3"/>
  <c r="DC130" i="3"/>
  <c r="A131" i="3"/>
  <c r="Y131" i="3"/>
  <c r="I145" i="11" s="1"/>
  <c r="CX131" i="3"/>
  <c r="CY131" i="3"/>
  <c r="CZ131" i="3"/>
  <c r="DA131" i="3"/>
  <c r="DC131" i="3"/>
  <c r="A132" i="3"/>
  <c r="Y132" i="3"/>
  <c r="CY132" i="3"/>
  <c r="CZ132" i="3"/>
  <c r="H579" i="8" s="1"/>
  <c r="J579" i="8" s="1"/>
  <c r="DA132" i="3"/>
  <c r="DC132" i="3"/>
  <c r="A133" i="3"/>
  <c r="Y133" i="3"/>
  <c r="CY133" i="3"/>
  <c r="CZ133" i="3"/>
  <c r="DA133" i="3"/>
  <c r="DC133" i="3"/>
  <c r="A134" i="3"/>
  <c r="Y134" i="3"/>
  <c r="CY134" i="3"/>
  <c r="CZ134" i="3"/>
  <c r="DA134" i="3"/>
  <c r="DC134" i="3"/>
  <c r="A135" i="3"/>
  <c r="Y135" i="3"/>
  <c r="I141" i="11" s="1"/>
  <c r="CY135" i="3"/>
  <c r="CZ135" i="3"/>
  <c r="H582" i="8" s="1"/>
  <c r="J582" i="8" s="1"/>
  <c r="DA135" i="3"/>
  <c r="DC135" i="3"/>
  <c r="A136" i="3"/>
  <c r="Y136" i="3"/>
  <c r="I140" i="11" s="1"/>
  <c r="CX136" i="3"/>
  <c r="G583" i="8" s="1"/>
  <c r="CY136" i="3"/>
  <c r="CZ136" i="3"/>
  <c r="H583" i="8" s="1"/>
  <c r="J583" i="8" s="1"/>
  <c r="DA136" i="3"/>
  <c r="DC136" i="3"/>
  <c r="A137" i="3"/>
  <c r="Y137" i="3"/>
  <c r="CY137" i="3"/>
  <c r="CZ137" i="3"/>
  <c r="DA137" i="3"/>
  <c r="DC137" i="3"/>
  <c r="A138" i="3"/>
  <c r="Y138" i="3"/>
  <c r="CX138" i="3" s="1"/>
  <c r="DH138" i="3" s="1"/>
  <c r="CY138" i="3"/>
  <c r="CZ138" i="3"/>
  <c r="DB138" i="3" s="1"/>
  <c r="DA138" i="3"/>
  <c r="DC138" i="3"/>
  <c r="DG138" i="3"/>
  <c r="A139" i="3"/>
  <c r="Y139" i="3"/>
  <c r="I138" i="11" s="1"/>
  <c r="CX139" i="3"/>
  <c r="G585" i="8" s="1"/>
  <c r="CY139" i="3"/>
  <c r="CZ139" i="3"/>
  <c r="H585" i="8" s="1"/>
  <c r="J585" i="8" s="1"/>
  <c r="DA139" i="3"/>
  <c r="DB139" i="3"/>
  <c r="DC139" i="3"/>
  <c r="A140" i="3"/>
  <c r="Y140" i="3"/>
  <c r="I137" i="11" s="1"/>
  <c r="CY140" i="3"/>
  <c r="CZ140" i="3"/>
  <c r="H586" i="8" s="1"/>
  <c r="J586" i="8" s="1"/>
  <c r="DA140" i="3"/>
  <c r="DC140" i="3"/>
  <c r="A141" i="3"/>
  <c r="Y141" i="3"/>
  <c r="I136" i="11" s="1"/>
  <c r="CX141" i="3"/>
  <c r="CY141" i="3"/>
  <c r="CZ141" i="3"/>
  <c r="H587" i="8" s="1"/>
  <c r="J587" i="8" s="1"/>
  <c r="DA141" i="3"/>
  <c r="DC141" i="3"/>
  <c r="A142" i="3"/>
  <c r="Y142" i="3"/>
  <c r="CY142" i="3"/>
  <c r="CZ142" i="3"/>
  <c r="DA142" i="3"/>
  <c r="DC142" i="3"/>
  <c r="A143" i="3"/>
  <c r="Y143" i="3"/>
  <c r="I134" i="11" s="1"/>
  <c r="CX143" i="3"/>
  <c r="CY143" i="3"/>
  <c r="CZ143" i="3"/>
  <c r="DA143" i="3"/>
  <c r="DC143" i="3"/>
  <c r="DF143" i="3"/>
  <c r="A144" i="3"/>
  <c r="Y144" i="3"/>
  <c r="CY144" i="3"/>
  <c r="CZ144" i="3"/>
  <c r="H590" i="8" s="1"/>
  <c r="J590" i="8" s="1"/>
  <c r="DA144" i="3"/>
  <c r="DB144" i="3"/>
  <c r="DC144" i="3"/>
  <c r="A145" i="3"/>
  <c r="Y145" i="3"/>
  <c r="I160" i="11" s="1"/>
  <c r="CU145" i="3"/>
  <c r="CY145" i="3"/>
  <c r="CZ145" i="3"/>
  <c r="DA145" i="3"/>
  <c r="DC145" i="3"/>
  <c r="A146" i="3"/>
  <c r="Y146" i="3"/>
  <c r="CY146" i="3"/>
  <c r="CZ146" i="3"/>
  <c r="DB146" i="3" s="1"/>
  <c r="DA146" i="3"/>
  <c r="DC146" i="3"/>
  <c r="A147" i="3"/>
  <c r="Y147" i="3"/>
  <c r="CW147" i="3"/>
  <c r="CY147" i="3"/>
  <c r="CZ147" i="3"/>
  <c r="H605" i="8" s="1"/>
  <c r="J605" i="8" s="1"/>
  <c r="DA147" i="3"/>
  <c r="DB147" i="3"/>
  <c r="DC147" i="3"/>
  <c r="A148" i="3"/>
  <c r="Y148" i="3"/>
  <c r="I157" i="11" s="1"/>
  <c r="CY148" i="3"/>
  <c r="CZ148" i="3"/>
  <c r="DA148" i="3"/>
  <c r="DC148" i="3"/>
  <c r="A149" i="3"/>
  <c r="Y149" i="3"/>
  <c r="I156" i="11" s="1"/>
  <c r="CX149" i="3"/>
  <c r="G609" i="8" s="1"/>
  <c r="CY149" i="3"/>
  <c r="CZ149" i="3"/>
  <c r="H609" i="8" s="1"/>
  <c r="J609" i="8" s="1"/>
  <c r="DA149" i="3"/>
  <c r="DB149" i="3"/>
  <c r="DC149" i="3"/>
  <c r="A150" i="3"/>
  <c r="Y150" i="3"/>
  <c r="CY150" i="3"/>
  <c r="CZ150" i="3"/>
  <c r="H610" i="8" s="1"/>
  <c r="J610" i="8" s="1"/>
  <c r="DA150" i="3"/>
  <c r="DB150" i="3"/>
  <c r="DC150" i="3"/>
  <c r="A151" i="3"/>
  <c r="Y151" i="3"/>
  <c r="CY151" i="3"/>
  <c r="CZ151" i="3"/>
  <c r="DA151" i="3"/>
  <c r="DC151" i="3"/>
  <c r="A152" i="3"/>
  <c r="Y152" i="3"/>
  <c r="I168" i="11" s="1"/>
  <c r="CU152" i="3"/>
  <c r="CV152" i="3"/>
  <c r="U162" i="1" s="1"/>
  <c r="G620" i="8" s="1"/>
  <c r="CY152" i="3"/>
  <c r="CZ152" i="3"/>
  <c r="J621" i="8" s="1"/>
  <c r="DA152" i="3"/>
  <c r="DC152" i="3"/>
  <c r="A153" i="3"/>
  <c r="Y153" i="3"/>
  <c r="CY153" i="3"/>
  <c r="CZ153" i="3"/>
  <c r="DB153" i="3" s="1"/>
  <c r="DA153" i="3"/>
  <c r="DC153" i="3"/>
  <c r="A154" i="3"/>
  <c r="Y154" i="3"/>
  <c r="CX154" i="3"/>
  <c r="G624" i="8" s="1"/>
  <c r="CY154" i="3"/>
  <c r="CZ154" i="3"/>
  <c r="H624" i="8" s="1"/>
  <c r="J624" i="8" s="1"/>
  <c r="DA154" i="3"/>
  <c r="DB154" i="3"/>
  <c r="DC154" i="3"/>
  <c r="A155" i="3"/>
  <c r="Y155" i="3"/>
  <c r="CY155" i="3"/>
  <c r="CZ155" i="3"/>
  <c r="DA155" i="3"/>
  <c r="DC155" i="3"/>
  <c r="A156" i="3"/>
  <c r="Y156" i="3"/>
  <c r="CX156" i="3"/>
  <c r="CY156" i="3"/>
  <c r="CZ156" i="3"/>
  <c r="J627" i="8" s="1"/>
  <c r="DA156" i="3"/>
  <c r="DB156" i="3"/>
  <c r="DC156" i="3"/>
  <c r="A157" i="3"/>
  <c r="Y157" i="3"/>
  <c r="CY157" i="3"/>
  <c r="CZ157" i="3"/>
  <c r="DA157" i="3"/>
  <c r="DC157" i="3"/>
  <c r="A158" i="3"/>
  <c r="Y158" i="3"/>
  <c r="CY158" i="3"/>
  <c r="CZ158" i="3"/>
  <c r="DA158" i="3"/>
  <c r="DC158" i="3"/>
  <c r="A159" i="3"/>
  <c r="Y159" i="3"/>
  <c r="I161" i="11" s="1"/>
  <c r="CX159" i="3"/>
  <c r="G632" i="8" s="1"/>
  <c r="CY159" i="3"/>
  <c r="CZ159" i="3"/>
  <c r="H632" i="8" s="1"/>
  <c r="J632" i="8" s="1"/>
  <c r="DA159" i="3"/>
  <c r="DB159" i="3"/>
  <c r="DC159" i="3"/>
  <c r="A160" i="3"/>
  <c r="Y160" i="3"/>
  <c r="I178" i="11" s="1"/>
  <c r="CU160" i="3"/>
  <c r="CY160" i="3"/>
  <c r="CZ160" i="3"/>
  <c r="DA160" i="3"/>
  <c r="DC160" i="3"/>
  <c r="A161" i="3"/>
  <c r="Y161" i="3"/>
  <c r="I177" i="11" s="1"/>
  <c r="CY161" i="3"/>
  <c r="CZ161" i="3"/>
  <c r="DB161" i="3" s="1"/>
  <c r="DA161" i="3"/>
  <c r="DC161" i="3"/>
  <c r="A162" i="3"/>
  <c r="Y162" i="3"/>
  <c r="CW162" i="3"/>
  <c r="CY162" i="3"/>
  <c r="CZ162" i="3"/>
  <c r="DA162" i="3"/>
  <c r="DC162" i="3"/>
  <c r="A163" i="3"/>
  <c r="Y163" i="3"/>
  <c r="CX163" i="3"/>
  <c r="G646" i="8" s="1"/>
  <c r="CY163" i="3"/>
  <c r="CZ163" i="3"/>
  <c r="H646" i="8" s="1"/>
  <c r="J646" i="8" s="1"/>
  <c r="DA163" i="3"/>
  <c r="DB163" i="3"/>
  <c r="DC163" i="3"/>
  <c r="A164" i="3"/>
  <c r="Y164" i="3"/>
  <c r="I174" i="11" s="1"/>
  <c r="CY164" i="3"/>
  <c r="CZ164" i="3"/>
  <c r="H648" i="8" s="1"/>
  <c r="J648" i="8" s="1"/>
  <c r="DA164" i="3"/>
  <c r="DC164" i="3"/>
  <c r="A165" i="3"/>
  <c r="Y165" i="3"/>
  <c r="CY165" i="3"/>
  <c r="CZ165" i="3"/>
  <c r="DA165" i="3"/>
  <c r="DC165" i="3"/>
  <c r="A166" i="3"/>
  <c r="Y166" i="3"/>
  <c r="CY166" i="3"/>
  <c r="CZ166" i="3"/>
  <c r="DA166" i="3"/>
  <c r="DC166" i="3"/>
  <c r="A167" i="3"/>
  <c r="Y167" i="3"/>
  <c r="I171" i="11" s="1"/>
  <c r="CX167" i="3"/>
  <c r="G651" i="8" s="1"/>
  <c r="CY167" i="3"/>
  <c r="CZ167" i="3"/>
  <c r="H651" i="8" s="1"/>
  <c r="J651" i="8" s="1"/>
  <c r="DA167" i="3"/>
  <c r="DB167" i="3"/>
  <c r="DC167" i="3"/>
  <c r="A168" i="3"/>
  <c r="Y168" i="3"/>
  <c r="CY168" i="3"/>
  <c r="CZ168" i="3"/>
  <c r="J652" i="8" s="1"/>
  <c r="DA168" i="3"/>
  <c r="DB168" i="3"/>
  <c r="DC168" i="3"/>
  <c r="A169" i="3"/>
  <c r="Y169" i="3"/>
  <c r="CY169" i="3"/>
  <c r="CZ169" i="3"/>
  <c r="DA169" i="3"/>
  <c r="DC169" i="3"/>
  <c r="A170" i="3"/>
  <c r="Y170" i="3"/>
  <c r="CX170" i="3" s="1"/>
  <c r="DF170" i="3" s="1"/>
  <c r="DJ170" i="3" s="1"/>
  <c r="CY170" i="3"/>
  <c r="CZ170" i="3"/>
  <c r="DB170" i="3" s="1"/>
  <c r="DA170" i="3"/>
  <c r="DC170" i="3"/>
  <c r="A171" i="3"/>
  <c r="Y171" i="3"/>
  <c r="I188" i="11" s="1"/>
  <c r="CU171" i="3"/>
  <c r="CY171" i="3"/>
  <c r="CZ171" i="3"/>
  <c r="DA171" i="3"/>
  <c r="DC171" i="3"/>
  <c r="A172" i="3"/>
  <c r="Y172" i="3"/>
  <c r="CY172" i="3"/>
  <c r="CZ172" i="3"/>
  <c r="DB172" i="3" s="1"/>
  <c r="DA172" i="3"/>
  <c r="DC172" i="3"/>
  <c r="A173" i="3"/>
  <c r="Y173" i="3"/>
  <c r="I186" i="11" s="1"/>
  <c r="CY173" i="3"/>
  <c r="CZ173" i="3"/>
  <c r="H668" i="8" s="1"/>
  <c r="J668" i="8" s="1"/>
  <c r="DA173" i="3"/>
  <c r="DC173" i="3"/>
  <c r="A174" i="3"/>
  <c r="Y174" i="3"/>
  <c r="I185" i="11" s="1"/>
  <c r="CY174" i="3"/>
  <c r="CZ174" i="3"/>
  <c r="DA174" i="3"/>
  <c r="DC174" i="3"/>
  <c r="A175" i="3"/>
  <c r="Y175" i="3"/>
  <c r="I184" i="11" s="1"/>
  <c r="CY175" i="3"/>
  <c r="CZ175" i="3"/>
  <c r="H671" i="8" s="1"/>
  <c r="J671" i="8" s="1"/>
  <c r="DA175" i="3"/>
  <c r="DC175" i="3"/>
  <c r="A176" i="3"/>
  <c r="Y176" i="3"/>
  <c r="CY176" i="3"/>
  <c r="CZ176" i="3"/>
  <c r="DA176" i="3"/>
  <c r="DC176" i="3"/>
  <c r="A177" i="3"/>
  <c r="Y177" i="3"/>
  <c r="CY177" i="3"/>
  <c r="CZ177" i="3"/>
  <c r="DA177" i="3"/>
  <c r="DC177" i="3"/>
  <c r="A178" i="3"/>
  <c r="Y178" i="3"/>
  <c r="I181" i="11" s="1"/>
  <c r="CX178" i="3"/>
  <c r="CY178" i="3"/>
  <c r="CZ178" i="3"/>
  <c r="H675" i="8" s="1"/>
  <c r="J675" i="8" s="1"/>
  <c r="DA178" i="3"/>
  <c r="DC178" i="3"/>
  <c r="DI178" i="3"/>
  <c r="A179" i="3"/>
  <c r="Y179" i="3"/>
  <c r="CX179" i="3"/>
  <c r="DG179" i="3" s="1"/>
  <c r="CY179" i="3"/>
  <c r="CZ179" i="3"/>
  <c r="DA179" i="3"/>
  <c r="DB179" i="3"/>
  <c r="DC179" i="3"/>
  <c r="A180" i="3"/>
  <c r="Y180" i="3"/>
  <c r="CY180" i="3"/>
  <c r="CZ180" i="3"/>
  <c r="DA180" i="3"/>
  <c r="DC180" i="3"/>
  <c r="A181" i="3"/>
  <c r="Y181" i="3"/>
  <c r="I195" i="11" s="1"/>
  <c r="CU181" i="3"/>
  <c r="CV181" i="3"/>
  <c r="CX181" i="3"/>
  <c r="G688" i="8" s="1"/>
  <c r="CY181" i="3"/>
  <c r="CZ181" i="3"/>
  <c r="J688" i="8" s="1"/>
  <c r="DA181" i="3"/>
  <c r="DB181" i="3"/>
  <c r="DC181" i="3"/>
  <c r="A182" i="3"/>
  <c r="Y182" i="3"/>
  <c r="I194" i="11" s="1"/>
  <c r="CY182" i="3"/>
  <c r="CZ182" i="3"/>
  <c r="DA182" i="3"/>
  <c r="DC182" i="3"/>
  <c r="A183" i="3"/>
  <c r="Y183" i="3"/>
  <c r="I193" i="11" s="1"/>
  <c r="CX183" i="3"/>
  <c r="G693" i="8" s="1"/>
  <c r="CY183" i="3"/>
  <c r="CZ183" i="3"/>
  <c r="H693" i="8" s="1"/>
  <c r="J693" i="8" s="1"/>
  <c r="DA183" i="3"/>
  <c r="DC183" i="3"/>
  <c r="DH183" i="3"/>
  <c r="T193" i="11" s="1"/>
  <c r="A184" i="3"/>
  <c r="Y184" i="3"/>
  <c r="CY184" i="3"/>
  <c r="CZ184" i="3"/>
  <c r="H694" i="8" s="1"/>
  <c r="J694" i="8" s="1"/>
  <c r="DA184" i="3"/>
  <c r="DC184" i="3"/>
  <c r="A185" i="3"/>
  <c r="Y185" i="3"/>
  <c r="CY185" i="3"/>
  <c r="CZ185" i="3"/>
  <c r="DA185" i="3"/>
  <c r="DC185" i="3"/>
  <c r="A186" i="3"/>
  <c r="Y186" i="3"/>
  <c r="CY186" i="3"/>
  <c r="CZ186" i="3"/>
  <c r="DA186" i="3"/>
  <c r="DC186" i="3"/>
  <c r="A187" i="3"/>
  <c r="Y187" i="3"/>
  <c r="I201" i="11" s="1"/>
  <c r="CU187" i="3"/>
  <c r="CV187" i="3"/>
  <c r="CX187" i="3"/>
  <c r="CY187" i="3"/>
  <c r="CZ187" i="3"/>
  <c r="DA187" i="3"/>
  <c r="DC187" i="3"/>
  <c r="A188" i="3"/>
  <c r="Y188" i="3"/>
  <c r="CX188" i="3"/>
  <c r="G708" i="8" s="1"/>
  <c r="CY188" i="3"/>
  <c r="CZ188" i="3"/>
  <c r="J708" i="8" s="1"/>
  <c r="DA188" i="3"/>
  <c r="DB188" i="3"/>
  <c r="DC188" i="3"/>
  <c r="A189" i="3"/>
  <c r="Y189" i="3"/>
  <c r="I199" i="11" s="1"/>
  <c r="CY189" i="3"/>
  <c r="CZ189" i="3"/>
  <c r="H710" i="8" s="1"/>
  <c r="J710" i="8" s="1"/>
  <c r="DA189" i="3"/>
  <c r="DC189" i="3"/>
  <c r="A190" i="3"/>
  <c r="Y190" i="3"/>
  <c r="CY190" i="3"/>
  <c r="CZ190" i="3"/>
  <c r="DA190" i="3"/>
  <c r="DC190" i="3"/>
  <c r="A191" i="3"/>
  <c r="Y191" i="3"/>
  <c r="CY191" i="3"/>
  <c r="CZ191" i="3"/>
  <c r="DA191" i="3"/>
  <c r="DC191" i="3"/>
  <c r="A192" i="3"/>
  <c r="Y192" i="3"/>
  <c r="I196" i="11" s="1"/>
  <c r="CX192" i="3"/>
  <c r="G713" i="8" s="1"/>
  <c r="CY192" i="3"/>
  <c r="CZ192" i="3"/>
  <c r="H713" i="8" s="1"/>
  <c r="J713" i="8" s="1"/>
  <c r="DA192" i="3"/>
  <c r="DB192" i="3"/>
  <c r="DC192" i="3"/>
  <c r="A193" i="3"/>
  <c r="Y193" i="3"/>
  <c r="I214" i="11" s="1"/>
  <c r="CU193" i="3"/>
  <c r="CY193" i="3"/>
  <c r="CZ193" i="3"/>
  <c r="DA193" i="3"/>
  <c r="DC193" i="3"/>
  <c r="A194" i="3"/>
  <c r="Y194" i="3"/>
  <c r="I213" i="11" s="1"/>
  <c r="CU194" i="3"/>
  <c r="CV194" i="3"/>
  <c r="CY194" i="3"/>
  <c r="CZ194" i="3"/>
  <c r="DA194" i="3"/>
  <c r="DC194" i="3"/>
  <c r="A195" i="3"/>
  <c r="Y195" i="3"/>
  <c r="I212" i="11" s="1"/>
  <c r="CU195" i="3"/>
  <c r="CY195" i="3"/>
  <c r="CZ195" i="3"/>
  <c r="J725" i="8" s="1"/>
  <c r="DA195" i="3"/>
  <c r="DC195" i="3"/>
  <c r="A196" i="3"/>
  <c r="Y196" i="3"/>
  <c r="I211" i="11" s="1"/>
  <c r="CU196" i="3"/>
  <c r="CY196" i="3"/>
  <c r="CZ196" i="3"/>
  <c r="J726" i="8" s="1"/>
  <c r="DA196" i="3"/>
  <c r="DB196" i="3"/>
  <c r="DC196" i="3"/>
  <c r="A197" i="3"/>
  <c r="Y197" i="3"/>
  <c r="CY197" i="3"/>
  <c r="CZ197" i="3"/>
  <c r="DA197" i="3"/>
  <c r="DB197" i="3"/>
  <c r="DC197" i="3"/>
  <c r="A198" i="3"/>
  <c r="Y198" i="3"/>
  <c r="CW198" i="3"/>
  <c r="CY198" i="3"/>
  <c r="CZ198" i="3"/>
  <c r="DA198" i="3"/>
  <c r="DC198" i="3"/>
  <c r="A199" i="3"/>
  <c r="Y199" i="3"/>
  <c r="I208" i="11" s="1"/>
  <c r="CW199" i="3"/>
  <c r="CX199" i="3"/>
  <c r="G731" i="8" s="1"/>
  <c r="CY199" i="3"/>
  <c r="CZ199" i="3"/>
  <c r="H731" i="8" s="1"/>
  <c r="J731" i="8" s="1"/>
  <c r="DA199" i="3"/>
  <c r="DB199" i="3"/>
  <c r="DC199" i="3"/>
  <c r="A200" i="3"/>
  <c r="Y200" i="3"/>
  <c r="CY200" i="3"/>
  <c r="CZ200" i="3"/>
  <c r="DA200" i="3"/>
  <c r="DC200" i="3"/>
  <c r="A201" i="3"/>
  <c r="Y201" i="3"/>
  <c r="I206" i="11" s="1"/>
  <c r="CX201" i="3"/>
  <c r="CY201" i="3"/>
  <c r="CZ201" i="3"/>
  <c r="DA201" i="3"/>
  <c r="DC201" i="3"/>
  <c r="DF201" i="3"/>
  <c r="DH201" i="3"/>
  <c r="T206" i="11" s="1"/>
  <c r="A202" i="3"/>
  <c r="Y202" i="3"/>
  <c r="CY202" i="3"/>
  <c r="CZ202" i="3"/>
  <c r="H735" i="8" s="1"/>
  <c r="J735" i="8" s="1"/>
  <c r="DA202" i="3"/>
  <c r="DB202" i="3"/>
  <c r="DC202" i="3"/>
  <c r="A203" i="3"/>
  <c r="Y203" i="3"/>
  <c r="CY203" i="3"/>
  <c r="CZ203" i="3"/>
  <c r="J736" i="8" s="1"/>
  <c r="DA203" i="3"/>
  <c r="DB203" i="3"/>
  <c r="DC203" i="3"/>
  <c r="A204" i="3"/>
  <c r="Y204" i="3"/>
  <c r="CY204" i="3"/>
  <c r="CZ204" i="3"/>
  <c r="DA204" i="3"/>
  <c r="DC204" i="3"/>
  <c r="A205" i="3"/>
  <c r="Y205" i="3"/>
  <c r="I202" i="11" s="1"/>
  <c r="CX205" i="3"/>
  <c r="CY205" i="3"/>
  <c r="CZ205" i="3"/>
  <c r="DA205" i="3"/>
  <c r="DC205" i="3"/>
  <c r="DF205" i="3"/>
  <c r="DH205" i="3"/>
  <c r="T202" i="11" s="1"/>
  <c r="A206" i="3"/>
  <c r="Y206" i="3"/>
  <c r="CU206" i="3"/>
  <c r="CY206" i="3"/>
  <c r="CZ206" i="3"/>
  <c r="DA206" i="3"/>
  <c r="DC206" i="3"/>
  <c r="A207" i="3"/>
  <c r="Y207" i="3"/>
  <c r="I218" i="11" s="1"/>
  <c r="CY207" i="3"/>
  <c r="CZ207" i="3"/>
  <c r="DB207" i="3" s="1"/>
  <c r="DA207" i="3"/>
  <c r="DC207" i="3"/>
  <c r="A208" i="3"/>
  <c r="Y208" i="3"/>
  <c r="I217" i="11" s="1"/>
  <c r="CW208" i="3"/>
  <c r="CY208" i="3"/>
  <c r="CZ208" i="3"/>
  <c r="J752" i="8" s="1"/>
  <c r="DA208" i="3"/>
  <c r="DC208" i="3"/>
  <c r="A209" i="3"/>
  <c r="Y209" i="3"/>
  <c r="I216" i="11" s="1"/>
  <c r="CY209" i="3"/>
  <c r="CZ209" i="3"/>
  <c r="DA209" i="3"/>
  <c r="DC209" i="3"/>
  <c r="A210" i="3"/>
  <c r="Y210" i="3"/>
  <c r="CX210" i="3" s="1"/>
  <c r="DI210" i="3" s="1"/>
  <c r="CY210" i="3"/>
  <c r="CZ210" i="3"/>
  <c r="DB210" i="3" s="1"/>
  <c r="DA210" i="3"/>
  <c r="DC210" i="3"/>
  <c r="A211" i="3"/>
  <c r="Y211" i="3"/>
  <c r="CX211" i="3"/>
  <c r="DH211" i="3" s="1"/>
  <c r="CY211" i="3"/>
  <c r="CZ211" i="3"/>
  <c r="DB211" i="3" s="1"/>
  <c r="DA211" i="3"/>
  <c r="DC211" i="3"/>
  <c r="A212" i="3"/>
  <c r="Y212" i="3"/>
  <c r="CY212" i="3"/>
  <c r="CZ212" i="3"/>
  <c r="H756" i="8" s="1"/>
  <c r="J756" i="8" s="1"/>
  <c r="DA212" i="3"/>
  <c r="DC212" i="3"/>
  <c r="A213" i="3"/>
  <c r="Y213" i="3"/>
  <c r="CU213" i="3"/>
  <c r="CY213" i="3"/>
  <c r="CZ213" i="3"/>
  <c r="J769" i="8" s="1"/>
  <c r="DA213" i="3"/>
  <c r="DC213" i="3"/>
  <c r="A214" i="3"/>
  <c r="Y214" i="3"/>
  <c r="I239" i="11" s="1"/>
  <c r="CY214" i="3"/>
  <c r="CZ214" i="3"/>
  <c r="DB214" i="3" s="1"/>
  <c r="DA214" i="3"/>
  <c r="DC214" i="3"/>
  <c r="A215" i="3"/>
  <c r="Y215" i="3"/>
  <c r="I238" i="11" s="1"/>
  <c r="CY215" i="3"/>
  <c r="CZ215" i="3"/>
  <c r="DA215" i="3"/>
  <c r="DC215" i="3"/>
  <c r="A216" i="3"/>
  <c r="Y216" i="3"/>
  <c r="I237" i="11" s="1"/>
  <c r="CW216" i="3"/>
  <c r="CX216" i="3"/>
  <c r="CY216" i="3"/>
  <c r="CZ216" i="3"/>
  <c r="H774" i="8" s="1"/>
  <c r="J774" i="8" s="1"/>
  <c r="DA216" i="3"/>
  <c r="DB216" i="3"/>
  <c r="DC216" i="3"/>
  <c r="A217" i="3"/>
  <c r="Y217" i="3"/>
  <c r="I236" i="11" s="1"/>
  <c r="CY217" i="3"/>
  <c r="CZ217" i="3"/>
  <c r="DA217" i="3"/>
  <c r="DC217" i="3"/>
  <c r="A218" i="3"/>
  <c r="Y218" i="3"/>
  <c r="I235" i="11" s="1"/>
  <c r="CW218" i="3"/>
  <c r="CX218" i="3"/>
  <c r="G777" i="8" s="1"/>
  <c r="CY218" i="3"/>
  <c r="CZ218" i="3"/>
  <c r="H777" i="8" s="1"/>
  <c r="J777" i="8" s="1"/>
  <c r="DA218" i="3"/>
  <c r="DB218" i="3"/>
  <c r="DC218" i="3"/>
  <c r="A219" i="3"/>
  <c r="Y219" i="3"/>
  <c r="I234" i="11" s="1"/>
  <c r="CY219" i="3"/>
  <c r="CZ219" i="3"/>
  <c r="DA219" i="3"/>
  <c r="DC219" i="3"/>
  <c r="A220" i="3"/>
  <c r="Y220" i="3"/>
  <c r="I233" i="11" s="1"/>
  <c r="CY220" i="3"/>
  <c r="CZ220" i="3"/>
  <c r="H780" i="8" s="1"/>
  <c r="J780" i="8" s="1"/>
  <c r="DA220" i="3"/>
  <c r="DC220" i="3"/>
  <c r="A221" i="3"/>
  <c r="Y221" i="3"/>
  <c r="CY221" i="3"/>
  <c r="CZ221" i="3"/>
  <c r="H781" i="8" s="1"/>
  <c r="J781" i="8" s="1"/>
  <c r="DA221" i="3"/>
  <c r="DC221" i="3"/>
  <c r="A222" i="3"/>
  <c r="Y222" i="3"/>
  <c r="CY222" i="3"/>
  <c r="CZ222" i="3"/>
  <c r="DA222" i="3"/>
  <c r="DC222" i="3"/>
  <c r="A223" i="3"/>
  <c r="Y223" i="3"/>
  <c r="CY223" i="3"/>
  <c r="CZ223" i="3"/>
  <c r="DA223" i="3"/>
  <c r="DC223" i="3"/>
  <c r="A224" i="3"/>
  <c r="Y224" i="3"/>
  <c r="I229" i="11" s="1"/>
  <c r="CX224" i="3"/>
  <c r="G784" i="8" s="1"/>
  <c r="CY224" i="3"/>
  <c r="CZ224" i="3"/>
  <c r="H784" i="8" s="1"/>
  <c r="J784" i="8" s="1"/>
  <c r="DA224" i="3"/>
  <c r="DC224" i="3"/>
  <c r="DI224" i="3"/>
  <c r="A225" i="3"/>
  <c r="Y225" i="3"/>
  <c r="I228" i="11" s="1"/>
  <c r="CY225" i="3"/>
  <c r="CZ225" i="3"/>
  <c r="H785" i="8" s="1"/>
  <c r="J785" i="8" s="1"/>
  <c r="DA225" i="3"/>
  <c r="DB225" i="3"/>
  <c r="DC225" i="3"/>
  <c r="A226" i="3"/>
  <c r="Y226" i="3"/>
  <c r="CY226" i="3"/>
  <c r="CZ226" i="3"/>
  <c r="DA226" i="3"/>
  <c r="DC226" i="3"/>
  <c r="A227" i="3"/>
  <c r="Y227" i="3"/>
  <c r="CY227" i="3"/>
  <c r="CZ227" i="3"/>
  <c r="DA227" i="3"/>
  <c r="DC227" i="3"/>
  <c r="A228" i="3"/>
  <c r="Y228" i="3"/>
  <c r="I225" i="11" s="1"/>
  <c r="CX228" i="3"/>
  <c r="G788" i="8" s="1"/>
  <c r="CY228" i="3"/>
  <c r="CZ228" i="3"/>
  <c r="H788" i="8" s="1"/>
  <c r="J788" i="8" s="1"/>
  <c r="DA228" i="3"/>
  <c r="DB228" i="3"/>
  <c r="DC228" i="3"/>
  <c r="A229" i="3"/>
  <c r="Y229" i="3"/>
  <c r="CX229" i="3" s="1"/>
  <c r="CY229" i="3"/>
  <c r="CZ229" i="3"/>
  <c r="DA229" i="3"/>
  <c r="DB229" i="3"/>
  <c r="DC229" i="3"/>
  <c r="A230" i="3"/>
  <c r="Y230" i="3"/>
  <c r="CX230" i="3" s="1"/>
  <c r="DG230" i="3" s="1"/>
  <c r="CY230" i="3"/>
  <c r="CZ230" i="3"/>
  <c r="DB230" i="3" s="1"/>
  <c r="DA230" i="3"/>
  <c r="DC230" i="3"/>
  <c r="DF230" i="3"/>
  <c r="DJ230" i="3" s="1"/>
  <c r="A231" i="3"/>
  <c r="Y231" i="3"/>
  <c r="CY231" i="3"/>
  <c r="CZ231" i="3"/>
  <c r="DA231" i="3"/>
  <c r="DC231" i="3"/>
  <c r="A232" i="3"/>
  <c r="Y232" i="3"/>
  <c r="I223" i="11" s="1"/>
  <c r="CY232" i="3"/>
  <c r="CZ232" i="3"/>
  <c r="H790" i="8" s="1"/>
  <c r="J790" i="8" s="1"/>
  <c r="DA232" i="3"/>
  <c r="DC232" i="3"/>
  <c r="A233" i="3"/>
  <c r="Y233" i="3"/>
  <c r="I222" i="11" s="1"/>
  <c r="CX233" i="3"/>
  <c r="G791" i="8" s="1"/>
  <c r="CY233" i="3"/>
  <c r="CZ233" i="3"/>
  <c r="H791" i="8" s="1"/>
  <c r="J791" i="8" s="1"/>
  <c r="DA233" i="3"/>
  <c r="DC233" i="3"/>
  <c r="DG233" i="3"/>
  <c r="A234" i="3"/>
  <c r="Y234" i="3"/>
  <c r="CU234" i="3"/>
  <c r="CY234" i="3"/>
  <c r="CZ234" i="3"/>
  <c r="J803" i="8" s="1"/>
  <c r="DA234" i="3"/>
  <c r="DB234" i="3"/>
  <c r="DC234" i="3"/>
  <c r="A235" i="3"/>
  <c r="Y235" i="3"/>
  <c r="I247" i="11" s="1"/>
  <c r="CY235" i="3"/>
  <c r="CZ235" i="3"/>
  <c r="DA235" i="3"/>
  <c r="DB235" i="3"/>
  <c r="DC235" i="3"/>
  <c r="A236" i="3"/>
  <c r="Y236" i="3"/>
  <c r="I246" i="11" s="1"/>
  <c r="CY236" i="3"/>
  <c r="CZ236" i="3"/>
  <c r="DA236" i="3"/>
  <c r="DC236" i="3"/>
  <c r="A237" i="3"/>
  <c r="Y237" i="3"/>
  <c r="I245" i="11" s="1"/>
  <c r="CY237" i="3"/>
  <c r="CZ237" i="3"/>
  <c r="J807" i="8" s="1"/>
  <c r="DA237" i="3"/>
  <c r="DC237" i="3"/>
  <c r="A238" i="3"/>
  <c r="Y238" i="3"/>
  <c r="I244" i="11" s="1"/>
  <c r="CY238" i="3"/>
  <c r="CZ238" i="3"/>
  <c r="DA238" i="3"/>
  <c r="DC238" i="3"/>
  <c r="A239" i="3"/>
  <c r="Y239" i="3"/>
  <c r="I243" i="11" s="1"/>
  <c r="CW239" i="3"/>
  <c r="CY239" i="3"/>
  <c r="CZ239" i="3"/>
  <c r="H811" i="8" s="1"/>
  <c r="J811" i="8" s="1"/>
  <c r="DA239" i="3"/>
  <c r="DC239" i="3"/>
  <c r="A240" i="3"/>
  <c r="Y240" i="3"/>
  <c r="CX240" i="3" s="1"/>
  <c r="DF240" i="3" s="1"/>
  <c r="DJ240" i="3" s="1"/>
  <c r="CY240" i="3"/>
  <c r="CZ240" i="3"/>
  <c r="DB240" i="3" s="1"/>
  <c r="DA240" i="3"/>
  <c r="DC240" i="3"/>
  <c r="A241" i="3"/>
  <c r="Y241" i="3"/>
  <c r="CX241" i="3" s="1"/>
  <c r="DF241" i="3" s="1"/>
  <c r="DJ241" i="3" s="1"/>
  <c r="CY241" i="3"/>
  <c r="CZ241" i="3"/>
  <c r="DB241" i="3" s="1"/>
  <c r="DA241" i="3"/>
  <c r="DC241" i="3"/>
  <c r="DI241" i="3"/>
  <c r="A242" i="3"/>
  <c r="Y242" i="3"/>
  <c r="I254" i="11" s="1"/>
  <c r="CU242" i="3"/>
  <c r="CX242" i="3"/>
  <c r="DF242" i="3" s="1"/>
  <c r="CY242" i="3"/>
  <c r="CZ242" i="3"/>
  <c r="DA242" i="3"/>
  <c r="DC242" i="3"/>
  <c r="DG242" i="3"/>
  <c r="A243" i="3"/>
  <c r="Y243" i="3"/>
  <c r="CY243" i="3"/>
  <c r="CZ243" i="3"/>
  <c r="H827" i="8" s="1"/>
  <c r="J827" i="8" s="1"/>
  <c r="DA243" i="3"/>
  <c r="DC243" i="3"/>
  <c r="A244" i="3"/>
  <c r="Y244" i="3"/>
  <c r="CW244" i="3"/>
  <c r="CY244" i="3"/>
  <c r="CZ244" i="3"/>
  <c r="DA244" i="3"/>
  <c r="DC244" i="3"/>
  <c r="A245" i="3"/>
  <c r="Y245" i="3"/>
  <c r="CY245" i="3"/>
  <c r="CZ245" i="3"/>
  <c r="DA245" i="3"/>
  <c r="DC245" i="3"/>
  <c r="A246" i="3"/>
  <c r="Y246" i="3"/>
  <c r="CX246" i="3" s="1"/>
  <c r="CY246" i="3"/>
  <c r="CZ246" i="3"/>
  <c r="DB246" i="3" s="1"/>
  <c r="DA246" i="3"/>
  <c r="DC246" i="3"/>
  <c r="A247" i="3"/>
  <c r="Y247" i="3"/>
  <c r="I261" i="11" s="1"/>
  <c r="CU247" i="3"/>
  <c r="CY247" i="3"/>
  <c r="CZ247" i="3"/>
  <c r="DA247" i="3"/>
  <c r="DC247" i="3"/>
  <c r="A248" i="3"/>
  <c r="Y248" i="3"/>
  <c r="I260" i="11" s="1"/>
  <c r="CX248" i="3"/>
  <c r="DI248" i="3" s="1"/>
  <c r="CY248" i="3"/>
  <c r="CZ248" i="3"/>
  <c r="DB248" i="3" s="1"/>
  <c r="DA248" i="3"/>
  <c r="DC248" i="3"/>
  <c r="DH248" i="3"/>
  <c r="T260" i="11" s="1"/>
  <c r="A249" i="3"/>
  <c r="Y249" i="3"/>
  <c r="CW249" i="3"/>
  <c r="CY249" i="3"/>
  <c r="CZ249" i="3"/>
  <c r="DA249" i="3"/>
  <c r="DC249" i="3"/>
  <c r="A250" i="3"/>
  <c r="Y250" i="3"/>
  <c r="CX250" i="3"/>
  <c r="G845" i="8" s="1"/>
  <c r="CY250" i="3"/>
  <c r="CZ250" i="3"/>
  <c r="J845" i="8" s="1"/>
  <c r="DA250" i="3"/>
  <c r="DB250" i="3"/>
  <c r="DC250" i="3"/>
  <c r="A251" i="3"/>
  <c r="Y251" i="3"/>
  <c r="CX251" i="3"/>
  <c r="DF251" i="3" s="1"/>
  <c r="DJ251" i="3" s="1"/>
  <c r="CY251" i="3"/>
  <c r="CZ251" i="3"/>
  <c r="DB251" i="3" s="1"/>
  <c r="DA251" i="3"/>
  <c r="DC251" i="3"/>
  <c r="DI251" i="3"/>
  <c r="A252" i="3"/>
  <c r="Y252" i="3"/>
  <c r="CX252" i="3" s="1"/>
  <c r="DF252" i="3" s="1"/>
  <c r="DJ252" i="3" s="1"/>
  <c r="CY252" i="3"/>
  <c r="CZ252" i="3"/>
  <c r="DB252" i="3" s="1"/>
  <c r="DA252" i="3"/>
  <c r="DC252" i="3"/>
  <c r="DG252" i="3"/>
  <c r="A253" i="3"/>
  <c r="Y253" i="3"/>
  <c r="CY253" i="3"/>
  <c r="CZ253" i="3"/>
  <c r="DA253" i="3"/>
  <c r="DC253" i="3"/>
  <c r="A254" i="3"/>
  <c r="Y254" i="3"/>
  <c r="I256" i="11" s="1"/>
  <c r="CY254" i="3"/>
  <c r="CZ254" i="3"/>
  <c r="DA254" i="3"/>
  <c r="DC254" i="3"/>
  <c r="A255" i="3"/>
  <c r="Y255" i="3"/>
  <c r="I268" i="11" s="1"/>
  <c r="CU255" i="3"/>
  <c r="CY255" i="3"/>
  <c r="CZ255" i="3"/>
  <c r="DA255" i="3"/>
  <c r="DC255" i="3"/>
  <c r="A256" i="3"/>
  <c r="Y256" i="3"/>
  <c r="I267" i="11" s="1"/>
  <c r="CX256" i="3"/>
  <c r="DG256" i="3" s="1"/>
  <c r="CY256" i="3"/>
  <c r="CZ256" i="3"/>
  <c r="DA256" i="3"/>
  <c r="DB256" i="3"/>
  <c r="DC256" i="3"/>
  <c r="A257" i="3"/>
  <c r="Y257" i="3"/>
  <c r="I266" i="11" s="1"/>
  <c r="CY257" i="3"/>
  <c r="CZ257" i="3"/>
  <c r="DA257" i="3"/>
  <c r="DC257" i="3"/>
  <c r="A258" i="3"/>
  <c r="Y258" i="3"/>
  <c r="CY258" i="3"/>
  <c r="CZ258" i="3"/>
  <c r="DA258" i="3"/>
  <c r="DC258" i="3"/>
  <c r="A259" i="3"/>
  <c r="Y259" i="3"/>
  <c r="CX259" i="3" s="1"/>
  <c r="CY259" i="3"/>
  <c r="CZ259" i="3"/>
  <c r="DA259" i="3"/>
  <c r="DB259" i="3"/>
  <c r="DC259" i="3"/>
  <c r="A260" i="3"/>
  <c r="Y260" i="3"/>
  <c r="CU260" i="3"/>
  <c r="CY260" i="3"/>
  <c r="CZ260" i="3"/>
  <c r="J912" i="8" s="1"/>
  <c r="DA260" i="3"/>
  <c r="DC260" i="3"/>
  <c r="A261" i="3"/>
  <c r="Y261" i="3"/>
  <c r="CX261" i="3" s="1"/>
  <c r="CY261" i="3"/>
  <c r="CZ261" i="3"/>
  <c r="DA261" i="3"/>
  <c r="DB261" i="3"/>
  <c r="DC261" i="3"/>
  <c r="D12" i="1"/>
  <c r="E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D18" i="1"/>
  <c r="DE18" i="1"/>
  <c r="DF18" i="1"/>
  <c r="DG18" i="1"/>
  <c r="DH18" i="1"/>
  <c r="DI18" i="1"/>
  <c r="DJ18" i="1"/>
  <c r="DK18" i="1"/>
  <c r="DL18" i="1"/>
  <c r="DM18" i="1"/>
  <c r="DN18" i="1"/>
  <c r="DO18" i="1"/>
  <c r="DP18" i="1"/>
  <c r="DQ18" i="1"/>
  <c r="DR18" i="1"/>
  <c r="DS18" i="1"/>
  <c r="DT18" i="1"/>
  <c r="DU18" i="1"/>
  <c r="DV18" i="1"/>
  <c r="DW18" i="1"/>
  <c r="DX18" i="1"/>
  <c r="DY18" i="1"/>
  <c r="DZ18" i="1"/>
  <c r="EA18" i="1"/>
  <c r="EB18" i="1"/>
  <c r="EC18" i="1"/>
  <c r="ED18" i="1"/>
  <c r="EE18" i="1"/>
  <c r="EF18" i="1"/>
  <c r="EG18" i="1"/>
  <c r="EH18" i="1"/>
  <c r="EI18" i="1"/>
  <c r="EJ18" i="1"/>
  <c r="EK18" i="1"/>
  <c r="EL18" i="1"/>
  <c r="EM18" i="1"/>
  <c r="EN18" i="1"/>
  <c r="EO18" i="1"/>
  <c r="EP18" i="1"/>
  <c r="EQ18" i="1"/>
  <c r="ER18" i="1"/>
  <c r="ES18" i="1"/>
  <c r="ET18" i="1"/>
  <c r="EU18" i="1"/>
  <c r="EV18" i="1"/>
  <c r="EW18" i="1"/>
  <c r="EX18" i="1"/>
  <c r="EY18" i="1"/>
  <c r="EZ18" i="1"/>
  <c r="FA18" i="1"/>
  <c r="FB18" i="1"/>
  <c r="FC18" i="1"/>
  <c r="FD18" i="1"/>
  <c r="FE18" i="1"/>
  <c r="FF18" i="1"/>
  <c r="FG18" i="1"/>
  <c r="FH18" i="1"/>
  <c r="FI18" i="1"/>
  <c r="FJ18" i="1"/>
  <c r="FK18" i="1"/>
  <c r="FL18" i="1"/>
  <c r="FM18" i="1"/>
  <c r="FN18" i="1"/>
  <c r="FO18" i="1"/>
  <c r="FP18" i="1"/>
  <c r="FQ18" i="1"/>
  <c r="FR18" i="1"/>
  <c r="FS18" i="1"/>
  <c r="FT18" i="1"/>
  <c r="FU18" i="1"/>
  <c r="FV18" i="1"/>
  <c r="FW18" i="1"/>
  <c r="FX18" i="1"/>
  <c r="FY18" i="1"/>
  <c r="FZ18" i="1"/>
  <c r="GA18" i="1"/>
  <c r="GB18" i="1"/>
  <c r="GC18" i="1"/>
  <c r="GD18" i="1"/>
  <c r="GE18" i="1"/>
  <c r="GF18" i="1"/>
  <c r="GG18" i="1"/>
  <c r="GH18" i="1"/>
  <c r="GI18" i="1"/>
  <c r="GJ18" i="1"/>
  <c r="GK18" i="1"/>
  <c r="GL18" i="1"/>
  <c r="GM18" i="1"/>
  <c r="GN18" i="1"/>
  <c r="GO18" i="1"/>
  <c r="GP18" i="1"/>
  <c r="GQ18" i="1"/>
  <c r="GR18" i="1"/>
  <c r="GS18" i="1"/>
  <c r="GT18" i="1"/>
  <c r="GU18" i="1"/>
  <c r="GV18" i="1"/>
  <c r="GW18" i="1"/>
  <c r="GX18" i="1"/>
  <c r="D20" i="1"/>
  <c r="E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EF22" i="1"/>
  <c r="EG22" i="1"/>
  <c r="EH22" i="1"/>
  <c r="EI22" i="1"/>
  <c r="EJ22" i="1"/>
  <c r="EK22" i="1"/>
  <c r="EL22" i="1"/>
  <c r="EM22" i="1"/>
  <c r="EN22" i="1"/>
  <c r="EO22" i="1"/>
  <c r="EP22" i="1"/>
  <c r="EQ22" i="1"/>
  <c r="ER22" i="1"/>
  <c r="ES22" i="1"/>
  <c r="ET22" i="1"/>
  <c r="EU22" i="1"/>
  <c r="EV22" i="1"/>
  <c r="EW22" i="1"/>
  <c r="EX22" i="1"/>
  <c r="EY22" i="1"/>
  <c r="EZ22" i="1"/>
  <c r="FA22" i="1"/>
  <c r="FB22" i="1"/>
  <c r="FC22" i="1"/>
  <c r="FD22" i="1"/>
  <c r="FE22" i="1"/>
  <c r="FF22" i="1"/>
  <c r="FG22" i="1"/>
  <c r="FH22" i="1"/>
  <c r="FI22" i="1"/>
  <c r="FJ22" i="1"/>
  <c r="FK22" i="1"/>
  <c r="FL22" i="1"/>
  <c r="FM22" i="1"/>
  <c r="FN22" i="1"/>
  <c r="FO22" i="1"/>
  <c r="FP22" i="1"/>
  <c r="FQ22" i="1"/>
  <c r="FR22" i="1"/>
  <c r="FS22" i="1"/>
  <c r="FT22" i="1"/>
  <c r="FU22" i="1"/>
  <c r="FV22" i="1"/>
  <c r="FW22" i="1"/>
  <c r="FX22" i="1"/>
  <c r="FY22" i="1"/>
  <c r="FZ22" i="1"/>
  <c r="GA22" i="1"/>
  <c r="GB22" i="1"/>
  <c r="GC22" i="1"/>
  <c r="GD22" i="1"/>
  <c r="GE22" i="1"/>
  <c r="GF22" i="1"/>
  <c r="GG22" i="1"/>
  <c r="GH22" i="1"/>
  <c r="GI22" i="1"/>
  <c r="GJ22" i="1"/>
  <c r="GK22" i="1"/>
  <c r="GL22" i="1"/>
  <c r="GM22" i="1"/>
  <c r="GN22" i="1"/>
  <c r="GO22" i="1"/>
  <c r="GP22" i="1"/>
  <c r="GQ22" i="1"/>
  <c r="GR22" i="1"/>
  <c r="GS22" i="1"/>
  <c r="GT22" i="1"/>
  <c r="GU22" i="1"/>
  <c r="GV22" i="1"/>
  <c r="GW22" i="1"/>
  <c r="GX22" i="1"/>
  <c r="D26" i="1"/>
  <c r="E28" i="1"/>
  <c r="Z28" i="1"/>
  <c r="AA28" i="1"/>
  <c r="AM28" i="1"/>
  <c r="AN28" i="1"/>
  <c r="BE28" i="1"/>
  <c r="BF28" i="1"/>
  <c r="BG28" i="1"/>
  <c r="BH28" i="1"/>
  <c r="BI28" i="1"/>
  <c r="BJ28" i="1"/>
  <c r="BK28" i="1"/>
  <c r="BL28" i="1"/>
  <c r="BM28" i="1"/>
  <c r="BN28" i="1"/>
  <c r="BO28" i="1"/>
  <c r="BP28" i="1"/>
  <c r="BQ28" i="1"/>
  <c r="BR28" i="1"/>
  <c r="BS28" i="1"/>
  <c r="BT28" i="1"/>
  <c r="BU28" i="1"/>
  <c r="BV28" i="1"/>
  <c r="BW28" i="1"/>
  <c r="CN28" i="1"/>
  <c r="CO28" i="1"/>
  <c r="CP28" i="1"/>
  <c r="CQ28" i="1"/>
  <c r="CR28" i="1"/>
  <c r="CS28" i="1"/>
  <c r="CT28" i="1"/>
  <c r="CU28" i="1"/>
  <c r="CV28" i="1"/>
  <c r="CW28" i="1"/>
  <c r="CX28" i="1"/>
  <c r="CY28" i="1"/>
  <c r="CZ28" i="1"/>
  <c r="DA28" i="1"/>
  <c r="DB28" i="1"/>
  <c r="DC28" i="1"/>
  <c r="DD28" i="1"/>
  <c r="DE28" i="1"/>
  <c r="DF28" i="1"/>
  <c r="DG28" i="1"/>
  <c r="DH28" i="1"/>
  <c r="DI28" i="1"/>
  <c r="DJ28" i="1"/>
  <c r="DK28" i="1"/>
  <c r="DL28" i="1"/>
  <c r="DM28" i="1"/>
  <c r="DN28" i="1"/>
  <c r="DO28" i="1"/>
  <c r="DP28" i="1"/>
  <c r="DQ28" i="1"/>
  <c r="DR28" i="1"/>
  <c r="DS28" i="1"/>
  <c r="DT28" i="1"/>
  <c r="DU28" i="1"/>
  <c r="DV28" i="1"/>
  <c r="DW28" i="1"/>
  <c r="DX28" i="1"/>
  <c r="DY28" i="1"/>
  <c r="DZ28" i="1"/>
  <c r="EA28" i="1"/>
  <c r="EB28" i="1"/>
  <c r="EC28" i="1"/>
  <c r="ED28" i="1"/>
  <c r="EE28" i="1"/>
  <c r="EF28" i="1"/>
  <c r="EG28" i="1"/>
  <c r="EH28" i="1"/>
  <c r="EI28" i="1"/>
  <c r="EJ28" i="1"/>
  <c r="EK28" i="1"/>
  <c r="EL28" i="1"/>
  <c r="EM28" i="1"/>
  <c r="EN28" i="1"/>
  <c r="EO28" i="1"/>
  <c r="EP28" i="1"/>
  <c r="EQ28" i="1"/>
  <c r="ER28" i="1"/>
  <c r="ES28" i="1"/>
  <c r="ET28" i="1"/>
  <c r="EU28" i="1"/>
  <c r="EV28" i="1"/>
  <c r="EW28" i="1"/>
  <c r="EX28" i="1"/>
  <c r="EY28" i="1"/>
  <c r="EZ28" i="1"/>
  <c r="FA28" i="1"/>
  <c r="FB28" i="1"/>
  <c r="FC28" i="1"/>
  <c r="FD28" i="1"/>
  <c r="FE28" i="1"/>
  <c r="FF28" i="1"/>
  <c r="FG28" i="1"/>
  <c r="FH28" i="1"/>
  <c r="FI28" i="1"/>
  <c r="FJ28" i="1"/>
  <c r="FK28" i="1"/>
  <c r="FL28" i="1"/>
  <c r="FM28" i="1"/>
  <c r="FN28" i="1"/>
  <c r="FO28" i="1"/>
  <c r="FP28" i="1"/>
  <c r="FQ28" i="1"/>
  <c r="FR28" i="1"/>
  <c r="FS28" i="1"/>
  <c r="FT28" i="1"/>
  <c r="FU28" i="1"/>
  <c r="FV28" i="1"/>
  <c r="FW28" i="1"/>
  <c r="FX28" i="1"/>
  <c r="FY28" i="1"/>
  <c r="FZ28" i="1"/>
  <c r="GA28" i="1"/>
  <c r="GB28" i="1"/>
  <c r="GC28" i="1"/>
  <c r="GD28" i="1"/>
  <c r="GE28" i="1"/>
  <c r="GF28" i="1"/>
  <c r="GG28" i="1"/>
  <c r="GH28" i="1"/>
  <c r="GI28" i="1"/>
  <c r="GJ28" i="1"/>
  <c r="GK28" i="1"/>
  <c r="GL28" i="1"/>
  <c r="GM28" i="1"/>
  <c r="GN28" i="1"/>
  <c r="GO28" i="1"/>
  <c r="GP28" i="1"/>
  <c r="GQ28" i="1"/>
  <c r="GR28" i="1"/>
  <c r="GS28" i="1"/>
  <c r="GT28" i="1"/>
  <c r="GU28" i="1"/>
  <c r="GV28" i="1"/>
  <c r="GW28" i="1"/>
  <c r="GX28" i="1"/>
  <c r="C31" i="1"/>
  <c r="D31" i="1"/>
  <c r="V31" i="1"/>
  <c r="AC31" i="1"/>
  <c r="AE31" i="1"/>
  <c r="AD31" i="1" s="1"/>
  <c r="AF31" i="1"/>
  <c r="AG31" i="1"/>
  <c r="AH31" i="1"/>
  <c r="AI31" i="1"/>
  <c r="AJ31" i="1"/>
  <c r="CX31" i="1" s="1"/>
  <c r="W31" i="1" s="1"/>
  <c r="CQ31" i="1"/>
  <c r="CR31" i="1"/>
  <c r="CS31" i="1"/>
  <c r="CT31" i="1"/>
  <c r="CU31" i="1"/>
  <c r="T31" i="1" s="1"/>
  <c r="CV31" i="1"/>
  <c r="CW31" i="1"/>
  <c r="GL31" i="1"/>
  <c r="GO31" i="1"/>
  <c r="GP31" i="1"/>
  <c r="GV31" i="1"/>
  <c r="HC31" i="1" s="1"/>
  <c r="GX31" i="1" s="1"/>
  <c r="C32" i="1"/>
  <c r="D32" i="1"/>
  <c r="V32" i="1"/>
  <c r="AC32" i="1"/>
  <c r="AD32" i="1"/>
  <c r="AE32" i="1"/>
  <c r="AF32" i="1"/>
  <c r="AG32" i="1"/>
  <c r="AH32" i="1"/>
  <c r="AI32" i="1"/>
  <c r="AJ32" i="1"/>
  <c r="CQ32" i="1"/>
  <c r="CR32" i="1"/>
  <c r="CS32" i="1"/>
  <c r="CT32" i="1"/>
  <c r="CU32" i="1"/>
  <c r="T32" i="1" s="1"/>
  <c r="CV32" i="1"/>
  <c r="CW32" i="1"/>
  <c r="CX32" i="1"/>
  <c r="W32" i="1" s="1"/>
  <c r="GL32" i="1"/>
  <c r="GO32" i="1"/>
  <c r="GP32" i="1"/>
  <c r="GV32" i="1"/>
  <c r="HC32" i="1" s="1"/>
  <c r="GX32" i="1" s="1"/>
  <c r="O33" i="1"/>
  <c r="P33" i="1"/>
  <c r="Q33" i="1"/>
  <c r="R33" i="1"/>
  <c r="S33" i="1"/>
  <c r="T33" i="1"/>
  <c r="U33" i="1"/>
  <c r="V33" i="1"/>
  <c r="W33" i="1"/>
  <c r="X33" i="1"/>
  <c r="AZ86" i="8" s="1"/>
  <c r="L84" i="8" s="1"/>
  <c r="Y33" i="1"/>
  <c r="BA86" i="8" s="1"/>
  <c r="L85" i="8" s="1"/>
  <c r="AB33" i="1"/>
  <c r="CP33" i="1" s="1"/>
  <c r="GM33" i="1" s="1"/>
  <c r="AC33" i="1"/>
  <c r="AD33" i="1"/>
  <c r="AE33" i="1"/>
  <c r="AF33" i="1"/>
  <c r="AG33" i="1"/>
  <c r="AH33" i="1"/>
  <c r="AI33" i="1"/>
  <c r="AJ33" i="1"/>
  <c r="GL33" i="1"/>
  <c r="GO33" i="1"/>
  <c r="GP33" i="1"/>
  <c r="GV33" i="1"/>
  <c r="GX33" i="1"/>
  <c r="C35" i="1"/>
  <c r="D35" i="1"/>
  <c r="U35" i="1"/>
  <c r="V35" i="1"/>
  <c r="G91" i="8" s="1"/>
  <c r="AC35" i="1"/>
  <c r="AE35" i="1"/>
  <c r="AD35" i="1" s="1"/>
  <c r="AF35" i="1"/>
  <c r="AG35" i="1"/>
  <c r="CU35" i="1" s="1"/>
  <c r="T35" i="1" s="1"/>
  <c r="AH35" i="1"/>
  <c r="AI35" i="1"/>
  <c r="AJ35" i="1"/>
  <c r="CX35" i="1" s="1"/>
  <c r="W35" i="1" s="1"/>
  <c r="CQ35" i="1"/>
  <c r="CR35" i="1"/>
  <c r="CS35" i="1"/>
  <c r="CT35" i="1"/>
  <c r="CV35" i="1"/>
  <c r="CW35" i="1"/>
  <c r="GL35" i="1"/>
  <c r="GO35" i="1"/>
  <c r="GP35" i="1"/>
  <c r="GV35" i="1"/>
  <c r="HC35" i="1" s="1"/>
  <c r="GX35" i="1" s="1"/>
  <c r="C36" i="1"/>
  <c r="D36" i="1"/>
  <c r="V36" i="1"/>
  <c r="AC36" i="1"/>
  <c r="AE36" i="1"/>
  <c r="AD36" i="1" s="1"/>
  <c r="AF36" i="1"/>
  <c r="AG36" i="1"/>
  <c r="AH36" i="1"/>
  <c r="AI36" i="1"/>
  <c r="AJ36" i="1"/>
  <c r="CX36" i="1" s="1"/>
  <c r="W36" i="1" s="1"/>
  <c r="CQ36" i="1"/>
  <c r="CR36" i="1"/>
  <c r="CS36" i="1"/>
  <c r="CT36" i="1"/>
  <c r="CU36" i="1"/>
  <c r="T36" i="1" s="1"/>
  <c r="CV36" i="1"/>
  <c r="CW36" i="1"/>
  <c r="GL36" i="1"/>
  <c r="GO36" i="1"/>
  <c r="GP36" i="1"/>
  <c r="GV36" i="1"/>
  <c r="HC36" i="1" s="1"/>
  <c r="GX36" i="1" s="1"/>
  <c r="C37" i="1"/>
  <c r="D37" i="1"/>
  <c r="T37" i="1"/>
  <c r="V37" i="1"/>
  <c r="AC37" i="1"/>
  <c r="AD37" i="1"/>
  <c r="AE37" i="1"/>
  <c r="AF37" i="1"/>
  <c r="AG37" i="1"/>
  <c r="AH37" i="1"/>
  <c r="AI37" i="1"/>
  <c r="AJ37" i="1"/>
  <c r="CQ37" i="1"/>
  <c r="CR37" i="1"/>
  <c r="CS37" i="1"/>
  <c r="CT37" i="1"/>
  <c r="CU37" i="1"/>
  <c r="CV37" i="1"/>
  <c r="CW37" i="1"/>
  <c r="CX37" i="1"/>
  <c r="W37" i="1" s="1"/>
  <c r="GL37" i="1"/>
  <c r="GO37" i="1"/>
  <c r="GP37" i="1"/>
  <c r="GV37" i="1"/>
  <c r="HC37" i="1"/>
  <c r="GX37" i="1" s="1"/>
  <c r="O38" i="1"/>
  <c r="P38" i="1"/>
  <c r="Q38" i="1"/>
  <c r="R38" i="1"/>
  <c r="S38" i="1"/>
  <c r="T38" i="1"/>
  <c r="U38" i="1"/>
  <c r="V38" i="1"/>
  <c r="W38" i="1"/>
  <c r="X38" i="1"/>
  <c r="AZ123" i="8" s="1"/>
  <c r="L121" i="8" s="1"/>
  <c r="Y38" i="1"/>
  <c r="BA123" i="8" s="1"/>
  <c r="L122" i="8" s="1"/>
  <c r="AB38" i="1"/>
  <c r="CP38" i="1" s="1"/>
  <c r="GM38" i="1" s="1"/>
  <c r="AC38" i="1"/>
  <c r="AD38" i="1"/>
  <c r="AE38" i="1"/>
  <c r="AF38" i="1"/>
  <c r="AG38" i="1"/>
  <c r="AH38" i="1"/>
  <c r="AI38" i="1"/>
  <c r="AJ38" i="1"/>
  <c r="GL38" i="1"/>
  <c r="GO38" i="1"/>
  <c r="GP38" i="1"/>
  <c r="GV38" i="1"/>
  <c r="GX38" i="1"/>
  <c r="C41" i="1"/>
  <c r="D41" i="1"/>
  <c r="U41" i="1"/>
  <c r="AC41" i="1"/>
  <c r="AE41" i="1"/>
  <c r="AD41" i="1" s="1"/>
  <c r="AF41" i="1"/>
  <c r="AG41" i="1"/>
  <c r="CU41" i="1" s="1"/>
  <c r="T41" i="1" s="1"/>
  <c r="AH41" i="1"/>
  <c r="AI41" i="1"/>
  <c r="AJ41" i="1"/>
  <c r="CX41" i="1" s="1"/>
  <c r="W41" i="1" s="1"/>
  <c r="CQ41" i="1"/>
  <c r="CR41" i="1"/>
  <c r="CS41" i="1"/>
  <c r="CT41" i="1"/>
  <c r="CV41" i="1"/>
  <c r="CW41" i="1"/>
  <c r="GL41" i="1"/>
  <c r="GO41" i="1"/>
  <c r="GP41" i="1"/>
  <c r="GV41" i="1"/>
  <c r="HC41" i="1" s="1"/>
  <c r="GX41" i="1" s="1"/>
  <c r="O42" i="1"/>
  <c r="P42" i="1"/>
  <c r="Q42" i="1"/>
  <c r="R42" i="1"/>
  <c r="S42" i="1"/>
  <c r="T42" i="1"/>
  <c r="U42" i="1"/>
  <c r="V42" i="1"/>
  <c r="W42" i="1"/>
  <c r="X42" i="1"/>
  <c r="AZ141" i="8" s="1"/>
  <c r="L139" i="8" s="1"/>
  <c r="Y42" i="1"/>
  <c r="BA141" i="8" s="1"/>
  <c r="L140" i="8" s="1"/>
  <c r="AB42" i="1"/>
  <c r="CP42" i="1" s="1"/>
  <c r="GM42" i="1" s="1"/>
  <c r="AC42" i="1"/>
  <c r="AD42" i="1"/>
  <c r="AE42" i="1"/>
  <c r="AF42" i="1"/>
  <c r="AG42" i="1"/>
  <c r="AH42" i="1"/>
  <c r="AI42" i="1"/>
  <c r="AJ42" i="1"/>
  <c r="GL42" i="1"/>
  <c r="GO42" i="1"/>
  <c r="GP42" i="1"/>
  <c r="GV42" i="1"/>
  <c r="GX42" i="1"/>
  <c r="C43" i="1"/>
  <c r="D43" i="1"/>
  <c r="R43" i="1"/>
  <c r="U43" i="1"/>
  <c r="G144" i="8" s="1"/>
  <c r="V43" i="1"/>
  <c r="AC43" i="1"/>
  <c r="AD43" i="1"/>
  <c r="AE43" i="1"/>
  <c r="AF43" i="1"/>
  <c r="AG43" i="1"/>
  <c r="AH43" i="1"/>
  <c r="AI43" i="1"/>
  <c r="AJ43" i="1"/>
  <c r="CQ43" i="1"/>
  <c r="CR43" i="1"/>
  <c r="CS43" i="1"/>
  <c r="CT43" i="1"/>
  <c r="CU43" i="1"/>
  <c r="T43" i="1" s="1"/>
  <c r="CV43" i="1"/>
  <c r="CW43" i="1"/>
  <c r="CX43" i="1"/>
  <c r="W43" i="1" s="1"/>
  <c r="GL43" i="1"/>
  <c r="GO43" i="1"/>
  <c r="GP43" i="1"/>
  <c r="GV43" i="1"/>
  <c r="HC43" i="1"/>
  <c r="GX43" i="1" s="1"/>
  <c r="C44" i="1"/>
  <c r="D44" i="1"/>
  <c r="V44" i="1"/>
  <c r="AC44" i="1"/>
  <c r="AE44" i="1"/>
  <c r="AD44" i="1" s="1"/>
  <c r="AF44" i="1"/>
  <c r="AG44" i="1"/>
  <c r="CU44" i="1" s="1"/>
  <c r="T44" i="1" s="1"/>
  <c r="AH44" i="1"/>
  <c r="AI44" i="1"/>
  <c r="AJ44" i="1"/>
  <c r="CQ44" i="1"/>
  <c r="CR44" i="1"/>
  <c r="CS44" i="1"/>
  <c r="CT44" i="1"/>
  <c r="CV44" i="1"/>
  <c r="CW44" i="1"/>
  <c r="CX44" i="1"/>
  <c r="W44" i="1" s="1"/>
  <c r="GL44" i="1"/>
  <c r="GO44" i="1"/>
  <c r="GP44" i="1"/>
  <c r="GV44" i="1"/>
  <c r="HC44" i="1" s="1"/>
  <c r="GX44" i="1" s="1"/>
  <c r="C46" i="1"/>
  <c r="D46" i="1"/>
  <c r="AC46" i="1"/>
  <c r="AE46" i="1"/>
  <c r="AD46" i="1" s="1"/>
  <c r="AF46" i="1"/>
  <c r="AG46" i="1"/>
  <c r="CU46" i="1" s="1"/>
  <c r="T46" i="1" s="1"/>
  <c r="AH46" i="1"/>
  <c r="AI46" i="1"/>
  <c r="AJ46" i="1"/>
  <c r="CX46" i="1" s="1"/>
  <c r="W46" i="1" s="1"/>
  <c r="CQ46" i="1"/>
  <c r="CR46" i="1"/>
  <c r="CS46" i="1"/>
  <c r="CT46" i="1"/>
  <c r="CV46" i="1"/>
  <c r="CW46" i="1"/>
  <c r="GL46" i="1"/>
  <c r="GO46" i="1"/>
  <c r="GP46" i="1"/>
  <c r="GV46" i="1"/>
  <c r="HC46" i="1" s="1"/>
  <c r="GX46" i="1" s="1"/>
  <c r="C47" i="1"/>
  <c r="D47" i="1"/>
  <c r="AC47" i="1"/>
  <c r="AE47" i="1"/>
  <c r="AD47" i="1" s="1"/>
  <c r="AF47" i="1"/>
  <c r="AG47" i="1"/>
  <c r="AH47" i="1"/>
  <c r="AI47" i="1"/>
  <c r="AJ47" i="1"/>
  <c r="CX47" i="1" s="1"/>
  <c r="W47" i="1" s="1"/>
  <c r="CQ47" i="1"/>
  <c r="CR47" i="1"/>
  <c r="CS47" i="1"/>
  <c r="CT47" i="1"/>
  <c r="CU47" i="1"/>
  <c r="T47" i="1" s="1"/>
  <c r="CV47" i="1"/>
  <c r="CW47" i="1"/>
  <c r="GL47" i="1"/>
  <c r="GO47" i="1"/>
  <c r="GP47" i="1"/>
  <c r="GV47" i="1"/>
  <c r="HC47" i="1" s="1"/>
  <c r="GX47" i="1" s="1"/>
  <c r="C48" i="1"/>
  <c r="D48" i="1"/>
  <c r="V48" i="1"/>
  <c r="AC48" i="1"/>
  <c r="AE48" i="1"/>
  <c r="AD48" i="1" s="1"/>
  <c r="AF48" i="1"/>
  <c r="AG48" i="1"/>
  <c r="AH48" i="1"/>
  <c r="AI48" i="1"/>
  <c r="AJ48" i="1"/>
  <c r="CQ48" i="1"/>
  <c r="CR48" i="1"/>
  <c r="CS48" i="1"/>
  <c r="CT48" i="1"/>
  <c r="CU48" i="1"/>
  <c r="T48" i="1" s="1"/>
  <c r="CV48" i="1"/>
  <c r="CW48" i="1"/>
  <c r="CX48" i="1"/>
  <c r="W48" i="1" s="1"/>
  <c r="GL48" i="1"/>
  <c r="GO48" i="1"/>
  <c r="GP48" i="1"/>
  <c r="GV48" i="1"/>
  <c r="GX48" i="1"/>
  <c r="HC48" i="1"/>
  <c r="C49" i="1"/>
  <c r="D49" i="1"/>
  <c r="AC49" i="1"/>
  <c r="AE49" i="1"/>
  <c r="AD49" i="1" s="1"/>
  <c r="AF49" i="1"/>
  <c r="AG49" i="1"/>
  <c r="CU49" i="1" s="1"/>
  <c r="T49" i="1" s="1"/>
  <c r="AH49" i="1"/>
  <c r="AI49" i="1"/>
  <c r="AJ49" i="1"/>
  <c r="CQ49" i="1"/>
  <c r="CR49" i="1"/>
  <c r="CS49" i="1"/>
  <c r="CT49" i="1"/>
  <c r="CV49" i="1"/>
  <c r="CW49" i="1"/>
  <c r="CX49" i="1"/>
  <c r="W49" i="1" s="1"/>
  <c r="GL49" i="1"/>
  <c r="GO49" i="1"/>
  <c r="GP49" i="1"/>
  <c r="GV49" i="1"/>
  <c r="HC49" i="1" s="1"/>
  <c r="GX49" i="1" s="1"/>
  <c r="B51" i="1"/>
  <c r="B28" i="1" s="1"/>
  <c r="C51" i="1"/>
  <c r="C28" i="1" s="1"/>
  <c r="D51" i="1"/>
  <c r="D28" i="1" s="1"/>
  <c r="F51" i="1"/>
  <c r="F28" i="1" s="1"/>
  <c r="G51" i="1"/>
  <c r="G28" i="1" s="1"/>
  <c r="BX51" i="1"/>
  <c r="BX28" i="1" s="1"/>
  <c r="BY51" i="1"/>
  <c r="BY28" i="1" s="1"/>
  <c r="CK51" i="1"/>
  <c r="CK28" i="1" s="1"/>
  <c r="CL51" i="1"/>
  <c r="D83" i="1"/>
  <c r="E85" i="1"/>
  <c r="F85" i="1"/>
  <c r="Z85" i="1"/>
  <c r="AA85" i="1"/>
  <c r="AM85" i="1"/>
  <c r="AN85" i="1"/>
  <c r="BE85" i="1"/>
  <c r="BF85" i="1"/>
  <c r="BG85" i="1"/>
  <c r="BH85" i="1"/>
  <c r="BI85" i="1"/>
  <c r="BJ85" i="1"/>
  <c r="BK85" i="1"/>
  <c r="BL85" i="1"/>
  <c r="BM85" i="1"/>
  <c r="BN85" i="1"/>
  <c r="BO85" i="1"/>
  <c r="BP85" i="1"/>
  <c r="BQ85" i="1"/>
  <c r="BR85" i="1"/>
  <c r="BS85" i="1"/>
  <c r="BT85" i="1"/>
  <c r="BU85" i="1"/>
  <c r="BV85" i="1"/>
  <c r="BW85" i="1"/>
  <c r="CK85" i="1"/>
  <c r="CN85" i="1"/>
  <c r="CO85" i="1"/>
  <c r="CP85" i="1"/>
  <c r="CQ85" i="1"/>
  <c r="CR85" i="1"/>
  <c r="CS85" i="1"/>
  <c r="CT85" i="1"/>
  <c r="CU85" i="1"/>
  <c r="CV85" i="1"/>
  <c r="CW85" i="1"/>
  <c r="CX85" i="1"/>
  <c r="CY85" i="1"/>
  <c r="CZ85" i="1"/>
  <c r="DA85" i="1"/>
  <c r="DB85" i="1"/>
  <c r="DC85" i="1"/>
  <c r="DD85" i="1"/>
  <c r="DE85" i="1"/>
  <c r="DF85" i="1"/>
  <c r="DG85" i="1"/>
  <c r="DH85" i="1"/>
  <c r="DI85" i="1"/>
  <c r="DJ85" i="1"/>
  <c r="DK85" i="1"/>
  <c r="DL85" i="1"/>
  <c r="DM85" i="1"/>
  <c r="DN85" i="1"/>
  <c r="DO85" i="1"/>
  <c r="DP85" i="1"/>
  <c r="DQ85" i="1"/>
  <c r="DR85" i="1"/>
  <c r="DS85" i="1"/>
  <c r="DT85" i="1"/>
  <c r="DU85" i="1"/>
  <c r="DV85" i="1"/>
  <c r="DW85" i="1"/>
  <c r="DX85" i="1"/>
  <c r="DY85" i="1"/>
  <c r="DZ85" i="1"/>
  <c r="EA85" i="1"/>
  <c r="EB85" i="1"/>
  <c r="EC85" i="1"/>
  <c r="ED85" i="1"/>
  <c r="EE85" i="1"/>
  <c r="EF85" i="1"/>
  <c r="EG85" i="1"/>
  <c r="EH85" i="1"/>
  <c r="EI85" i="1"/>
  <c r="EJ85" i="1"/>
  <c r="EK85" i="1"/>
  <c r="EL85" i="1"/>
  <c r="EM85" i="1"/>
  <c r="EN85" i="1"/>
  <c r="EO85" i="1"/>
  <c r="EP85" i="1"/>
  <c r="EQ85" i="1"/>
  <c r="ER85" i="1"/>
  <c r="ES85" i="1"/>
  <c r="ET85" i="1"/>
  <c r="EU85" i="1"/>
  <c r="EV85" i="1"/>
  <c r="EW85" i="1"/>
  <c r="EX85" i="1"/>
  <c r="EY85" i="1"/>
  <c r="EZ85" i="1"/>
  <c r="FA85" i="1"/>
  <c r="FB85" i="1"/>
  <c r="FC85" i="1"/>
  <c r="FD85" i="1"/>
  <c r="FE85" i="1"/>
  <c r="FF85" i="1"/>
  <c r="FG85" i="1"/>
  <c r="FH85" i="1"/>
  <c r="FI85" i="1"/>
  <c r="FJ85" i="1"/>
  <c r="FK85" i="1"/>
  <c r="FL85" i="1"/>
  <c r="FM85" i="1"/>
  <c r="FN85" i="1"/>
  <c r="FO85" i="1"/>
  <c r="FP85" i="1"/>
  <c r="FQ85" i="1"/>
  <c r="FR85" i="1"/>
  <c r="FS85" i="1"/>
  <c r="FT85" i="1"/>
  <c r="FU85" i="1"/>
  <c r="FV85" i="1"/>
  <c r="FW85" i="1"/>
  <c r="FX85" i="1"/>
  <c r="FY85" i="1"/>
  <c r="FZ85" i="1"/>
  <c r="GA85" i="1"/>
  <c r="GB85" i="1"/>
  <c r="GC85" i="1"/>
  <c r="GD85" i="1"/>
  <c r="GE85" i="1"/>
  <c r="GF85" i="1"/>
  <c r="GG85" i="1"/>
  <c r="GH85" i="1"/>
  <c r="GI85" i="1"/>
  <c r="GJ85" i="1"/>
  <c r="GK85" i="1"/>
  <c r="GL85" i="1"/>
  <c r="GM85" i="1"/>
  <c r="GN85" i="1"/>
  <c r="GO85" i="1"/>
  <c r="GP85" i="1"/>
  <c r="GQ85" i="1"/>
  <c r="GR85" i="1"/>
  <c r="GS85" i="1"/>
  <c r="GT85" i="1"/>
  <c r="GU85" i="1"/>
  <c r="GV85" i="1"/>
  <c r="GW85" i="1"/>
  <c r="GX85" i="1"/>
  <c r="C87" i="1"/>
  <c r="D87" i="1"/>
  <c r="AC87" i="1"/>
  <c r="AD87" i="1"/>
  <c r="AE87" i="1"/>
  <c r="AF87" i="1"/>
  <c r="AG87" i="1"/>
  <c r="CU87" i="1" s="1"/>
  <c r="T87" i="1" s="1"/>
  <c r="AH87" i="1"/>
  <c r="AI87" i="1"/>
  <c r="AJ87" i="1"/>
  <c r="CX87" i="1" s="1"/>
  <c r="W87" i="1" s="1"/>
  <c r="CQ87" i="1"/>
  <c r="CR87" i="1"/>
  <c r="CS87" i="1"/>
  <c r="CT87" i="1"/>
  <c r="CV87" i="1"/>
  <c r="CW87" i="1"/>
  <c r="GL87" i="1"/>
  <c r="GO87" i="1"/>
  <c r="GP87" i="1"/>
  <c r="GV87" i="1"/>
  <c r="HC87" i="1" s="1"/>
  <c r="GX87" i="1" s="1"/>
  <c r="C89" i="1"/>
  <c r="D89" i="1"/>
  <c r="AC89" i="1"/>
  <c r="AE89" i="1"/>
  <c r="AD89" i="1" s="1"/>
  <c r="AF89" i="1"/>
  <c r="AG89" i="1"/>
  <c r="CU89" i="1" s="1"/>
  <c r="T89" i="1" s="1"/>
  <c r="AH89" i="1"/>
  <c r="AI89" i="1"/>
  <c r="AJ89" i="1"/>
  <c r="CX89" i="1" s="1"/>
  <c r="W89" i="1" s="1"/>
  <c r="CQ89" i="1"/>
  <c r="CR89" i="1"/>
  <c r="CS89" i="1"/>
  <c r="CT89" i="1"/>
  <c r="CV89" i="1"/>
  <c r="CW89" i="1"/>
  <c r="GL89" i="1"/>
  <c r="GO89" i="1"/>
  <c r="GP89" i="1"/>
  <c r="GV89" i="1"/>
  <c r="HC89" i="1" s="1"/>
  <c r="GX89" i="1" s="1"/>
  <c r="I90" i="1"/>
  <c r="AC90" i="1"/>
  <c r="AE90" i="1"/>
  <c r="AF90" i="1"/>
  <c r="AG90" i="1"/>
  <c r="CU90" i="1" s="1"/>
  <c r="AH90" i="1"/>
  <c r="CV90" i="1" s="1"/>
  <c r="AI90" i="1"/>
  <c r="AJ90" i="1"/>
  <c r="CX90" i="1" s="1"/>
  <c r="CQ90" i="1"/>
  <c r="CR90" i="1"/>
  <c r="CS90" i="1"/>
  <c r="CT90" i="1"/>
  <c r="CW90" i="1"/>
  <c r="V90" i="1" s="1"/>
  <c r="GL90" i="1"/>
  <c r="GO90" i="1"/>
  <c r="GP90" i="1"/>
  <c r="GV90" i="1"/>
  <c r="HC90" i="1" s="1"/>
  <c r="C91" i="1"/>
  <c r="D91" i="1"/>
  <c r="AC91" i="1"/>
  <c r="AE91" i="1"/>
  <c r="AD91" i="1" s="1"/>
  <c r="AF91" i="1"/>
  <c r="AG91" i="1"/>
  <c r="AH91" i="1"/>
  <c r="AI91" i="1"/>
  <c r="AJ91" i="1"/>
  <c r="CX91" i="1" s="1"/>
  <c r="W91" i="1" s="1"/>
  <c r="CQ91" i="1"/>
  <c r="CR91" i="1"/>
  <c r="CS91" i="1"/>
  <c r="CT91" i="1"/>
  <c r="CU91" i="1"/>
  <c r="T91" i="1" s="1"/>
  <c r="CV91" i="1"/>
  <c r="CW91" i="1"/>
  <c r="GL91" i="1"/>
  <c r="GO91" i="1"/>
  <c r="GP91" i="1"/>
  <c r="GV91" i="1"/>
  <c r="HC91" i="1" s="1"/>
  <c r="GX91" i="1" s="1"/>
  <c r="C93" i="1"/>
  <c r="D93" i="1"/>
  <c r="V93" i="1"/>
  <c r="AC93" i="1"/>
  <c r="AD93" i="1"/>
  <c r="AE93" i="1"/>
  <c r="AF93" i="1"/>
  <c r="AG93" i="1"/>
  <c r="AH93" i="1"/>
  <c r="AI93" i="1"/>
  <c r="AJ93" i="1"/>
  <c r="CQ93" i="1"/>
  <c r="CR93" i="1"/>
  <c r="CS93" i="1"/>
  <c r="CT93" i="1"/>
  <c r="CU93" i="1"/>
  <c r="T93" i="1" s="1"/>
  <c r="CV93" i="1"/>
  <c r="CW93" i="1"/>
  <c r="CX93" i="1"/>
  <c r="W93" i="1" s="1"/>
  <c r="GL93" i="1"/>
  <c r="GO93" i="1"/>
  <c r="GP93" i="1"/>
  <c r="GV93" i="1"/>
  <c r="HC93" i="1" s="1"/>
  <c r="GX93" i="1" s="1"/>
  <c r="O94" i="1"/>
  <c r="P94" i="1"/>
  <c r="Q94" i="1"/>
  <c r="R94" i="1"/>
  <c r="S94" i="1"/>
  <c r="T94" i="1"/>
  <c r="U94" i="1"/>
  <c r="V94" i="1"/>
  <c r="W94" i="1"/>
  <c r="X94" i="1"/>
  <c r="AZ328" i="8" s="1"/>
  <c r="L326" i="8" s="1"/>
  <c r="Y94" i="1"/>
  <c r="BA328" i="8" s="1"/>
  <c r="L327" i="8" s="1"/>
  <c r="AB94" i="1"/>
  <c r="CP94" i="1" s="1"/>
  <c r="GM94" i="1" s="1"/>
  <c r="AC94" i="1"/>
  <c r="AD94" i="1"/>
  <c r="AE94" i="1"/>
  <c r="AF94" i="1"/>
  <c r="AG94" i="1"/>
  <c r="AH94" i="1"/>
  <c r="AI94" i="1"/>
  <c r="AJ94" i="1"/>
  <c r="GL94" i="1"/>
  <c r="GO94" i="1"/>
  <c r="GP94" i="1"/>
  <c r="GV94" i="1"/>
  <c r="GX94" i="1"/>
  <c r="O95" i="1"/>
  <c r="P95" i="1"/>
  <c r="Q95" i="1"/>
  <c r="R95" i="1"/>
  <c r="S95" i="1"/>
  <c r="T95" i="1"/>
  <c r="U95" i="1"/>
  <c r="V95" i="1"/>
  <c r="W95" i="1"/>
  <c r="X95" i="1"/>
  <c r="AZ333" i="8" s="1"/>
  <c r="L331" i="8" s="1"/>
  <c r="Y95" i="1"/>
  <c r="BA333" i="8" s="1"/>
  <c r="L332" i="8" s="1"/>
  <c r="AB95" i="1"/>
  <c r="CP95" i="1" s="1"/>
  <c r="GM95" i="1" s="1"/>
  <c r="AC95" i="1"/>
  <c r="AD95" i="1"/>
  <c r="AE95" i="1"/>
  <c r="AF95" i="1"/>
  <c r="AG95" i="1"/>
  <c r="AH95" i="1"/>
  <c r="AI95" i="1"/>
  <c r="AJ95" i="1"/>
  <c r="GL95" i="1"/>
  <c r="GO95" i="1"/>
  <c r="GP95" i="1"/>
  <c r="GV95" i="1"/>
  <c r="GX95" i="1"/>
  <c r="C96" i="1"/>
  <c r="D96" i="1"/>
  <c r="U96" i="1"/>
  <c r="G336" i="8" s="1"/>
  <c r="V96" i="1"/>
  <c r="AC96" i="1"/>
  <c r="AE96" i="1"/>
  <c r="AD96" i="1" s="1"/>
  <c r="AF96" i="1"/>
  <c r="AG96" i="1"/>
  <c r="AH96" i="1"/>
  <c r="AI96" i="1"/>
  <c r="AJ96" i="1"/>
  <c r="CX96" i="1" s="1"/>
  <c r="W96" i="1" s="1"/>
  <c r="CQ96" i="1"/>
  <c r="CR96" i="1"/>
  <c r="CS96" i="1"/>
  <c r="CT96" i="1"/>
  <c r="CU96" i="1"/>
  <c r="T96" i="1" s="1"/>
  <c r="CV96" i="1"/>
  <c r="CW96" i="1"/>
  <c r="GL96" i="1"/>
  <c r="GO96" i="1"/>
  <c r="GP96" i="1"/>
  <c r="GV96" i="1"/>
  <c r="HC96" i="1"/>
  <c r="GX96" i="1" s="1"/>
  <c r="C97" i="1"/>
  <c r="D97" i="1"/>
  <c r="V97" i="1"/>
  <c r="AC97" i="1"/>
  <c r="AE97" i="1"/>
  <c r="AD97" i="1" s="1"/>
  <c r="AF97" i="1"/>
  <c r="AG97" i="1"/>
  <c r="AH97" i="1"/>
  <c r="AI97" i="1"/>
  <c r="AJ97" i="1"/>
  <c r="CX97" i="1" s="1"/>
  <c r="W97" i="1" s="1"/>
  <c r="CQ97" i="1"/>
  <c r="CR97" i="1"/>
  <c r="CS97" i="1"/>
  <c r="CT97" i="1"/>
  <c r="CU97" i="1"/>
  <c r="T97" i="1" s="1"/>
  <c r="CV97" i="1"/>
  <c r="CW97" i="1"/>
  <c r="GL97" i="1"/>
  <c r="GO97" i="1"/>
  <c r="GP97" i="1"/>
  <c r="GV97" i="1"/>
  <c r="HC97" i="1" s="1"/>
  <c r="GX97" i="1" s="1"/>
  <c r="O98" i="1"/>
  <c r="P98" i="1"/>
  <c r="Q98" i="1"/>
  <c r="R98" i="1"/>
  <c r="S98" i="1"/>
  <c r="T98" i="1"/>
  <c r="U98" i="1"/>
  <c r="V98" i="1"/>
  <c r="W98" i="1"/>
  <c r="X98" i="1"/>
  <c r="AZ356" i="8" s="1"/>
  <c r="L354" i="8" s="1"/>
  <c r="Y98" i="1"/>
  <c r="BA356" i="8" s="1"/>
  <c r="L355" i="8" s="1"/>
  <c r="AB98" i="1"/>
  <c r="CP98" i="1" s="1"/>
  <c r="GM98" i="1" s="1"/>
  <c r="AC98" i="1"/>
  <c r="AD98" i="1"/>
  <c r="AE98" i="1"/>
  <c r="AF98" i="1"/>
  <c r="AG98" i="1"/>
  <c r="AH98" i="1"/>
  <c r="AI98" i="1"/>
  <c r="AJ98" i="1"/>
  <c r="GL98" i="1"/>
  <c r="GO98" i="1"/>
  <c r="GP98" i="1"/>
  <c r="GV98" i="1"/>
  <c r="GX98" i="1"/>
  <c r="C100" i="1"/>
  <c r="D100" i="1"/>
  <c r="AC100" i="1"/>
  <c r="AE100" i="1"/>
  <c r="AD100" i="1" s="1"/>
  <c r="AF100" i="1"/>
  <c r="AG100" i="1"/>
  <c r="CU100" i="1" s="1"/>
  <c r="T100" i="1" s="1"/>
  <c r="AH100" i="1"/>
  <c r="AI100" i="1"/>
  <c r="AJ100" i="1"/>
  <c r="CQ100" i="1"/>
  <c r="CR100" i="1"/>
  <c r="CS100" i="1"/>
  <c r="CT100" i="1"/>
  <c r="CV100" i="1"/>
  <c r="CW100" i="1"/>
  <c r="CX100" i="1"/>
  <c r="W100" i="1" s="1"/>
  <c r="GL100" i="1"/>
  <c r="GO100" i="1"/>
  <c r="GP100" i="1"/>
  <c r="GV100" i="1"/>
  <c r="HC100" i="1" s="1"/>
  <c r="GX100" i="1" s="1"/>
  <c r="C101" i="1"/>
  <c r="D101" i="1"/>
  <c r="AC101" i="1"/>
  <c r="AE101" i="1"/>
  <c r="AD101" i="1" s="1"/>
  <c r="AF101" i="1"/>
  <c r="AG101" i="1"/>
  <c r="AH101" i="1"/>
  <c r="AI101" i="1"/>
  <c r="AJ101" i="1"/>
  <c r="CX101" i="1" s="1"/>
  <c r="W101" i="1" s="1"/>
  <c r="CQ101" i="1"/>
  <c r="CR101" i="1"/>
  <c r="CS101" i="1"/>
  <c r="CT101" i="1"/>
  <c r="CU101" i="1"/>
  <c r="T101" i="1" s="1"/>
  <c r="CV101" i="1"/>
  <c r="CW101" i="1"/>
  <c r="GL101" i="1"/>
  <c r="GO101" i="1"/>
  <c r="GP101" i="1"/>
  <c r="GV101" i="1"/>
  <c r="HC101" i="1"/>
  <c r="GX101" i="1" s="1"/>
  <c r="C102" i="1"/>
  <c r="D102" i="1"/>
  <c r="AC102" i="1"/>
  <c r="AE102" i="1"/>
  <c r="AD102" i="1" s="1"/>
  <c r="AF102" i="1"/>
  <c r="AG102" i="1"/>
  <c r="AH102" i="1"/>
  <c r="AI102" i="1"/>
  <c r="AJ102" i="1"/>
  <c r="CQ102" i="1"/>
  <c r="CR102" i="1"/>
  <c r="CS102" i="1"/>
  <c r="CT102" i="1"/>
  <c r="CU102" i="1"/>
  <c r="T102" i="1" s="1"/>
  <c r="CV102" i="1"/>
  <c r="CW102" i="1"/>
  <c r="CX102" i="1"/>
  <c r="W102" i="1" s="1"/>
  <c r="GL102" i="1"/>
  <c r="GO102" i="1"/>
  <c r="GP102" i="1"/>
  <c r="GV102" i="1"/>
  <c r="HC102" i="1" s="1"/>
  <c r="GX102" i="1" s="1"/>
  <c r="O103" i="1"/>
  <c r="P103" i="1"/>
  <c r="Q103" i="1"/>
  <c r="R103" i="1"/>
  <c r="S103" i="1"/>
  <c r="T103" i="1"/>
  <c r="U103" i="1"/>
  <c r="V103" i="1"/>
  <c r="W103" i="1"/>
  <c r="X103" i="1"/>
  <c r="AZ413" i="8" s="1"/>
  <c r="L411" i="8" s="1"/>
  <c r="Y103" i="1"/>
  <c r="BA413" i="8" s="1"/>
  <c r="L412" i="8" s="1"/>
  <c r="AB103" i="1"/>
  <c r="CP103" i="1" s="1"/>
  <c r="AC103" i="1"/>
  <c r="AD103" i="1"/>
  <c r="AE103" i="1"/>
  <c r="AF103" i="1"/>
  <c r="AG103" i="1"/>
  <c r="AH103" i="1"/>
  <c r="AI103" i="1"/>
  <c r="AJ103" i="1"/>
  <c r="GL103" i="1"/>
  <c r="GM103" i="1"/>
  <c r="HD103" i="1" s="1"/>
  <c r="L409" i="8" s="1"/>
  <c r="GO103" i="1"/>
  <c r="GP103" i="1"/>
  <c r="GV103" i="1"/>
  <c r="GX103" i="1"/>
  <c r="GN103" i="1" s="1"/>
  <c r="O104" i="1"/>
  <c r="P104" i="1"/>
  <c r="Q104" i="1"/>
  <c r="R104" i="1"/>
  <c r="S104" i="1"/>
  <c r="T104" i="1"/>
  <c r="U104" i="1"/>
  <c r="V104" i="1"/>
  <c r="W104" i="1"/>
  <c r="X104" i="1"/>
  <c r="AZ418" i="8" s="1"/>
  <c r="L416" i="8" s="1"/>
  <c r="Y104" i="1"/>
  <c r="BA418" i="8" s="1"/>
  <c r="L417" i="8" s="1"/>
  <c r="AB104" i="1"/>
  <c r="CP104" i="1" s="1"/>
  <c r="GM104" i="1" s="1"/>
  <c r="AC104" i="1"/>
  <c r="AD104" i="1"/>
  <c r="AE104" i="1"/>
  <c r="AF104" i="1"/>
  <c r="AG104" i="1"/>
  <c r="AH104" i="1"/>
  <c r="AI104" i="1"/>
  <c r="AJ104" i="1"/>
  <c r="GL104" i="1"/>
  <c r="GO104" i="1"/>
  <c r="GP104" i="1"/>
  <c r="GV104" i="1"/>
  <c r="GX104" i="1"/>
  <c r="B106" i="1"/>
  <c r="B85" i="1" s="1"/>
  <c r="C106" i="1"/>
  <c r="C85" i="1" s="1"/>
  <c r="D106" i="1"/>
  <c r="D85" i="1" s="1"/>
  <c r="F106" i="1"/>
  <c r="G106" i="1"/>
  <c r="G85" i="1" s="1"/>
  <c r="BX106" i="1"/>
  <c r="BX85" i="1" s="1"/>
  <c r="BY106" i="1"/>
  <c r="BY85" i="1" s="1"/>
  <c r="CK106" i="1"/>
  <c r="BB106" i="1" s="1"/>
  <c r="CL106" i="1"/>
  <c r="CL85" i="1" s="1"/>
  <c r="D138" i="1"/>
  <c r="E140" i="1"/>
  <c r="Z140" i="1"/>
  <c r="AA140" i="1"/>
  <c r="AM140" i="1"/>
  <c r="AN140" i="1"/>
  <c r="BE140" i="1"/>
  <c r="BF140" i="1"/>
  <c r="BG140" i="1"/>
  <c r="BH140" i="1"/>
  <c r="BI140" i="1"/>
  <c r="BJ140" i="1"/>
  <c r="BK140" i="1"/>
  <c r="BL140" i="1"/>
  <c r="BM140" i="1"/>
  <c r="BN140" i="1"/>
  <c r="BO140" i="1"/>
  <c r="BP140" i="1"/>
  <c r="BQ140" i="1"/>
  <c r="BR140" i="1"/>
  <c r="BS140" i="1"/>
  <c r="BT140" i="1"/>
  <c r="BU140" i="1"/>
  <c r="BV140" i="1"/>
  <c r="BW140" i="1"/>
  <c r="CN140" i="1"/>
  <c r="CO140" i="1"/>
  <c r="CP140" i="1"/>
  <c r="CQ140" i="1"/>
  <c r="CR140" i="1"/>
  <c r="CS140" i="1"/>
  <c r="CT140" i="1"/>
  <c r="CU140" i="1"/>
  <c r="CV140" i="1"/>
  <c r="CW140" i="1"/>
  <c r="CX140" i="1"/>
  <c r="CY140" i="1"/>
  <c r="CZ140" i="1"/>
  <c r="DA140" i="1"/>
  <c r="DB140" i="1"/>
  <c r="DC140" i="1"/>
  <c r="DD140" i="1"/>
  <c r="DE140" i="1"/>
  <c r="DF140" i="1"/>
  <c r="DG140" i="1"/>
  <c r="DH140" i="1"/>
  <c r="DI140" i="1"/>
  <c r="DJ140" i="1"/>
  <c r="DK140" i="1"/>
  <c r="DL140" i="1"/>
  <c r="DM140" i="1"/>
  <c r="DN140" i="1"/>
  <c r="DO140" i="1"/>
  <c r="DP140" i="1"/>
  <c r="DQ140" i="1"/>
  <c r="DR140" i="1"/>
  <c r="DS140" i="1"/>
  <c r="DT140" i="1"/>
  <c r="DU140" i="1"/>
  <c r="DV140" i="1"/>
  <c r="DW140" i="1"/>
  <c r="DX140" i="1"/>
  <c r="DY140" i="1"/>
  <c r="DZ140" i="1"/>
  <c r="EA140" i="1"/>
  <c r="EB140" i="1"/>
  <c r="EC140" i="1"/>
  <c r="ED140" i="1"/>
  <c r="EE140" i="1"/>
  <c r="EF140" i="1"/>
  <c r="EG140" i="1"/>
  <c r="EH140" i="1"/>
  <c r="EI140" i="1"/>
  <c r="EJ140" i="1"/>
  <c r="EK140" i="1"/>
  <c r="EL140" i="1"/>
  <c r="EM140" i="1"/>
  <c r="EN140" i="1"/>
  <c r="EO140" i="1"/>
  <c r="EP140" i="1"/>
  <c r="EQ140" i="1"/>
  <c r="ER140" i="1"/>
  <c r="ES140" i="1"/>
  <c r="ET140" i="1"/>
  <c r="EU140" i="1"/>
  <c r="EV140" i="1"/>
  <c r="EW140" i="1"/>
  <c r="EX140" i="1"/>
  <c r="EY140" i="1"/>
  <c r="EZ140" i="1"/>
  <c r="FA140" i="1"/>
  <c r="FB140" i="1"/>
  <c r="FC140" i="1"/>
  <c r="FD140" i="1"/>
  <c r="FE140" i="1"/>
  <c r="FF140" i="1"/>
  <c r="FG140" i="1"/>
  <c r="FH140" i="1"/>
  <c r="FI140" i="1"/>
  <c r="FJ140" i="1"/>
  <c r="FK140" i="1"/>
  <c r="FL140" i="1"/>
  <c r="FM140" i="1"/>
  <c r="FN140" i="1"/>
  <c r="FO140" i="1"/>
  <c r="FP140" i="1"/>
  <c r="FQ140" i="1"/>
  <c r="FR140" i="1"/>
  <c r="FS140" i="1"/>
  <c r="FT140" i="1"/>
  <c r="FU140" i="1"/>
  <c r="FV140" i="1"/>
  <c r="FW140" i="1"/>
  <c r="FX140" i="1"/>
  <c r="FY140" i="1"/>
  <c r="FZ140" i="1"/>
  <c r="GA140" i="1"/>
  <c r="GB140" i="1"/>
  <c r="GC140" i="1"/>
  <c r="GD140" i="1"/>
  <c r="GE140" i="1"/>
  <c r="GF140" i="1"/>
  <c r="GG140" i="1"/>
  <c r="GH140" i="1"/>
  <c r="GI140" i="1"/>
  <c r="GJ140" i="1"/>
  <c r="GK140" i="1"/>
  <c r="GL140" i="1"/>
  <c r="GM140" i="1"/>
  <c r="GN140" i="1"/>
  <c r="GO140" i="1"/>
  <c r="GP140" i="1"/>
  <c r="GQ140" i="1"/>
  <c r="GR140" i="1"/>
  <c r="GS140" i="1"/>
  <c r="GT140" i="1"/>
  <c r="GU140" i="1"/>
  <c r="GV140" i="1"/>
  <c r="GW140" i="1"/>
  <c r="GX140" i="1"/>
  <c r="C144" i="1"/>
  <c r="D144" i="1"/>
  <c r="U144" i="1"/>
  <c r="G457" i="8" s="1"/>
  <c r="AC144" i="1"/>
  <c r="AE144" i="1"/>
  <c r="AD144" i="1" s="1"/>
  <c r="AF144" i="1"/>
  <c r="AG144" i="1"/>
  <c r="CU144" i="1" s="1"/>
  <c r="T144" i="1" s="1"/>
  <c r="AH144" i="1"/>
  <c r="AI144" i="1"/>
  <c r="AJ144" i="1"/>
  <c r="CQ144" i="1"/>
  <c r="CR144" i="1"/>
  <c r="CS144" i="1"/>
  <c r="CT144" i="1"/>
  <c r="CV144" i="1"/>
  <c r="CW144" i="1"/>
  <c r="CX144" i="1"/>
  <c r="W144" i="1" s="1"/>
  <c r="GL144" i="1"/>
  <c r="GO144" i="1"/>
  <c r="GP144" i="1"/>
  <c r="GV144" i="1"/>
  <c r="HC144" i="1" s="1"/>
  <c r="GX144" i="1" s="1"/>
  <c r="I145" i="1"/>
  <c r="Q145" i="1" s="1"/>
  <c r="S145" i="1"/>
  <c r="AC145" i="1"/>
  <c r="K93" i="11" s="1"/>
  <c r="AE145" i="1"/>
  <c r="AF145" i="1"/>
  <c r="AG145" i="1"/>
  <c r="CU145" i="1" s="1"/>
  <c r="T145" i="1" s="1"/>
  <c r="AH145" i="1"/>
  <c r="AI145" i="1"/>
  <c r="CW145" i="1" s="1"/>
  <c r="V145" i="1" s="1"/>
  <c r="AJ145" i="1"/>
  <c r="CX145" i="1" s="1"/>
  <c r="W145" i="1" s="1"/>
  <c r="CQ145" i="1"/>
  <c r="N93" i="11" s="1"/>
  <c r="CR145" i="1"/>
  <c r="CS145" i="1"/>
  <c r="R145" i="1" s="1"/>
  <c r="CT145" i="1"/>
  <c r="CV145" i="1"/>
  <c r="U145" i="1" s="1"/>
  <c r="GL145" i="1"/>
  <c r="GO145" i="1"/>
  <c r="GP145" i="1"/>
  <c r="GV145" i="1"/>
  <c r="HC145" i="1"/>
  <c r="GX145" i="1" s="1"/>
  <c r="I146" i="1"/>
  <c r="Q146" i="1"/>
  <c r="AC146" i="1"/>
  <c r="AE146" i="1"/>
  <c r="AF146" i="1"/>
  <c r="AG146" i="1"/>
  <c r="CU146" i="1" s="1"/>
  <c r="AH146" i="1"/>
  <c r="CV146" i="1" s="1"/>
  <c r="U146" i="1" s="1"/>
  <c r="AI146" i="1"/>
  <c r="CW146" i="1" s="1"/>
  <c r="V146" i="1" s="1"/>
  <c r="AJ146" i="1"/>
  <c r="CX146" i="1" s="1"/>
  <c r="W146" i="1" s="1"/>
  <c r="CQ146" i="1"/>
  <c r="N94" i="11" s="1"/>
  <c r="CR146" i="1"/>
  <c r="CS146" i="1"/>
  <c r="R146" i="1" s="1"/>
  <c r="CT146" i="1"/>
  <c r="S146" i="1" s="1"/>
  <c r="GL146" i="1"/>
  <c r="GO146" i="1"/>
  <c r="GP146" i="1"/>
  <c r="GV146" i="1"/>
  <c r="HC146" i="1" s="1"/>
  <c r="GX146" i="1" s="1"/>
  <c r="I147" i="1"/>
  <c r="AC147" i="1"/>
  <c r="AE147" i="1"/>
  <c r="AF147" i="1"/>
  <c r="AG147" i="1"/>
  <c r="CU147" i="1" s="1"/>
  <c r="AH147" i="1"/>
  <c r="AI147" i="1"/>
  <c r="CW147" i="1" s="1"/>
  <c r="AJ147" i="1"/>
  <c r="CQ147" i="1"/>
  <c r="N95" i="11" s="1"/>
  <c r="CR147" i="1"/>
  <c r="CS147" i="1"/>
  <c r="CT147" i="1"/>
  <c r="CV147" i="1"/>
  <c r="CX147" i="1"/>
  <c r="GL147" i="1"/>
  <c r="GO147" i="1"/>
  <c r="GP147" i="1"/>
  <c r="GV147" i="1"/>
  <c r="HC147" i="1"/>
  <c r="C149" i="1"/>
  <c r="D149" i="1"/>
  <c r="AC149" i="1"/>
  <c r="AE149" i="1"/>
  <c r="AD149" i="1" s="1"/>
  <c r="AF149" i="1"/>
  <c r="AG149" i="1"/>
  <c r="AH149" i="1"/>
  <c r="AI149" i="1"/>
  <c r="AJ149" i="1"/>
  <c r="CX149" i="1" s="1"/>
  <c r="W149" i="1" s="1"/>
  <c r="CQ149" i="1"/>
  <c r="CR149" i="1"/>
  <c r="CS149" i="1"/>
  <c r="CT149" i="1"/>
  <c r="CU149" i="1"/>
  <c r="T149" i="1" s="1"/>
  <c r="CV149" i="1"/>
  <c r="CW149" i="1"/>
  <c r="GL149" i="1"/>
  <c r="GO149" i="1"/>
  <c r="GP149" i="1"/>
  <c r="GV149" i="1"/>
  <c r="GX149" i="1"/>
  <c r="HC149" i="1"/>
  <c r="I150" i="1"/>
  <c r="AC150" i="1"/>
  <c r="K116" i="11" s="1"/>
  <c r="AD150" i="1"/>
  <c r="AB150" i="1" s="1"/>
  <c r="AE150" i="1"/>
  <c r="AF150" i="1"/>
  <c r="AG150" i="1"/>
  <c r="AH150" i="1"/>
  <c r="CV150" i="1" s="1"/>
  <c r="U150" i="1" s="1"/>
  <c r="AI150" i="1"/>
  <c r="AJ150" i="1"/>
  <c r="CX150" i="1" s="1"/>
  <c r="CQ150" i="1"/>
  <c r="N116" i="11" s="1"/>
  <c r="CR150" i="1"/>
  <c r="Q150" i="1" s="1"/>
  <c r="CS150" i="1"/>
  <c r="CT150" i="1"/>
  <c r="CU150" i="1"/>
  <c r="CW150" i="1"/>
  <c r="V150" i="1" s="1"/>
  <c r="GL150" i="1"/>
  <c r="GO150" i="1"/>
  <c r="GP150" i="1"/>
  <c r="GV150" i="1"/>
  <c r="HC150" i="1" s="1"/>
  <c r="GX150" i="1" s="1"/>
  <c r="C152" i="1"/>
  <c r="D152" i="1"/>
  <c r="AC152" i="1"/>
  <c r="AE152" i="1"/>
  <c r="AD152" i="1" s="1"/>
  <c r="AF152" i="1"/>
  <c r="AG152" i="1"/>
  <c r="CU152" i="1" s="1"/>
  <c r="T152" i="1" s="1"/>
  <c r="AH152" i="1"/>
  <c r="AI152" i="1"/>
  <c r="AJ152" i="1"/>
  <c r="CX152" i="1" s="1"/>
  <c r="W152" i="1" s="1"/>
  <c r="CQ152" i="1"/>
  <c r="CR152" i="1"/>
  <c r="CS152" i="1"/>
  <c r="CT152" i="1"/>
  <c r="CV152" i="1"/>
  <c r="CW152" i="1"/>
  <c r="GL152" i="1"/>
  <c r="GO152" i="1"/>
  <c r="GP152" i="1"/>
  <c r="GV152" i="1"/>
  <c r="HC152" i="1" s="1"/>
  <c r="GX152" i="1" s="1"/>
  <c r="I153" i="1"/>
  <c r="AC153" i="1"/>
  <c r="AE153" i="1"/>
  <c r="AF153" i="1"/>
  <c r="AG153" i="1"/>
  <c r="CU153" i="1" s="1"/>
  <c r="AH153" i="1"/>
  <c r="AI153" i="1"/>
  <c r="CW153" i="1" s="1"/>
  <c r="AJ153" i="1"/>
  <c r="CQ153" i="1"/>
  <c r="CR153" i="1"/>
  <c r="CS153" i="1"/>
  <c r="CT153" i="1"/>
  <c r="CV153" i="1"/>
  <c r="CX153" i="1"/>
  <c r="GL153" i="1"/>
  <c r="GO153" i="1"/>
  <c r="GP153" i="1"/>
  <c r="GV153" i="1"/>
  <c r="HC153" i="1" s="1"/>
  <c r="I154" i="1"/>
  <c r="AC154" i="1"/>
  <c r="AE154" i="1"/>
  <c r="AF154" i="1"/>
  <c r="AG154" i="1"/>
  <c r="CU154" i="1" s="1"/>
  <c r="AH154" i="1"/>
  <c r="AI154" i="1"/>
  <c r="CW154" i="1" s="1"/>
  <c r="V154" i="1" s="1"/>
  <c r="AJ154" i="1"/>
  <c r="CQ154" i="1"/>
  <c r="CR154" i="1"/>
  <c r="CS154" i="1"/>
  <c r="R154" i="1" s="1"/>
  <c r="CT154" i="1"/>
  <c r="CV154" i="1"/>
  <c r="CX154" i="1"/>
  <c r="GL154" i="1"/>
  <c r="GO154" i="1"/>
  <c r="GP154" i="1"/>
  <c r="GV154" i="1"/>
  <c r="HC154" i="1" s="1"/>
  <c r="I155" i="1"/>
  <c r="AC155" i="1"/>
  <c r="AE155" i="1"/>
  <c r="AF155" i="1"/>
  <c r="AG155" i="1"/>
  <c r="CU155" i="1" s="1"/>
  <c r="AH155" i="1"/>
  <c r="AI155" i="1"/>
  <c r="CW155" i="1" s="1"/>
  <c r="AJ155" i="1"/>
  <c r="CQ155" i="1"/>
  <c r="CR155" i="1"/>
  <c r="CS155" i="1"/>
  <c r="CT155" i="1"/>
  <c r="CV155" i="1"/>
  <c r="CX155" i="1"/>
  <c r="GL155" i="1"/>
  <c r="GO155" i="1"/>
  <c r="GP155" i="1"/>
  <c r="GV155" i="1"/>
  <c r="HC155" i="1" s="1"/>
  <c r="C157" i="1"/>
  <c r="D157" i="1"/>
  <c r="AC157" i="1"/>
  <c r="AE157" i="1"/>
  <c r="AD157" i="1" s="1"/>
  <c r="AF157" i="1"/>
  <c r="AG157" i="1"/>
  <c r="AH157" i="1"/>
  <c r="AI157" i="1"/>
  <c r="AJ157" i="1"/>
  <c r="CX157" i="1" s="1"/>
  <c r="W157" i="1" s="1"/>
  <c r="CQ157" i="1"/>
  <c r="CR157" i="1"/>
  <c r="CS157" i="1"/>
  <c r="CT157" i="1"/>
  <c r="CU157" i="1"/>
  <c r="T157" i="1" s="1"/>
  <c r="CV157" i="1"/>
  <c r="CW157" i="1"/>
  <c r="GL157" i="1"/>
  <c r="GO157" i="1"/>
  <c r="GP157" i="1"/>
  <c r="GV157" i="1"/>
  <c r="HC157" i="1" s="1"/>
  <c r="GX157" i="1" s="1"/>
  <c r="I158" i="1"/>
  <c r="AC158" i="1"/>
  <c r="K153" i="11" s="1"/>
  <c r="AD158" i="1"/>
  <c r="AE158" i="1"/>
  <c r="AF158" i="1"/>
  <c r="AG158" i="1"/>
  <c r="AH158" i="1"/>
  <c r="CV158" i="1" s="1"/>
  <c r="U158" i="1" s="1"/>
  <c r="AI158" i="1"/>
  <c r="AJ158" i="1"/>
  <c r="CX158" i="1" s="1"/>
  <c r="W158" i="1" s="1"/>
  <c r="CQ158" i="1"/>
  <c r="CR158" i="1"/>
  <c r="Q158" i="1" s="1"/>
  <c r="CS158" i="1"/>
  <c r="R158" i="1" s="1"/>
  <c r="CT158" i="1"/>
  <c r="CU158" i="1"/>
  <c r="T158" i="1" s="1"/>
  <c r="CW158" i="1"/>
  <c r="V158" i="1" s="1"/>
  <c r="GL158" i="1"/>
  <c r="GO158" i="1"/>
  <c r="GP158" i="1"/>
  <c r="GV158" i="1"/>
  <c r="HC158" i="1" s="1"/>
  <c r="GX158" i="1" s="1"/>
  <c r="C160" i="1"/>
  <c r="D160" i="1"/>
  <c r="AC160" i="1"/>
  <c r="AE160" i="1"/>
  <c r="AD160" i="1" s="1"/>
  <c r="AF160" i="1"/>
  <c r="AG160" i="1"/>
  <c r="CU160" i="1" s="1"/>
  <c r="T160" i="1" s="1"/>
  <c r="AH160" i="1"/>
  <c r="AI160" i="1"/>
  <c r="AJ160" i="1"/>
  <c r="CQ160" i="1"/>
  <c r="CR160" i="1"/>
  <c r="CS160" i="1"/>
  <c r="CT160" i="1"/>
  <c r="CV160" i="1"/>
  <c r="CW160" i="1"/>
  <c r="CX160" i="1"/>
  <c r="W160" i="1" s="1"/>
  <c r="GL160" i="1"/>
  <c r="GO160" i="1"/>
  <c r="GP160" i="1"/>
  <c r="GV160" i="1"/>
  <c r="HC160" i="1" s="1"/>
  <c r="GX160" i="1" s="1"/>
  <c r="C162" i="1"/>
  <c r="D162" i="1"/>
  <c r="T162" i="1"/>
  <c r="AC162" i="1"/>
  <c r="AE162" i="1"/>
  <c r="AD162" i="1" s="1"/>
  <c r="AF162" i="1"/>
  <c r="AG162" i="1"/>
  <c r="AH162" i="1"/>
  <c r="AI162" i="1"/>
  <c r="AJ162" i="1"/>
  <c r="CX162" i="1" s="1"/>
  <c r="W162" i="1" s="1"/>
  <c r="CQ162" i="1"/>
  <c r="CR162" i="1"/>
  <c r="CS162" i="1"/>
  <c r="CT162" i="1"/>
  <c r="CU162" i="1"/>
  <c r="CV162" i="1"/>
  <c r="CW162" i="1"/>
  <c r="GL162" i="1"/>
  <c r="GO162" i="1"/>
  <c r="GP162" i="1"/>
  <c r="GV162" i="1"/>
  <c r="HC162" i="1" s="1"/>
  <c r="GX162" i="1" s="1"/>
  <c r="C163" i="1"/>
  <c r="D163" i="1"/>
  <c r="AC163" i="1"/>
  <c r="AE163" i="1"/>
  <c r="AD163" i="1" s="1"/>
  <c r="AF163" i="1"/>
  <c r="AG163" i="1"/>
  <c r="CU163" i="1" s="1"/>
  <c r="T163" i="1" s="1"/>
  <c r="AH163" i="1"/>
  <c r="AI163" i="1"/>
  <c r="AJ163" i="1"/>
  <c r="CX163" i="1" s="1"/>
  <c r="W163" i="1" s="1"/>
  <c r="CQ163" i="1"/>
  <c r="CR163" i="1"/>
  <c r="CS163" i="1"/>
  <c r="CT163" i="1"/>
  <c r="CV163" i="1"/>
  <c r="CW163" i="1"/>
  <c r="GL163" i="1"/>
  <c r="GO163" i="1"/>
  <c r="GP163" i="1"/>
  <c r="GV163" i="1"/>
  <c r="HC163" i="1" s="1"/>
  <c r="GX163" i="1" s="1"/>
  <c r="I164" i="1"/>
  <c r="AC164" i="1"/>
  <c r="AE164" i="1"/>
  <c r="AF164" i="1"/>
  <c r="AG164" i="1"/>
  <c r="CU164" i="1" s="1"/>
  <c r="T164" i="1" s="1"/>
  <c r="AH164" i="1"/>
  <c r="AI164" i="1"/>
  <c r="CW164" i="1" s="1"/>
  <c r="V164" i="1" s="1"/>
  <c r="AJ164" i="1"/>
  <c r="CQ164" i="1"/>
  <c r="N179" i="11" s="1"/>
  <c r="CR164" i="1"/>
  <c r="CS164" i="1"/>
  <c r="R164" i="1" s="1"/>
  <c r="CT164" i="1"/>
  <c r="S164" i="1" s="1"/>
  <c r="CV164" i="1"/>
  <c r="U164" i="1" s="1"/>
  <c r="CX164" i="1"/>
  <c r="GL164" i="1"/>
  <c r="GO164" i="1"/>
  <c r="GP164" i="1"/>
  <c r="GV164" i="1"/>
  <c r="HC164" i="1" s="1"/>
  <c r="C165" i="1"/>
  <c r="D165" i="1"/>
  <c r="T165" i="1"/>
  <c r="AC165" i="1"/>
  <c r="AE165" i="1"/>
  <c r="AD165" i="1" s="1"/>
  <c r="AF165" i="1"/>
  <c r="AG165" i="1"/>
  <c r="AH165" i="1"/>
  <c r="AI165" i="1"/>
  <c r="AJ165" i="1"/>
  <c r="CX165" i="1" s="1"/>
  <c r="W165" i="1" s="1"/>
  <c r="CQ165" i="1"/>
  <c r="CR165" i="1"/>
  <c r="CS165" i="1"/>
  <c r="CT165" i="1"/>
  <c r="CU165" i="1"/>
  <c r="CV165" i="1"/>
  <c r="CW165" i="1"/>
  <c r="GL165" i="1"/>
  <c r="GO165" i="1"/>
  <c r="GP165" i="1"/>
  <c r="GV165" i="1"/>
  <c r="GX165" i="1"/>
  <c r="HC165" i="1"/>
  <c r="I166" i="1"/>
  <c r="AC166" i="1"/>
  <c r="K189" i="11" s="1"/>
  <c r="AD166" i="1"/>
  <c r="AB166" i="1" s="1"/>
  <c r="AE166" i="1"/>
  <c r="AF166" i="1"/>
  <c r="AG166" i="1"/>
  <c r="AH166" i="1"/>
  <c r="CV166" i="1" s="1"/>
  <c r="U166" i="1" s="1"/>
  <c r="AI166" i="1"/>
  <c r="AJ166" i="1"/>
  <c r="CX166" i="1" s="1"/>
  <c r="CQ166" i="1"/>
  <c r="CR166" i="1"/>
  <c r="Q166" i="1" s="1"/>
  <c r="CS166" i="1"/>
  <c r="CT166" i="1"/>
  <c r="CU166" i="1"/>
  <c r="CW166" i="1"/>
  <c r="V166" i="1" s="1"/>
  <c r="GL166" i="1"/>
  <c r="GO166" i="1"/>
  <c r="GP166" i="1"/>
  <c r="GV166" i="1"/>
  <c r="HC166" i="1" s="1"/>
  <c r="C168" i="1"/>
  <c r="D168" i="1"/>
  <c r="U168" i="1"/>
  <c r="G687" i="8" s="1"/>
  <c r="AC168" i="1"/>
  <c r="AE168" i="1"/>
  <c r="AD168" i="1" s="1"/>
  <c r="AF168" i="1"/>
  <c r="AG168" i="1"/>
  <c r="CU168" i="1" s="1"/>
  <c r="T168" i="1" s="1"/>
  <c r="AH168" i="1"/>
  <c r="AI168" i="1"/>
  <c r="AJ168" i="1"/>
  <c r="CQ168" i="1"/>
  <c r="CR168" i="1"/>
  <c r="CS168" i="1"/>
  <c r="CT168" i="1"/>
  <c r="CV168" i="1"/>
  <c r="CW168" i="1"/>
  <c r="CX168" i="1"/>
  <c r="W168" i="1" s="1"/>
  <c r="GL168" i="1"/>
  <c r="GN168" i="1"/>
  <c r="GP168" i="1"/>
  <c r="GV168" i="1"/>
  <c r="HC168" i="1" s="1"/>
  <c r="GX168" i="1" s="1"/>
  <c r="C169" i="1"/>
  <c r="D169" i="1"/>
  <c r="U169" i="1"/>
  <c r="G704" i="8" s="1"/>
  <c r="AC169" i="1"/>
  <c r="AE169" i="1"/>
  <c r="AD169" i="1" s="1"/>
  <c r="AF169" i="1"/>
  <c r="AG169" i="1"/>
  <c r="AH169" i="1"/>
  <c r="AI169" i="1"/>
  <c r="AJ169" i="1"/>
  <c r="CX169" i="1" s="1"/>
  <c r="W169" i="1" s="1"/>
  <c r="CQ169" i="1"/>
  <c r="CR169" i="1"/>
  <c r="CS169" i="1"/>
  <c r="CT169" i="1"/>
  <c r="CU169" i="1"/>
  <c r="T169" i="1" s="1"/>
  <c r="CV169" i="1"/>
  <c r="CW169" i="1"/>
  <c r="GL169" i="1"/>
  <c r="GN169" i="1"/>
  <c r="GP169" i="1"/>
  <c r="GV169" i="1"/>
  <c r="HC169" i="1"/>
  <c r="GX169" i="1" s="1"/>
  <c r="C171" i="1"/>
  <c r="D171" i="1"/>
  <c r="AC171" i="1"/>
  <c r="AE171" i="1"/>
  <c r="AD171" i="1" s="1"/>
  <c r="AF171" i="1"/>
  <c r="AG171" i="1"/>
  <c r="CU171" i="1" s="1"/>
  <c r="T171" i="1" s="1"/>
  <c r="AH171" i="1"/>
  <c r="AI171" i="1"/>
  <c r="AJ171" i="1"/>
  <c r="CQ171" i="1"/>
  <c r="CR171" i="1"/>
  <c r="CS171" i="1"/>
  <c r="CT171" i="1"/>
  <c r="CV171" i="1"/>
  <c r="CW171" i="1"/>
  <c r="CX171" i="1"/>
  <c r="W171" i="1" s="1"/>
  <c r="GL171" i="1"/>
  <c r="GO171" i="1"/>
  <c r="GP171" i="1"/>
  <c r="GV171" i="1"/>
  <c r="HC171" i="1" s="1"/>
  <c r="GX171" i="1" s="1"/>
  <c r="C173" i="1"/>
  <c r="D173" i="1"/>
  <c r="V173" i="1"/>
  <c r="G751" i="8" s="1"/>
  <c r="AC173" i="1"/>
  <c r="AE173" i="1"/>
  <c r="AD173" i="1" s="1"/>
  <c r="AF173" i="1"/>
  <c r="AG173" i="1"/>
  <c r="AH173" i="1"/>
  <c r="AI173" i="1"/>
  <c r="AJ173" i="1"/>
  <c r="CX173" i="1" s="1"/>
  <c r="W173" i="1" s="1"/>
  <c r="CQ173" i="1"/>
  <c r="CR173" i="1"/>
  <c r="CS173" i="1"/>
  <c r="CT173" i="1"/>
  <c r="CU173" i="1"/>
  <c r="T173" i="1" s="1"/>
  <c r="CV173" i="1"/>
  <c r="CW173" i="1"/>
  <c r="GL173" i="1"/>
  <c r="GO173" i="1"/>
  <c r="GP173" i="1"/>
  <c r="GV173" i="1"/>
  <c r="HC173" i="1" s="1"/>
  <c r="GX173" i="1" s="1"/>
  <c r="I174" i="1"/>
  <c r="AC174" i="1"/>
  <c r="AE174" i="1"/>
  <c r="AF174" i="1"/>
  <c r="AG174" i="1"/>
  <c r="AH174" i="1"/>
  <c r="CV174" i="1" s="1"/>
  <c r="U174" i="1" s="1"/>
  <c r="AI174" i="1"/>
  <c r="CW174" i="1" s="1"/>
  <c r="V174" i="1" s="1"/>
  <c r="AJ174" i="1"/>
  <c r="CX174" i="1" s="1"/>
  <c r="CQ174" i="1"/>
  <c r="N220" i="11" s="1"/>
  <c r="CR174" i="1"/>
  <c r="Q174" i="1" s="1"/>
  <c r="CS174" i="1"/>
  <c r="R174" i="1" s="1"/>
  <c r="CT174" i="1"/>
  <c r="CU174" i="1"/>
  <c r="T174" i="1" s="1"/>
  <c r="GL174" i="1"/>
  <c r="GO174" i="1"/>
  <c r="GP174" i="1"/>
  <c r="GV174" i="1"/>
  <c r="HC174" i="1" s="1"/>
  <c r="GX174" i="1" s="1"/>
  <c r="I175" i="1"/>
  <c r="AC175" i="1"/>
  <c r="AD175" i="1"/>
  <c r="AE175" i="1"/>
  <c r="AF175" i="1"/>
  <c r="AG175" i="1"/>
  <c r="AH175" i="1"/>
  <c r="CV175" i="1" s="1"/>
  <c r="AI175" i="1"/>
  <c r="AJ175" i="1"/>
  <c r="CX175" i="1" s="1"/>
  <c r="CQ175" i="1"/>
  <c r="N221" i="11" s="1"/>
  <c r="CR175" i="1"/>
  <c r="CS175" i="1"/>
  <c r="CT175" i="1"/>
  <c r="CU175" i="1"/>
  <c r="CW175" i="1"/>
  <c r="GL175" i="1"/>
  <c r="GO175" i="1"/>
  <c r="GP175" i="1"/>
  <c r="GV175" i="1"/>
  <c r="HC175" i="1" s="1"/>
  <c r="C176" i="1"/>
  <c r="D176" i="1"/>
  <c r="AC176" i="1"/>
  <c r="AE176" i="1"/>
  <c r="AD176" i="1" s="1"/>
  <c r="AF176" i="1"/>
  <c r="AG176" i="1"/>
  <c r="CU176" i="1" s="1"/>
  <c r="T176" i="1" s="1"/>
  <c r="AH176" i="1"/>
  <c r="AI176" i="1"/>
  <c r="AJ176" i="1"/>
  <c r="CX176" i="1" s="1"/>
  <c r="W176" i="1" s="1"/>
  <c r="CQ176" i="1"/>
  <c r="CR176" i="1"/>
  <c r="CS176" i="1"/>
  <c r="CT176" i="1"/>
  <c r="CV176" i="1"/>
  <c r="CW176" i="1"/>
  <c r="GL176" i="1"/>
  <c r="GO176" i="1"/>
  <c r="GP176" i="1"/>
  <c r="GV176" i="1"/>
  <c r="HC176" i="1" s="1"/>
  <c r="GX176" i="1" s="1"/>
  <c r="I177" i="1"/>
  <c r="AC177" i="1"/>
  <c r="AE177" i="1"/>
  <c r="AF177" i="1"/>
  <c r="AG177" i="1"/>
  <c r="CU177" i="1" s="1"/>
  <c r="T177" i="1" s="1"/>
  <c r="AH177" i="1"/>
  <c r="AI177" i="1"/>
  <c r="CW177" i="1" s="1"/>
  <c r="V177" i="1" s="1"/>
  <c r="AJ177" i="1"/>
  <c r="CQ177" i="1"/>
  <c r="CR177" i="1"/>
  <c r="CS177" i="1"/>
  <c r="R177" i="1" s="1"/>
  <c r="CT177" i="1"/>
  <c r="S177" i="1" s="1"/>
  <c r="CV177" i="1"/>
  <c r="U177" i="1" s="1"/>
  <c r="CX177" i="1"/>
  <c r="W177" i="1" s="1"/>
  <c r="GL177" i="1"/>
  <c r="GO177" i="1"/>
  <c r="GP177" i="1"/>
  <c r="GV177" i="1"/>
  <c r="HC177" i="1" s="1"/>
  <c r="GX177" i="1" s="1"/>
  <c r="I178" i="1"/>
  <c r="AC178" i="1"/>
  <c r="AE178" i="1"/>
  <c r="AF178" i="1"/>
  <c r="AG178" i="1"/>
  <c r="CU178" i="1" s="1"/>
  <c r="AH178" i="1"/>
  <c r="AI178" i="1"/>
  <c r="CW178" i="1" s="1"/>
  <c r="AJ178" i="1"/>
  <c r="CQ178" i="1"/>
  <c r="N242" i="11" s="1"/>
  <c r="CR178" i="1"/>
  <c r="CS178" i="1"/>
  <c r="CT178" i="1"/>
  <c r="CV178" i="1"/>
  <c r="CX178" i="1"/>
  <c r="GL178" i="1"/>
  <c r="GO178" i="1"/>
  <c r="GP178" i="1"/>
  <c r="GV178" i="1"/>
  <c r="HC178" i="1" s="1"/>
  <c r="C179" i="1"/>
  <c r="D179" i="1"/>
  <c r="AC179" i="1"/>
  <c r="AE179" i="1"/>
  <c r="AD179" i="1" s="1"/>
  <c r="AF179" i="1"/>
  <c r="AG179" i="1"/>
  <c r="AH179" i="1"/>
  <c r="AI179" i="1"/>
  <c r="AJ179" i="1"/>
  <c r="CQ179" i="1"/>
  <c r="CR179" i="1"/>
  <c r="CS179" i="1"/>
  <c r="CT179" i="1"/>
  <c r="CU179" i="1"/>
  <c r="T179" i="1" s="1"/>
  <c r="CV179" i="1"/>
  <c r="CW179" i="1"/>
  <c r="CX179" i="1"/>
  <c r="W179" i="1" s="1"/>
  <c r="GL179" i="1"/>
  <c r="GO179" i="1"/>
  <c r="GP179" i="1"/>
  <c r="GV179" i="1"/>
  <c r="HC179" i="1"/>
  <c r="GX179" i="1" s="1"/>
  <c r="I180" i="1"/>
  <c r="S180" i="1"/>
  <c r="AC180" i="1"/>
  <c r="AE180" i="1"/>
  <c r="AF180" i="1"/>
  <c r="AG180" i="1"/>
  <c r="AH180" i="1"/>
  <c r="CV180" i="1" s="1"/>
  <c r="U180" i="1" s="1"/>
  <c r="AI180" i="1"/>
  <c r="CW180" i="1" s="1"/>
  <c r="V180" i="1" s="1"/>
  <c r="AJ180" i="1"/>
  <c r="CQ180" i="1"/>
  <c r="N249" i="11" s="1"/>
  <c r="CR180" i="1"/>
  <c r="Q180" i="1" s="1"/>
  <c r="CS180" i="1"/>
  <c r="R180" i="1" s="1"/>
  <c r="CY180" i="1" s="1"/>
  <c r="X180" i="1" s="1"/>
  <c r="AZ815" i="8" s="1"/>
  <c r="CT180" i="1"/>
  <c r="CU180" i="1"/>
  <c r="T180" i="1" s="1"/>
  <c r="CX180" i="1"/>
  <c r="W180" i="1" s="1"/>
  <c r="GL180" i="1"/>
  <c r="GO180" i="1"/>
  <c r="GP180" i="1"/>
  <c r="GV180" i="1"/>
  <c r="GX180" i="1"/>
  <c r="HC180" i="1"/>
  <c r="I181" i="1"/>
  <c r="AC181" i="1"/>
  <c r="AD181" i="1"/>
  <c r="AE181" i="1"/>
  <c r="AF181" i="1"/>
  <c r="AG181" i="1"/>
  <c r="AH181" i="1"/>
  <c r="CV181" i="1" s="1"/>
  <c r="AI181" i="1"/>
  <c r="CW181" i="1" s="1"/>
  <c r="AJ181" i="1"/>
  <c r="CX181" i="1" s="1"/>
  <c r="W181" i="1" s="1"/>
  <c r="CQ181" i="1"/>
  <c r="N250" i="11" s="1"/>
  <c r="CR181" i="1"/>
  <c r="CS181" i="1"/>
  <c r="CT181" i="1"/>
  <c r="S181" i="1" s="1"/>
  <c r="CU181" i="1"/>
  <c r="GL181" i="1"/>
  <c r="GO181" i="1"/>
  <c r="GP181" i="1"/>
  <c r="GV181" i="1"/>
  <c r="HC181" i="1"/>
  <c r="GX181" i="1" s="1"/>
  <c r="C182" i="1"/>
  <c r="D182" i="1"/>
  <c r="AC182" i="1"/>
  <c r="AE182" i="1"/>
  <c r="AD182" i="1" s="1"/>
  <c r="AF182" i="1"/>
  <c r="AG182" i="1"/>
  <c r="CU182" i="1" s="1"/>
  <c r="T182" i="1" s="1"/>
  <c r="AH182" i="1"/>
  <c r="AI182" i="1"/>
  <c r="AJ182" i="1"/>
  <c r="CQ182" i="1"/>
  <c r="CR182" i="1"/>
  <c r="CS182" i="1"/>
  <c r="CT182" i="1"/>
  <c r="CV182" i="1"/>
  <c r="CW182" i="1"/>
  <c r="CX182" i="1"/>
  <c r="W182" i="1" s="1"/>
  <c r="GL182" i="1"/>
  <c r="GO182" i="1"/>
  <c r="GP182" i="1"/>
  <c r="GV182" i="1"/>
  <c r="HC182" i="1" s="1"/>
  <c r="GX182" i="1" s="1"/>
  <c r="I183" i="1"/>
  <c r="Q183" i="1"/>
  <c r="AC183" i="1"/>
  <c r="AD183" i="1"/>
  <c r="AE183" i="1"/>
  <c r="AF183" i="1"/>
  <c r="AG183" i="1"/>
  <c r="CU183" i="1" s="1"/>
  <c r="T183" i="1" s="1"/>
  <c r="AH183" i="1"/>
  <c r="CV183" i="1" s="1"/>
  <c r="U183" i="1" s="1"/>
  <c r="AI183" i="1"/>
  <c r="AJ183" i="1"/>
  <c r="CX183" i="1" s="1"/>
  <c r="W183" i="1" s="1"/>
  <c r="CQ183" i="1"/>
  <c r="CR183" i="1"/>
  <c r="CS183" i="1"/>
  <c r="R183" i="1" s="1"/>
  <c r="CT183" i="1"/>
  <c r="S183" i="1" s="1"/>
  <c r="CW183" i="1"/>
  <c r="V183" i="1" s="1"/>
  <c r="GL183" i="1"/>
  <c r="GO183" i="1"/>
  <c r="GP183" i="1"/>
  <c r="GV183" i="1"/>
  <c r="HC183" i="1" s="1"/>
  <c r="GX183" i="1" s="1"/>
  <c r="C184" i="1"/>
  <c r="D184" i="1"/>
  <c r="AC184" i="1"/>
  <c r="AE184" i="1"/>
  <c r="AD184" i="1" s="1"/>
  <c r="AF184" i="1"/>
  <c r="AG184" i="1"/>
  <c r="CU184" i="1" s="1"/>
  <c r="T184" i="1" s="1"/>
  <c r="AH184" i="1"/>
  <c r="AI184" i="1"/>
  <c r="AJ184" i="1"/>
  <c r="CX184" i="1" s="1"/>
  <c r="W184" i="1" s="1"/>
  <c r="CQ184" i="1"/>
  <c r="CR184" i="1"/>
  <c r="CS184" i="1"/>
  <c r="CT184" i="1"/>
  <c r="CV184" i="1"/>
  <c r="CW184" i="1"/>
  <c r="GL184" i="1"/>
  <c r="GO184" i="1"/>
  <c r="GP184" i="1"/>
  <c r="GV184" i="1"/>
  <c r="HC184" i="1" s="1"/>
  <c r="GX184" i="1" s="1"/>
  <c r="I185" i="1"/>
  <c r="AC185" i="1"/>
  <c r="K262" i="11" s="1"/>
  <c r="AE185" i="1"/>
  <c r="AF185" i="1"/>
  <c r="AG185" i="1"/>
  <c r="CU185" i="1" s="1"/>
  <c r="T185" i="1" s="1"/>
  <c r="AH185" i="1"/>
  <c r="CV185" i="1" s="1"/>
  <c r="U185" i="1" s="1"/>
  <c r="AI185" i="1"/>
  <c r="CW185" i="1" s="1"/>
  <c r="AJ185" i="1"/>
  <c r="CX185" i="1" s="1"/>
  <c r="W185" i="1" s="1"/>
  <c r="CQ185" i="1"/>
  <c r="N262" i="11" s="1"/>
  <c r="CR185" i="1"/>
  <c r="CS185" i="1"/>
  <c r="R185" i="1" s="1"/>
  <c r="CT185" i="1"/>
  <c r="GL185" i="1"/>
  <c r="GO185" i="1"/>
  <c r="GP185" i="1"/>
  <c r="GV185" i="1"/>
  <c r="HC185" i="1" s="1"/>
  <c r="GX185" i="1" s="1"/>
  <c r="I186" i="1"/>
  <c r="AC186" i="1"/>
  <c r="K263" i="11" s="1"/>
  <c r="AE186" i="1"/>
  <c r="AF186" i="1"/>
  <c r="AG186" i="1"/>
  <c r="CU186" i="1" s="1"/>
  <c r="T186" i="1" s="1"/>
  <c r="AH186" i="1"/>
  <c r="AI186" i="1"/>
  <c r="CW186" i="1" s="1"/>
  <c r="V186" i="1" s="1"/>
  <c r="AJ186" i="1"/>
  <c r="CX186" i="1" s="1"/>
  <c r="W186" i="1" s="1"/>
  <c r="CQ186" i="1"/>
  <c r="N263" i="11" s="1"/>
  <c r="CR186" i="1"/>
  <c r="CS186" i="1"/>
  <c r="R186" i="1" s="1"/>
  <c r="CT186" i="1"/>
  <c r="CV186" i="1"/>
  <c r="U186" i="1" s="1"/>
  <c r="GL186" i="1"/>
  <c r="GO186" i="1"/>
  <c r="GP186" i="1"/>
  <c r="GV186" i="1"/>
  <c r="HC186" i="1" s="1"/>
  <c r="B188" i="1"/>
  <c r="B140" i="1" s="1"/>
  <c r="C188" i="1"/>
  <c r="C140" i="1" s="1"/>
  <c r="D188" i="1"/>
  <c r="D140" i="1" s="1"/>
  <c r="F188" i="1"/>
  <c r="F140" i="1" s="1"/>
  <c r="G188" i="1"/>
  <c r="G140" i="1" s="1"/>
  <c r="BX188" i="1"/>
  <c r="BX140" i="1" s="1"/>
  <c r="BY188" i="1"/>
  <c r="BY140" i="1" s="1"/>
  <c r="CK188" i="1"/>
  <c r="CK140" i="1" s="1"/>
  <c r="CL188" i="1"/>
  <c r="CL140" i="1" s="1"/>
  <c r="CM188" i="1"/>
  <c r="CM140" i="1" s="1"/>
  <c r="D220" i="1"/>
  <c r="E222" i="1"/>
  <c r="Z222" i="1"/>
  <c r="AA222" i="1"/>
  <c r="AM222" i="1"/>
  <c r="AN222" i="1"/>
  <c r="BE222" i="1"/>
  <c r="BF222" i="1"/>
  <c r="BG222" i="1"/>
  <c r="BH222" i="1"/>
  <c r="BI222" i="1"/>
  <c r="BJ222" i="1"/>
  <c r="BK222" i="1"/>
  <c r="BL222" i="1"/>
  <c r="BM222" i="1"/>
  <c r="BN222" i="1"/>
  <c r="BO222" i="1"/>
  <c r="BP222" i="1"/>
  <c r="BQ222" i="1"/>
  <c r="BR222" i="1"/>
  <c r="BS222" i="1"/>
  <c r="BT222" i="1"/>
  <c r="BU222" i="1"/>
  <c r="BV222" i="1"/>
  <c r="BW222" i="1"/>
  <c r="CN222" i="1"/>
  <c r="CO222" i="1"/>
  <c r="CP222" i="1"/>
  <c r="CQ222" i="1"/>
  <c r="CR222" i="1"/>
  <c r="CS222" i="1"/>
  <c r="CT222" i="1"/>
  <c r="CU222" i="1"/>
  <c r="CV222" i="1"/>
  <c r="CW222" i="1"/>
  <c r="CX222" i="1"/>
  <c r="CY222" i="1"/>
  <c r="CZ222" i="1"/>
  <c r="DA222" i="1"/>
  <c r="DB222" i="1"/>
  <c r="DC222" i="1"/>
  <c r="DD222" i="1"/>
  <c r="DE222" i="1"/>
  <c r="DF222" i="1"/>
  <c r="DG222" i="1"/>
  <c r="DH222" i="1"/>
  <c r="DI222" i="1"/>
  <c r="DJ222" i="1"/>
  <c r="DK222" i="1"/>
  <c r="DL222" i="1"/>
  <c r="DM222" i="1"/>
  <c r="DN222" i="1"/>
  <c r="DO222" i="1"/>
  <c r="DP222" i="1"/>
  <c r="DQ222" i="1"/>
  <c r="DR222" i="1"/>
  <c r="DS222" i="1"/>
  <c r="DT222" i="1"/>
  <c r="DU222" i="1"/>
  <c r="DV222" i="1"/>
  <c r="DW222" i="1"/>
  <c r="DX222" i="1"/>
  <c r="DY222" i="1"/>
  <c r="DZ222" i="1"/>
  <c r="EA222" i="1"/>
  <c r="EB222" i="1"/>
  <c r="EC222" i="1"/>
  <c r="ED222" i="1"/>
  <c r="EE222" i="1"/>
  <c r="EF222" i="1"/>
  <c r="EG222" i="1"/>
  <c r="EH222" i="1"/>
  <c r="EI222" i="1"/>
  <c r="EJ222" i="1"/>
  <c r="EK222" i="1"/>
  <c r="EL222" i="1"/>
  <c r="EM222" i="1"/>
  <c r="EN222" i="1"/>
  <c r="EO222" i="1"/>
  <c r="EP222" i="1"/>
  <c r="EQ222" i="1"/>
  <c r="ER222" i="1"/>
  <c r="ES222" i="1"/>
  <c r="ET222" i="1"/>
  <c r="EU222" i="1"/>
  <c r="EV222" i="1"/>
  <c r="EW222" i="1"/>
  <c r="EX222" i="1"/>
  <c r="EY222" i="1"/>
  <c r="EZ222" i="1"/>
  <c r="FA222" i="1"/>
  <c r="FB222" i="1"/>
  <c r="FC222" i="1"/>
  <c r="FD222" i="1"/>
  <c r="FE222" i="1"/>
  <c r="FF222" i="1"/>
  <c r="FG222" i="1"/>
  <c r="FH222" i="1"/>
  <c r="FI222" i="1"/>
  <c r="FJ222" i="1"/>
  <c r="FK222" i="1"/>
  <c r="FL222" i="1"/>
  <c r="FM222" i="1"/>
  <c r="FN222" i="1"/>
  <c r="FO222" i="1"/>
  <c r="FP222" i="1"/>
  <c r="FQ222" i="1"/>
  <c r="FR222" i="1"/>
  <c r="FS222" i="1"/>
  <c r="FT222" i="1"/>
  <c r="FU222" i="1"/>
  <c r="FV222" i="1"/>
  <c r="FW222" i="1"/>
  <c r="FX222" i="1"/>
  <c r="FY222" i="1"/>
  <c r="FZ222" i="1"/>
  <c r="GA222" i="1"/>
  <c r="GB222" i="1"/>
  <c r="GC222" i="1"/>
  <c r="GD222" i="1"/>
  <c r="GE222" i="1"/>
  <c r="GF222" i="1"/>
  <c r="GG222" i="1"/>
  <c r="GH222" i="1"/>
  <c r="GI222" i="1"/>
  <c r="GJ222" i="1"/>
  <c r="GK222" i="1"/>
  <c r="GL222" i="1"/>
  <c r="GM222" i="1"/>
  <c r="GN222" i="1"/>
  <c r="GO222" i="1"/>
  <c r="GP222" i="1"/>
  <c r="GQ222" i="1"/>
  <c r="GR222" i="1"/>
  <c r="GS222" i="1"/>
  <c r="GT222" i="1"/>
  <c r="GU222" i="1"/>
  <c r="GV222" i="1"/>
  <c r="GW222" i="1"/>
  <c r="GX222" i="1"/>
  <c r="C224" i="1"/>
  <c r="D224" i="1"/>
  <c r="AC224" i="1"/>
  <c r="AE224" i="1"/>
  <c r="AD224" i="1" s="1"/>
  <c r="AF224" i="1"/>
  <c r="AG224" i="1"/>
  <c r="CU224" i="1" s="1"/>
  <c r="T224" i="1" s="1"/>
  <c r="AH224" i="1"/>
  <c r="AI224" i="1"/>
  <c r="AJ224" i="1"/>
  <c r="CX224" i="1" s="1"/>
  <c r="W224" i="1" s="1"/>
  <c r="CQ224" i="1"/>
  <c r="CR224" i="1"/>
  <c r="CS224" i="1"/>
  <c r="CT224" i="1"/>
  <c r="CV224" i="1"/>
  <c r="CW224" i="1"/>
  <c r="GL224" i="1"/>
  <c r="GO224" i="1"/>
  <c r="GP224" i="1"/>
  <c r="GV224" i="1"/>
  <c r="HC224" i="1" s="1"/>
  <c r="GX224" i="1" s="1"/>
  <c r="I225" i="1"/>
  <c r="AC225" i="1"/>
  <c r="K269" i="11" s="1"/>
  <c r="AE225" i="1"/>
  <c r="AF225" i="1"/>
  <c r="AG225" i="1"/>
  <c r="CU225" i="1" s="1"/>
  <c r="T225" i="1" s="1"/>
  <c r="AH225" i="1"/>
  <c r="AI225" i="1"/>
  <c r="CW225" i="1" s="1"/>
  <c r="AJ225" i="1"/>
  <c r="CX225" i="1" s="1"/>
  <c r="W225" i="1" s="1"/>
  <c r="CQ225" i="1"/>
  <c r="N269" i="11" s="1"/>
  <c r="CR225" i="1"/>
  <c r="CS225" i="1"/>
  <c r="CT225" i="1"/>
  <c r="S225" i="1" s="1"/>
  <c r="CV225" i="1"/>
  <c r="U225" i="1" s="1"/>
  <c r="GL225" i="1"/>
  <c r="GO225" i="1"/>
  <c r="GP225" i="1"/>
  <c r="GV225" i="1"/>
  <c r="HC225" i="1" s="1"/>
  <c r="C227" i="1"/>
  <c r="D227" i="1"/>
  <c r="V227" i="1"/>
  <c r="AC227" i="1"/>
  <c r="AE227" i="1"/>
  <c r="AD227" i="1" s="1"/>
  <c r="AF227" i="1"/>
  <c r="AG227" i="1"/>
  <c r="AH227" i="1"/>
  <c r="AI227" i="1"/>
  <c r="AJ227" i="1"/>
  <c r="CX227" i="1" s="1"/>
  <c r="W227" i="1" s="1"/>
  <c r="CQ227" i="1"/>
  <c r="CR227" i="1"/>
  <c r="CS227" i="1"/>
  <c r="CT227" i="1"/>
  <c r="CU227" i="1"/>
  <c r="T227" i="1" s="1"/>
  <c r="CV227" i="1"/>
  <c r="CW227" i="1"/>
  <c r="GL227" i="1"/>
  <c r="GO227" i="1"/>
  <c r="GP227" i="1"/>
  <c r="GV227" i="1"/>
  <c r="HC227" i="1"/>
  <c r="GX227" i="1" s="1"/>
  <c r="I228" i="1"/>
  <c r="AC228" i="1"/>
  <c r="K271" i="11" s="1"/>
  <c r="AE228" i="1"/>
  <c r="AF228" i="1"/>
  <c r="AG228" i="1"/>
  <c r="AH228" i="1"/>
  <c r="AI228" i="1"/>
  <c r="CW228" i="1" s="1"/>
  <c r="AJ228" i="1"/>
  <c r="CX228" i="1" s="1"/>
  <c r="W228" i="1" s="1"/>
  <c r="CQ228" i="1"/>
  <c r="N271" i="11" s="1"/>
  <c r="CR228" i="1"/>
  <c r="CS228" i="1"/>
  <c r="CT228" i="1"/>
  <c r="S228" i="1" s="1"/>
  <c r="CU228" i="1"/>
  <c r="CV228" i="1"/>
  <c r="U228" i="1" s="1"/>
  <c r="GL228" i="1"/>
  <c r="GO228" i="1"/>
  <c r="GP228" i="1"/>
  <c r="GV228" i="1"/>
  <c r="HC228" i="1"/>
  <c r="B230" i="1"/>
  <c r="B222" i="1" s="1"/>
  <c r="C230" i="1"/>
  <c r="C222" i="1" s="1"/>
  <c r="D230" i="1"/>
  <c r="D222" i="1" s="1"/>
  <c r="F230" i="1"/>
  <c r="F222" i="1" s="1"/>
  <c r="G230" i="1"/>
  <c r="G222" i="1" s="1"/>
  <c r="BX230" i="1"/>
  <c r="BY230" i="1"/>
  <c r="BY222" i="1" s="1"/>
  <c r="CK230" i="1"/>
  <c r="CK222" i="1" s="1"/>
  <c r="CL230" i="1"/>
  <c r="CL222" i="1" s="1"/>
  <c r="CM230" i="1"/>
  <c r="CM222" i="1" s="1"/>
  <c r="B262" i="1"/>
  <c r="B22" i="1" s="1"/>
  <c r="C262" i="1"/>
  <c r="C22" i="1" s="1"/>
  <c r="D262" i="1"/>
  <c r="D22" i="1" s="1"/>
  <c r="F262" i="1"/>
  <c r="F22" i="1" s="1"/>
  <c r="G262" i="1"/>
  <c r="G22" i="1" s="1"/>
  <c r="B292" i="1"/>
  <c r="B18" i="1" s="1"/>
  <c r="C292" i="1"/>
  <c r="C18" i="1" s="1"/>
  <c r="D292" i="1"/>
  <c r="D18" i="1" s="1"/>
  <c r="F292" i="1"/>
  <c r="F18" i="1" s="1"/>
  <c r="G292" i="1"/>
  <c r="B21" i="2"/>
  <c r="B24" i="2"/>
  <c r="B25" i="2"/>
  <c r="B27" i="2"/>
  <c r="B28" i="2"/>
  <c r="B39" i="2"/>
  <c r="B43" i="2"/>
  <c r="F12" i="6"/>
  <c r="G12" i="6"/>
  <c r="AB97" i="1" l="1"/>
  <c r="V228" i="1"/>
  <c r="S175" i="1"/>
  <c r="I221" i="11"/>
  <c r="D75" i="9"/>
  <c r="AE761" i="8"/>
  <c r="AD761" i="8"/>
  <c r="G761" i="8"/>
  <c r="E92" i="7"/>
  <c r="R175" i="1"/>
  <c r="CY175" i="1" s="1"/>
  <c r="X175" i="1" s="1"/>
  <c r="AZ761" i="8" s="1"/>
  <c r="AD164" i="1"/>
  <c r="P179" i="11"/>
  <c r="S179" i="11"/>
  <c r="I132" i="11"/>
  <c r="D121" i="10" s="1"/>
  <c r="D61" i="9"/>
  <c r="AD558" i="8"/>
  <c r="G558" i="8"/>
  <c r="AE558" i="8"/>
  <c r="E72" i="7"/>
  <c r="W155" i="1"/>
  <c r="AD154" i="1"/>
  <c r="S131" i="11"/>
  <c r="P131" i="11"/>
  <c r="I130" i="11"/>
  <c r="AD556" i="8"/>
  <c r="G556" i="8"/>
  <c r="D59" i="9"/>
  <c r="AE556" i="8"/>
  <c r="E70" i="7"/>
  <c r="W153" i="1"/>
  <c r="CY181" i="1"/>
  <c r="X181" i="1" s="1"/>
  <c r="AZ816" i="8" s="1"/>
  <c r="S249" i="11"/>
  <c r="P249" i="11"/>
  <c r="AD180" i="1"/>
  <c r="Q228" i="1"/>
  <c r="R225" i="1"/>
  <c r="AD225" i="1"/>
  <c r="AB225" i="1" s="1"/>
  <c r="P269" i="11"/>
  <c r="S269" i="11"/>
  <c r="P263" i="11"/>
  <c r="R263" i="11" s="1"/>
  <c r="S263" i="11"/>
  <c r="S186" i="1"/>
  <c r="I263" i="11"/>
  <c r="D64" i="10" s="1"/>
  <c r="AD854" i="8"/>
  <c r="G854" i="8"/>
  <c r="D86" i="9"/>
  <c r="AE854" i="8"/>
  <c r="E103" i="7"/>
  <c r="CZ181" i="1"/>
  <c r="Y181" i="1" s="1"/>
  <c r="BA816" i="8" s="1"/>
  <c r="I250" i="11"/>
  <c r="D116" i="10" s="1"/>
  <c r="G816" i="8"/>
  <c r="D81" i="9"/>
  <c r="AE816" i="8"/>
  <c r="AD816" i="8"/>
  <c r="E98" i="7"/>
  <c r="R181" i="1"/>
  <c r="R178" i="1"/>
  <c r="V178" i="1"/>
  <c r="AD178" i="1"/>
  <c r="AB178" i="1" s="1"/>
  <c r="S242" i="11"/>
  <c r="P242" i="11"/>
  <c r="P177" i="1"/>
  <c r="L794" i="8" s="1"/>
  <c r="N241" i="11"/>
  <c r="I189" i="11"/>
  <c r="D108" i="10" s="1"/>
  <c r="D69" i="9"/>
  <c r="AE679" i="8"/>
  <c r="AD679" i="8"/>
  <c r="G679" i="8"/>
  <c r="E83" i="7"/>
  <c r="Q154" i="1"/>
  <c r="GX147" i="1"/>
  <c r="R147" i="1"/>
  <c r="V147" i="1"/>
  <c r="AD147" i="1"/>
  <c r="S95" i="11"/>
  <c r="P95" i="11"/>
  <c r="DF261" i="3"/>
  <c r="DJ261" i="3" s="1"/>
  <c r="DI261" i="3"/>
  <c r="DH246" i="3"/>
  <c r="DI246" i="3"/>
  <c r="P228" i="1"/>
  <c r="L915" i="8" s="1"/>
  <c r="I271" i="11"/>
  <c r="T271" i="11" s="1"/>
  <c r="G915" i="8"/>
  <c r="D91" i="9"/>
  <c r="AE915" i="8"/>
  <c r="AD915" i="8"/>
  <c r="E109" i="7"/>
  <c r="GX228" i="1"/>
  <c r="R228" i="1"/>
  <c r="AD228" i="1"/>
  <c r="AB228" i="1" s="1"/>
  <c r="S271" i="11"/>
  <c r="P271" i="11"/>
  <c r="CJ230" i="1"/>
  <c r="T228" i="1"/>
  <c r="GX225" i="1"/>
  <c r="M269" i="11"/>
  <c r="GX186" i="1"/>
  <c r="AD186" i="1"/>
  <c r="AB186" i="1" s="1"/>
  <c r="CZ180" i="1"/>
  <c r="Y180" i="1" s="1"/>
  <c r="BA815" i="8" s="1"/>
  <c r="GX178" i="1"/>
  <c r="W178" i="1"/>
  <c r="GX175" i="1"/>
  <c r="V175" i="1"/>
  <c r="Q175" i="1"/>
  <c r="U175" i="1"/>
  <c r="R166" i="1"/>
  <c r="R155" i="1"/>
  <c r="V155" i="1"/>
  <c r="AD155" i="1"/>
  <c r="P132" i="11"/>
  <c r="R132" i="11" s="1"/>
  <c r="S132" i="11"/>
  <c r="T132" i="11" s="1"/>
  <c r="I131" i="11"/>
  <c r="D119" i="10" s="1"/>
  <c r="AD557" i="8"/>
  <c r="G557" i="8"/>
  <c r="D60" i="9"/>
  <c r="AE557" i="8"/>
  <c r="E71" i="7"/>
  <c r="W154" i="1"/>
  <c r="R153" i="1"/>
  <c r="V153" i="1"/>
  <c r="AD153" i="1"/>
  <c r="S130" i="11"/>
  <c r="T130" i="11" s="1"/>
  <c r="P130" i="11"/>
  <c r="R130" i="11" s="1"/>
  <c r="I116" i="11"/>
  <c r="D57" i="9"/>
  <c r="AE521" i="8"/>
  <c r="AD521" i="8"/>
  <c r="G521" i="8"/>
  <c r="E67" i="7"/>
  <c r="R150" i="1"/>
  <c r="Q147" i="1"/>
  <c r="E91" i="10"/>
  <c r="E117" i="10"/>
  <c r="V225" i="1"/>
  <c r="I269" i="11"/>
  <c r="D117" i="10" s="1"/>
  <c r="D89" i="9"/>
  <c r="G903" i="8"/>
  <c r="AE903" i="8"/>
  <c r="AD903" i="8"/>
  <c r="E106" i="7"/>
  <c r="E64" i="10"/>
  <c r="O263" i="11"/>
  <c r="F64" i="10" s="1"/>
  <c r="M263" i="11"/>
  <c r="S178" i="1"/>
  <c r="I242" i="11"/>
  <c r="AD795" i="8"/>
  <c r="G795" i="8"/>
  <c r="D78" i="9"/>
  <c r="AE795" i="8"/>
  <c r="E95" i="7"/>
  <c r="S220" i="11"/>
  <c r="P220" i="11"/>
  <c r="AD174" i="1"/>
  <c r="AB174" i="1" s="1"/>
  <c r="Q155" i="1"/>
  <c r="Q153" i="1"/>
  <c r="P147" i="1"/>
  <c r="I95" i="11"/>
  <c r="D120" i="10" s="1"/>
  <c r="D55" i="9"/>
  <c r="G486" i="8"/>
  <c r="AE486" i="8"/>
  <c r="E64" i="7"/>
  <c r="AD486" i="8"/>
  <c r="S147" i="1"/>
  <c r="CY147" i="1" s="1"/>
  <c r="X147" i="1" s="1"/>
  <c r="AZ486" i="8" s="1"/>
  <c r="BB413" i="8"/>
  <c r="AN413" i="8"/>
  <c r="K413" i="8"/>
  <c r="I413" i="8" s="1"/>
  <c r="DJ248" i="3"/>
  <c r="O260" i="11"/>
  <c r="CW258" i="3"/>
  <c r="I265" i="11"/>
  <c r="DB257" i="3"/>
  <c r="H898" i="8"/>
  <c r="J898" i="8" s="1"/>
  <c r="D47" i="10"/>
  <c r="M266" i="11"/>
  <c r="R266" i="11"/>
  <c r="R268" i="11"/>
  <c r="M268" i="11"/>
  <c r="R256" i="11"/>
  <c r="M256" i="11"/>
  <c r="D83" i="10"/>
  <c r="DB253" i="3"/>
  <c r="H848" i="8"/>
  <c r="J848" i="8" s="1"/>
  <c r="DB245" i="3"/>
  <c r="H830" i="8"/>
  <c r="J830" i="8" s="1"/>
  <c r="DB244" i="3"/>
  <c r="J828" i="8"/>
  <c r="CW243" i="3"/>
  <c r="V182" i="1" s="1"/>
  <c r="G826" i="8" s="1"/>
  <c r="I253" i="11"/>
  <c r="DB242" i="3"/>
  <c r="J824" i="8"/>
  <c r="R245" i="11"/>
  <c r="M245" i="11"/>
  <c r="D39" i="10"/>
  <c r="DB236" i="3"/>
  <c r="H806" i="8"/>
  <c r="J806" i="8" s="1"/>
  <c r="M223" i="11"/>
  <c r="R223" i="11"/>
  <c r="CX231" i="3"/>
  <c r="I224" i="11"/>
  <c r="CX222" i="3"/>
  <c r="I231" i="11"/>
  <c r="R233" i="11"/>
  <c r="M233" i="11"/>
  <c r="DB219" i="3"/>
  <c r="J778" i="8"/>
  <c r="DG216" i="3"/>
  <c r="G774" i="8"/>
  <c r="R238" i="11"/>
  <c r="M238" i="11"/>
  <c r="M239" i="11"/>
  <c r="R239" i="11"/>
  <c r="CV213" i="3"/>
  <c r="U176" i="1" s="1"/>
  <c r="G768" i="8" s="1"/>
  <c r="I240" i="11"/>
  <c r="R216" i="11"/>
  <c r="M216" i="11"/>
  <c r="R218" i="11"/>
  <c r="M218" i="11"/>
  <c r="DB206" i="3"/>
  <c r="J749" i="8"/>
  <c r="CX206" i="3"/>
  <c r="I219" i="11"/>
  <c r="DB205" i="3"/>
  <c r="H738" i="8"/>
  <c r="J738" i="8" s="1"/>
  <c r="DB201" i="3"/>
  <c r="H734" i="8"/>
  <c r="J734" i="8" s="1"/>
  <c r="CX200" i="3"/>
  <c r="I207" i="11"/>
  <c r="DB191" i="3"/>
  <c r="J712" i="8"/>
  <c r="CX190" i="3"/>
  <c r="I198" i="11"/>
  <c r="R199" i="11"/>
  <c r="M199" i="11"/>
  <c r="DI187" i="3"/>
  <c r="G705" i="8"/>
  <c r="DB185" i="3"/>
  <c r="J695" i="8"/>
  <c r="DB176" i="3"/>
  <c r="H673" i="8"/>
  <c r="J673" i="8" s="1"/>
  <c r="R184" i="11"/>
  <c r="M184" i="11"/>
  <c r="DB174" i="3"/>
  <c r="J669" i="8"/>
  <c r="D41" i="10"/>
  <c r="M186" i="11"/>
  <c r="R186" i="11"/>
  <c r="M188" i="11"/>
  <c r="R188" i="11"/>
  <c r="DB169" i="3"/>
  <c r="H653" i="8"/>
  <c r="J653" i="8" s="1"/>
  <c r="DB166" i="3"/>
  <c r="H650" i="8"/>
  <c r="J650" i="8" s="1"/>
  <c r="CX165" i="3"/>
  <c r="I173" i="11"/>
  <c r="R174" i="11"/>
  <c r="M174" i="11"/>
  <c r="D79" i="10"/>
  <c r="R177" i="11"/>
  <c r="M177" i="11"/>
  <c r="DB160" i="3"/>
  <c r="J641" i="8"/>
  <c r="CX157" i="3"/>
  <c r="I163" i="11"/>
  <c r="DH156" i="3"/>
  <c r="G627" i="8"/>
  <c r="CX150" i="3"/>
  <c r="G610" i="8" s="1"/>
  <c r="I155" i="11"/>
  <c r="CX144" i="3"/>
  <c r="G590" i="8" s="1"/>
  <c r="I133" i="11"/>
  <c r="DJ143" i="3"/>
  <c r="O134" i="11"/>
  <c r="L589" i="8"/>
  <c r="R137" i="11"/>
  <c r="M137" i="11"/>
  <c r="M141" i="11"/>
  <c r="R141" i="11"/>
  <c r="DB134" i="3"/>
  <c r="H581" i="8"/>
  <c r="J581" i="8" s="1"/>
  <c r="CX133" i="3"/>
  <c r="G580" i="8" s="1"/>
  <c r="I143" i="11"/>
  <c r="DG131" i="3"/>
  <c r="G578" i="8"/>
  <c r="CX130" i="3"/>
  <c r="I146" i="11"/>
  <c r="DF127" i="3"/>
  <c r="G572" i="8"/>
  <c r="R150" i="11"/>
  <c r="M150" i="11"/>
  <c r="R151" i="11"/>
  <c r="M151" i="11"/>
  <c r="DB124" i="3"/>
  <c r="J567" i="8"/>
  <c r="DG118" i="3"/>
  <c r="G547" i="8"/>
  <c r="R124" i="11"/>
  <c r="M124" i="11"/>
  <c r="R126" i="11"/>
  <c r="M126" i="11"/>
  <c r="CX110" i="3"/>
  <c r="I127" i="11"/>
  <c r="M128" i="11"/>
  <c r="R128" i="11"/>
  <c r="DB108" i="3"/>
  <c r="J530" i="8"/>
  <c r="O97" i="11"/>
  <c r="L517" i="8"/>
  <c r="CX104" i="3"/>
  <c r="G515" i="8" s="1"/>
  <c r="I99" i="11"/>
  <c r="R100" i="11"/>
  <c r="M100" i="11"/>
  <c r="H512" i="8"/>
  <c r="J512" i="8" s="1"/>
  <c r="DB100" i="3"/>
  <c r="D77" i="10"/>
  <c r="R104" i="11"/>
  <c r="M104" i="11"/>
  <c r="I107" i="11"/>
  <c r="CX95" i="3"/>
  <c r="R111" i="11"/>
  <c r="M111" i="11"/>
  <c r="DB90" i="3"/>
  <c r="H500" i="8"/>
  <c r="J500" i="8" s="1"/>
  <c r="DB82" i="3"/>
  <c r="H476" i="8"/>
  <c r="J476" i="8" s="1"/>
  <c r="CX81" i="3"/>
  <c r="I82" i="11"/>
  <c r="DI79" i="3"/>
  <c r="G473" i="8"/>
  <c r="I86" i="11"/>
  <c r="CW77" i="3"/>
  <c r="DB76" i="3"/>
  <c r="J467" i="8"/>
  <c r="H465" i="8"/>
  <c r="J465" i="8" s="1"/>
  <c r="DB75" i="3"/>
  <c r="R90" i="11"/>
  <c r="M90" i="11"/>
  <c r="R76" i="11"/>
  <c r="M76" i="11"/>
  <c r="R73" i="11"/>
  <c r="M73" i="11"/>
  <c r="CX62" i="3"/>
  <c r="DH62" i="3" s="1"/>
  <c r="T74" i="11" s="1"/>
  <c r="I74" i="11"/>
  <c r="D52" i="10"/>
  <c r="R64" i="11"/>
  <c r="M64" i="11"/>
  <c r="I49" i="11"/>
  <c r="CX50" i="3"/>
  <c r="I50" i="11"/>
  <c r="CX49" i="3"/>
  <c r="DB48" i="3"/>
  <c r="J305" i="8"/>
  <c r="DB39" i="3"/>
  <c r="H281" i="8"/>
  <c r="J281" i="8" s="1"/>
  <c r="I37" i="11"/>
  <c r="CX28" i="3"/>
  <c r="H210" i="8"/>
  <c r="J210" i="8" s="1"/>
  <c r="DB25" i="3"/>
  <c r="DF14" i="3"/>
  <c r="G177" i="8"/>
  <c r="DH14" i="3"/>
  <c r="T24" i="11" s="1"/>
  <c r="J104" i="8"/>
  <c r="DB5" i="3"/>
  <c r="DB2" i="3"/>
  <c r="J76" i="8"/>
  <c r="AD185" i="1"/>
  <c r="AB185" i="1" s="1"/>
  <c r="P262" i="11"/>
  <c r="S262" i="11"/>
  <c r="P183" i="1"/>
  <c r="L833" i="8" s="1"/>
  <c r="N255" i="11"/>
  <c r="AB183" i="1"/>
  <c r="K255" i="11"/>
  <c r="M255" i="11" s="1"/>
  <c r="I255" i="11"/>
  <c r="D87" i="10" s="1"/>
  <c r="D83" i="9"/>
  <c r="AE833" i="8"/>
  <c r="AD833" i="8"/>
  <c r="G833" i="8"/>
  <c r="E100" i="7"/>
  <c r="V181" i="1"/>
  <c r="P250" i="11"/>
  <c r="R250" i="11" s="1"/>
  <c r="S250" i="11"/>
  <c r="T250" i="11" s="1"/>
  <c r="Q178" i="1"/>
  <c r="T175" i="1"/>
  <c r="E88" i="10"/>
  <c r="O221" i="11"/>
  <c r="F88" i="10" s="1"/>
  <c r="I220" i="11"/>
  <c r="O220" i="11" s="1"/>
  <c r="F86" i="10" s="1"/>
  <c r="AE760" i="8"/>
  <c r="AD760" i="8"/>
  <c r="G760" i="8"/>
  <c r="D74" i="9"/>
  <c r="E91" i="7"/>
  <c r="P166" i="1"/>
  <c r="L679" i="8" s="1"/>
  <c r="N189" i="11"/>
  <c r="M189" i="11"/>
  <c r="GX164" i="1"/>
  <c r="W164" i="1"/>
  <c r="Q164" i="1"/>
  <c r="CP164" i="1" s="1"/>
  <c r="O164" i="1" s="1"/>
  <c r="AB164" i="1"/>
  <c r="K179" i="11"/>
  <c r="P164" i="1"/>
  <c r="L657" i="8" s="1"/>
  <c r="P158" i="1"/>
  <c r="L593" i="8" s="1"/>
  <c r="N153" i="11"/>
  <c r="GX155" i="1"/>
  <c r="AB155" i="1"/>
  <c r="K132" i="11"/>
  <c r="M132" i="11" s="1"/>
  <c r="GX154" i="1"/>
  <c r="AB154" i="1"/>
  <c r="K131" i="11"/>
  <c r="M131" i="11" s="1"/>
  <c r="GX153" i="1"/>
  <c r="AB153" i="1"/>
  <c r="K130" i="11"/>
  <c r="M130" i="11" s="1"/>
  <c r="T150" i="1"/>
  <c r="O116" i="11"/>
  <c r="M116" i="11"/>
  <c r="W147" i="1"/>
  <c r="AB147" i="1"/>
  <c r="K95" i="11"/>
  <c r="M95" i="11" s="1"/>
  <c r="CZ146" i="1"/>
  <c r="Y146" i="1" s="1"/>
  <c r="BA485" i="8" s="1"/>
  <c r="AD146" i="1"/>
  <c r="S94" i="11"/>
  <c r="T94" i="11" s="1"/>
  <c r="P94" i="11"/>
  <c r="R94" i="11" s="1"/>
  <c r="P146" i="1"/>
  <c r="I94" i="11"/>
  <c r="D118" i="10" s="1"/>
  <c r="D54" i="9"/>
  <c r="G485" i="8"/>
  <c r="AE485" i="8"/>
  <c r="AD485" i="8"/>
  <c r="E63" i="7"/>
  <c r="BC106" i="1"/>
  <c r="BC85" i="1" s="1"/>
  <c r="AB100" i="1"/>
  <c r="P90" i="1"/>
  <c r="L284" i="8" s="1"/>
  <c r="N48" i="11"/>
  <c r="T90" i="1"/>
  <c r="AB41" i="1"/>
  <c r="AB35" i="1"/>
  <c r="CV260" i="3"/>
  <c r="U227" i="1" s="1"/>
  <c r="G911" i="8" s="1"/>
  <c r="I270" i="11"/>
  <c r="D12" i="10" s="1"/>
  <c r="DB258" i="3"/>
  <c r="J899" i="8"/>
  <c r="R267" i="11"/>
  <c r="M267" i="11"/>
  <c r="DB255" i="3"/>
  <c r="J895" i="8"/>
  <c r="DB254" i="3"/>
  <c r="H849" i="8"/>
  <c r="J849" i="8" s="1"/>
  <c r="DI250" i="3"/>
  <c r="CW250" i="3"/>
  <c r="V184" i="1" s="1"/>
  <c r="G843" i="8" s="1"/>
  <c r="I258" i="11"/>
  <c r="CX249" i="3"/>
  <c r="I259" i="11"/>
  <c r="R254" i="11"/>
  <c r="M254" i="11"/>
  <c r="R243" i="11"/>
  <c r="M243" i="11"/>
  <c r="D58" i="10"/>
  <c r="DB238" i="3"/>
  <c r="J809" i="8"/>
  <c r="CX235" i="3"/>
  <c r="DG235" i="3" s="1"/>
  <c r="R225" i="11"/>
  <c r="M225" i="11"/>
  <c r="DB227" i="3"/>
  <c r="H787" i="8"/>
  <c r="J787" i="8" s="1"/>
  <c r="CX226" i="3"/>
  <c r="I227" i="11"/>
  <c r="CX225" i="3"/>
  <c r="DB223" i="3"/>
  <c r="H783" i="8"/>
  <c r="J783" i="8" s="1"/>
  <c r="R236" i="11"/>
  <c r="M236" i="11"/>
  <c r="DB209" i="3"/>
  <c r="H755" i="8"/>
  <c r="J755" i="8" s="1"/>
  <c r="R217" i="11"/>
  <c r="M217" i="11"/>
  <c r="D31" i="10"/>
  <c r="O202" i="11"/>
  <c r="F81" i="10" s="1"/>
  <c r="L738" i="8"/>
  <c r="CX204" i="3"/>
  <c r="G737" i="8" s="1"/>
  <c r="I203" i="11"/>
  <c r="CX203" i="3"/>
  <c r="I204" i="11"/>
  <c r="CX202" i="3"/>
  <c r="I205" i="11"/>
  <c r="DJ201" i="3"/>
  <c r="O206" i="11"/>
  <c r="F68" i="10" s="1"/>
  <c r="L734" i="8"/>
  <c r="CX198" i="3"/>
  <c r="I209" i="11"/>
  <c r="CX197" i="3"/>
  <c r="DH197" i="3" s="1"/>
  <c r="T210" i="11" s="1"/>
  <c r="I210" i="11"/>
  <c r="R211" i="11"/>
  <c r="M211" i="11"/>
  <c r="R212" i="11"/>
  <c r="M212" i="11"/>
  <c r="DB194" i="3"/>
  <c r="J724" i="8"/>
  <c r="D22" i="10"/>
  <c r="M214" i="11"/>
  <c r="R214" i="11"/>
  <c r="R196" i="11"/>
  <c r="M196" i="11"/>
  <c r="DH187" i="3"/>
  <c r="T201" i="11" s="1"/>
  <c r="DB186" i="3"/>
  <c r="H696" i="8"/>
  <c r="J696" i="8" s="1"/>
  <c r="R194" i="11"/>
  <c r="M194" i="11"/>
  <c r="CX180" i="3"/>
  <c r="G676" i="8" s="1"/>
  <c r="I180" i="11"/>
  <c r="DB177" i="3"/>
  <c r="H674" i="8"/>
  <c r="J674" i="8" s="1"/>
  <c r="CX171" i="3"/>
  <c r="CX168" i="3"/>
  <c r="G652" i="8" s="1"/>
  <c r="I170" i="11"/>
  <c r="M171" i="11"/>
  <c r="R171" i="11"/>
  <c r="D96" i="10"/>
  <c r="DI159" i="3"/>
  <c r="D115" i="10"/>
  <c r="M161" i="11"/>
  <c r="R161" i="11"/>
  <c r="DB158" i="3"/>
  <c r="H631" i="8"/>
  <c r="J631" i="8" s="1"/>
  <c r="DB157" i="3"/>
  <c r="H629" i="8"/>
  <c r="J629" i="8" s="1"/>
  <c r="CW156" i="3"/>
  <c r="I164" i="11"/>
  <c r="CX155" i="3"/>
  <c r="I165" i="11"/>
  <c r="CX151" i="3"/>
  <c r="I154" i="11"/>
  <c r="M156" i="11"/>
  <c r="R156" i="11"/>
  <c r="D67" i="10"/>
  <c r="DB148" i="3"/>
  <c r="J606" i="8"/>
  <c r="CX147" i="3"/>
  <c r="I158" i="11"/>
  <c r="R160" i="11"/>
  <c r="M160" i="11"/>
  <c r="D18" i="10"/>
  <c r="DG143" i="3"/>
  <c r="G589" i="8"/>
  <c r="DB142" i="3"/>
  <c r="H588" i="8"/>
  <c r="J588" i="8" s="1"/>
  <c r="M138" i="11"/>
  <c r="R138" i="11"/>
  <c r="DB137" i="3"/>
  <c r="H584" i="8"/>
  <c r="J584" i="8" s="1"/>
  <c r="DI131" i="3"/>
  <c r="R145" i="11"/>
  <c r="M145" i="11"/>
  <c r="DB130" i="3"/>
  <c r="J576" i="8"/>
  <c r="DH127" i="3"/>
  <c r="T149" i="11" s="1"/>
  <c r="DI118" i="3"/>
  <c r="M119" i="11"/>
  <c r="R119" i="11"/>
  <c r="CX117" i="3"/>
  <c r="I120" i="11"/>
  <c r="CX116" i="3"/>
  <c r="I121" i="11"/>
  <c r="CX114" i="3"/>
  <c r="I123" i="11"/>
  <c r="CX112" i="3"/>
  <c r="I125" i="11"/>
  <c r="DJ106" i="3"/>
  <c r="DG106" i="3"/>
  <c r="G517" i="8"/>
  <c r="CX105" i="3"/>
  <c r="I98" i="11"/>
  <c r="DG102" i="3"/>
  <c r="G513" i="8"/>
  <c r="DF102" i="3"/>
  <c r="DH99" i="3"/>
  <c r="T103" i="11" s="1"/>
  <c r="G511" i="8"/>
  <c r="DB94" i="3"/>
  <c r="H506" i="8"/>
  <c r="J506" i="8" s="1"/>
  <c r="I113" i="11"/>
  <c r="D32" i="10" s="1"/>
  <c r="CX89" i="3"/>
  <c r="G498" i="8" s="1"/>
  <c r="M80" i="11"/>
  <c r="R80" i="11"/>
  <c r="I91" i="11"/>
  <c r="CX72" i="3"/>
  <c r="CV68" i="3"/>
  <c r="U102" i="1" s="1"/>
  <c r="G398" i="8" s="1"/>
  <c r="I78" i="11"/>
  <c r="I61" i="11"/>
  <c r="CX53" i="3"/>
  <c r="D13" i="10"/>
  <c r="R59" i="11"/>
  <c r="M59" i="11"/>
  <c r="G276" i="8"/>
  <c r="DI36" i="3"/>
  <c r="M44" i="11"/>
  <c r="R44" i="11"/>
  <c r="DB30" i="3"/>
  <c r="J268" i="8"/>
  <c r="CX30" i="3"/>
  <c r="I47" i="11"/>
  <c r="DB29" i="3"/>
  <c r="H258" i="8"/>
  <c r="J258" i="8" s="1"/>
  <c r="DG24" i="3"/>
  <c r="G209" i="8"/>
  <c r="DI24" i="3"/>
  <c r="DF24" i="3"/>
  <c r="DH24" i="3"/>
  <c r="T29" i="11" s="1"/>
  <c r="H180" i="8"/>
  <c r="J180" i="8" s="1"/>
  <c r="DB16" i="3"/>
  <c r="CX15" i="3"/>
  <c r="I23" i="11"/>
  <c r="I15" i="11"/>
  <c r="CX7" i="3"/>
  <c r="DB6" i="3"/>
  <c r="J113" i="8"/>
  <c r="Q181" i="1"/>
  <c r="U181" i="1"/>
  <c r="E111" i="10"/>
  <c r="AB180" i="1"/>
  <c r="K249" i="11"/>
  <c r="P180" i="1"/>
  <c r="L815" i="8" s="1"/>
  <c r="U178" i="1"/>
  <c r="O242" i="11"/>
  <c r="F98" i="10" s="1"/>
  <c r="E98" i="10"/>
  <c r="AD177" i="1"/>
  <c r="S241" i="11"/>
  <c r="T241" i="11" s="1"/>
  <c r="P241" i="11"/>
  <c r="R241" i="11" s="1"/>
  <c r="I241" i="11"/>
  <c r="D77" i="9"/>
  <c r="AE794" i="8"/>
  <c r="G794" i="8"/>
  <c r="AD794" i="8"/>
  <c r="E94" i="7"/>
  <c r="W175" i="1"/>
  <c r="AB175" i="1"/>
  <c r="E86" i="10"/>
  <c r="S166" i="1"/>
  <c r="W166" i="1"/>
  <c r="E109" i="10"/>
  <c r="I179" i="11"/>
  <c r="D109" i="10" s="1"/>
  <c r="G657" i="8"/>
  <c r="AE657" i="8"/>
  <c r="D67" i="9"/>
  <c r="AD657" i="8"/>
  <c r="E81" i="7"/>
  <c r="AB158" i="1"/>
  <c r="U155" i="1"/>
  <c r="P155" i="1"/>
  <c r="L558" i="8" s="1"/>
  <c r="N132" i="11"/>
  <c r="T155" i="1"/>
  <c r="U154" i="1"/>
  <c r="P154" i="1"/>
  <c r="L557" i="8" s="1"/>
  <c r="N131" i="11"/>
  <c r="T154" i="1"/>
  <c r="U153" i="1"/>
  <c r="P153" i="1"/>
  <c r="L556" i="8" s="1"/>
  <c r="N130" i="11"/>
  <c r="T153" i="1"/>
  <c r="S150" i="1"/>
  <c r="W150" i="1"/>
  <c r="U147" i="1"/>
  <c r="E120" i="10"/>
  <c r="O95" i="11"/>
  <c r="F120" i="10" s="1"/>
  <c r="T147" i="1"/>
  <c r="AB146" i="1"/>
  <c r="K94" i="11"/>
  <c r="M94" i="11" s="1"/>
  <c r="CZ145" i="1"/>
  <c r="Y145" i="1" s="1"/>
  <c r="BA484" i="8" s="1"/>
  <c r="AD145" i="1"/>
  <c r="S93" i="11"/>
  <c r="P93" i="11"/>
  <c r="P145" i="1"/>
  <c r="I93" i="11"/>
  <c r="D91" i="10" s="1"/>
  <c r="D53" i="9"/>
  <c r="G484" i="8"/>
  <c r="AE484" i="8"/>
  <c r="E62" i="7"/>
  <c r="AD484" i="8"/>
  <c r="U90" i="1"/>
  <c r="D38" i="9"/>
  <c r="I48" i="11"/>
  <c r="AE284" i="8"/>
  <c r="AD284" i="8"/>
  <c r="G284" i="8"/>
  <c r="E43" i="7"/>
  <c r="CX257" i="3"/>
  <c r="DI256" i="3"/>
  <c r="CX253" i="3"/>
  <c r="I257" i="11"/>
  <c r="DH250" i="3"/>
  <c r="DB249" i="3"/>
  <c r="H844" i="8"/>
  <c r="J844" i="8" s="1"/>
  <c r="R261" i="11"/>
  <c r="D17" i="10"/>
  <c r="M261" i="11"/>
  <c r="CX245" i="3"/>
  <c r="G830" i="8" s="1"/>
  <c r="I251" i="11"/>
  <c r="D71" i="10" s="1"/>
  <c r="DI242" i="3"/>
  <c r="G824" i="8"/>
  <c r="DB237" i="3"/>
  <c r="CX237" i="3"/>
  <c r="G807" i="8" s="1"/>
  <c r="R246" i="11"/>
  <c r="M246" i="11"/>
  <c r="D35" i="10"/>
  <c r="R247" i="11"/>
  <c r="M247" i="11"/>
  <c r="CV234" i="3"/>
  <c r="U179" i="1" s="1"/>
  <c r="G802" i="8" s="1"/>
  <c r="I248" i="11"/>
  <c r="DB233" i="3"/>
  <c r="DB231" i="3"/>
  <c r="H789" i="8"/>
  <c r="J789" i="8" s="1"/>
  <c r="DH228" i="3"/>
  <c r="T225" i="11" s="1"/>
  <c r="R228" i="11"/>
  <c r="M228" i="11"/>
  <c r="DB224" i="3"/>
  <c r="DB222" i="3"/>
  <c r="J782" i="8"/>
  <c r="R234" i="11"/>
  <c r="M234" i="11"/>
  <c r="R237" i="11"/>
  <c r="M237" i="11"/>
  <c r="DB215" i="3"/>
  <c r="J772" i="8"/>
  <c r="CV206" i="3"/>
  <c r="U173" i="1" s="1"/>
  <c r="G748" i="8" s="1"/>
  <c r="DJ205" i="3"/>
  <c r="DG205" i="3"/>
  <c r="G738" i="8"/>
  <c r="DG201" i="3"/>
  <c r="G734" i="8"/>
  <c r="DB200" i="3"/>
  <c r="J732" i="8"/>
  <c r="DI199" i="3"/>
  <c r="R208" i="11"/>
  <c r="M208" i="11"/>
  <c r="DB198" i="3"/>
  <c r="J729" i="8"/>
  <c r="DB195" i="3"/>
  <c r="CX195" i="3"/>
  <c r="M213" i="11"/>
  <c r="R213" i="11"/>
  <c r="DB193" i="3"/>
  <c r="J723" i="8"/>
  <c r="CX191" i="3"/>
  <c r="I197" i="11"/>
  <c r="DB190" i="3"/>
  <c r="H711" i="8"/>
  <c r="J711" i="8" s="1"/>
  <c r="DI188" i="3"/>
  <c r="CW188" i="3"/>
  <c r="V169" i="1" s="1"/>
  <c r="G707" i="8" s="1"/>
  <c r="I200" i="11"/>
  <c r="DG187" i="3"/>
  <c r="DB187" i="3"/>
  <c r="J705" i="8"/>
  <c r="CX185" i="3"/>
  <c r="I191" i="11"/>
  <c r="DB184" i="3"/>
  <c r="CX184" i="3"/>
  <c r="I192" i="11"/>
  <c r="DB183" i="3"/>
  <c r="DB178" i="3"/>
  <c r="DH178" i="3"/>
  <c r="T181" i="11" s="1"/>
  <c r="G675" i="8"/>
  <c r="CX176" i="3"/>
  <c r="I183" i="11"/>
  <c r="DB175" i="3"/>
  <c r="CX175" i="3"/>
  <c r="R185" i="11"/>
  <c r="M185" i="11"/>
  <c r="DB173" i="3"/>
  <c r="CX173" i="3"/>
  <c r="CV171" i="3"/>
  <c r="U165" i="1" s="1"/>
  <c r="G664" i="8" s="1"/>
  <c r="CX169" i="3"/>
  <c r="I169" i="11"/>
  <c r="CX166" i="3"/>
  <c r="I172" i="11"/>
  <c r="DB165" i="3"/>
  <c r="H649" i="8"/>
  <c r="J649" i="8" s="1"/>
  <c r="DI163" i="3"/>
  <c r="CW163" i="3"/>
  <c r="V163" i="1" s="1"/>
  <c r="G643" i="8" s="1"/>
  <c r="I175" i="11"/>
  <c r="CX162" i="3"/>
  <c r="I176" i="11"/>
  <c r="DH159" i="3"/>
  <c r="T161" i="11" s="1"/>
  <c r="DI156" i="3"/>
  <c r="CW154" i="3"/>
  <c r="I166" i="11"/>
  <c r="CX153" i="3"/>
  <c r="I167" i="11"/>
  <c r="R168" i="11"/>
  <c r="M168" i="11"/>
  <c r="DH149" i="3"/>
  <c r="T156" i="11" s="1"/>
  <c r="CX146" i="3"/>
  <c r="I159" i="11"/>
  <c r="DB145" i="3"/>
  <c r="J602" i="8"/>
  <c r="DI143" i="3"/>
  <c r="R134" i="11"/>
  <c r="M134" i="11"/>
  <c r="DB141" i="3"/>
  <c r="DH141" i="3"/>
  <c r="T136" i="11" s="1"/>
  <c r="G587" i="8"/>
  <c r="DI139" i="3"/>
  <c r="DB136" i="3"/>
  <c r="CX134" i="3"/>
  <c r="G581" i="8" s="1"/>
  <c r="I142" i="11"/>
  <c r="DB133" i="3"/>
  <c r="J580" i="8"/>
  <c r="DH131" i="3"/>
  <c r="T145" i="11" s="1"/>
  <c r="DB131" i="3"/>
  <c r="H578" i="8"/>
  <c r="J578" i="8" s="1"/>
  <c r="DI129" i="3"/>
  <c r="M147" i="11"/>
  <c r="R147" i="11"/>
  <c r="CX128" i="3"/>
  <c r="I148" i="11"/>
  <c r="DG127" i="3"/>
  <c r="M149" i="11"/>
  <c r="R149" i="11"/>
  <c r="DB126" i="3"/>
  <c r="J570" i="8"/>
  <c r="DI122" i="3"/>
  <c r="DB120" i="3"/>
  <c r="CX120" i="3"/>
  <c r="I117" i="11"/>
  <c r="R118" i="11"/>
  <c r="M118" i="11"/>
  <c r="DH118" i="3"/>
  <c r="T119" i="11" s="1"/>
  <c r="DB118" i="3"/>
  <c r="H547" i="8"/>
  <c r="J547" i="8" s="1"/>
  <c r="M122" i="11"/>
  <c r="R122" i="11"/>
  <c r="DB114" i="3"/>
  <c r="J541" i="8"/>
  <c r="DB113" i="3"/>
  <c r="CX113" i="3"/>
  <c r="DB112" i="3"/>
  <c r="H537" i="8"/>
  <c r="J537" i="8" s="1"/>
  <c r="DB111" i="3"/>
  <c r="CX111" i="3"/>
  <c r="DB110" i="3"/>
  <c r="J533" i="8"/>
  <c r="DB107" i="3"/>
  <c r="DI106" i="3"/>
  <c r="D112" i="10"/>
  <c r="R97" i="11"/>
  <c r="M97" i="11"/>
  <c r="M101" i="11"/>
  <c r="R101" i="11"/>
  <c r="DB96" i="3"/>
  <c r="CX96" i="3"/>
  <c r="G508" i="8" s="1"/>
  <c r="I106" i="11"/>
  <c r="H507" i="8"/>
  <c r="J507" i="8" s="1"/>
  <c r="DB95" i="3"/>
  <c r="DB91" i="3"/>
  <c r="CX91" i="3"/>
  <c r="G501" i="8" s="1"/>
  <c r="D37" i="10"/>
  <c r="R112" i="11"/>
  <c r="M112" i="11"/>
  <c r="J498" i="8"/>
  <c r="DB89" i="3"/>
  <c r="I114" i="11"/>
  <c r="CX88" i="3"/>
  <c r="CX87" i="3"/>
  <c r="I115" i="11"/>
  <c r="CV87" i="3"/>
  <c r="U149" i="1" s="1"/>
  <c r="G494" i="8" s="1"/>
  <c r="DG86" i="3"/>
  <c r="DI86" i="3"/>
  <c r="I81" i="11"/>
  <c r="CX82" i="3"/>
  <c r="DB81" i="3"/>
  <c r="H475" i="8"/>
  <c r="J475" i="8" s="1"/>
  <c r="DG80" i="3"/>
  <c r="R87" i="11"/>
  <c r="M87" i="11"/>
  <c r="DB73" i="3"/>
  <c r="CX73" i="3"/>
  <c r="DB71" i="3"/>
  <c r="J458" i="8"/>
  <c r="CX71" i="3"/>
  <c r="I92" i="11"/>
  <c r="DB70" i="3"/>
  <c r="J402" i="8"/>
  <c r="I77" i="11"/>
  <c r="CX69" i="3"/>
  <c r="J399" i="8"/>
  <c r="DB68" i="3"/>
  <c r="R69" i="11"/>
  <c r="M69" i="11"/>
  <c r="R70" i="11"/>
  <c r="M70" i="11"/>
  <c r="DB65" i="3"/>
  <c r="H387" i="8"/>
  <c r="J387" i="8" s="1"/>
  <c r="DH64" i="3"/>
  <c r="I72" i="11"/>
  <c r="CW64" i="3"/>
  <c r="DB63" i="3"/>
  <c r="J383" i="8"/>
  <c r="DB60" i="3"/>
  <c r="I63" i="11"/>
  <c r="CX59" i="3"/>
  <c r="DB58" i="3"/>
  <c r="H368" i="8"/>
  <c r="J368" i="8" s="1"/>
  <c r="CX48" i="3"/>
  <c r="G305" i="8" s="1"/>
  <c r="I51" i="11"/>
  <c r="DB44" i="3"/>
  <c r="DG39" i="3"/>
  <c r="G281" i="8"/>
  <c r="DF39" i="3"/>
  <c r="DI39" i="3"/>
  <c r="I41" i="11"/>
  <c r="CW36" i="3"/>
  <c r="V89" i="1" s="1"/>
  <c r="G273" i="8" s="1"/>
  <c r="DB31" i="3"/>
  <c r="G269" i="8"/>
  <c r="DH31" i="3"/>
  <c r="T46" i="11" s="1"/>
  <c r="CV28" i="3"/>
  <c r="U87" i="1" s="1"/>
  <c r="G254" i="8" s="1"/>
  <c r="D97" i="10"/>
  <c r="I25" i="11"/>
  <c r="CX18" i="3"/>
  <c r="CV18" i="3"/>
  <c r="U48" i="1" s="1"/>
  <c r="G190" i="8" s="1"/>
  <c r="DB17" i="3"/>
  <c r="J181" i="8"/>
  <c r="CX8" i="3"/>
  <c r="G130" i="8" s="1"/>
  <c r="I14" i="11"/>
  <c r="CW8" i="3"/>
  <c r="V41" i="1" s="1"/>
  <c r="G129" i="8" s="1"/>
  <c r="O262" i="11"/>
  <c r="F63" i="10" s="1"/>
  <c r="E63" i="10"/>
  <c r="S185" i="1"/>
  <c r="I262" i="11"/>
  <c r="D63" i="10" s="1"/>
  <c r="AD853" i="8"/>
  <c r="G853" i="8"/>
  <c r="D85" i="9"/>
  <c r="AE853" i="8"/>
  <c r="E102" i="7"/>
  <c r="S255" i="11"/>
  <c r="T255" i="11" s="1"/>
  <c r="P255" i="11"/>
  <c r="R255" i="11" s="1"/>
  <c r="T181" i="1"/>
  <c r="O250" i="11"/>
  <c r="F116" i="10" s="1"/>
  <c r="E116" i="10"/>
  <c r="AB181" i="1"/>
  <c r="K250" i="11"/>
  <c r="M250" i="11" s="1"/>
  <c r="P181" i="1"/>
  <c r="I249" i="11"/>
  <c r="D111" i="10" s="1"/>
  <c r="G815" i="8"/>
  <c r="D80" i="9"/>
  <c r="AE815" i="8"/>
  <c r="AD815" i="8"/>
  <c r="E97" i="7"/>
  <c r="Q177" i="1"/>
  <c r="CP177" i="1" s="1"/>
  <c r="O177" i="1" s="1"/>
  <c r="P221" i="11"/>
  <c r="R221" i="11" s="1"/>
  <c r="S221" i="11"/>
  <c r="P175" i="1"/>
  <c r="W174" i="1"/>
  <c r="S189" i="11"/>
  <c r="T189" i="11" s="1"/>
  <c r="P189" i="11"/>
  <c r="R189" i="11" s="1"/>
  <c r="S153" i="11"/>
  <c r="P153" i="11"/>
  <c r="S158" i="1"/>
  <c r="I153" i="11"/>
  <c r="T153" i="11" s="1"/>
  <c r="G593" i="8"/>
  <c r="D63" i="9"/>
  <c r="AE593" i="8"/>
  <c r="AD593" i="8"/>
  <c r="E75" i="7"/>
  <c r="S155" i="1"/>
  <c r="S154" i="1"/>
  <c r="S153" i="1"/>
  <c r="S116" i="11"/>
  <c r="P116" i="11"/>
  <c r="R116" i="11" s="1"/>
  <c r="P150" i="1"/>
  <c r="E118" i="10"/>
  <c r="O94" i="11"/>
  <c r="F118" i="10" s="1"/>
  <c r="T146" i="1"/>
  <c r="M93" i="11"/>
  <c r="R90" i="1"/>
  <c r="AD90" i="1"/>
  <c r="AB90" i="1" s="1"/>
  <c r="S48" i="11"/>
  <c r="T48" i="11" s="1"/>
  <c r="P48" i="11"/>
  <c r="R48" i="11" s="1"/>
  <c r="AG51" i="1"/>
  <c r="DB260" i="3"/>
  <c r="CX260" i="3"/>
  <c r="CX258" i="3"/>
  <c r="CW257" i="3"/>
  <c r="V224" i="1" s="1"/>
  <c r="G897" i="8" s="1"/>
  <c r="CX254" i="3"/>
  <c r="M260" i="11"/>
  <c r="R260" i="11"/>
  <c r="DB247" i="3"/>
  <c r="J841" i="8"/>
  <c r="CX244" i="3"/>
  <c r="I252" i="11"/>
  <c r="DB243" i="3"/>
  <c r="CX243" i="3"/>
  <c r="DH242" i="3"/>
  <c r="T254" i="11" s="1"/>
  <c r="CV242" i="3"/>
  <c r="U182" i="1" s="1"/>
  <c r="G823" i="8" s="1"/>
  <c r="DB239" i="3"/>
  <c r="CX239" i="3"/>
  <c r="R244" i="11"/>
  <c r="M244" i="11"/>
  <c r="CW237" i="3"/>
  <c r="R222" i="11"/>
  <c r="M222" i="11"/>
  <c r="DB232" i="3"/>
  <c r="CX232" i="3"/>
  <c r="CX227" i="3"/>
  <c r="I226" i="11"/>
  <c r="DB226" i="3"/>
  <c r="H786" i="8"/>
  <c r="J786" i="8" s="1"/>
  <c r="R229" i="11"/>
  <c r="M229" i="11"/>
  <c r="CX223" i="3"/>
  <c r="I230" i="11"/>
  <c r="DB221" i="3"/>
  <c r="CX221" i="3"/>
  <c r="G781" i="8" s="1"/>
  <c r="I232" i="11"/>
  <c r="D70" i="10" s="1"/>
  <c r="DB220" i="3"/>
  <c r="CX220" i="3"/>
  <c r="R235" i="11"/>
  <c r="M235" i="11"/>
  <c r="DB217" i="3"/>
  <c r="J775" i="8"/>
  <c r="CX214" i="3"/>
  <c r="DB213" i="3"/>
  <c r="DB212" i="3"/>
  <c r="CX212" i="3"/>
  <c r="I215" i="11"/>
  <c r="CX209" i="3"/>
  <c r="DB208" i="3"/>
  <c r="CX208" i="3"/>
  <c r="G752" i="8" s="1"/>
  <c r="CX207" i="3"/>
  <c r="DI205" i="3"/>
  <c r="R202" i="11"/>
  <c r="D81" i="10"/>
  <c r="M202" i="11"/>
  <c r="DB204" i="3"/>
  <c r="H737" i="8"/>
  <c r="J737" i="8" s="1"/>
  <c r="DI201" i="3"/>
  <c r="D68" i="10"/>
  <c r="M206" i="11"/>
  <c r="R206" i="11"/>
  <c r="CV195" i="3"/>
  <c r="CX194" i="3"/>
  <c r="DB189" i="3"/>
  <c r="CX189" i="3"/>
  <c r="G710" i="8" s="1"/>
  <c r="DH188" i="3"/>
  <c r="T200" i="11" s="1"/>
  <c r="DF187" i="3"/>
  <c r="R201" i="11"/>
  <c r="M201" i="11"/>
  <c r="CX186" i="3"/>
  <c r="I190" i="11"/>
  <c r="R193" i="11"/>
  <c r="M193" i="11"/>
  <c r="DB182" i="3"/>
  <c r="J691" i="8"/>
  <c r="D20" i="10"/>
  <c r="M195" i="11"/>
  <c r="R195" i="11"/>
  <c r="DB180" i="3"/>
  <c r="H676" i="8"/>
  <c r="J676" i="8" s="1"/>
  <c r="R181" i="11"/>
  <c r="M181" i="11"/>
  <c r="CX177" i="3"/>
  <c r="I182" i="11"/>
  <c r="CW175" i="3"/>
  <c r="CW173" i="3"/>
  <c r="CX172" i="3"/>
  <c r="DI172" i="3" s="1"/>
  <c r="I187" i="11"/>
  <c r="DB171" i="3"/>
  <c r="J665" i="8"/>
  <c r="DB164" i="3"/>
  <c r="CX164" i="3"/>
  <c r="DH163" i="3"/>
  <c r="T175" i="11" s="1"/>
  <c r="DB162" i="3"/>
  <c r="J644" i="8"/>
  <c r="CX161" i="3"/>
  <c r="R178" i="11"/>
  <c r="M178" i="11"/>
  <c r="CX158" i="3"/>
  <c r="G631" i="8" s="1"/>
  <c r="I162" i="11"/>
  <c r="CW157" i="3"/>
  <c r="DB155" i="3"/>
  <c r="J625" i="8"/>
  <c r="DI154" i="3"/>
  <c r="DB152" i="3"/>
  <c r="CX152" i="3"/>
  <c r="DB151" i="3"/>
  <c r="H611" i="8"/>
  <c r="J611" i="8" s="1"/>
  <c r="R157" i="11"/>
  <c r="M157" i="11"/>
  <c r="DH143" i="3"/>
  <c r="T134" i="11" s="1"/>
  <c r="DB143" i="3"/>
  <c r="H589" i="8"/>
  <c r="J589" i="8" s="1"/>
  <c r="CX142" i="3"/>
  <c r="I135" i="11"/>
  <c r="M136" i="11"/>
  <c r="R136" i="11"/>
  <c r="DB140" i="3"/>
  <c r="CX140" i="3"/>
  <c r="DI138" i="3"/>
  <c r="CX137" i="3"/>
  <c r="G584" i="8" s="1"/>
  <c r="I139" i="11"/>
  <c r="R140" i="11"/>
  <c r="M140" i="11"/>
  <c r="DB135" i="3"/>
  <c r="CX135" i="3"/>
  <c r="DB132" i="3"/>
  <c r="CX132" i="3"/>
  <c r="G579" i="8" s="1"/>
  <c r="I144" i="11"/>
  <c r="DF131" i="3"/>
  <c r="CW130" i="3"/>
  <c r="DB128" i="3"/>
  <c r="J573" i="8"/>
  <c r="CX125" i="3"/>
  <c r="DH125" i="3" s="1"/>
  <c r="T151" i="11" s="1"/>
  <c r="M152" i="11"/>
  <c r="R152" i="11"/>
  <c r="DH122" i="3"/>
  <c r="DF118" i="3"/>
  <c r="DB117" i="3"/>
  <c r="J546" i="8"/>
  <c r="CW113" i="3"/>
  <c r="CW111" i="3"/>
  <c r="CX109" i="3"/>
  <c r="R129" i="11"/>
  <c r="M129" i="11"/>
  <c r="D114" i="10"/>
  <c r="R96" i="11"/>
  <c r="M96" i="11"/>
  <c r="DH106" i="3"/>
  <c r="T97" i="11" s="1"/>
  <c r="DB106" i="3"/>
  <c r="H517" i="8"/>
  <c r="J517" i="8" s="1"/>
  <c r="DB105" i="3"/>
  <c r="H516" i="8"/>
  <c r="J516" i="8" s="1"/>
  <c r="DB103" i="3"/>
  <c r="CX103" i="3"/>
  <c r="DI102" i="3"/>
  <c r="DB102" i="3"/>
  <c r="H513" i="8"/>
  <c r="J513" i="8" s="1"/>
  <c r="CX98" i="3"/>
  <c r="CX97" i="3"/>
  <c r="I105" i="11"/>
  <c r="CX94" i="3"/>
  <c r="I108" i="11"/>
  <c r="G504" i="8"/>
  <c r="DG93" i="3"/>
  <c r="M110" i="11"/>
  <c r="R110" i="11"/>
  <c r="CW91" i="3"/>
  <c r="DB87" i="3"/>
  <c r="J495" i="8"/>
  <c r="R85" i="11"/>
  <c r="M85" i="11"/>
  <c r="DB77" i="3"/>
  <c r="CX77" i="3"/>
  <c r="I88" i="11"/>
  <c r="CX75" i="3"/>
  <c r="DB74" i="3"/>
  <c r="H463" i="8"/>
  <c r="J463" i="8" s="1"/>
  <c r="CW73" i="3"/>
  <c r="DG67" i="3"/>
  <c r="DG64" i="3"/>
  <c r="CV53" i="3"/>
  <c r="U97" i="1" s="1"/>
  <c r="G345" i="8" s="1"/>
  <c r="I56" i="11"/>
  <c r="CX43" i="3"/>
  <c r="DB42" i="3"/>
  <c r="J295" i="8"/>
  <c r="CX42" i="3"/>
  <c r="I57" i="11"/>
  <c r="DB41" i="3"/>
  <c r="J294" i="8"/>
  <c r="DH36" i="3"/>
  <c r="DB35" i="3"/>
  <c r="J274" i="8"/>
  <c r="CV30" i="3"/>
  <c r="D56" i="10"/>
  <c r="M36" i="11"/>
  <c r="R36" i="11"/>
  <c r="I22" i="11"/>
  <c r="CW16" i="3"/>
  <c r="V47" i="1" s="1"/>
  <c r="G179" i="8" s="1"/>
  <c r="CX16" i="3"/>
  <c r="G180" i="8" s="1"/>
  <c r="J145" i="8"/>
  <c r="DB9" i="3"/>
  <c r="CX2" i="3"/>
  <c r="I9" i="11"/>
  <c r="CV2" i="3"/>
  <c r="U32" i="1" s="1"/>
  <c r="G75" i="8" s="1"/>
  <c r="DB1" i="3"/>
  <c r="J67" i="8"/>
  <c r="DF25" i="3"/>
  <c r="G210" i="8"/>
  <c r="DB24" i="3"/>
  <c r="H209" i="8"/>
  <c r="J209" i="8" s="1"/>
  <c r="CX13" i="3"/>
  <c r="G167" i="8" s="1"/>
  <c r="I18" i="11"/>
  <c r="CV10" i="3"/>
  <c r="U44" i="1" s="1"/>
  <c r="G153" i="8" s="1"/>
  <c r="I17" i="11"/>
  <c r="DF9" i="3"/>
  <c r="P43" i="1" s="1"/>
  <c r="G145" i="8"/>
  <c r="R24" i="11"/>
  <c r="R20" i="11"/>
  <c r="R84" i="11"/>
  <c r="M53" i="11"/>
  <c r="R66" i="11"/>
  <c r="M84" i="11"/>
  <c r="M66" i="11"/>
  <c r="CV61" i="3"/>
  <c r="U101" i="1" s="1"/>
  <c r="G379" i="8" s="1"/>
  <c r="I75" i="11"/>
  <c r="R65" i="11"/>
  <c r="M65" i="11"/>
  <c r="DB56" i="3"/>
  <c r="J364" i="8"/>
  <c r="R52" i="11"/>
  <c r="M52" i="11"/>
  <c r="DB46" i="3"/>
  <c r="J300" i="8"/>
  <c r="D80" i="10"/>
  <c r="M38" i="11"/>
  <c r="DB38" i="3"/>
  <c r="H280" i="8"/>
  <c r="J280" i="8" s="1"/>
  <c r="DH32" i="3"/>
  <c r="T45" i="11" s="1"/>
  <c r="G270" i="8"/>
  <c r="DB27" i="3"/>
  <c r="H212" i="8"/>
  <c r="J212" i="8" s="1"/>
  <c r="DI25" i="3"/>
  <c r="DB23" i="3"/>
  <c r="H208" i="8"/>
  <c r="J208" i="8" s="1"/>
  <c r="DB21" i="3"/>
  <c r="H203" i="8"/>
  <c r="J203" i="8" s="1"/>
  <c r="CX17" i="3"/>
  <c r="G181" i="8" s="1"/>
  <c r="I21" i="11"/>
  <c r="DB13" i="3"/>
  <c r="H167" i="8"/>
  <c r="J167" i="8" s="1"/>
  <c r="R19" i="11"/>
  <c r="M19" i="11"/>
  <c r="DB11" i="3"/>
  <c r="J164" i="8"/>
  <c r="CV5" i="3"/>
  <c r="U36" i="1" s="1"/>
  <c r="G103" i="8" s="1"/>
  <c r="I12" i="11"/>
  <c r="DF4" i="3"/>
  <c r="G92" i="8"/>
  <c r="DI3" i="3"/>
  <c r="R11" i="11"/>
  <c r="M11" i="11"/>
  <c r="R38" i="11"/>
  <c r="M33" i="11"/>
  <c r="M54" i="11"/>
  <c r="M58" i="11"/>
  <c r="M40" i="11"/>
  <c r="R8" i="11"/>
  <c r="M31" i="11"/>
  <c r="R40" i="11"/>
  <c r="R29" i="11"/>
  <c r="M62" i="11"/>
  <c r="M34" i="11"/>
  <c r="M103" i="11"/>
  <c r="M29" i="11"/>
  <c r="CX100" i="3"/>
  <c r="G512" i="8" s="1"/>
  <c r="I102" i="11"/>
  <c r="DB98" i="3"/>
  <c r="H510" i="8"/>
  <c r="J510" i="8" s="1"/>
  <c r="DB97" i="3"/>
  <c r="H509" i="8"/>
  <c r="J509" i="8" s="1"/>
  <c r="D53" i="10"/>
  <c r="M109" i="11"/>
  <c r="DB92" i="3"/>
  <c r="H503" i="8"/>
  <c r="J503" i="8" s="1"/>
  <c r="M83" i="11"/>
  <c r="R83" i="11"/>
  <c r="DB78" i="3"/>
  <c r="J470" i="8"/>
  <c r="D44" i="10"/>
  <c r="M89" i="11"/>
  <c r="R71" i="11"/>
  <c r="M71" i="11"/>
  <c r="DB61" i="3"/>
  <c r="CX61" i="3"/>
  <c r="G380" i="8" s="1"/>
  <c r="DB57" i="3"/>
  <c r="CX57" i="3"/>
  <c r="G366" i="8" s="1"/>
  <c r="CV54" i="3"/>
  <c r="U100" i="1" s="1"/>
  <c r="G360" i="8" s="1"/>
  <c r="I68" i="11"/>
  <c r="DB53" i="3"/>
  <c r="DB52" i="3"/>
  <c r="J337" i="8"/>
  <c r="CX52" i="3"/>
  <c r="I60" i="11"/>
  <c r="DB51" i="3"/>
  <c r="J318" i="8"/>
  <c r="DB50" i="3"/>
  <c r="DB49" i="3"/>
  <c r="H306" i="8"/>
  <c r="J306" i="8" s="1"/>
  <c r="DB47" i="3"/>
  <c r="CX47" i="3"/>
  <c r="G302" i="8" s="1"/>
  <c r="CV44" i="3"/>
  <c r="I55" i="11"/>
  <c r="DB43" i="3"/>
  <c r="CX38" i="3"/>
  <c r="G280" i="8" s="1"/>
  <c r="I39" i="11"/>
  <c r="CX35" i="3"/>
  <c r="I42" i="11"/>
  <c r="D48" i="10" s="1"/>
  <c r="R43" i="11"/>
  <c r="M43" i="11"/>
  <c r="DB33" i="3"/>
  <c r="J271" i="8"/>
  <c r="CV32" i="3"/>
  <c r="I45" i="11"/>
  <c r="D23" i="10"/>
  <c r="M46" i="11"/>
  <c r="CX27" i="3"/>
  <c r="I26" i="11"/>
  <c r="D105" i="10"/>
  <c r="M27" i="11"/>
  <c r="CX23" i="3"/>
  <c r="I30" i="11"/>
  <c r="DB22" i="3"/>
  <c r="CX22" i="3"/>
  <c r="D46" i="10"/>
  <c r="M32" i="11"/>
  <c r="CX20" i="3"/>
  <c r="DG20" i="3" s="1"/>
  <c r="DB19" i="3"/>
  <c r="DB18" i="3"/>
  <c r="CV14" i="3"/>
  <c r="U47" i="1" s="1"/>
  <c r="G176" i="8" s="1"/>
  <c r="CW13" i="3"/>
  <c r="V46" i="1" s="1"/>
  <c r="G166" i="8" s="1"/>
  <c r="DB10" i="3"/>
  <c r="R16" i="11"/>
  <c r="M16" i="11"/>
  <c r="DB8" i="3"/>
  <c r="H130" i="8"/>
  <c r="J130" i="8" s="1"/>
  <c r="DH4" i="3"/>
  <c r="D30" i="10"/>
  <c r="DF3" i="3"/>
  <c r="P35" i="1" s="1"/>
  <c r="M28" i="11"/>
  <c r="D11" i="10"/>
  <c r="D26" i="10"/>
  <c r="R10" i="11"/>
  <c r="R28" i="11"/>
  <c r="R27" i="11"/>
  <c r="R67" i="11"/>
  <c r="M13" i="11"/>
  <c r="AB144" i="1"/>
  <c r="CD51" i="1"/>
  <c r="CD28" i="1" s="1"/>
  <c r="BZ230" i="1"/>
  <c r="AB48" i="1"/>
  <c r="AB44" i="1"/>
  <c r="CC230" i="1"/>
  <c r="AB162" i="1"/>
  <c r="AB91" i="1"/>
  <c r="A124" i="10"/>
  <c r="A3" i="10"/>
  <c r="L1007" i="8"/>
  <c r="L999" i="8" s="1"/>
  <c r="L1048" i="8" s="1"/>
  <c r="CC106" i="1"/>
  <c r="AT106" i="1" s="1"/>
  <c r="AT85" i="1" s="1"/>
  <c r="BZ51" i="1"/>
  <c r="AQ51" i="1" s="1"/>
  <c r="F61" i="1" s="1"/>
  <c r="AB169" i="1"/>
  <c r="AB101" i="1"/>
  <c r="AB32" i="1"/>
  <c r="AB173" i="1"/>
  <c r="AB43" i="1"/>
  <c r="AB149" i="1"/>
  <c r="AB165" i="1"/>
  <c r="AI230" i="1"/>
  <c r="V230" i="1" s="1"/>
  <c r="AB184" i="1"/>
  <c r="CD230" i="1"/>
  <c r="CD222" i="1" s="1"/>
  <c r="CD188" i="1"/>
  <c r="AU188" i="1" s="1"/>
  <c r="AB36" i="1"/>
  <c r="AB37" i="1"/>
  <c r="AB152" i="1"/>
  <c r="AB46" i="1"/>
  <c r="AB182" i="1"/>
  <c r="BZ188" i="1"/>
  <c r="AQ188" i="1" s="1"/>
  <c r="AB227" i="1"/>
  <c r="AB179" i="1"/>
  <c r="AB163" i="1"/>
  <c r="AB31" i="1"/>
  <c r="AB224" i="1"/>
  <c r="AB96" i="1"/>
  <c r="CD106" i="1"/>
  <c r="CD85" i="1" s="1"/>
  <c r="AB87" i="1"/>
  <c r="AB49" i="1"/>
  <c r="AB47" i="1"/>
  <c r="CC51" i="1"/>
  <c r="CC28" i="1" s="1"/>
  <c r="AB157" i="1"/>
  <c r="BZ106" i="1"/>
  <c r="BZ85" i="1" s="1"/>
  <c r="AB89" i="1"/>
  <c r="CG230" i="1"/>
  <c r="AU230" i="1"/>
  <c r="CC222" i="1"/>
  <c r="AT230" i="1"/>
  <c r="CP228" i="1"/>
  <c r="O228" i="1" s="1"/>
  <c r="AJ230" i="1"/>
  <c r="CY183" i="1"/>
  <c r="X183" i="1" s="1"/>
  <c r="AZ833" i="8" s="1"/>
  <c r="CZ183" i="1"/>
  <c r="Y183" i="1" s="1"/>
  <c r="BA833" i="8" s="1"/>
  <c r="CJ222" i="1"/>
  <c r="BA230" i="1"/>
  <c r="BZ222" i="1"/>
  <c r="AQ230" i="1"/>
  <c r="CY186" i="1"/>
  <c r="X186" i="1" s="1"/>
  <c r="AZ854" i="8" s="1"/>
  <c r="CZ186" i="1"/>
  <c r="Y186" i="1" s="1"/>
  <c r="BA854" i="8" s="1"/>
  <c r="CP183" i="1"/>
  <c r="O183" i="1" s="1"/>
  <c r="CY178" i="1"/>
  <c r="X178" i="1" s="1"/>
  <c r="AZ795" i="8" s="1"/>
  <c r="CZ178" i="1"/>
  <c r="Y178" i="1" s="1"/>
  <c r="BA795" i="8" s="1"/>
  <c r="AG230" i="1"/>
  <c r="CY228" i="1"/>
  <c r="X228" i="1" s="1"/>
  <c r="AZ915" i="8" s="1"/>
  <c r="CZ228" i="1"/>
  <c r="Y228" i="1" s="1"/>
  <c r="BA915" i="8" s="1"/>
  <c r="CP180" i="1"/>
  <c r="O180" i="1" s="1"/>
  <c r="GM180" i="1" s="1"/>
  <c r="GN180" i="1" s="1"/>
  <c r="CY225" i="1"/>
  <c r="X225" i="1" s="1"/>
  <c r="AZ903" i="8" s="1"/>
  <c r="CZ225" i="1"/>
  <c r="Y225" i="1" s="1"/>
  <c r="BA903" i="8" s="1"/>
  <c r="CY185" i="1"/>
  <c r="X185" i="1" s="1"/>
  <c r="AZ853" i="8" s="1"/>
  <c r="CZ185" i="1"/>
  <c r="Y185" i="1" s="1"/>
  <c r="BA853" i="8" s="1"/>
  <c r="AJ188" i="1"/>
  <c r="AO230" i="1"/>
  <c r="BX222" i="1"/>
  <c r="BD230" i="1"/>
  <c r="Q225" i="1"/>
  <c r="AO188" i="1"/>
  <c r="Q186" i="1"/>
  <c r="Q185" i="1"/>
  <c r="CY177" i="1"/>
  <c r="X177" i="1" s="1"/>
  <c r="AB168" i="1"/>
  <c r="CP166" i="1"/>
  <c r="O166" i="1" s="1"/>
  <c r="AB145" i="1"/>
  <c r="AG106" i="1"/>
  <c r="BC230" i="1"/>
  <c r="P225" i="1"/>
  <c r="BD188" i="1"/>
  <c r="P186" i="1"/>
  <c r="L854" i="8" s="1"/>
  <c r="P185" i="1"/>
  <c r="L853" i="8" s="1"/>
  <c r="T178" i="1"/>
  <c r="AB176" i="1"/>
  <c r="AB171" i="1"/>
  <c r="AB160" i="1"/>
  <c r="CY145" i="1"/>
  <c r="X145" i="1" s="1"/>
  <c r="AZ484" i="8" s="1"/>
  <c r="BB230" i="1"/>
  <c r="BC188" i="1"/>
  <c r="CP154" i="1"/>
  <c r="O154" i="1" s="1"/>
  <c r="BB188" i="1"/>
  <c r="V185" i="1"/>
  <c r="CY164" i="1"/>
  <c r="X164" i="1" s="1"/>
  <c r="CZ164" i="1"/>
  <c r="Y164" i="1" s="1"/>
  <c r="BA657" i="8" s="1"/>
  <c r="CY155" i="1"/>
  <c r="X155" i="1" s="1"/>
  <c r="AZ558" i="8" s="1"/>
  <c r="CZ155" i="1"/>
  <c r="Y155" i="1" s="1"/>
  <c r="BA558" i="8" s="1"/>
  <c r="CY153" i="1"/>
  <c r="X153" i="1" s="1"/>
  <c r="AZ556" i="8" s="1"/>
  <c r="CZ153" i="1"/>
  <c r="Y153" i="1" s="1"/>
  <c r="BA556" i="8" s="1"/>
  <c r="HD94" i="1"/>
  <c r="L324" i="8" s="1"/>
  <c r="GN94" i="1"/>
  <c r="AG28" i="1"/>
  <c r="T51" i="1"/>
  <c r="CI230" i="1"/>
  <c r="P178" i="1"/>
  <c r="AB177" i="1"/>
  <c r="CZ175" i="1"/>
  <c r="Y175" i="1" s="1"/>
  <c r="S174" i="1"/>
  <c r="P174" i="1"/>
  <c r="L760" i="8" s="1"/>
  <c r="T166" i="1"/>
  <c r="AG188" i="1" s="1"/>
  <c r="GX166" i="1"/>
  <c r="CJ188" i="1" s="1"/>
  <c r="CY146" i="1"/>
  <c r="X146" i="1" s="1"/>
  <c r="AZ485" i="8" s="1"/>
  <c r="CZ177" i="1"/>
  <c r="Y177" i="1" s="1"/>
  <c r="BA794" i="8" s="1"/>
  <c r="CY166" i="1"/>
  <c r="X166" i="1" s="1"/>
  <c r="AZ679" i="8" s="1"/>
  <c r="CZ166" i="1"/>
  <c r="Y166" i="1" s="1"/>
  <c r="BA679" i="8" s="1"/>
  <c r="CP158" i="1"/>
  <c r="O158" i="1" s="1"/>
  <c r="AP230" i="1"/>
  <c r="CP155" i="1"/>
  <c r="O155" i="1" s="1"/>
  <c r="GM155" i="1" s="1"/>
  <c r="GN155" i="1" s="1"/>
  <c r="CP153" i="1"/>
  <c r="O153" i="1" s="1"/>
  <c r="CY150" i="1"/>
  <c r="X150" i="1" s="1"/>
  <c r="CZ150" i="1"/>
  <c r="Y150" i="1" s="1"/>
  <c r="BA521" i="8" s="1"/>
  <c r="HD104" i="1"/>
  <c r="L414" i="8" s="1"/>
  <c r="GN104" i="1"/>
  <c r="AP188" i="1"/>
  <c r="CY158" i="1"/>
  <c r="X158" i="1" s="1"/>
  <c r="AZ593" i="8" s="1"/>
  <c r="CZ158" i="1"/>
  <c r="Y158" i="1" s="1"/>
  <c r="BA593" i="8" s="1"/>
  <c r="CY154" i="1"/>
  <c r="X154" i="1" s="1"/>
  <c r="AZ557" i="8" s="1"/>
  <c r="CZ154" i="1"/>
  <c r="Y154" i="1" s="1"/>
  <c r="BA557" i="8" s="1"/>
  <c r="BB85" i="1"/>
  <c r="F119" i="1"/>
  <c r="GN98" i="1"/>
  <c r="HD98" i="1"/>
  <c r="L352" i="8" s="1"/>
  <c r="F122" i="1"/>
  <c r="AP106" i="1"/>
  <c r="S90" i="1"/>
  <c r="GN38" i="1"/>
  <c r="HD38" i="1"/>
  <c r="L119" i="8" s="1"/>
  <c r="HD42" i="1"/>
  <c r="L137" i="8" s="1"/>
  <c r="GN42" i="1"/>
  <c r="AB93" i="1"/>
  <c r="GX90" i="1"/>
  <c r="Q90" i="1"/>
  <c r="GN33" i="1"/>
  <c r="HD33" i="1"/>
  <c r="CL28" i="1"/>
  <c r="BC51" i="1"/>
  <c r="AQ28" i="1"/>
  <c r="CJ51" i="1"/>
  <c r="DI221" i="3"/>
  <c r="DF221" i="3"/>
  <c r="DH221" i="3"/>
  <c r="T232" i="11" s="1"/>
  <c r="DG221" i="3"/>
  <c r="W90" i="1"/>
  <c r="AJ106" i="1" s="1"/>
  <c r="DI259" i="3"/>
  <c r="DF259" i="3"/>
  <c r="DJ259" i="3" s="1"/>
  <c r="DG259" i="3"/>
  <c r="DH259" i="3"/>
  <c r="DI229" i="3"/>
  <c r="DF229" i="3"/>
  <c r="DJ229" i="3" s="1"/>
  <c r="DG229" i="3"/>
  <c r="DH229" i="3"/>
  <c r="GN95" i="1"/>
  <c r="HD95" i="1"/>
  <c r="L329" i="8" s="1"/>
  <c r="CJ106" i="1"/>
  <c r="CC85" i="1"/>
  <c r="AB102" i="1"/>
  <c r="CG51" i="1"/>
  <c r="AJ51" i="1"/>
  <c r="AO106" i="1"/>
  <c r="AP51" i="1"/>
  <c r="DF260" i="3"/>
  <c r="P227" i="1" s="1"/>
  <c r="DH257" i="3"/>
  <c r="T266" i="11" s="1"/>
  <c r="DF254" i="3"/>
  <c r="DG254" i="3"/>
  <c r="DH251" i="3"/>
  <c r="CV247" i="3"/>
  <c r="U184" i="1" s="1"/>
  <c r="G840" i="8" s="1"/>
  <c r="CX247" i="3"/>
  <c r="G841" i="8" s="1"/>
  <c r="DG240" i="3"/>
  <c r="DH239" i="3"/>
  <c r="DH235" i="3"/>
  <c r="T247" i="11" s="1"/>
  <c r="DG231" i="3"/>
  <c r="DH231" i="3"/>
  <c r="T224" i="11" s="1"/>
  <c r="DI227" i="3"/>
  <c r="DF225" i="3"/>
  <c r="DI225" i="3"/>
  <c r="DF220" i="3"/>
  <c r="DG220" i="3"/>
  <c r="DH216" i="3"/>
  <c r="DI211" i="3"/>
  <c r="DG210" i="3"/>
  <c r="DF210" i="3"/>
  <c r="DJ210" i="3" s="1"/>
  <c r="DH210" i="3"/>
  <c r="DF199" i="3"/>
  <c r="DG199" i="3"/>
  <c r="DH199" i="3"/>
  <c r="T208" i="11" s="1"/>
  <c r="DI150" i="3"/>
  <c r="DF150" i="3"/>
  <c r="DG150" i="3"/>
  <c r="DH150" i="3"/>
  <c r="T155" i="11" s="1"/>
  <c r="AO51" i="1"/>
  <c r="DG257" i="3"/>
  <c r="DI254" i="3"/>
  <c r="DG251" i="3"/>
  <c r="DF250" i="3"/>
  <c r="DG250" i="3"/>
  <c r="DF246" i="3"/>
  <c r="DJ246" i="3" s="1"/>
  <c r="DG246" i="3"/>
  <c r="CX234" i="3"/>
  <c r="G803" i="8" s="1"/>
  <c r="DH230" i="3"/>
  <c r="DI230" i="3"/>
  <c r="DG226" i="3"/>
  <c r="DH225" i="3"/>
  <c r="T228" i="11" s="1"/>
  <c r="DI220" i="3"/>
  <c r="DF209" i="3"/>
  <c r="DG209" i="3"/>
  <c r="DH209" i="3"/>
  <c r="T216" i="11" s="1"/>
  <c r="DF168" i="3"/>
  <c r="DI168" i="3"/>
  <c r="DG168" i="3"/>
  <c r="DH168" i="3"/>
  <c r="T170" i="11" s="1"/>
  <c r="DF257" i="3"/>
  <c r="CW238" i="3"/>
  <c r="CX238" i="3"/>
  <c r="G809" i="8" s="1"/>
  <c r="DF224" i="3"/>
  <c r="DG224" i="3"/>
  <c r="CW219" i="3"/>
  <c r="CX219" i="3"/>
  <c r="G778" i="8" s="1"/>
  <c r="CW215" i="3"/>
  <c r="CX215" i="3"/>
  <c r="G772" i="8" s="1"/>
  <c r="DI208" i="3"/>
  <c r="DF208" i="3"/>
  <c r="DG208" i="3"/>
  <c r="AU51" i="1"/>
  <c r="DG245" i="3"/>
  <c r="DH245" i="3"/>
  <c r="T251" i="11" s="1"/>
  <c r="DF237" i="3"/>
  <c r="DI237" i="3"/>
  <c r="DI218" i="3"/>
  <c r="DF218" i="3"/>
  <c r="DI214" i="3"/>
  <c r="DF214" i="3"/>
  <c r="BB51" i="1"/>
  <c r="DH261" i="3"/>
  <c r="DF258" i="3"/>
  <c r="DG258" i="3"/>
  <c r="DH256" i="3"/>
  <c r="T267" i="11" s="1"/>
  <c r="DI253" i="3"/>
  <c r="DH249" i="3"/>
  <c r="T259" i="11" s="1"/>
  <c r="DI249" i="3"/>
  <c r="DH237" i="3"/>
  <c r="DF233" i="3"/>
  <c r="DI233" i="3"/>
  <c r="DF228" i="3"/>
  <c r="DG228" i="3"/>
  <c r="DH224" i="3"/>
  <c r="T229" i="11" s="1"/>
  <c r="DG223" i="3"/>
  <c r="DH223" i="3"/>
  <c r="T230" i="11" s="1"/>
  <c r="DH218" i="3"/>
  <c r="T235" i="11" s="1"/>
  <c r="DH214" i="3"/>
  <c r="T239" i="11" s="1"/>
  <c r="CX213" i="3"/>
  <c r="G769" i="8" s="1"/>
  <c r="DH208" i="3"/>
  <c r="DF181" i="3"/>
  <c r="DI181" i="3"/>
  <c r="DG181" i="3"/>
  <c r="DH181" i="3"/>
  <c r="T195" i="11" s="1"/>
  <c r="DG261" i="3"/>
  <c r="DI258" i="3"/>
  <c r="DF256" i="3"/>
  <c r="DG253" i="3"/>
  <c r="DH252" i="3"/>
  <c r="DI252" i="3"/>
  <c r="DG249" i="3"/>
  <c r="DF248" i="3"/>
  <c r="DG248" i="3"/>
  <c r="DI245" i="3"/>
  <c r="DH244" i="3"/>
  <c r="DI244" i="3"/>
  <c r="DG241" i="3"/>
  <c r="DH241" i="3"/>
  <c r="DG237" i="3"/>
  <c r="DH233" i="3"/>
  <c r="T222" i="11" s="1"/>
  <c r="DI228" i="3"/>
  <c r="DH222" i="3"/>
  <c r="T231" i="11" s="1"/>
  <c r="DI222" i="3"/>
  <c r="DG218" i="3"/>
  <c r="DG214" i="3"/>
  <c r="DH204" i="3"/>
  <c r="T203" i="11" s="1"/>
  <c r="DF204" i="3"/>
  <c r="DG204" i="3"/>
  <c r="DI204" i="3"/>
  <c r="DI203" i="3"/>
  <c r="DH203" i="3"/>
  <c r="T204" i="11" s="1"/>
  <c r="DF203" i="3"/>
  <c r="DF202" i="3"/>
  <c r="DH202" i="3"/>
  <c r="T205" i="11" s="1"/>
  <c r="DI202" i="3"/>
  <c r="DF197" i="3"/>
  <c r="DG197" i="3"/>
  <c r="DI197" i="3"/>
  <c r="DF184" i="3"/>
  <c r="DI184" i="3"/>
  <c r="DG184" i="3"/>
  <c r="DH180" i="3"/>
  <c r="T180" i="11" s="1"/>
  <c r="DI180" i="3"/>
  <c r="DF180" i="3"/>
  <c r="DG180" i="3"/>
  <c r="CV255" i="3"/>
  <c r="U224" i="1" s="1"/>
  <c r="CX255" i="3"/>
  <c r="G895" i="8" s="1"/>
  <c r="DF253" i="3"/>
  <c r="DF245" i="3"/>
  <c r="DF243" i="3"/>
  <c r="DG243" i="3"/>
  <c r="DH240" i="3"/>
  <c r="DI240" i="3"/>
  <c r="CW236" i="3"/>
  <c r="CX236" i="3"/>
  <c r="G806" i="8" s="1"/>
  <c r="DF232" i="3"/>
  <c r="DG232" i="3"/>
  <c r="DG227" i="3"/>
  <c r="DH227" i="3"/>
  <c r="T226" i="11" s="1"/>
  <c r="CW217" i="3"/>
  <c r="CX217" i="3"/>
  <c r="G775" i="8" s="1"/>
  <c r="DF212" i="3"/>
  <c r="DH212" i="3"/>
  <c r="T215" i="11" s="1"/>
  <c r="DI212" i="3"/>
  <c r="CV196" i="3"/>
  <c r="CX196" i="3"/>
  <c r="G726" i="8" s="1"/>
  <c r="DF192" i="3"/>
  <c r="DG192" i="3"/>
  <c r="DH192" i="3"/>
  <c r="T196" i="11" s="1"/>
  <c r="DI192" i="3"/>
  <c r="DI189" i="3"/>
  <c r="DF189" i="3"/>
  <c r="DG189" i="3"/>
  <c r="DH189" i="3"/>
  <c r="T199" i="11" s="1"/>
  <c r="DI239" i="3"/>
  <c r="DF239" i="3"/>
  <c r="DI235" i="3"/>
  <c r="DF235" i="3"/>
  <c r="DH226" i="3"/>
  <c r="T227" i="11" s="1"/>
  <c r="DI226" i="3"/>
  <c r="DF216" i="3"/>
  <c r="DI216" i="3"/>
  <c r="DF211" i="3"/>
  <c r="DJ211" i="3" s="1"/>
  <c r="DG211" i="3"/>
  <c r="CW200" i="3"/>
  <c r="V171" i="1" s="1"/>
  <c r="G728" i="8" s="1"/>
  <c r="DF195" i="3"/>
  <c r="DI195" i="3"/>
  <c r="DG190" i="3"/>
  <c r="DG186" i="3"/>
  <c r="DH186" i="3"/>
  <c r="T190" i="11" s="1"/>
  <c r="DG177" i="3"/>
  <c r="DH177" i="3"/>
  <c r="T182" i="11" s="1"/>
  <c r="DH169" i="3"/>
  <c r="T169" i="11" s="1"/>
  <c r="DI169" i="3"/>
  <c r="DG165" i="3"/>
  <c r="DH164" i="3"/>
  <c r="T174" i="11" s="1"/>
  <c r="CV160" i="3"/>
  <c r="U163" i="1" s="1"/>
  <c r="G640" i="8" s="1"/>
  <c r="CX160" i="3"/>
  <c r="G641" i="8" s="1"/>
  <c r="CW155" i="3"/>
  <c r="V162" i="1" s="1"/>
  <c r="G623" i="8" s="1"/>
  <c r="DI147" i="3"/>
  <c r="DF147" i="3"/>
  <c r="DF140" i="3"/>
  <c r="DH140" i="3"/>
  <c r="T137" i="11" s="1"/>
  <c r="DG140" i="3"/>
  <c r="DF129" i="3"/>
  <c r="DG129" i="3"/>
  <c r="DH129" i="3"/>
  <c r="T147" i="11" s="1"/>
  <c r="DF188" i="3"/>
  <c r="DG188" i="3"/>
  <c r="DH185" i="3"/>
  <c r="T191" i="11" s="1"/>
  <c r="DI185" i="3"/>
  <c r="DH176" i="3"/>
  <c r="T183" i="11" s="1"/>
  <c r="DI176" i="3"/>
  <c r="DG172" i="3"/>
  <c r="DH172" i="3"/>
  <c r="T187" i="11" s="1"/>
  <c r="DI170" i="3"/>
  <c r="DF163" i="3"/>
  <c r="DG163" i="3"/>
  <c r="DF159" i="3"/>
  <c r="DG159" i="3"/>
  <c r="DH155" i="3"/>
  <c r="DI155" i="3"/>
  <c r="DH151" i="3"/>
  <c r="T154" i="11" s="1"/>
  <c r="DI151" i="3"/>
  <c r="DF146" i="3"/>
  <c r="DI146" i="3"/>
  <c r="DF120" i="3"/>
  <c r="DI120" i="3"/>
  <c r="DG120" i="3"/>
  <c r="CV193" i="3"/>
  <c r="CX193" i="3"/>
  <c r="G723" i="8" s="1"/>
  <c r="DF175" i="3"/>
  <c r="DI175" i="3"/>
  <c r="DF154" i="3"/>
  <c r="DG154" i="3"/>
  <c r="CV145" i="3"/>
  <c r="U160" i="1" s="1"/>
  <c r="G601" i="8" s="1"/>
  <c r="CX145" i="3"/>
  <c r="G602" i="8" s="1"/>
  <c r="DG139" i="3"/>
  <c r="DF139" i="3"/>
  <c r="DI137" i="3"/>
  <c r="DG137" i="3"/>
  <c r="DH137" i="3"/>
  <c r="T139" i="11" s="1"/>
  <c r="DF136" i="3"/>
  <c r="DG136" i="3"/>
  <c r="DH136" i="3"/>
  <c r="T140" i="11" s="1"/>
  <c r="DF109" i="3"/>
  <c r="DG109" i="3"/>
  <c r="DH109" i="3"/>
  <c r="T128" i="11" s="1"/>
  <c r="DI109" i="3"/>
  <c r="DF107" i="3"/>
  <c r="DG107" i="3"/>
  <c r="DI107" i="3"/>
  <c r="DH107" i="3"/>
  <c r="T96" i="11" s="1"/>
  <c r="DF167" i="3"/>
  <c r="DG167" i="3"/>
  <c r="DG158" i="3"/>
  <c r="DH158" i="3"/>
  <c r="T162" i="11" s="1"/>
  <c r="DF144" i="3"/>
  <c r="DI144" i="3"/>
  <c r="DI133" i="3"/>
  <c r="DF133" i="3"/>
  <c r="DH133" i="3"/>
  <c r="T143" i="11" s="1"/>
  <c r="DF132" i="3"/>
  <c r="DH132" i="3"/>
  <c r="T144" i="11" s="1"/>
  <c r="DI132" i="3"/>
  <c r="DF185" i="3"/>
  <c r="DF183" i="3"/>
  <c r="DG183" i="3"/>
  <c r="DI179" i="3"/>
  <c r="DF179" i="3"/>
  <c r="DJ179" i="3" s="1"/>
  <c r="DF176" i="3"/>
  <c r="DG175" i="3"/>
  <c r="DF172" i="3"/>
  <c r="DI167" i="3"/>
  <c r="DH162" i="3"/>
  <c r="DI162" i="3"/>
  <c r="DH154" i="3"/>
  <c r="T166" i="11" s="1"/>
  <c r="DH153" i="3"/>
  <c r="T167" i="11" s="1"/>
  <c r="DI153" i="3"/>
  <c r="DF151" i="3"/>
  <c r="DF149" i="3"/>
  <c r="DG149" i="3"/>
  <c r="DH144" i="3"/>
  <c r="T133" i="11" s="1"/>
  <c r="DH139" i="3"/>
  <c r="T138" i="11" s="1"/>
  <c r="DI136" i="3"/>
  <c r="DH134" i="3"/>
  <c r="T142" i="11" s="1"/>
  <c r="DF134" i="3"/>
  <c r="DG134" i="3"/>
  <c r="DI134" i="3"/>
  <c r="DI116" i="3"/>
  <c r="DF116" i="3"/>
  <c r="DG116" i="3"/>
  <c r="DF104" i="3"/>
  <c r="DI104" i="3"/>
  <c r="DG104" i="3"/>
  <c r="DH104" i="3"/>
  <c r="T99" i="11" s="1"/>
  <c r="DG191" i="3"/>
  <c r="DH191" i="3"/>
  <c r="T197" i="11" s="1"/>
  <c r="DI183" i="3"/>
  <c r="DH179" i="3"/>
  <c r="CW174" i="3"/>
  <c r="V165" i="1" s="1"/>
  <c r="G667" i="8" s="1"/>
  <c r="CX174" i="3"/>
  <c r="G669" i="8" s="1"/>
  <c r="DH167" i="3"/>
  <c r="T171" i="11" s="1"/>
  <c r="DG166" i="3"/>
  <c r="DH166" i="3"/>
  <c r="T172" i="11" s="1"/>
  <c r="DG162" i="3"/>
  <c r="DF161" i="3"/>
  <c r="DG161" i="3"/>
  <c r="DI158" i="3"/>
  <c r="DH157" i="3"/>
  <c r="DI157" i="3"/>
  <c r="DF152" i="3"/>
  <c r="DI152" i="3"/>
  <c r="DI149" i="3"/>
  <c r="DG144" i="3"/>
  <c r="DF137" i="3"/>
  <c r="DG132" i="3"/>
  <c r="DI100" i="3"/>
  <c r="DF100" i="3"/>
  <c r="DG100" i="3"/>
  <c r="DH100" i="3"/>
  <c r="T102" i="11" s="1"/>
  <c r="DH190" i="3"/>
  <c r="T198" i="11" s="1"/>
  <c r="DI190" i="3"/>
  <c r="CW182" i="3"/>
  <c r="V168" i="1" s="1"/>
  <c r="G690" i="8" s="1"/>
  <c r="CX182" i="3"/>
  <c r="G691" i="8" s="1"/>
  <c r="DF178" i="3"/>
  <c r="DG178" i="3"/>
  <c r="DI173" i="3"/>
  <c r="DF173" i="3"/>
  <c r="DH165" i="3"/>
  <c r="T173" i="11" s="1"/>
  <c r="DI165" i="3"/>
  <c r="DF158" i="3"/>
  <c r="DF156" i="3"/>
  <c r="DG156" i="3"/>
  <c r="CW148" i="3"/>
  <c r="V160" i="1" s="1"/>
  <c r="G604" i="8" s="1"/>
  <c r="CX148" i="3"/>
  <c r="G606" i="8" s="1"/>
  <c r="DG133" i="3"/>
  <c r="CX126" i="3"/>
  <c r="G570" i="8" s="1"/>
  <c r="CW126" i="3"/>
  <c r="V157" i="1" s="1"/>
  <c r="G569" i="8" s="1"/>
  <c r="CV124" i="3"/>
  <c r="U157" i="1" s="1"/>
  <c r="G566" i="8" s="1"/>
  <c r="CX124" i="3"/>
  <c r="G567" i="8" s="1"/>
  <c r="DF96" i="3"/>
  <c r="DI96" i="3"/>
  <c r="DG96" i="3"/>
  <c r="DH96" i="3"/>
  <c r="T106" i="11" s="1"/>
  <c r="DG170" i="3"/>
  <c r="DH170" i="3"/>
  <c r="DI164" i="3"/>
  <c r="DF164" i="3"/>
  <c r="DI141" i="3"/>
  <c r="DF141" i="3"/>
  <c r="DG141" i="3"/>
  <c r="DF138" i="3"/>
  <c r="DJ138" i="3" s="1"/>
  <c r="DH135" i="3"/>
  <c r="T141" i="11" s="1"/>
  <c r="DG128" i="3"/>
  <c r="DI125" i="3"/>
  <c r="DH121" i="3"/>
  <c r="DI121" i="3"/>
  <c r="DH117" i="3"/>
  <c r="T120" i="11" s="1"/>
  <c r="DI117" i="3"/>
  <c r="DG114" i="3"/>
  <c r="DF113" i="3"/>
  <c r="DG113" i="3"/>
  <c r="CW110" i="3"/>
  <c r="V152" i="1" s="1"/>
  <c r="G532" i="8" s="1"/>
  <c r="DG94" i="3"/>
  <c r="DH94" i="3"/>
  <c r="T108" i="11" s="1"/>
  <c r="DF135" i="3"/>
  <c r="DF128" i="3"/>
  <c r="DH110" i="3"/>
  <c r="DI110" i="3"/>
  <c r="DI93" i="3"/>
  <c r="DF93" i="3"/>
  <c r="DH87" i="3"/>
  <c r="T115" i="11" s="1"/>
  <c r="DI87" i="3"/>
  <c r="DF87" i="3"/>
  <c r="DH52" i="3"/>
  <c r="DI52" i="3"/>
  <c r="DF52" i="3"/>
  <c r="P96" i="1" s="1"/>
  <c r="DH38" i="3"/>
  <c r="T39" i="11" s="1"/>
  <c r="DI38" i="3"/>
  <c r="DF38" i="3"/>
  <c r="DG38" i="3"/>
  <c r="DF91" i="3"/>
  <c r="DI91" i="3"/>
  <c r="DG91" i="3"/>
  <c r="DH91" i="3"/>
  <c r="DI89" i="3"/>
  <c r="DF89" i="3"/>
  <c r="DG89" i="3"/>
  <c r="DH89" i="3"/>
  <c r="DH85" i="3"/>
  <c r="DI85" i="3"/>
  <c r="DG85" i="3"/>
  <c r="CW70" i="3"/>
  <c r="V102" i="1" s="1"/>
  <c r="G401" i="8" s="1"/>
  <c r="CX70" i="3"/>
  <c r="G402" i="8" s="1"/>
  <c r="CW46" i="3"/>
  <c r="V91" i="1" s="1"/>
  <c r="G299" i="8" s="1"/>
  <c r="CX46" i="3"/>
  <c r="G300" i="8" s="1"/>
  <c r="DJ127" i="3"/>
  <c r="DF123" i="3"/>
  <c r="DJ123" i="3" s="1"/>
  <c r="DG123" i="3"/>
  <c r="DF119" i="3"/>
  <c r="DG119" i="3"/>
  <c r="DF115" i="3"/>
  <c r="DG115" i="3"/>
  <c r="DH105" i="3"/>
  <c r="T98" i="11" s="1"/>
  <c r="DI105" i="3"/>
  <c r="DH101" i="3"/>
  <c r="DI101" i="3"/>
  <c r="DH97" i="3"/>
  <c r="T105" i="11" s="1"/>
  <c r="DI97" i="3"/>
  <c r="DJ93" i="3"/>
  <c r="CW92" i="3"/>
  <c r="CX92" i="3"/>
  <c r="G503" i="8" s="1"/>
  <c r="CW90" i="3"/>
  <c r="CX90" i="3"/>
  <c r="G500" i="8" s="1"/>
  <c r="DF83" i="3"/>
  <c r="DG83" i="3"/>
  <c r="DH83" i="3"/>
  <c r="T80" i="11" s="1"/>
  <c r="DF66" i="3"/>
  <c r="DG66" i="3"/>
  <c r="DH66" i="3"/>
  <c r="T70" i="11" s="1"/>
  <c r="DI66" i="3"/>
  <c r="DH48" i="3"/>
  <c r="T51" i="11" s="1"/>
  <c r="DI48" i="3"/>
  <c r="DF48" i="3"/>
  <c r="DG48" i="3"/>
  <c r="DI123" i="3"/>
  <c r="DI119" i="3"/>
  <c r="DI115" i="3"/>
  <c r="DH112" i="3"/>
  <c r="DI112" i="3"/>
  <c r="CW56" i="3"/>
  <c r="CX56" i="3"/>
  <c r="G364" i="8" s="1"/>
  <c r="DF34" i="3"/>
  <c r="DG34" i="3"/>
  <c r="DH34" i="3"/>
  <c r="T43" i="11" s="1"/>
  <c r="DI34" i="3"/>
  <c r="DH123" i="3"/>
  <c r="DH119" i="3"/>
  <c r="T118" i="11" s="1"/>
  <c r="DH115" i="3"/>
  <c r="DF111" i="3"/>
  <c r="DG111" i="3"/>
  <c r="CV108" i="3"/>
  <c r="U152" i="1" s="1"/>
  <c r="G529" i="8" s="1"/>
  <c r="CX108" i="3"/>
  <c r="G530" i="8" s="1"/>
  <c r="DG105" i="3"/>
  <c r="DG101" i="3"/>
  <c r="DG97" i="3"/>
  <c r="DF85" i="3"/>
  <c r="DJ85" i="3" s="1"/>
  <c r="DI83" i="3"/>
  <c r="DH81" i="3"/>
  <c r="T82" i="11" s="1"/>
  <c r="DI81" i="3"/>
  <c r="DG81" i="3"/>
  <c r="DI62" i="3"/>
  <c r="DF62" i="3"/>
  <c r="DG62" i="3"/>
  <c r="DF60" i="3"/>
  <c r="DI60" i="3"/>
  <c r="DH60" i="3"/>
  <c r="T62" i="11" s="1"/>
  <c r="DG60" i="3"/>
  <c r="CW58" i="3"/>
  <c r="CX58" i="3"/>
  <c r="G368" i="8" s="1"/>
  <c r="DF103" i="3"/>
  <c r="DG103" i="3"/>
  <c r="DF99" i="3"/>
  <c r="DG99" i="3"/>
  <c r="DF95" i="3"/>
  <c r="DG95" i="3"/>
  <c r="DF79" i="3"/>
  <c r="DG79" i="3"/>
  <c r="DH79" i="3"/>
  <c r="T84" i="11" s="1"/>
  <c r="DF125" i="3"/>
  <c r="DG125" i="3"/>
  <c r="DH114" i="3"/>
  <c r="T123" i="11" s="1"/>
  <c r="DI114" i="3"/>
  <c r="DI103" i="3"/>
  <c r="DI99" i="3"/>
  <c r="DI95" i="3"/>
  <c r="DH42" i="3"/>
  <c r="T57" i="11" s="1"/>
  <c r="DI42" i="3"/>
  <c r="DF42" i="3"/>
  <c r="CW78" i="3"/>
  <c r="CX78" i="3"/>
  <c r="G470" i="8" s="1"/>
  <c r="CW74" i="3"/>
  <c r="CX74" i="3"/>
  <c r="G463" i="8" s="1"/>
  <c r="DF67" i="3"/>
  <c r="DI67" i="3"/>
  <c r="CW63" i="3"/>
  <c r="CX63" i="3"/>
  <c r="G383" i="8" s="1"/>
  <c r="DF59" i="3"/>
  <c r="DG59" i="3"/>
  <c r="DH55" i="3"/>
  <c r="T67" i="11" s="1"/>
  <c r="DH45" i="3"/>
  <c r="T54" i="11" s="1"/>
  <c r="DH23" i="3"/>
  <c r="T30" i="11" s="1"/>
  <c r="DI23" i="3"/>
  <c r="DF22" i="3"/>
  <c r="DG22" i="3"/>
  <c r="DI22" i="3"/>
  <c r="DF13" i="3"/>
  <c r="DG13" i="3"/>
  <c r="DH13" i="3"/>
  <c r="DI13" i="3"/>
  <c r="DI12" i="3"/>
  <c r="DF12" i="3"/>
  <c r="DG12" i="3"/>
  <c r="CV11" i="3"/>
  <c r="U46" i="1" s="1"/>
  <c r="G163" i="8" s="1"/>
  <c r="CX11" i="3"/>
  <c r="G164" i="8" s="1"/>
  <c r="DG2" i="3"/>
  <c r="Q32" i="1" s="1"/>
  <c r="DH2" i="3"/>
  <c r="DI2" i="3"/>
  <c r="DI77" i="3"/>
  <c r="DF77" i="3"/>
  <c r="DI73" i="3"/>
  <c r="DF73" i="3"/>
  <c r="DH71" i="3"/>
  <c r="T92" i="11" s="1"/>
  <c r="DI71" i="3"/>
  <c r="DH67" i="3"/>
  <c r="T69" i="11" s="1"/>
  <c r="DI59" i="3"/>
  <c r="CX54" i="3"/>
  <c r="G361" i="8" s="1"/>
  <c r="CX44" i="3"/>
  <c r="G297" i="8" s="1"/>
  <c r="DH35" i="3"/>
  <c r="DI35" i="3"/>
  <c r="DI31" i="3"/>
  <c r="DF31" i="3"/>
  <c r="DF27" i="3"/>
  <c r="DH27" i="3"/>
  <c r="T26" i="11" s="1"/>
  <c r="DI27" i="3"/>
  <c r="DI26" i="3"/>
  <c r="DF26" i="3"/>
  <c r="DF17" i="3"/>
  <c r="DH17" i="3"/>
  <c r="DI17" i="3"/>
  <c r="DI69" i="3"/>
  <c r="DF69" i="3"/>
  <c r="DF61" i="3"/>
  <c r="DG61" i="3"/>
  <c r="DF57" i="3"/>
  <c r="DI57" i="3"/>
  <c r="DI47" i="3"/>
  <c r="DF47" i="3"/>
  <c r="DF37" i="3"/>
  <c r="DI37" i="3"/>
  <c r="DH26" i="3"/>
  <c r="T27" i="11" s="1"/>
  <c r="CW21" i="3"/>
  <c r="V49" i="1" s="1"/>
  <c r="CX21" i="3"/>
  <c r="G203" i="8" s="1"/>
  <c r="DF16" i="3"/>
  <c r="DG16" i="3"/>
  <c r="DF8" i="3"/>
  <c r="DG8" i="3"/>
  <c r="DH8" i="3"/>
  <c r="DI8" i="3"/>
  <c r="DI7" i="3"/>
  <c r="O15" i="11" s="1"/>
  <c r="DF7" i="3"/>
  <c r="DG7" i="3"/>
  <c r="Q41" i="1" s="1"/>
  <c r="CV6" i="3"/>
  <c r="U37" i="1" s="1"/>
  <c r="G112" i="8" s="1"/>
  <c r="CX6" i="3"/>
  <c r="G113" i="8" s="1"/>
  <c r="DF84" i="3"/>
  <c r="DJ84" i="3" s="1"/>
  <c r="DI84" i="3"/>
  <c r="DI80" i="3"/>
  <c r="DF80" i="3"/>
  <c r="CW76" i="3"/>
  <c r="CX76" i="3"/>
  <c r="G467" i="8" s="1"/>
  <c r="DH69" i="3"/>
  <c r="T77" i="11" s="1"/>
  <c r="CW65" i="3"/>
  <c r="CX65" i="3"/>
  <c r="G387" i="8" s="1"/>
  <c r="DI61" i="3"/>
  <c r="DH57" i="3"/>
  <c r="DF53" i="3"/>
  <c r="P97" i="1" s="1"/>
  <c r="DI53" i="3"/>
  <c r="CV51" i="3"/>
  <c r="U93" i="1" s="1"/>
  <c r="G317" i="8" s="1"/>
  <c r="CX51" i="3"/>
  <c r="G318" i="8" s="1"/>
  <c r="DH47" i="3"/>
  <c r="DI43" i="3"/>
  <c r="DF43" i="3"/>
  <c r="CV41" i="3"/>
  <c r="U91" i="1" s="1"/>
  <c r="G293" i="8" s="1"/>
  <c r="CX41" i="3"/>
  <c r="G294" i="8" s="1"/>
  <c r="DH37" i="3"/>
  <c r="T40" i="11" s="1"/>
  <c r="DG26" i="3"/>
  <c r="DI20" i="3"/>
  <c r="DF20" i="3"/>
  <c r="DG17" i="3"/>
  <c r="DI16" i="3"/>
  <c r="DH84" i="3"/>
  <c r="DH80" i="3"/>
  <c r="T83" i="11" s="1"/>
  <c r="DF75" i="3"/>
  <c r="DI75" i="3"/>
  <c r="DG69" i="3"/>
  <c r="CX68" i="3"/>
  <c r="G399" i="8" s="1"/>
  <c r="DF64" i="3"/>
  <c r="DI64" i="3"/>
  <c r="DH61" i="3"/>
  <c r="T75" i="11" s="1"/>
  <c r="DG57" i="3"/>
  <c r="DH53" i="3"/>
  <c r="DF50" i="3"/>
  <c r="DG50" i="3"/>
  <c r="DG47" i="3"/>
  <c r="DH43" i="3"/>
  <c r="T56" i="11" s="1"/>
  <c r="DF40" i="3"/>
  <c r="DJ40" i="3" s="1"/>
  <c r="DG40" i="3"/>
  <c r="DG37" i="3"/>
  <c r="DF36" i="3"/>
  <c r="DG36" i="3"/>
  <c r="CV33" i="3"/>
  <c r="U89" i="1" s="1"/>
  <c r="CX33" i="3"/>
  <c r="G271" i="8" s="1"/>
  <c r="DH16" i="3"/>
  <c r="T22" i="11" s="1"/>
  <c r="DH15" i="3"/>
  <c r="DI15" i="3"/>
  <c r="DH7" i="3"/>
  <c r="DF32" i="3"/>
  <c r="DG32" i="3"/>
  <c r="DH30" i="3"/>
  <c r="T47" i="11" s="1"/>
  <c r="DI30" i="3"/>
  <c r="CW29" i="3"/>
  <c r="V87" i="1" s="1"/>
  <c r="G257" i="8" s="1"/>
  <c r="CX29" i="3"/>
  <c r="G258" i="8" s="1"/>
  <c r="DF28" i="3"/>
  <c r="DG28" i="3"/>
  <c r="DI28" i="3"/>
  <c r="CV19" i="3"/>
  <c r="U49" i="1" s="1"/>
  <c r="G199" i="8" s="1"/>
  <c r="CX19" i="3"/>
  <c r="G200" i="8" s="1"/>
  <c r="DF18" i="3"/>
  <c r="P48" i="1" s="1"/>
  <c r="DG18" i="3"/>
  <c r="Q48" i="1" s="1"/>
  <c r="DI18" i="3"/>
  <c r="DJ64" i="3"/>
  <c r="DI55" i="3"/>
  <c r="DF55" i="3"/>
  <c r="DF45" i="3"/>
  <c r="DI45" i="3"/>
  <c r="DI32" i="3"/>
  <c r="DF30" i="3"/>
  <c r="CV1" i="3"/>
  <c r="U31" i="1" s="1"/>
  <c r="G66" i="8" s="1"/>
  <c r="CX1" i="3"/>
  <c r="G67" i="8" s="1"/>
  <c r="DI14" i="3"/>
  <c r="DI9" i="3"/>
  <c r="DI4" i="3"/>
  <c r="S35" i="1" s="1"/>
  <c r="DG14" i="3"/>
  <c r="CX10" i="3"/>
  <c r="G154" i="8" s="1"/>
  <c r="DG9" i="3"/>
  <c r="Q43" i="1" s="1"/>
  <c r="CX5" i="3"/>
  <c r="G104" i="8" s="1"/>
  <c r="DG4" i="3"/>
  <c r="DG25" i="3"/>
  <c r="BZ28" i="1" l="1"/>
  <c r="F124" i="1"/>
  <c r="CI51" i="1"/>
  <c r="T65" i="11"/>
  <c r="L367" i="8"/>
  <c r="DJ12" i="3"/>
  <c r="O19" i="11"/>
  <c r="DJ135" i="3"/>
  <c r="O141" i="11"/>
  <c r="L582" i="8"/>
  <c r="DJ180" i="3"/>
  <c r="O180" i="11"/>
  <c r="F113" i="10" s="1"/>
  <c r="L676" i="8"/>
  <c r="DJ218" i="3"/>
  <c r="O235" i="11"/>
  <c r="L777" i="8"/>
  <c r="DJ257" i="3"/>
  <c r="O266" i="11"/>
  <c r="F47" i="10" s="1"/>
  <c r="L898" i="8"/>
  <c r="GM164" i="1"/>
  <c r="GN164" i="1" s="1"/>
  <c r="AZ657" i="8"/>
  <c r="O24" i="11"/>
  <c r="L177" i="8"/>
  <c r="L176" i="8" s="1"/>
  <c r="DJ55" i="3"/>
  <c r="O67" i="11"/>
  <c r="DJ36" i="3"/>
  <c r="O41" i="11"/>
  <c r="F51" i="10" s="1"/>
  <c r="L276" i="8"/>
  <c r="DJ50" i="3"/>
  <c r="O49" i="11"/>
  <c r="L307" i="8"/>
  <c r="O75" i="11"/>
  <c r="L380" i="8"/>
  <c r="L379" i="8" s="1"/>
  <c r="AR395" i="8" s="1"/>
  <c r="T14" i="11"/>
  <c r="L131" i="8"/>
  <c r="L129" i="8" s="1"/>
  <c r="O9" i="11"/>
  <c r="L76" i="8"/>
  <c r="L75" i="8" s="1"/>
  <c r="DJ59" i="3"/>
  <c r="O63" i="11"/>
  <c r="L370" i="8"/>
  <c r="DJ67" i="3"/>
  <c r="O69" i="11"/>
  <c r="L390" i="8"/>
  <c r="DJ95" i="3"/>
  <c r="O107" i="11"/>
  <c r="L507" i="8"/>
  <c r="DJ103" i="3"/>
  <c r="O100" i="11"/>
  <c r="L514" i="8"/>
  <c r="DJ111" i="3"/>
  <c r="O126" i="11"/>
  <c r="L535" i="8"/>
  <c r="T125" i="11"/>
  <c r="L538" i="8"/>
  <c r="V149" i="1"/>
  <c r="G497" i="8" s="1"/>
  <c r="T113" i="11"/>
  <c r="L499" i="8"/>
  <c r="L497" i="8" s="1"/>
  <c r="T111" i="11"/>
  <c r="L502" i="8"/>
  <c r="O115" i="11"/>
  <c r="L495" i="8"/>
  <c r="L494" i="8" s="1"/>
  <c r="AR525" i="8" s="1"/>
  <c r="O124" i="11"/>
  <c r="L539" i="8"/>
  <c r="DJ128" i="3"/>
  <c r="O148" i="11"/>
  <c r="L573" i="8"/>
  <c r="DJ141" i="3"/>
  <c r="O136" i="11"/>
  <c r="L587" i="8"/>
  <c r="DJ100" i="3"/>
  <c r="O102" i="11"/>
  <c r="L512" i="8"/>
  <c r="DJ116" i="3"/>
  <c r="O121" i="11"/>
  <c r="L545" i="8"/>
  <c r="DJ134" i="3"/>
  <c r="O142" i="11"/>
  <c r="L581" i="8"/>
  <c r="DJ153" i="3"/>
  <c r="O167" i="11"/>
  <c r="T176" i="11"/>
  <c r="L645" i="8"/>
  <c r="L643" i="8" s="1"/>
  <c r="DJ176" i="3"/>
  <c r="O183" i="11"/>
  <c r="F62" i="10" s="1"/>
  <c r="L673" i="8"/>
  <c r="DJ183" i="3"/>
  <c r="O193" i="11"/>
  <c r="L693" i="8"/>
  <c r="DJ132" i="3"/>
  <c r="O144" i="11"/>
  <c r="L579" i="8"/>
  <c r="DJ136" i="3"/>
  <c r="O140" i="11"/>
  <c r="L583" i="8"/>
  <c r="DJ139" i="3"/>
  <c r="O138" i="11"/>
  <c r="L585" i="8"/>
  <c r="O166" i="11"/>
  <c r="F34" i="10" s="1"/>
  <c r="L624" i="8"/>
  <c r="DJ120" i="3"/>
  <c r="O117" i="11"/>
  <c r="L549" i="8"/>
  <c r="DJ159" i="3"/>
  <c r="O161" i="11"/>
  <c r="F115" i="10" s="1"/>
  <c r="L632" i="8"/>
  <c r="DJ195" i="3"/>
  <c r="O212" i="11"/>
  <c r="L725" i="8"/>
  <c r="DJ192" i="3"/>
  <c r="O196" i="11"/>
  <c r="L713" i="8"/>
  <c r="O253" i="11"/>
  <c r="F36" i="10" s="1"/>
  <c r="L827" i="8"/>
  <c r="DJ184" i="3"/>
  <c r="O192" i="11"/>
  <c r="L694" i="8"/>
  <c r="DJ204" i="3"/>
  <c r="O203" i="11"/>
  <c r="L737" i="8"/>
  <c r="DJ237" i="3"/>
  <c r="O245" i="11"/>
  <c r="F39" i="10" s="1"/>
  <c r="L807" i="8"/>
  <c r="T252" i="11"/>
  <c r="DJ249" i="3"/>
  <c r="O259" i="11"/>
  <c r="F42" i="10" s="1"/>
  <c r="L844" i="8"/>
  <c r="DJ214" i="3"/>
  <c r="O239" i="11"/>
  <c r="O217" i="11"/>
  <c r="F31" i="10" s="1"/>
  <c r="L752" i="8"/>
  <c r="DJ224" i="3"/>
  <c r="O229" i="11"/>
  <c r="L784" i="8"/>
  <c r="DJ216" i="3"/>
  <c r="T237" i="11"/>
  <c r="DJ225" i="3"/>
  <c r="O228" i="11"/>
  <c r="L785" i="8"/>
  <c r="DJ221" i="3"/>
  <c r="O232" i="11"/>
  <c r="L781" i="8"/>
  <c r="AZ521" i="8"/>
  <c r="BB328" i="8"/>
  <c r="K328" i="8"/>
  <c r="I328" i="8" s="1"/>
  <c r="AN328" i="8"/>
  <c r="AN854" i="8"/>
  <c r="AW854" i="8"/>
  <c r="D78" i="10"/>
  <c r="R30" i="11"/>
  <c r="M30" i="11"/>
  <c r="D106" i="10"/>
  <c r="R26" i="11"/>
  <c r="M26" i="11"/>
  <c r="R45" i="11"/>
  <c r="M45" i="11"/>
  <c r="D24" i="10"/>
  <c r="D74" i="10"/>
  <c r="R39" i="11"/>
  <c r="M39" i="11"/>
  <c r="D10" i="10"/>
  <c r="M60" i="11"/>
  <c r="R60" i="11"/>
  <c r="M12" i="11"/>
  <c r="R12" i="11"/>
  <c r="M21" i="11"/>
  <c r="D55" i="10"/>
  <c r="R21" i="11"/>
  <c r="R17" i="11"/>
  <c r="M17" i="11"/>
  <c r="G76" i="8"/>
  <c r="DF2" i="3"/>
  <c r="P32" i="1" s="1"/>
  <c r="T41" i="11"/>
  <c r="L277" i="8"/>
  <c r="DG42" i="3"/>
  <c r="G295" i="8"/>
  <c r="M56" i="11"/>
  <c r="R56" i="11"/>
  <c r="D45" i="10"/>
  <c r="M88" i="11"/>
  <c r="R88" i="11"/>
  <c r="R108" i="11"/>
  <c r="M108" i="11"/>
  <c r="DG98" i="3"/>
  <c r="G510" i="8"/>
  <c r="DH98" i="3"/>
  <c r="T104" i="11" s="1"/>
  <c r="DF98" i="3"/>
  <c r="DI98" i="3"/>
  <c r="DH103" i="3"/>
  <c r="T100" i="11" s="1"/>
  <c r="G514" i="8"/>
  <c r="G586" i="8"/>
  <c r="DI140" i="3"/>
  <c r="R135" i="11"/>
  <c r="M135" i="11"/>
  <c r="DJ172" i="3"/>
  <c r="O187" i="11"/>
  <c r="G674" i="8"/>
  <c r="DF177" i="3"/>
  <c r="DI177" i="3"/>
  <c r="D76" i="10"/>
  <c r="M190" i="11"/>
  <c r="R190" i="11"/>
  <c r="DI194" i="3"/>
  <c r="G724" i="8"/>
  <c r="DF194" i="3"/>
  <c r="DG194" i="3"/>
  <c r="DH194" i="3"/>
  <c r="T213" i="11" s="1"/>
  <c r="DG207" i="3"/>
  <c r="DF207" i="3"/>
  <c r="DH207" i="3"/>
  <c r="T218" i="11" s="1"/>
  <c r="DI207" i="3"/>
  <c r="R215" i="11"/>
  <c r="M215" i="11"/>
  <c r="R226" i="11"/>
  <c r="M226" i="11"/>
  <c r="G828" i="8"/>
  <c r="DF244" i="3"/>
  <c r="DG244" i="3"/>
  <c r="DG260" i="3"/>
  <c r="Q227" i="1" s="1"/>
  <c r="G912" i="8"/>
  <c r="DH260" i="3"/>
  <c r="DI260" i="3"/>
  <c r="R153" i="11"/>
  <c r="DJ39" i="3"/>
  <c r="O38" i="11"/>
  <c r="F80" i="10" s="1"/>
  <c r="L281" i="8"/>
  <c r="R51" i="11"/>
  <c r="M51" i="11"/>
  <c r="G370" i="8"/>
  <c r="DH59" i="3"/>
  <c r="T63" i="11" s="1"/>
  <c r="M92" i="11"/>
  <c r="D19" i="10"/>
  <c r="R92" i="11"/>
  <c r="G461" i="8"/>
  <c r="DH73" i="3"/>
  <c r="DG73" i="3"/>
  <c r="D85" i="10"/>
  <c r="R81" i="11"/>
  <c r="M81" i="11"/>
  <c r="D16" i="10"/>
  <c r="M115" i="11"/>
  <c r="R115" i="11"/>
  <c r="R142" i="11"/>
  <c r="M142" i="11"/>
  <c r="R159" i="11"/>
  <c r="M159" i="11"/>
  <c r="G644" i="8"/>
  <c r="DF162" i="3"/>
  <c r="D107" i="10"/>
  <c r="M169" i="11"/>
  <c r="R169" i="11"/>
  <c r="G694" i="8"/>
  <c r="DH184" i="3"/>
  <c r="T192" i="11" s="1"/>
  <c r="M197" i="11"/>
  <c r="R197" i="11"/>
  <c r="R248" i="11"/>
  <c r="M248" i="11"/>
  <c r="DH253" i="3"/>
  <c r="T257" i="11" s="1"/>
  <c r="G848" i="8"/>
  <c r="CP145" i="1"/>
  <c r="O145" i="1" s="1"/>
  <c r="GM145" i="1" s="1"/>
  <c r="GN145" i="1" s="1"/>
  <c r="L484" i="8"/>
  <c r="O179" i="11"/>
  <c r="F109" i="10" s="1"/>
  <c r="AW815" i="8"/>
  <c r="AN815" i="8"/>
  <c r="O249" i="11"/>
  <c r="F111" i="10" s="1"/>
  <c r="DF15" i="3"/>
  <c r="P47" i="1" s="1"/>
  <c r="DG15" i="3"/>
  <c r="Q47" i="1" s="1"/>
  <c r="DJ24" i="3"/>
  <c r="O29" i="11"/>
  <c r="L209" i="8"/>
  <c r="R61" i="11"/>
  <c r="M61" i="11"/>
  <c r="DG72" i="3"/>
  <c r="DH72" i="3"/>
  <c r="T91" i="11" s="1"/>
  <c r="DI72" i="3"/>
  <c r="DF72" i="3"/>
  <c r="O101" i="11"/>
  <c r="L513" i="8"/>
  <c r="DJ102" i="3"/>
  <c r="G516" i="8"/>
  <c r="DF105" i="3"/>
  <c r="M125" i="11"/>
  <c r="R125" i="11"/>
  <c r="R121" i="11"/>
  <c r="M121" i="11"/>
  <c r="R158" i="11"/>
  <c r="D33" i="10"/>
  <c r="M158" i="11"/>
  <c r="G611" i="8"/>
  <c r="DG151" i="3"/>
  <c r="D100" i="10"/>
  <c r="M170" i="11"/>
  <c r="R170" i="11"/>
  <c r="R204" i="11"/>
  <c r="M204" i="11"/>
  <c r="R227" i="11"/>
  <c r="M227" i="11"/>
  <c r="R258" i="11"/>
  <c r="M258" i="11"/>
  <c r="E99" i="10"/>
  <c r="O48" i="11"/>
  <c r="F99" i="10" s="1"/>
  <c r="AW593" i="8"/>
  <c r="AN593" i="8"/>
  <c r="E108" i="10"/>
  <c r="O189" i="11"/>
  <c r="F108" i="10" s="1"/>
  <c r="AW833" i="8"/>
  <c r="AN833" i="8"/>
  <c r="R50" i="11"/>
  <c r="M50" i="11"/>
  <c r="G533" i="8"/>
  <c r="DF110" i="3"/>
  <c r="DG110" i="3"/>
  <c r="DH130" i="3"/>
  <c r="T146" i="11" s="1"/>
  <c r="G576" i="8"/>
  <c r="DF130" i="3"/>
  <c r="DG130" i="3"/>
  <c r="DI130" i="3"/>
  <c r="R155" i="11"/>
  <c r="M155" i="11"/>
  <c r="D82" i="10"/>
  <c r="M163" i="11"/>
  <c r="R163" i="11"/>
  <c r="D57" i="10"/>
  <c r="R198" i="11"/>
  <c r="M198" i="11"/>
  <c r="R207" i="11"/>
  <c r="M207" i="11"/>
  <c r="R224" i="11"/>
  <c r="M224" i="11"/>
  <c r="CP147" i="1"/>
  <c r="O147" i="1" s="1"/>
  <c r="L486" i="8"/>
  <c r="D98" i="10"/>
  <c r="M242" i="11"/>
  <c r="R271" i="11"/>
  <c r="R242" i="11"/>
  <c r="R269" i="11"/>
  <c r="D92" i="10"/>
  <c r="R179" i="11"/>
  <c r="T21" i="11"/>
  <c r="L182" i="8"/>
  <c r="L179" i="8" s="1"/>
  <c r="DJ137" i="3"/>
  <c r="O139" i="11"/>
  <c r="L584" i="8"/>
  <c r="DJ151" i="3"/>
  <c r="O154" i="11"/>
  <c r="L611" i="8"/>
  <c r="DJ189" i="3"/>
  <c r="O199" i="11"/>
  <c r="L710" i="8"/>
  <c r="DJ232" i="3"/>
  <c r="O223" i="11"/>
  <c r="L790" i="8"/>
  <c r="DJ203" i="3"/>
  <c r="O204" i="11"/>
  <c r="L736" i="8"/>
  <c r="L733" i="8" s="1"/>
  <c r="AW744" i="8" s="1"/>
  <c r="O265" i="11"/>
  <c r="F50" i="10" s="1"/>
  <c r="L899" i="8"/>
  <c r="DJ250" i="3"/>
  <c r="O258" i="11"/>
  <c r="L845" i="8"/>
  <c r="BB333" i="8"/>
  <c r="K333" i="8"/>
  <c r="I333" i="8" s="1"/>
  <c r="AN333" i="8"/>
  <c r="DJ32" i="3"/>
  <c r="O45" i="11"/>
  <c r="L270" i="8"/>
  <c r="O37" i="11"/>
  <c r="L255" i="8"/>
  <c r="L254" i="8" s="1"/>
  <c r="O10" i="11"/>
  <c r="L92" i="8"/>
  <c r="DJ45" i="3"/>
  <c r="O54" i="11"/>
  <c r="O47" i="11"/>
  <c r="L268" i="8"/>
  <c r="R41" i="1"/>
  <c r="T15" i="11"/>
  <c r="DH20" i="3"/>
  <c r="T33" i="11" s="1"/>
  <c r="R97" i="1"/>
  <c r="T61" i="11"/>
  <c r="O21" i="11"/>
  <c r="L181" i="8"/>
  <c r="DJ43" i="3"/>
  <c r="O56" i="11"/>
  <c r="L296" i="8"/>
  <c r="O61" i="11"/>
  <c r="L346" i="8"/>
  <c r="L345" i="8" s="1"/>
  <c r="P41" i="1"/>
  <c r="O14" i="11"/>
  <c r="L130" i="8"/>
  <c r="DJ37" i="3"/>
  <c r="O40" i="11"/>
  <c r="L279" i="8"/>
  <c r="DJ69" i="3"/>
  <c r="O77" i="11"/>
  <c r="DJ26" i="3"/>
  <c r="O27" i="11"/>
  <c r="F105" i="10" s="1"/>
  <c r="L211" i="8"/>
  <c r="DJ27" i="3"/>
  <c r="O26" i="11"/>
  <c r="F106" i="10" s="1"/>
  <c r="L212" i="8"/>
  <c r="T42" i="11"/>
  <c r="L275" i="8"/>
  <c r="L273" i="8" s="1"/>
  <c r="R32" i="1"/>
  <c r="T9" i="11"/>
  <c r="T18" i="11"/>
  <c r="L168" i="8"/>
  <c r="L166" i="8" s="1"/>
  <c r="O31" i="11"/>
  <c r="L205" i="8"/>
  <c r="DJ62" i="3"/>
  <c r="O74" i="11"/>
  <c r="DJ34" i="3"/>
  <c r="O43" i="11"/>
  <c r="DJ48" i="3"/>
  <c r="O51" i="11"/>
  <c r="L305" i="8"/>
  <c r="DJ119" i="3"/>
  <c r="O118" i="11"/>
  <c r="L548" i="8"/>
  <c r="O113" i="11"/>
  <c r="L498" i="8"/>
  <c r="O111" i="11"/>
  <c r="L501" i="8"/>
  <c r="DJ38" i="3"/>
  <c r="O39" i="11"/>
  <c r="L280" i="8"/>
  <c r="O60" i="11"/>
  <c r="F10" i="10" s="1"/>
  <c r="L337" i="8"/>
  <c r="L336" i="8" s="1"/>
  <c r="DJ110" i="3"/>
  <c r="T127" i="11"/>
  <c r="L534" i="8"/>
  <c r="DJ96" i="3"/>
  <c r="O106" i="11"/>
  <c r="L508" i="8"/>
  <c r="DJ156" i="3"/>
  <c r="O164" i="11"/>
  <c r="L627" i="8"/>
  <c r="DJ178" i="3"/>
  <c r="O181" i="11"/>
  <c r="L675" i="8"/>
  <c r="DJ157" i="3"/>
  <c r="T163" i="11"/>
  <c r="DJ162" i="3"/>
  <c r="O176" i="11"/>
  <c r="L644" i="8"/>
  <c r="DJ185" i="3"/>
  <c r="O191" i="11"/>
  <c r="L695" i="8"/>
  <c r="DJ144" i="3"/>
  <c r="O133" i="11"/>
  <c r="L590" i="8"/>
  <c r="DJ167" i="3"/>
  <c r="O171" i="11"/>
  <c r="F96" i="10" s="1"/>
  <c r="L651" i="8"/>
  <c r="DJ107" i="3"/>
  <c r="O96" i="11"/>
  <c r="L518" i="8"/>
  <c r="U171" i="1"/>
  <c r="G722" i="8" s="1"/>
  <c r="DJ146" i="3"/>
  <c r="O159" i="11"/>
  <c r="DJ163" i="3"/>
  <c r="O175" i="11"/>
  <c r="L646" i="8"/>
  <c r="DJ129" i="3"/>
  <c r="O147" i="11"/>
  <c r="L575" i="8"/>
  <c r="DJ140" i="3"/>
  <c r="O137" i="11"/>
  <c r="L586" i="8"/>
  <c r="DJ212" i="3"/>
  <c r="O215" i="11"/>
  <c r="L756" i="8"/>
  <c r="V179" i="1"/>
  <c r="G805" i="8" s="1"/>
  <c r="P182" i="1"/>
  <c r="DJ197" i="3"/>
  <c r="O210" i="11"/>
  <c r="O195" i="11"/>
  <c r="F20" i="10" s="1"/>
  <c r="L688" i="8"/>
  <c r="L687" i="8" s="1"/>
  <c r="DJ233" i="3"/>
  <c r="O222" i="11"/>
  <c r="L791" i="8"/>
  <c r="DJ239" i="3"/>
  <c r="T243" i="11"/>
  <c r="CP90" i="1"/>
  <c r="O90" i="1" s="1"/>
  <c r="BB141" i="8"/>
  <c r="AN141" i="8"/>
  <c r="K141" i="8"/>
  <c r="I141" i="8" s="1"/>
  <c r="AN418" i="8"/>
  <c r="K418" i="8"/>
  <c r="I418" i="8" s="1"/>
  <c r="BB418" i="8"/>
  <c r="BA761" i="8"/>
  <c r="AI222" i="1"/>
  <c r="T10" i="11"/>
  <c r="L93" i="8"/>
  <c r="L91" i="8" s="1"/>
  <c r="R35" i="1"/>
  <c r="CY35" i="1" s="1"/>
  <c r="X35" i="1" s="1"/>
  <c r="AZ98" i="8" s="1"/>
  <c r="L96" i="8" s="1"/>
  <c r="G208" i="8"/>
  <c r="DG23" i="3"/>
  <c r="DF23" i="3"/>
  <c r="G212" i="8"/>
  <c r="DG27" i="3"/>
  <c r="G337" i="8"/>
  <c r="DG52" i="3"/>
  <c r="Q96" i="1" s="1"/>
  <c r="R68" i="11"/>
  <c r="M68" i="11"/>
  <c r="DJ3" i="3"/>
  <c r="O11" i="11"/>
  <c r="M75" i="11"/>
  <c r="R75" i="11"/>
  <c r="D43" i="10"/>
  <c r="M22" i="11"/>
  <c r="R22" i="11"/>
  <c r="G469" i="8"/>
  <c r="DH77" i="3"/>
  <c r="T86" i="11" s="1"/>
  <c r="DG77" i="3"/>
  <c r="G506" i="8"/>
  <c r="DF94" i="3"/>
  <c r="DI94" i="3"/>
  <c r="O119" i="11"/>
  <c r="L547" i="8"/>
  <c r="DJ118" i="3"/>
  <c r="DJ131" i="3"/>
  <c r="O145" i="11"/>
  <c r="L578" i="8"/>
  <c r="DG135" i="3"/>
  <c r="G582" i="8"/>
  <c r="DI135" i="3"/>
  <c r="M139" i="11"/>
  <c r="R139" i="11"/>
  <c r="DH142" i="3"/>
  <c r="T135" i="11" s="1"/>
  <c r="G588" i="8"/>
  <c r="DF142" i="3"/>
  <c r="DG142" i="3"/>
  <c r="DI142" i="3"/>
  <c r="G621" i="8"/>
  <c r="DG152" i="3"/>
  <c r="DH152" i="3"/>
  <c r="T168" i="11" s="1"/>
  <c r="G696" i="8"/>
  <c r="DF186" i="3"/>
  <c r="DI186" i="3"/>
  <c r="S168" i="1" s="1"/>
  <c r="DG212" i="3"/>
  <c r="G756" i="8"/>
  <c r="G780" i="8"/>
  <c r="DH220" i="3"/>
  <c r="T233" i="11" s="1"/>
  <c r="DF227" i="3"/>
  <c r="G787" i="8"/>
  <c r="DG239" i="3"/>
  <c r="G811" i="8"/>
  <c r="DH243" i="3"/>
  <c r="T253" i="11" s="1"/>
  <c r="G827" i="8"/>
  <c r="DI243" i="3"/>
  <c r="G849" i="8"/>
  <c r="DH254" i="3"/>
  <c r="T256" i="11" s="1"/>
  <c r="CP175" i="1"/>
  <c r="O175" i="1" s="1"/>
  <c r="GM175" i="1" s="1"/>
  <c r="GN175" i="1" s="1"/>
  <c r="L761" i="8"/>
  <c r="R14" i="11"/>
  <c r="M14" i="11"/>
  <c r="M63" i="11"/>
  <c r="D69" i="10"/>
  <c r="R63" i="11"/>
  <c r="R77" i="11"/>
  <c r="M77" i="11"/>
  <c r="G458" i="8"/>
  <c r="DF71" i="3"/>
  <c r="DG71" i="3"/>
  <c r="G495" i="8"/>
  <c r="DG87" i="3"/>
  <c r="R106" i="11"/>
  <c r="M106" i="11"/>
  <c r="D93" i="10"/>
  <c r="R117" i="11"/>
  <c r="M117" i="11"/>
  <c r="O149" i="11"/>
  <c r="L572" i="8"/>
  <c r="DH146" i="3"/>
  <c r="T159" i="11" s="1"/>
  <c r="DG146" i="3"/>
  <c r="R167" i="11"/>
  <c r="M167" i="11"/>
  <c r="R175" i="11"/>
  <c r="M175" i="11"/>
  <c r="D59" i="10"/>
  <c r="G653" i="8"/>
  <c r="DF169" i="3"/>
  <c r="DG169" i="3"/>
  <c r="D62" i="10"/>
  <c r="R183" i="11"/>
  <c r="M183" i="11"/>
  <c r="G712" i="8"/>
  <c r="DF191" i="3"/>
  <c r="DI191" i="3"/>
  <c r="DJ256" i="3"/>
  <c r="O267" i="11"/>
  <c r="R93" i="11"/>
  <c r="D101" i="10"/>
  <c r="M241" i="11"/>
  <c r="M249" i="11"/>
  <c r="M91" i="11"/>
  <c r="R91" i="11"/>
  <c r="D89" i="10"/>
  <c r="G537" i="8"/>
  <c r="DF112" i="3"/>
  <c r="DG112" i="3"/>
  <c r="DJ112" i="3" s="1"/>
  <c r="G545" i="8"/>
  <c r="DH116" i="3"/>
  <c r="T121" i="11" s="1"/>
  <c r="G605" i="8"/>
  <c r="DG147" i="3"/>
  <c r="DH147" i="3"/>
  <c r="T158" i="11" s="1"/>
  <c r="R165" i="11"/>
  <c r="M165" i="11"/>
  <c r="D38" i="10"/>
  <c r="M180" i="11"/>
  <c r="D113" i="10"/>
  <c r="R180" i="11"/>
  <c r="R209" i="11"/>
  <c r="M209" i="11"/>
  <c r="G736" i="8"/>
  <c r="DG203" i="3"/>
  <c r="DF226" i="3"/>
  <c r="G786" i="8"/>
  <c r="AW284" i="8"/>
  <c r="AN284" i="8"/>
  <c r="AW657" i="8"/>
  <c r="AN657" i="8"/>
  <c r="AN679" i="8"/>
  <c r="AW679" i="8"/>
  <c r="T262" i="11"/>
  <c r="DH28" i="3"/>
  <c r="T37" i="11" s="1"/>
  <c r="G255" i="8"/>
  <c r="G307" i="8"/>
  <c r="DH50" i="3"/>
  <c r="T49" i="11" s="1"/>
  <c r="DI50" i="3"/>
  <c r="G629" i="8"/>
  <c r="DF157" i="3"/>
  <c r="DG157" i="3"/>
  <c r="R173" i="11"/>
  <c r="D94" i="10"/>
  <c r="M173" i="11"/>
  <c r="O201" i="11"/>
  <c r="L705" i="8"/>
  <c r="L704" i="8" s="1"/>
  <c r="DJ187" i="3"/>
  <c r="DF190" i="3"/>
  <c r="G711" i="8"/>
  <c r="DH200" i="3"/>
  <c r="T207" i="11" s="1"/>
  <c r="G732" i="8"/>
  <c r="DF200" i="3"/>
  <c r="DG200" i="3"/>
  <c r="DI200" i="3"/>
  <c r="O237" i="11"/>
  <c r="L774" i="8"/>
  <c r="G789" i="8"/>
  <c r="DF231" i="3"/>
  <c r="DI231" i="3"/>
  <c r="R220" i="11"/>
  <c r="O269" i="11"/>
  <c r="F117" i="10" s="1"/>
  <c r="O271" i="11"/>
  <c r="R95" i="11"/>
  <c r="CZ147" i="1"/>
  <c r="Y147" i="1" s="1"/>
  <c r="BA486" i="8" s="1"/>
  <c r="T242" i="11"/>
  <c r="M262" i="11"/>
  <c r="T263" i="11"/>
  <c r="R131" i="11"/>
  <c r="T221" i="11"/>
  <c r="M221" i="11"/>
  <c r="D88" i="10"/>
  <c r="R47" i="1"/>
  <c r="T23" i="11"/>
  <c r="DJ20" i="3"/>
  <c r="O33" i="11"/>
  <c r="O22" i="11"/>
  <c r="F43" i="10" s="1"/>
  <c r="L180" i="8"/>
  <c r="DJ66" i="3"/>
  <c r="O70" i="11"/>
  <c r="L389" i="8"/>
  <c r="L388" i="8" s="1"/>
  <c r="AW395" i="8" s="1"/>
  <c r="O184" i="11"/>
  <c r="L671" i="8"/>
  <c r="DJ253" i="3"/>
  <c r="O257" i="11"/>
  <c r="F66" i="10" s="1"/>
  <c r="L848" i="8"/>
  <c r="T217" i="11"/>
  <c r="L753" i="8"/>
  <c r="L751" i="8" s="1"/>
  <c r="DJ168" i="3"/>
  <c r="O170" i="11"/>
  <c r="F100" i="10" s="1"/>
  <c r="L652" i="8"/>
  <c r="DJ150" i="3"/>
  <c r="O155" i="11"/>
  <c r="F82" i="10" s="1"/>
  <c r="L610" i="8"/>
  <c r="DJ254" i="3"/>
  <c r="O256" i="11"/>
  <c r="F83" i="10" s="1"/>
  <c r="L849" i="8"/>
  <c r="CM51" i="1"/>
  <c r="L82" i="8"/>
  <c r="AN356" i="8"/>
  <c r="BB356" i="8"/>
  <c r="K356" i="8"/>
  <c r="I356" i="8" s="1"/>
  <c r="AW760" i="8"/>
  <c r="AN760" i="8"/>
  <c r="AW853" i="8"/>
  <c r="AN853" i="8"/>
  <c r="DJ15" i="3"/>
  <c r="O23" i="11"/>
  <c r="DJ47" i="3"/>
  <c r="O52" i="11"/>
  <c r="L302" i="8"/>
  <c r="DJ57" i="3"/>
  <c r="O65" i="11"/>
  <c r="L366" i="8"/>
  <c r="T52" i="11"/>
  <c r="L303" i="8"/>
  <c r="DJ80" i="3"/>
  <c r="O83" i="11"/>
  <c r="L474" i="8"/>
  <c r="O92" i="11"/>
  <c r="L458" i="8"/>
  <c r="L457" i="8" s="1"/>
  <c r="AR490" i="8" s="1"/>
  <c r="DJ13" i="3"/>
  <c r="O18" i="11"/>
  <c r="F29" i="10" s="1"/>
  <c r="L167" i="8"/>
  <c r="V101" i="1"/>
  <c r="G382" i="8" s="1"/>
  <c r="DJ42" i="3"/>
  <c r="O57" i="11"/>
  <c r="L295" i="8"/>
  <c r="DJ79" i="3"/>
  <c r="O84" i="11"/>
  <c r="L473" i="8"/>
  <c r="DJ99" i="3"/>
  <c r="O103" i="11"/>
  <c r="L511" i="8"/>
  <c r="DJ60" i="3"/>
  <c r="O62" i="11"/>
  <c r="L371" i="8"/>
  <c r="T122" i="11"/>
  <c r="L543" i="8"/>
  <c r="V100" i="1"/>
  <c r="G363" i="8" s="1"/>
  <c r="DJ83" i="3"/>
  <c r="O80" i="11"/>
  <c r="F89" i="10" s="1"/>
  <c r="L477" i="8"/>
  <c r="O122" i="11"/>
  <c r="L542" i="8"/>
  <c r="R96" i="1"/>
  <c r="T60" i="11"/>
  <c r="O123" i="11"/>
  <c r="L541" i="8"/>
  <c r="DJ164" i="3"/>
  <c r="O174" i="11"/>
  <c r="F79" i="10" s="1"/>
  <c r="L648" i="8"/>
  <c r="O168" i="11"/>
  <c r="L621" i="8"/>
  <c r="L620" i="8" s="1"/>
  <c r="DJ104" i="3"/>
  <c r="O99" i="11"/>
  <c r="L515" i="8"/>
  <c r="DJ149" i="3"/>
  <c r="O156" i="11"/>
  <c r="F67" i="10" s="1"/>
  <c r="L609" i="8"/>
  <c r="L608" i="8" s="1"/>
  <c r="AW616" i="8" s="1"/>
  <c r="DJ133" i="3"/>
  <c r="O143" i="11"/>
  <c r="L580" i="8"/>
  <c r="DJ109" i="3"/>
  <c r="O128" i="11"/>
  <c r="T165" i="11"/>
  <c r="L626" i="8"/>
  <c r="O200" i="11"/>
  <c r="L708" i="8"/>
  <c r="L706" i="8" s="1"/>
  <c r="AO718" i="8" s="1"/>
  <c r="DJ235" i="3"/>
  <c r="O247" i="11"/>
  <c r="DJ245" i="3"/>
  <c r="O251" i="11"/>
  <c r="L830" i="8"/>
  <c r="L829" i="8" s="1"/>
  <c r="AW837" i="8" s="1"/>
  <c r="DJ202" i="3"/>
  <c r="O205" i="11"/>
  <c r="L735" i="8"/>
  <c r="T245" i="11"/>
  <c r="L808" i="8"/>
  <c r="DJ209" i="3"/>
  <c r="O216" i="11"/>
  <c r="L755" i="8"/>
  <c r="L754" i="8" s="1"/>
  <c r="AW765" i="8" s="1"/>
  <c r="O208" i="11"/>
  <c r="L731" i="8"/>
  <c r="DJ220" i="3"/>
  <c r="O233" i="11"/>
  <c r="L780" i="8"/>
  <c r="AN123" i="8"/>
  <c r="K123" i="8"/>
  <c r="I123" i="8" s="1"/>
  <c r="BB123" i="8"/>
  <c r="CP225" i="1"/>
  <c r="O225" i="1" s="1"/>
  <c r="L903" i="8"/>
  <c r="GM177" i="1"/>
  <c r="GN177" i="1" s="1"/>
  <c r="AZ794" i="8"/>
  <c r="GM183" i="1"/>
  <c r="GN183" i="1" s="1"/>
  <c r="L1005" i="8"/>
  <c r="G205" i="8"/>
  <c r="DH22" i="3"/>
  <c r="M42" i="11"/>
  <c r="R42" i="11"/>
  <c r="D14" i="10"/>
  <c r="D29" i="10"/>
  <c r="M18" i="11"/>
  <c r="R18" i="11"/>
  <c r="O72" i="11"/>
  <c r="L385" i="8"/>
  <c r="O109" i="11"/>
  <c r="L504" i="8"/>
  <c r="D73" i="10"/>
  <c r="R105" i="11"/>
  <c r="M105" i="11"/>
  <c r="M144" i="11"/>
  <c r="R144" i="11"/>
  <c r="R230" i="11"/>
  <c r="M230" i="11"/>
  <c r="DH232" i="3"/>
  <c r="T223" i="11" s="1"/>
  <c r="G790" i="8"/>
  <c r="DI232" i="3"/>
  <c r="DH18" i="3"/>
  <c r="G191" i="8"/>
  <c r="D51" i="10"/>
  <c r="M41" i="11"/>
  <c r="R41" i="11"/>
  <c r="M72" i="11"/>
  <c r="R72" i="11"/>
  <c r="DG88" i="3"/>
  <c r="Q149" i="1" s="1"/>
  <c r="DI88" i="3"/>
  <c r="DF88" i="3"/>
  <c r="DH88" i="3"/>
  <c r="T114" i="11" s="1"/>
  <c r="G535" i="8"/>
  <c r="DI111" i="3"/>
  <c r="DH111" i="3"/>
  <c r="G539" i="8"/>
  <c r="DI113" i="3"/>
  <c r="DH113" i="3"/>
  <c r="G549" i="8"/>
  <c r="DH120" i="3"/>
  <c r="T117" i="11" s="1"/>
  <c r="R148" i="11"/>
  <c r="M148" i="11"/>
  <c r="DF153" i="3"/>
  <c r="DG153" i="3"/>
  <c r="D95" i="10"/>
  <c r="M172" i="11"/>
  <c r="R172" i="11"/>
  <c r="G673" i="8"/>
  <c r="DG176" i="3"/>
  <c r="R191" i="11"/>
  <c r="M191" i="11"/>
  <c r="G725" i="8"/>
  <c r="DH195" i="3"/>
  <c r="T212" i="11" s="1"/>
  <c r="DG195" i="3"/>
  <c r="O254" i="11"/>
  <c r="L824" i="8"/>
  <c r="L823" i="8" s="1"/>
  <c r="DJ242" i="3"/>
  <c r="T258" i="11"/>
  <c r="L846" i="8"/>
  <c r="L843" i="8" s="1"/>
  <c r="DI257" i="3"/>
  <c r="G898" i="8"/>
  <c r="T93" i="11"/>
  <c r="E92" i="10"/>
  <c r="O130" i="11"/>
  <c r="O131" i="11"/>
  <c r="F119" i="10" s="1"/>
  <c r="E119" i="10"/>
  <c r="O132" i="11"/>
  <c r="F121" i="10" s="1"/>
  <c r="E121" i="10"/>
  <c r="M15" i="11"/>
  <c r="R15" i="11"/>
  <c r="D21" i="10"/>
  <c r="M47" i="11"/>
  <c r="R47" i="11"/>
  <c r="D15" i="10"/>
  <c r="R78" i="11"/>
  <c r="M78" i="11"/>
  <c r="R123" i="11"/>
  <c r="M123" i="11"/>
  <c r="R120" i="11"/>
  <c r="M120" i="11"/>
  <c r="G625" i="8"/>
  <c r="DG155" i="3"/>
  <c r="DJ155" i="3" s="1"/>
  <c r="DF155" i="3"/>
  <c r="DI171" i="3"/>
  <c r="G665" i="8"/>
  <c r="DG171" i="3"/>
  <c r="DH171" i="3"/>
  <c r="T188" i="11" s="1"/>
  <c r="DF171" i="3"/>
  <c r="DH198" i="3"/>
  <c r="G729" i="8"/>
  <c r="DF198" i="3"/>
  <c r="DG198" i="3"/>
  <c r="DI198" i="3"/>
  <c r="M205" i="11"/>
  <c r="R205" i="11"/>
  <c r="R203" i="11"/>
  <c r="M203" i="11"/>
  <c r="D42" i="10"/>
  <c r="M259" i="11"/>
  <c r="R259" i="11"/>
  <c r="CP146" i="1"/>
  <c r="O146" i="1" s="1"/>
  <c r="GM146" i="1" s="1"/>
  <c r="GN146" i="1" s="1"/>
  <c r="L485" i="8"/>
  <c r="M153" i="11"/>
  <c r="M179" i="11"/>
  <c r="R262" i="11"/>
  <c r="R37" i="11"/>
  <c r="M37" i="11"/>
  <c r="R49" i="11"/>
  <c r="M49" i="11"/>
  <c r="R74" i="11"/>
  <c r="M74" i="11"/>
  <c r="M82" i="11"/>
  <c r="D75" i="10"/>
  <c r="R82" i="11"/>
  <c r="DH95" i="3"/>
  <c r="T107" i="11" s="1"/>
  <c r="G507" i="8"/>
  <c r="F112" i="10"/>
  <c r="M133" i="11"/>
  <c r="R133" i="11"/>
  <c r="DF165" i="3"/>
  <c r="G649" i="8"/>
  <c r="R219" i="11"/>
  <c r="M219" i="11"/>
  <c r="R240" i="11"/>
  <c r="M240" i="11"/>
  <c r="M231" i="11"/>
  <c r="R231" i="11"/>
  <c r="D50" i="10"/>
  <c r="R265" i="11"/>
  <c r="M265" i="11"/>
  <c r="T220" i="11"/>
  <c r="O93" i="11"/>
  <c r="F91" i="10" s="1"/>
  <c r="T95" i="11"/>
  <c r="E101" i="10"/>
  <c r="O241" i="11"/>
  <c r="F101" i="10" s="1"/>
  <c r="R249" i="11"/>
  <c r="T131" i="11"/>
  <c r="O16" i="11"/>
  <c r="L145" i="8"/>
  <c r="L144" i="8" s="1"/>
  <c r="O25" i="11"/>
  <c r="L191" i="8"/>
  <c r="L190" i="8" s="1"/>
  <c r="DJ31" i="3"/>
  <c r="O46" i="11"/>
  <c r="L269" i="8"/>
  <c r="DJ125" i="3"/>
  <c r="O151" i="11"/>
  <c r="DJ158" i="3"/>
  <c r="O162" i="11"/>
  <c r="F110" i="10" s="1"/>
  <c r="L631" i="8"/>
  <c r="L630" i="8" s="1"/>
  <c r="AW637" i="8" s="1"/>
  <c r="S182" i="1"/>
  <c r="DJ228" i="3"/>
  <c r="O225" i="11"/>
  <c r="L788" i="8"/>
  <c r="CP178" i="1"/>
  <c r="O178" i="1" s="1"/>
  <c r="GM178" i="1" s="1"/>
  <c r="GN178" i="1" s="1"/>
  <c r="L795" i="8"/>
  <c r="G274" i="8"/>
  <c r="DF35" i="3"/>
  <c r="DG35" i="3"/>
  <c r="R55" i="11"/>
  <c r="M55" i="11"/>
  <c r="D84" i="10"/>
  <c r="R102" i="11"/>
  <c r="M102" i="11"/>
  <c r="DJ25" i="3"/>
  <c r="O28" i="11"/>
  <c r="F103" i="10" s="1"/>
  <c r="L210" i="8"/>
  <c r="D9" i="10"/>
  <c r="M9" i="11"/>
  <c r="R9" i="11"/>
  <c r="R57" i="11"/>
  <c r="M57" i="11"/>
  <c r="G296" i="8"/>
  <c r="DG43" i="3"/>
  <c r="G465" i="8"/>
  <c r="DG75" i="3"/>
  <c r="DH75" i="3"/>
  <c r="G509" i="8"/>
  <c r="DF97" i="3"/>
  <c r="R162" i="11"/>
  <c r="M162" i="11"/>
  <c r="D110" i="10"/>
  <c r="DH161" i="3"/>
  <c r="T177" i="11" s="1"/>
  <c r="DI161" i="3"/>
  <c r="DG164" i="3"/>
  <c r="G648" i="8"/>
  <c r="R187" i="11"/>
  <c r="M187" i="11"/>
  <c r="R182" i="11"/>
  <c r="D65" i="10"/>
  <c r="M182" i="11"/>
  <c r="G755" i="8"/>
  <c r="DI209" i="3"/>
  <c r="R232" i="11"/>
  <c r="M232" i="11"/>
  <c r="G783" i="8"/>
  <c r="DF223" i="3"/>
  <c r="DI223" i="3"/>
  <c r="D40" i="10"/>
  <c r="M252" i="11"/>
  <c r="R252" i="11"/>
  <c r="G899" i="8"/>
  <c r="DH258" i="3"/>
  <c r="CP150" i="1"/>
  <c r="O150" i="1" s="1"/>
  <c r="GM150" i="1" s="1"/>
  <c r="GN150" i="1" s="1"/>
  <c r="L521" i="8"/>
  <c r="CP181" i="1"/>
  <c r="O181" i="1" s="1"/>
  <c r="GM181" i="1" s="1"/>
  <c r="GN181" i="1" s="1"/>
  <c r="L816" i="8"/>
  <c r="R25" i="11"/>
  <c r="M25" i="11"/>
  <c r="T72" i="11"/>
  <c r="L386" i="8"/>
  <c r="DG82" i="3"/>
  <c r="G476" i="8"/>
  <c r="DI82" i="3"/>
  <c r="DF82" i="3"/>
  <c r="DH82" i="3"/>
  <c r="T81" i="11" s="1"/>
  <c r="R114" i="11"/>
  <c r="M114" i="11"/>
  <c r="DH128" i="3"/>
  <c r="G573" i="8"/>
  <c r="DI128" i="3"/>
  <c r="R166" i="11"/>
  <c r="M166" i="11"/>
  <c r="D34" i="10"/>
  <c r="R176" i="11"/>
  <c r="M176" i="11"/>
  <c r="G650" i="8"/>
  <c r="DF166" i="3"/>
  <c r="DI166" i="3"/>
  <c r="DG173" i="3"/>
  <c r="G668" i="8"/>
  <c r="DH173" i="3"/>
  <c r="T186" i="11" s="1"/>
  <c r="G671" i="8"/>
  <c r="DH175" i="3"/>
  <c r="T184" i="11" s="1"/>
  <c r="R192" i="11"/>
  <c r="M192" i="11"/>
  <c r="G695" i="8"/>
  <c r="DG185" i="3"/>
  <c r="R200" i="11"/>
  <c r="M200" i="11"/>
  <c r="M251" i="11"/>
  <c r="R251" i="11"/>
  <c r="D66" i="10"/>
  <c r="R257" i="11"/>
  <c r="M257" i="11"/>
  <c r="D99" i="10"/>
  <c r="M48" i="11"/>
  <c r="AW556" i="8"/>
  <c r="AN556" i="8"/>
  <c r="AW557" i="8"/>
  <c r="AN557" i="8"/>
  <c r="AW558" i="8"/>
  <c r="AN558" i="8"/>
  <c r="M23" i="11"/>
  <c r="R23" i="11"/>
  <c r="G268" i="8"/>
  <c r="DG30" i="3"/>
  <c r="D25" i="10"/>
  <c r="D72" i="10"/>
  <c r="G346" i="8"/>
  <c r="DG53" i="3"/>
  <c r="Q97" i="1" s="1"/>
  <c r="M113" i="11"/>
  <c r="R113" i="11"/>
  <c r="D104" i="10"/>
  <c r="M98" i="11"/>
  <c r="R98" i="11"/>
  <c r="DF114" i="3"/>
  <c r="G541" i="8"/>
  <c r="G546" i="8"/>
  <c r="DG117" i="3"/>
  <c r="DF117" i="3"/>
  <c r="D90" i="10"/>
  <c r="M154" i="11"/>
  <c r="R154" i="11"/>
  <c r="M164" i="11"/>
  <c r="R164" i="11"/>
  <c r="D49" i="10"/>
  <c r="R210" i="11"/>
  <c r="M210" i="11"/>
  <c r="G735" i="8"/>
  <c r="DG202" i="3"/>
  <c r="G785" i="8"/>
  <c r="DG225" i="3"/>
  <c r="G844" i="8"/>
  <c r="DF249" i="3"/>
  <c r="R270" i="11"/>
  <c r="M270" i="11"/>
  <c r="O153" i="11"/>
  <c r="D86" i="10"/>
  <c r="M220" i="11"/>
  <c r="O255" i="11"/>
  <c r="F87" i="10" s="1"/>
  <c r="E87" i="10"/>
  <c r="DG49" i="3"/>
  <c r="G306" i="8"/>
  <c r="DH49" i="3"/>
  <c r="T50" i="11" s="1"/>
  <c r="DF49" i="3"/>
  <c r="DI49" i="3"/>
  <c r="D54" i="10"/>
  <c r="R86" i="11"/>
  <c r="M86" i="11"/>
  <c r="DF81" i="3"/>
  <c r="G475" i="8"/>
  <c r="R107" i="11"/>
  <c r="M107" i="11"/>
  <c r="D102" i="10"/>
  <c r="M99" i="11"/>
  <c r="R99" i="11"/>
  <c r="M127" i="11"/>
  <c r="R127" i="11"/>
  <c r="M146" i="11"/>
  <c r="R146" i="11"/>
  <c r="R143" i="11"/>
  <c r="M143" i="11"/>
  <c r="T164" i="11"/>
  <c r="L628" i="8"/>
  <c r="DH206" i="3"/>
  <c r="T219" i="11" s="1"/>
  <c r="G749" i="8"/>
  <c r="DI206" i="3"/>
  <c r="DF206" i="3"/>
  <c r="P173" i="1" s="1"/>
  <c r="DG206" i="3"/>
  <c r="G782" i="8"/>
  <c r="DF222" i="3"/>
  <c r="DG222" i="3"/>
  <c r="R253" i="11"/>
  <c r="M253" i="11"/>
  <c r="D36" i="10"/>
  <c r="T116" i="11"/>
  <c r="AN915" i="8"/>
  <c r="AW915" i="8"/>
  <c r="AN794" i="8"/>
  <c r="AW794" i="8"/>
  <c r="T269" i="11"/>
  <c r="M271" i="11"/>
  <c r="T249" i="11"/>
  <c r="T179" i="11"/>
  <c r="CI188" i="1"/>
  <c r="AZ188" i="1" s="1"/>
  <c r="CD140" i="1"/>
  <c r="CG106" i="1"/>
  <c r="AX106" i="1" s="1"/>
  <c r="AU106" i="1"/>
  <c r="AU85" i="1" s="1"/>
  <c r="CI106" i="1"/>
  <c r="AH230" i="1"/>
  <c r="U230" i="1" s="1"/>
  <c r="G894" i="8"/>
  <c r="CG188" i="1"/>
  <c r="CG140" i="1" s="1"/>
  <c r="AH106" i="1"/>
  <c r="G267" i="8"/>
  <c r="AI51" i="1"/>
  <c r="AI28" i="1" s="1"/>
  <c r="G202" i="8"/>
  <c r="AT51" i="1"/>
  <c r="AQ106" i="1"/>
  <c r="AQ85" i="1" s="1"/>
  <c r="AH51" i="1"/>
  <c r="BZ140" i="1"/>
  <c r="AI106" i="1"/>
  <c r="AI85" i="1" s="1"/>
  <c r="AH188" i="1"/>
  <c r="U188" i="1" s="1"/>
  <c r="AJ85" i="1"/>
  <c r="W106" i="1"/>
  <c r="CJ140" i="1"/>
  <c r="BA188" i="1"/>
  <c r="DJ9" i="3"/>
  <c r="S43" i="1"/>
  <c r="CP43" i="1" s="1"/>
  <c r="O43" i="1" s="1"/>
  <c r="DJ28" i="3"/>
  <c r="DG76" i="3"/>
  <c r="DH76" i="3"/>
  <c r="DF76" i="3"/>
  <c r="DI76" i="3"/>
  <c r="R169" i="1"/>
  <c r="DG196" i="3"/>
  <c r="DH196" i="3"/>
  <c r="T211" i="11" s="1"/>
  <c r="DI196" i="3"/>
  <c r="DF196" i="3"/>
  <c r="DJ208" i="3"/>
  <c r="Q173" i="1"/>
  <c r="DF234" i="3"/>
  <c r="DG234" i="3"/>
  <c r="DH234" i="3"/>
  <c r="T248" i="11" s="1"/>
  <c r="DI234" i="3"/>
  <c r="AO28" i="1"/>
  <c r="F55" i="1"/>
  <c r="AO262" i="1"/>
  <c r="AJ28" i="1"/>
  <c r="W51" i="1"/>
  <c r="CY174" i="1"/>
  <c r="X174" i="1" s="1"/>
  <c r="AZ760" i="8" s="1"/>
  <c r="CZ174" i="1"/>
  <c r="Y174" i="1" s="1"/>
  <c r="BA760" i="8" s="1"/>
  <c r="CM106" i="1"/>
  <c r="GM225" i="1"/>
  <c r="GN225" i="1" s="1"/>
  <c r="F234" i="1"/>
  <c r="AO222" i="1"/>
  <c r="F240" i="1"/>
  <c r="AQ222" i="1"/>
  <c r="AT222" i="1"/>
  <c r="F248" i="1"/>
  <c r="DJ4" i="3"/>
  <c r="Q35" i="1"/>
  <c r="DF1" i="3"/>
  <c r="P31" i="1" s="1"/>
  <c r="DG1" i="3"/>
  <c r="Q31" i="1" s="1"/>
  <c r="DH1" i="3"/>
  <c r="DI1" i="3"/>
  <c r="DJ53" i="3"/>
  <c r="S97" i="1"/>
  <c r="DG21" i="3"/>
  <c r="DH21" i="3"/>
  <c r="DF21" i="3"/>
  <c r="DI21" i="3"/>
  <c r="DG63" i="3"/>
  <c r="Q101" i="1" s="1"/>
  <c r="DH63" i="3"/>
  <c r="DF63" i="3"/>
  <c r="P101" i="1" s="1"/>
  <c r="DI63" i="3"/>
  <c r="DG56" i="3"/>
  <c r="DH56" i="3"/>
  <c r="DF56" i="3"/>
  <c r="DI56" i="3"/>
  <c r="DJ91" i="3"/>
  <c r="DJ52" i="3"/>
  <c r="S96" i="1"/>
  <c r="CP96" i="1" s="1"/>
  <c r="O96" i="1" s="1"/>
  <c r="DH126" i="3"/>
  <c r="DG126" i="3"/>
  <c r="DF126" i="3"/>
  <c r="DI126" i="3"/>
  <c r="DJ154" i="3"/>
  <c r="Q162" i="1"/>
  <c r="DJ181" i="3"/>
  <c r="DG238" i="3"/>
  <c r="DH238" i="3"/>
  <c r="DF238" i="3"/>
  <c r="DI238" i="3"/>
  <c r="CM28" i="1"/>
  <c r="BD51" i="1"/>
  <c r="BC222" i="1"/>
  <c r="F246" i="1"/>
  <c r="DF5" i="3"/>
  <c r="P36" i="1" s="1"/>
  <c r="DG5" i="3"/>
  <c r="Q36" i="1" s="1"/>
  <c r="DH5" i="3"/>
  <c r="DI5" i="3"/>
  <c r="DJ7" i="3"/>
  <c r="S41" i="1"/>
  <c r="CP41" i="1" s="1"/>
  <c r="O41" i="1" s="1"/>
  <c r="DF44" i="3"/>
  <c r="DG44" i="3"/>
  <c r="DH44" i="3"/>
  <c r="T55" i="11" s="1"/>
  <c r="DI44" i="3"/>
  <c r="DJ114" i="3"/>
  <c r="P168" i="1"/>
  <c r="CG28" i="1"/>
  <c r="AX51" i="1"/>
  <c r="CJ85" i="1"/>
  <c r="BA106" i="1"/>
  <c r="DJ244" i="3"/>
  <c r="BA222" i="1"/>
  <c r="F250" i="1"/>
  <c r="AU140" i="1"/>
  <c r="F207" i="1"/>
  <c r="AH28" i="1"/>
  <c r="U51" i="1"/>
  <c r="DF54" i="3"/>
  <c r="DG54" i="3"/>
  <c r="DH54" i="3"/>
  <c r="T68" i="11" s="1"/>
  <c r="DI54" i="3"/>
  <c r="DG90" i="3"/>
  <c r="DH90" i="3"/>
  <c r="DF90" i="3"/>
  <c r="DI90" i="3"/>
  <c r="DG148" i="3"/>
  <c r="DH148" i="3"/>
  <c r="DF148" i="3"/>
  <c r="DI148" i="3"/>
  <c r="DJ152" i="3"/>
  <c r="S162" i="1"/>
  <c r="S169" i="1"/>
  <c r="DG236" i="3"/>
  <c r="DH236" i="3"/>
  <c r="T246" i="11" s="1"/>
  <c r="DF236" i="3"/>
  <c r="DI236" i="3"/>
  <c r="DG255" i="3"/>
  <c r="Q224" i="1" s="1"/>
  <c r="AD230" i="1" s="1"/>
  <c r="DH255" i="3"/>
  <c r="DI255" i="3"/>
  <c r="DF255" i="3"/>
  <c r="P224" i="1" s="1"/>
  <c r="R173" i="1"/>
  <c r="DG215" i="3"/>
  <c r="DH215" i="3"/>
  <c r="DF215" i="3"/>
  <c r="DI215" i="3"/>
  <c r="CJ28" i="1"/>
  <c r="BA51" i="1"/>
  <c r="CG85" i="1"/>
  <c r="CI140" i="1"/>
  <c r="BB140" i="1"/>
  <c r="F201" i="1"/>
  <c r="T106" i="1"/>
  <c r="AG85" i="1"/>
  <c r="AJ140" i="1"/>
  <c r="W188" i="1"/>
  <c r="DJ18" i="3"/>
  <c r="S48" i="1"/>
  <c r="DG29" i="3"/>
  <c r="DH29" i="3"/>
  <c r="DI29" i="3"/>
  <c r="S87" i="1" s="1"/>
  <c r="DF29" i="3"/>
  <c r="P87" i="1" s="1"/>
  <c r="DJ61" i="3"/>
  <c r="DJ2" i="3"/>
  <c r="S32" i="1"/>
  <c r="CP32" i="1" s="1"/>
  <c r="O32" i="1" s="1"/>
  <c r="DJ87" i="3"/>
  <c r="S149" i="1"/>
  <c r="P162" i="1"/>
  <c r="DJ188" i="3"/>
  <c r="Q169" i="1"/>
  <c r="AH222" i="1"/>
  <c r="DF213" i="3"/>
  <c r="DG213" i="3"/>
  <c r="DI213" i="3"/>
  <c r="DH213" i="3"/>
  <c r="V176" i="1"/>
  <c r="G771" i="8" s="1"/>
  <c r="CI28" i="1"/>
  <c r="AZ51" i="1"/>
  <c r="AQ262" i="1"/>
  <c r="AP140" i="1"/>
  <c r="F197" i="1"/>
  <c r="GM153" i="1"/>
  <c r="GN153" i="1" s="1"/>
  <c r="CI222" i="1"/>
  <c r="AZ230" i="1"/>
  <c r="GM154" i="1"/>
  <c r="GN154" i="1" s="1"/>
  <c r="AO140" i="1"/>
  <c r="F192" i="1"/>
  <c r="F249" i="1"/>
  <c r="AU222" i="1"/>
  <c r="DG41" i="3"/>
  <c r="DH41" i="3"/>
  <c r="T58" i="11" s="1"/>
  <c r="DI41" i="3"/>
  <c r="DF41" i="3"/>
  <c r="DF10" i="3"/>
  <c r="P44" i="1" s="1"/>
  <c r="DG10" i="3"/>
  <c r="Q44" i="1" s="1"/>
  <c r="DH10" i="3"/>
  <c r="DI10" i="3"/>
  <c r="DJ30" i="3"/>
  <c r="DJ17" i="3"/>
  <c r="DG65" i="3"/>
  <c r="DH65" i="3"/>
  <c r="T71" i="11" s="1"/>
  <c r="DF65" i="3"/>
  <c r="DI65" i="3"/>
  <c r="DJ8" i="3"/>
  <c r="DG74" i="3"/>
  <c r="DH74" i="3"/>
  <c r="DI74" i="3"/>
  <c r="DF74" i="3"/>
  <c r="DG58" i="3"/>
  <c r="DH58" i="3"/>
  <c r="T64" i="11" s="1"/>
  <c r="DF58" i="3"/>
  <c r="DI58" i="3"/>
  <c r="DG92" i="3"/>
  <c r="DF92" i="3"/>
  <c r="DH92" i="3"/>
  <c r="T110" i="11" s="1"/>
  <c r="DI92" i="3"/>
  <c r="DG46" i="3"/>
  <c r="DH46" i="3"/>
  <c r="DF46" i="3"/>
  <c r="DI46" i="3"/>
  <c r="DJ89" i="3"/>
  <c r="DG193" i="3"/>
  <c r="Q171" i="1" s="1"/>
  <c r="DH193" i="3"/>
  <c r="DF193" i="3"/>
  <c r="P171" i="1" s="1"/>
  <c r="DI193" i="3"/>
  <c r="P169" i="1"/>
  <c r="DG217" i="3"/>
  <c r="DH217" i="3"/>
  <c r="DF217" i="3"/>
  <c r="DI217" i="3"/>
  <c r="DG219" i="3"/>
  <c r="DH219" i="3"/>
  <c r="T234" i="11" s="1"/>
  <c r="DF219" i="3"/>
  <c r="DI219" i="3"/>
  <c r="CI85" i="1"/>
  <c r="AZ106" i="1"/>
  <c r="F125" i="1"/>
  <c r="F72" i="1"/>
  <c r="T28" i="1"/>
  <c r="BC140" i="1"/>
  <c r="F204" i="1"/>
  <c r="CP185" i="1"/>
  <c r="O185" i="1" s="1"/>
  <c r="GM185" i="1" s="1"/>
  <c r="GN185" i="1" s="1"/>
  <c r="AG222" i="1"/>
  <c r="T230" i="1"/>
  <c r="DJ14" i="3"/>
  <c r="S47" i="1"/>
  <c r="DF19" i="3"/>
  <c r="P49" i="1" s="1"/>
  <c r="DG19" i="3"/>
  <c r="DH19" i="3"/>
  <c r="DI19" i="3"/>
  <c r="R89" i="1"/>
  <c r="DG33" i="3"/>
  <c r="Q89" i="1" s="1"/>
  <c r="DH33" i="3"/>
  <c r="T44" i="11" s="1"/>
  <c r="DF33" i="3"/>
  <c r="DI33" i="3"/>
  <c r="DF68" i="3"/>
  <c r="DG68" i="3"/>
  <c r="DH68" i="3"/>
  <c r="DI68" i="3"/>
  <c r="DF6" i="3"/>
  <c r="P37" i="1" s="1"/>
  <c r="DG6" i="3"/>
  <c r="Q37" i="1" s="1"/>
  <c r="DH6" i="3"/>
  <c r="DI6" i="3"/>
  <c r="DJ71" i="3"/>
  <c r="V144" i="1"/>
  <c r="DG108" i="3"/>
  <c r="DH108" i="3"/>
  <c r="DF108" i="3"/>
  <c r="DI108" i="3"/>
  <c r="DJ115" i="3"/>
  <c r="DG124" i="3"/>
  <c r="Q157" i="1" s="1"/>
  <c r="DH124" i="3"/>
  <c r="T152" i="11" s="1"/>
  <c r="DF124" i="3"/>
  <c r="DI124" i="3"/>
  <c r="DG182" i="3"/>
  <c r="DH182" i="3"/>
  <c r="DF182" i="3"/>
  <c r="DI182" i="3"/>
  <c r="DG174" i="3"/>
  <c r="DH174" i="3"/>
  <c r="DI174" i="3"/>
  <c r="S165" i="1" s="1"/>
  <c r="DF174" i="3"/>
  <c r="P165" i="1" s="1"/>
  <c r="R162" i="1"/>
  <c r="F64" i="1"/>
  <c r="BB28" i="1"/>
  <c r="BB262" i="1"/>
  <c r="DJ199" i="3"/>
  <c r="AP28" i="1"/>
  <c r="F60" i="1"/>
  <c r="AP262" i="1"/>
  <c r="F69" i="1"/>
  <c r="AT28" i="1"/>
  <c r="BC28" i="1"/>
  <c r="F67" i="1"/>
  <c r="BC262" i="1"/>
  <c r="CY90" i="1"/>
  <c r="X90" i="1" s="1"/>
  <c r="CZ90" i="1"/>
  <c r="Y90" i="1" s="1"/>
  <c r="BA284" i="8" s="1"/>
  <c r="AP222" i="1"/>
  <c r="F239" i="1"/>
  <c r="AG140" i="1"/>
  <c r="T188" i="1"/>
  <c r="BB222" i="1"/>
  <c r="F243" i="1"/>
  <c r="CP186" i="1"/>
  <c r="O186" i="1" s="1"/>
  <c r="GM186" i="1" s="1"/>
  <c r="GN186" i="1" s="1"/>
  <c r="BD222" i="1"/>
  <c r="F255" i="1"/>
  <c r="W230" i="1"/>
  <c r="AJ222" i="1"/>
  <c r="CG222" i="1"/>
  <c r="AX230" i="1"/>
  <c r="AH85" i="1"/>
  <c r="U106" i="1"/>
  <c r="DG51" i="3"/>
  <c r="Q93" i="1" s="1"/>
  <c r="DH51" i="3"/>
  <c r="DI51" i="3"/>
  <c r="DF51" i="3"/>
  <c r="P93" i="1" s="1"/>
  <c r="DJ16" i="3"/>
  <c r="DF11" i="3"/>
  <c r="P46" i="1" s="1"/>
  <c r="DG11" i="3"/>
  <c r="Q46" i="1" s="1"/>
  <c r="DH11" i="3"/>
  <c r="DI11" i="3"/>
  <c r="DG78" i="3"/>
  <c r="DH78" i="3"/>
  <c r="DF78" i="3"/>
  <c r="DI78" i="3"/>
  <c r="DG70" i="3"/>
  <c r="DH70" i="3"/>
  <c r="DF70" i="3"/>
  <c r="DI70" i="3"/>
  <c r="DG145" i="3"/>
  <c r="DI145" i="3"/>
  <c r="DF145" i="3"/>
  <c r="P160" i="1" s="1"/>
  <c r="DH145" i="3"/>
  <c r="T160" i="11" s="1"/>
  <c r="DG160" i="3"/>
  <c r="Q163" i="1" s="1"/>
  <c r="DH160" i="3"/>
  <c r="DF160" i="3"/>
  <c r="P163" i="1" s="1"/>
  <c r="DI160" i="3"/>
  <c r="DJ243" i="3"/>
  <c r="Q182" i="1"/>
  <c r="AU28" i="1"/>
  <c r="F70" i="1"/>
  <c r="AU262" i="1"/>
  <c r="DG247" i="3"/>
  <c r="Q184" i="1" s="1"/>
  <c r="DH247" i="3"/>
  <c r="DF247" i="3"/>
  <c r="DI247" i="3"/>
  <c r="F110" i="1"/>
  <c r="AO85" i="1"/>
  <c r="AP85" i="1"/>
  <c r="F115" i="1"/>
  <c r="GM158" i="1"/>
  <c r="GN158" i="1" s="1"/>
  <c r="CP174" i="1"/>
  <c r="O174" i="1" s="1"/>
  <c r="GM174" i="1" s="1"/>
  <c r="GN174" i="1" s="1"/>
  <c r="BD140" i="1"/>
  <c r="F213" i="1"/>
  <c r="GM166" i="1"/>
  <c r="GN166" i="1" s="1"/>
  <c r="V222" i="1"/>
  <c r="F253" i="1"/>
  <c r="G950" i="8" s="1"/>
  <c r="AQ140" i="1"/>
  <c r="F198" i="1"/>
  <c r="GM228" i="1"/>
  <c r="GN228" i="1" s="1"/>
  <c r="O246" i="11" l="1"/>
  <c r="F35" i="10" s="1"/>
  <c r="L806" i="8"/>
  <c r="O68" i="11"/>
  <c r="L361" i="8"/>
  <c r="L360" i="8" s="1"/>
  <c r="O244" i="11"/>
  <c r="L809" i="8"/>
  <c r="O66" i="11"/>
  <c r="L364" i="8"/>
  <c r="O32" i="11"/>
  <c r="F46" i="10" s="1"/>
  <c r="L203" i="8"/>
  <c r="DJ173" i="3"/>
  <c r="O186" i="11"/>
  <c r="F41" i="10" s="1"/>
  <c r="L668" i="8"/>
  <c r="AR196" i="8"/>
  <c r="L193" i="8" s="1"/>
  <c r="L192" i="8"/>
  <c r="T31" i="11"/>
  <c r="L206" i="8"/>
  <c r="R144" i="1"/>
  <c r="T85" i="11"/>
  <c r="L471" i="8"/>
  <c r="R152" i="1"/>
  <c r="T129" i="11"/>
  <c r="O78" i="11"/>
  <c r="L399" i="8"/>
  <c r="L398" i="8" s="1"/>
  <c r="R176" i="1"/>
  <c r="T240" i="11"/>
  <c r="T238" i="11"/>
  <c r="L773" i="8"/>
  <c r="O248" i="11"/>
  <c r="L803" i="8"/>
  <c r="L802" i="8" s="1"/>
  <c r="F74" i="10"/>
  <c r="AW486" i="8"/>
  <c r="AN486" i="8"/>
  <c r="DJ72" i="3"/>
  <c r="O91" i="11"/>
  <c r="T90" i="11"/>
  <c r="L462" i="8"/>
  <c r="O218" i="11"/>
  <c r="DJ207" i="3"/>
  <c r="O213" i="11"/>
  <c r="L724" i="8"/>
  <c r="DJ194" i="3"/>
  <c r="O104" i="11"/>
  <c r="F77" i="10" s="1"/>
  <c r="L510" i="8"/>
  <c r="DJ98" i="3"/>
  <c r="AT525" i="8"/>
  <c r="L522" i="8" s="1"/>
  <c r="AT136" i="8"/>
  <c r="L133" i="8" s="1"/>
  <c r="L128" i="8"/>
  <c r="AR187" i="8"/>
  <c r="P184" i="1"/>
  <c r="O178" i="11"/>
  <c r="L641" i="8"/>
  <c r="L640" i="8" s="1"/>
  <c r="Q165" i="1"/>
  <c r="Q160" i="1"/>
  <c r="DJ70" i="3"/>
  <c r="O76" i="11"/>
  <c r="L402" i="8"/>
  <c r="O85" i="11"/>
  <c r="L470" i="8"/>
  <c r="R93" i="1"/>
  <c r="T59" i="11"/>
  <c r="O152" i="11"/>
  <c r="L567" i="8"/>
  <c r="L566" i="8" s="1"/>
  <c r="Q152" i="1"/>
  <c r="R37" i="1"/>
  <c r="T13" i="11"/>
  <c r="R102" i="1"/>
  <c r="T78" i="11"/>
  <c r="P89" i="1"/>
  <c r="O34" i="11"/>
  <c r="L200" i="8"/>
  <c r="L199" i="8" s="1"/>
  <c r="CZ35" i="1"/>
  <c r="Y35" i="1" s="1"/>
  <c r="BA98" i="8" s="1"/>
  <c r="L97" i="8" s="1"/>
  <c r="O214" i="11"/>
  <c r="F22" i="10" s="1"/>
  <c r="L723" i="8"/>
  <c r="T53" i="11"/>
  <c r="L301" i="8"/>
  <c r="L299" i="8" s="1"/>
  <c r="T89" i="11"/>
  <c r="L464" i="8"/>
  <c r="O240" i="11"/>
  <c r="L769" i="8"/>
  <c r="L768" i="8" s="1"/>
  <c r="DJ215" i="3"/>
  <c r="O238" i="11"/>
  <c r="L772" i="8"/>
  <c r="P149" i="1"/>
  <c r="O12" i="11"/>
  <c r="L104" i="8"/>
  <c r="L103" i="8" s="1"/>
  <c r="T150" i="11"/>
  <c r="L571" i="8"/>
  <c r="S101" i="1"/>
  <c r="T87" i="11"/>
  <c r="L468" i="8"/>
  <c r="DJ49" i="3"/>
  <c r="O50" i="11"/>
  <c r="L306" i="8"/>
  <c r="AW521" i="8"/>
  <c r="AN521" i="8"/>
  <c r="DJ223" i="3"/>
  <c r="O230" i="11"/>
  <c r="L783" i="8"/>
  <c r="T88" i="11"/>
  <c r="L466" i="8"/>
  <c r="DJ165" i="3"/>
  <c r="O173" i="11"/>
  <c r="F94" i="10" s="1"/>
  <c r="L649" i="8"/>
  <c r="O209" i="11"/>
  <c r="L729" i="8"/>
  <c r="DJ198" i="3"/>
  <c r="O188" i="11"/>
  <c r="L665" i="8"/>
  <c r="L664" i="8" s="1"/>
  <c r="DJ171" i="3"/>
  <c r="F92" i="10"/>
  <c r="AR837" i="8"/>
  <c r="L834" i="8" s="1"/>
  <c r="AR637" i="8"/>
  <c r="F71" i="10"/>
  <c r="L847" i="8"/>
  <c r="AW858" i="8" s="1"/>
  <c r="DJ231" i="3"/>
  <c r="O224" i="11"/>
  <c r="L789" i="8"/>
  <c r="AR718" i="8"/>
  <c r="L715" i="8" s="1"/>
  <c r="DJ169" i="3"/>
  <c r="O169" i="11"/>
  <c r="F107" i="10" s="1"/>
  <c r="L653" i="8"/>
  <c r="AW761" i="8"/>
  <c r="AN761" i="8"/>
  <c r="O243" i="11"/>
  <c r="F58" i="10" s="1"/>
  <c r="L811" i="8"/>
  <c r="DJ186" i="3"/>
  <c r="O190" i="11"/>
  <c r="F76" i="10" s="1"/>
  <c r="L696" i="8"/>
  <c r="L692" i="8" s="1"/>
  <c r="DJ77" i="3"/>
  <c r="O86" i="11"/>
  <c r="L469" i="8"/>
  <c r="DJ23" i="3"/>
  <c r="O30" i="11"/>
  <c r="F78" i="10" s="1"/>
  <c r="L208" i="8"/>
  <c r="L207" i="8" s="1"/>
  <c r="AW217" i="8" s="1"/>
  <c r="AT98" i="8"/>
  <c r="L90" i="8"/>
  <c r="F114" i="10"/>
  <c r="AR342" i="8"/>
  <c r="L339" i="8" s="1"/>
  <c r="L338" i="8"/>
  <c r="L304" i="8"/>
  <c r="AW313" i="8" s="1"/>
  <c r="L278" i="8"/>
  <c r="AW288" i="8" s="1"/>
  <c r="F55" i="10"/>
  <c r="F30" i="10"/>
  <c r="F24" i="10"/>
  <c r="GM147" i="1"/>
  <c r="GN147" i="1" s="1"/>
  <c r="DJ260" i="3"/>
  <c r="O270" i="11"/>
  <c r="L912" i="8"/>
  <c r="L911" i="8" s="1"/>
  <c r="S227" i="1"/>
  <c r="O252" i="11"/>
  <c r="F40" i="10" s="1"/>
  <c r="L828" i="8"/>
  <c r="DJ177" i="3"/>
  <c r="O182" i="11"/>
  <c r="F65" i="10" s="1"/>
  <c r="L674" i="8"/>
  <c r="R182" i="1"/>
  <c r="F16" i="10"/>
  <c r="AR81" i="8"/>
  <c r="L78" i="8" s="1"/>
  <c r="L77" i="8"/>
  <c r="F14" i="10"/>
  <c r="T76" i="11"/>
  <c r="L403" i="8"/>
  <c r="L401" i="8" s="1"/>
  <c r="O194" i="11"/>
  <c r="L691" i="8"/>
  <c r="L689" i="8" s="1"/>
  <c r="AO701" i="8" s="1"/>
  <c r="L981" i="8" s="1"/>
  <c r="L979" i="8" s="1"/>
  <c r="O13" i="11"/>
  <c r="L113" i="8"/>
  <c r="L112" i="8" s="1"/>
  <c r="DJ33" i="3"/>
  <c r="O44" i="11"/>
  <c r="L271" i="8"/>
  <c r="DJ29" i="3"/>
  <c r="O36" i="11"/>
  <c r="F56" i="10" s="1"/>
  <c r="L258" i="8"/>
  <c r="L256" i="8" s="1"/>
  <c r="AO263" i="8" s="1"/>
  <c r="O150" i="11"/>
  <c r="L570" i="8"/>
  <c r="R31" i="1"/>
  <c r="T8" i="11"/>
  <c r="DJ81" i="3"/>
  <c r="O82" i="11"/>
  <c r="F75" i="10" s="1"/>
  <c r="L475" i="8"/>
  <c r="L472" i="8" s="1"/>
  <c r="AW490" i="8" s="1"/>
  <c r="AN86" i="8"/>
  <c r="BB86" i="8"/>
  <c r="K86" i="8"/>
  <c r="I86" i="8" s="1"/>
  <c r="R184" i="1"/>
  <c r="T261" i="11"/>
  <c r="O20" i="11"/>
  <c r="L164" i="8"/>
  <c r="L163" i="8" s="1"/>
  <c r="AX188" i="1"/>
  <c r="GM90" i="1"/>
  <c r="GN90" i="1" s="1"/>
  <c r="AZ284" i="8"/>
  <c r="P157" i="1"/>
  <c r="O129" i="11"/>
  <c r="L530" i="8"/>
  <c r="L529" i="8" s="1"/>
  <c r="R49" i="1"/>
  <c r="T34" i="11"/>
  <c r="T236" i="11"/>
  <c r="L776" i="8"/>
  <c r="O53" i="11"/>
  <c r="L300" i="8"/>
  <c r="O64" i="11"/>
  <c r="L368" i="8"/>
  <c r="O89" i="11"/>
  <c r="F44" i="10" s="1"/>
  <c r="L463" i="8"/>
  <c r="O17" i="11"/>
  <c r="F9" i="10" s="1"/>
  <c r="L154" i="8"/>
  <c r="L153" i="8" s="1"/>
  <c r="O268" i="11"/>
  <c r="F12" i="10" s="1"/>
  <c r="L895" i="8"/>
  <c r="L894" i="8" s="1"/>
  <c r="T157" i="11"/>
  <c r="L607" i="8"/>
  <c r="L604" i="8" s="1"/>
  <c r="R149" i="1"/>
  <c r="T112" i="11"/>
  <c r="DJ44" i="3"/>
  <c r="O55" i="11"/>
  <c r="L297" i="8"/>
  <c r="R36" i="1"/>
  <c r="T12" i="11"/>
  <c r="DJ76" i="3"/>
  <c r="O87" i="11"/>
  <c r="L467" i="8"/>
  <c r="O172" i="11"/>
  <c r="F95" i="10" s="1"/>
  <c r="L650" i="8"/>
  <c r="DJ166" i="3"/>
  <c r="DJ161" i="3"/>
  <c r="O177" i="11"/>
  <c r="O88" i="11"/>
  <c r="L465" i="8"/>
  <c r="DJ75" i="3"/>
  <c r="AW795" i="8"/>
  <c r="AN795" i="8"/>
  <c r="F23" i="10"/>
  <c r="AR150" i="8"/>
  <c r="L147" i="8" s="1"/>
  <c r="L146" i="8"/>
  <c r="AT858" i="8"/>
  <c r="L842" i="8"/>
  <c r="AO858" i="8" s="1"/>
  <c r="T126" i="11"/>
  <c r="L536" i="8"/>
  <c r="L532" i="8" s="1"/>
  <c r="AW903" i="8"/>
  <c r="AN903" i="8"/>
  <c r="DJ175" i="3"/>
  <c r="DJ200" i="3"/>
  <c r="O207" i="11"/>
  <c r="L732" i="8"/>
  <c r="O163" i="11"/>
  <c r="F57" i="10" s="1"/>
  <c r="L629" i="8"/>
  <c r="DJ226" i="3"/>
  <c r="O227" i="11"/>
  <c r="F84" i="10" s="1"/>
  <c r="L786" i="8"/>
  <c r="DJ147" i="3"/>
  <c r="O158" i="11"/>
  <c r="F33" i="10" s="1"/>
  <c r="L605" i="8"/>
  <c r="O125" i="11"/>
  <c r="L537" i="8"/>
  <c r="DJ22" i="3"/>
  <c r="AR263" i="8"/>
  <c r="L259" i="8"/>
  <c r="F90" i="10"/>
  <c r="DJ105" i="3"/>
  <c r="O98" i="11"/>
  <c r="F104" i="10" s="1"/>
  <c r="L516" i="8"/>
  <c r="F93" i="10"/>
  <c r="F97" i="10"/>
  <c r="AW484" i="8"/>
  <c r="AN484" i="8"/>
  <c r="T270" i="11"/>
  <c r="R227" i="1"/>
  <c r="AT661" i="8"/>
  <c r="L642" i="8"/>
  <c r="AO661" i="8" s="1"/>
  <c r="L369" i="8"/>
  <c r="AW376" i="8" s="1"/>
  <c r="L431" i="8" s="1"/>
  <c r="L429" i="8" s="1"/>
  <c r="O261" i="11"/>
  <c r="F17" i="10" s="1"/>
  <c r="L841" i="8"/>
  <c r="L840" i="8" s="1"/>
  <c r="O160" i="11"/>
  <c r="F18" i="10" s="1"/>
  <c r="L602" i="8"/>
  <c r="L601" i="8" s="1"/>
  <c r="O59" i="11"/>
  <c r="F13" i="10" s="1"/>
  <c r="L318" i="8"/>
  <c r="L317" i="8" s="1"/>
  <c r="O185" i="11"/>
  <c r="F49" i="10" s="1"/>
  <c r="L669" i="8"/>
  <c r="O73" i="11"/>
  <c r="L383" i="8"/>
  <c r="T209" i="11"/>
  <c r="L730" i="8"/>
  <c r="L728" i="8" s="1"/>
  <c r="DJ142" i="3"/>
  <c r="O135" i="11"/>
  <c r="L588" i="8"/>
  <c r="L577" i="8" s="1"/>
  <c r="AW597" i="8" s="1"/>
  <c r="DJ92" i="3"/>
  <c r="O110" i="11"/>
  <c r="L503" i="8"/>
  <c r="CP182" i="1"/>
  <c r="O182" i="1" s="1"/>
  <c r="R163" i="1"/>
  <c r="T178" i="11"/>
  <c r="R46" i="1"/>
  <c r="T20" i="11"/>
  <c r="R165" i="1"/>
  <c r="CZ165" i="1" s="1"/>
  <c r="Y165" i="1" s="1"/>
  <c r="BA683" i="8" s="1"/>
  <c r="L682" i="8" s="1"/>
  <c r="T185" i="11"/>
  <c r="L670" i="8"/>
  <c r="L667" i="8" s="1"/>
  <c r="R168" i="1"/>
  <c r="CZ168" i="1" s="1"/>
  <c r="Y168" i="1" s="1"/>
  <c r="BA701" i="8" s="1"/>
  <c r="T194" i="11"/>
  <c r="P152" i="1"/>
  <c r="Q49" i="1"/>
  <c r="CP47" i="1"/>
  <c r="O47" i="1" s="1"/>
  <c r="O234" i="11"/>
  <c r="L778" i="8"/>
  <c r="O236" i="11"/>
  <c r="L775" i="8"/>
  <c r="R171" i="1"/>
  <c r="T214" i="11"/>
  <c r="P144" i="1"/>
  <c r="O71" i="11"/>
  <c r="L387" i="8"/>
  <c r="R44" i="1"/>
  <c r="T17" i="11"/>
  <c r="O58" i="11"/>
  <c r="F21" i="10" s="1"/>
  <c r="L294" i="8"/>
  <c r="L293" i="8" s="1"/>
  <c r="R87" i="1"/>
  <c r="CZ87" i="1" s="1"/>
  <c r="Y87" i="1" s="1"/>
  <c r="BA263" i="8" s="1"/>
  <c r="T36" i="11"/>
  <c r="R224" i="1"/>
  <c r="AE230" i="1" s="1"/>
  <c r="R230" i="1" s="1"/>
  <c r="T268" i="11"/>
  <c r="O157" i="11"/>
  <c r="L606" i="8"/>
  <c r="O112" i="11"/>
  <c r="F37" i="10" s="1"/>
  <c r="L500" i="8"/>
  <c r="L496" i="8" s="1"/>
  <c r="S173" i="1"/>
  <c r="CY173" i="1" s="1"/>
  <c r="X173" i="1" s="1"/>
  <c r="AZ765" i="8" s="1"/>
  <c r="L763" i="8" s="1"/>
  <c r="T244" i="11"/>
  <c r="L810" i="8"/>
  <c r="T66" i="11"/>
  <c r="L365" i="8"/>
  <c r="L363" i="8" s="1"/>
  <c r="R101" i="1"/>
  <c r="T73" i="11"/>
  <c r="L384" i="8"/>
  <c r="L382" i="8" s="1"/>
  <c r="T32" i="11"/>
  <c r="L204" i="8"/>
  <c r="L202" i="8" s="1"/>
  <c r="O8" i="11"/>
  <c r="F11" i="10" s="1"/>
  <c r="L67" i="8"/>
  <c r="L66" i="8" s="1"/>
  <c r="CP35" i="1"/>
  <c r="O35" i="1" s="1"/>
  <c r="GM35" i="1" s="1"/>
  <c r="GN35" i="1" s="1"/>
  <c r="DJ196" i="3"/>
  <c r="O211" i="11"/>
  <c r="L726" i="8"/>
  <c r="S144" i="1"/>
  <c r="CZ144" i="1" s="1"/>
  <c r="Y144" i="1" s="1"/>
  <c r="BA490" i="8" s="1"/>
  <c r="L932" i="8"/>
  <c r="L930" i="8" s="1"/>
  <c r="O231" i="11"/>
  <c r="F72" i="10" s="1"/>
  <c r="L782" i="8"/>
  <c r="L779" i="8" s="1"/>
  <c r="AW799" i="8" s="1"/>
  <c r="DJ222" i="3"/>
  <c r="O219" i="11"/>
  <c r="L749" i="8"/>
  <c r="L748" i="8" s="1"/>
  <c r="DJ206" i="3"/>
  <c r="DJ117" i="3"/>
  <c r="O120" i="11"/>
  <c r="L546" i="8"/>
  <c r="L544" i="8" s="1"/>
  <c r="AW562" i="8" s="1"/>
  <c r="T148" i="11"/>
  <c r="L574" i="8"/>
  <c r="DJ82" i="3"/>
  <c r="O81" i="11"/>
  <c r="F85" i="10" s="1"/>
  <c r="L476" i="8"/>
  <c r="AW816" i="8"/>
  <c r="AN816" i="8"/>
  <c r="T265" i="11"/>
  <c r="L900" i="8"/>
  <c r="L897" i="8" s="1"/>
  <c r="DJ97" i="3"/>
  <c r="O105" i="11"/>
  <c r="F73" i="10" s="1"/>
  <c r="L509" i="8"/>
  <c r="O42" i="11"/>
  <c r="F48" i="10" s="1"/>
  <c r="L274" i="8"/>
  <c r="L272" i="8" s="1"/>
  <c r="AO288" i="8" s="1"/>
  <c r="DJ35" i="3"/>
  <c r="AW485" i="8"/>
  <c r="AN485" i="8"/>
  <c r="O165" i="11"/>
  <c r="F38" i="10" s="1"/>
  <c r="L625" i="8"/>
  <c r="T124" i="11"/>
  <c r="L540" i="8"/>
  <c r="O114" i="11"/>
  <c r="F26" i="10" s="1"/>
  <c r="DJ88" i="3"/>
  <c r="T25" i="11"/>
  <c r="R48" i="1"/>
  <c r="CP48" i="1" s="1"/>
  <c r="O48" i="1" s="1"/>
  <c r="F53" i="10"/>
  <c r="L805" i="8"/>
  <c r="L623" i="8"/>
  <c r="F102" i="10"/>
  <c r="L647" i="8"/>
  <c r="AW661" i="8" s="1"/>
  <c r="F70" i="10"/>
  <c r="F19" i="10"/>
  <c r="AT765" i="8"/>
  <c r="L750" i="8"/>
  <c r="AO765" i="8" s="1"/>
  <c r="DJ190" i="3"/>
  <c r="O198" i="11"/>
  <c r="L711" i="8"/>
  <c r="L709" i="8" s="1"/>
  <c r="O197" i="11"/>
  <c r="L712" i="8"/>
  <c r="DJ191" i="3"/>
  <c r="DJ227" i="3"/>
  <c r="O226" i="11"/>
  <c r="L787" i="8"/>
  <c r="DJ94" i="3"/>
  <c r="O108" i="11"/>
  <c r="F69" i="10" s="1"/>
  <c r="L506" i="8"/>
  <c r="AR701" i="8"/>
  <c r="F59" i="10"/>
  <c r="AT173" i="8"/>
  <c r="L165" i="8"/>
  <c r="AO173" i="8" s="1"/>
  <c r="AT288" i="8"/>
  <c r="AR351" i="8"/>
  <c r="L348" i="8" s="1"/>
  <c r="L347" i="8"/>
  <c r="L267" i="8"/>
  <c r="DJ258" i="3"/>
  <c r="AT187" i="8"/>
  <c r="L178" i="8"/>
  <c r="AO187" i="8" s="1"/>
  <c r="O146" i="11"/>
  <c r="L576" i="8"/>
  <c r="DJ130" i="3"/>
  <c r="O127" i="11"/>
  <c r="L533" i="8"/>
  <c r="O90" i="11"/>
  <c r="L461" i="8"/>
  <c r="DJ73" i="3"/>
  <c r="L433" i="8"/>
  <c r="L825" i="8"/>
  <c r="AO837" i="8" s="1"/>
  <c r="L672" i="8"/>
  <c r="AW683" i="8" s="1"/>
  <c r="DJ113" i="3"/>
  <c r="V51" i="1"/>
  <c r="V28" i="1" s="1"/>
  <c r="AI188" i="1"/>
  <c r="AI140" i="1" s="1"/>
  <c r="G460" i="8"/>
  <c r="F116" i="1"/>
  <c r="K98" i="8"/>
  <c r="I98" i="8" s="1"/>
  <c r="AN98" i="8"/>
  <c r="AH140" i="1"/>
  <c r="V106" i="1"/>
  <c r="F129" i="1" s="1"/>
  <c r="G449" i="8" s="1"/>
  <c r="CP162" i="1"/>
  <c r="O162" i="1" s="1"/>
  <c r="CP169" i="1"/>
  <c r="O169" i="1" s="1"/>
  <c r="CP149" i="1"/>
  <c r="O149" i="1" s="1"/>
  <c r="CP173" i="1"/>
  <c r="O173" i="1" s="1"/>
  <c r="CP165" i="1"/>
  <c r="O165" i="1" s="1"/>
  <c r="CY87" i="1"/>
  <c r="X87" i="1" s="1"/>
  <c r="AZ263" i="8" s="1"/>
  <c r="CY101" i="1"/>
  <c r="X101" i="1" s="1"/>
  <c r="AZ395" i="8" s="1"/>
  <c r="L393" i="8" s="1"/>
  <c r="CZ101" i="1"/>
  <c r="Y101" i="1" s="1"/>
  <c r="BA395" i="8" s="1"/>
  <c r="L394" i="8" s="1"/>
  <c r="CY165" i="1"/>
  <c r="X165" i="1" s="1"/>
  <c r="AZ683" i="8" s="1"/>
  <c r="L681" i="8" s="1"/>
  <c r="CP101" i="1"/>
  <c r="O101" i="1" s="1"/>
  <c r="F237" i="1"/>
  <c r="AX222" i="1"/>
  <c r="DJ124" i="3"/>
  <c r="S157" i="1"/>
  <c r="BC22" i="1"/>
  <c r="F278" i="1"/>
  <c r="BC292" i="1"/>
  <c r="DJ19" i="3"/>
  <c r="S49" i="1"/>
  <c r="CP49" i="1" s="1"/>
  <c r="O49" i="1" s="1"/>
  <c r="DJ236" i="3"/>
  <c r="CY41" i="1"/>
  <c r="X41" i="1" s="1"/>
  <c r="AZ136" i="8" s="1"/>
  <c r="L134" i="8" s="1"/>
  <c r="CZ41" i="1"/>
  <c r="Y41" i="1" s="1"/>
  <c r="BA136" i="8" s="1"/>
  <c r="L135" i="8" s="1"/>
  <c r="DJ160" i="3"/>
  <c r="S163" i="1"/>
  <c r="CP163" i="1" s="1"/>
  <c r="O163" i="1" s="1"/>
  <c r="Q100" i="1"/>
  <c r="AU22" i="1"/>
  <c r="F281" i="1"/>
  <c r="C52" i="8" s="1"/>
  <c r="AU292" i="1"/>
  <c r="AX140" i="1"/>
  <c r="F195" i="1"/>
  <c r="DJ6" i="3"/>
  <c r="S37" i="1"/>
  <c r="CP37" i="1" s="1"/>
  <c r="O37" i="1" s="1"/>
  <c r="AZ85" i="1"/>
  <c r="F117" i="1"/>
  <c r="S89" i="1"/>
  <c r="DJ41" i="3"/>
  <c r="S91" i="1"/>
  <c r="U222" i="1"/>
  <c r="F252" i="1"/>
  <c r="G949" i="8" s="1"/>
  <c r="AE222" i="1"/>
  <c r="CZ162" i="1"/>
  <c r="Y162" i="1" s="1"/>
  <c r="BA637" i="8" s="1"/>
  <c r="L636" i="8" s="1"/>
  <c r="CY162" i="1"/>
  <c r="X162" i="1" s="1"/>
  <c r="AZ637" i="8" s="1"/>
  <c r="L635" i="8" s="1"/>
  <c r="DJ5" i="3"/>
  <c r="S36" i="1"/>
  <c r="CP36" i="1" s="1"/>
  <c r="O36" i="1" s="1"/>
  <c r="DJ1" i="3"/>
  <c r="S31" i="1"/>
  <c r="W28" i="1"/>
  <c r="F75" i="1"/>
  <c r="W262" i="1"/>
  <c r="P179" i="1"/>
  <c r="F74" i="1"/>
  <c r="G248" i="8" s="1"/>
  <c r="DJ219" i="3"/>
  <c r="BA28" i="1"/>
  <c r="F71" i="1"/>
  <c r="BA262" i="1"/>
  <c r="CZ97" i="1"/>
  <c r="Y97" i="1" s="1"/>
  <c r="BA351" i="8" s="1"/>
  <c r="L350" i="8" s="1"/>
  <c r="CY97" i="1"/>
  <c r="X97" i="1" s="1"/>
  <c r="AZ351" i="8" s="1"/>
  <c r="L349" i="8" s="1"/>
  <c r="DJ78" i="3"/>
  <c r="R157" i="1"/>
  <c r="Q176" i="1"/>
  <c r="F127" i="1"/>
  <c r="T85" i="1"/>
  <c r="CZ169" i="1"/>
  <c r="Y169" i="1" s="1"/>
  <c r="BA718" i="8" s="1"/>
  <c r="L717" i="8" s="1"/>
  <c r="CY169" i="1"/>
  <c r="X169" i="1" s="1"/>
  <c r="AZ718" i="8" s="1"/>
  <c r="L716" i="8" s="1"/>
  <c r="F128" i="1"/>
  <c r="G448" i="8" s="1"/>
  <c r="U85" i="1"/>
  <c r="DJ108" i="3"/>
  <c r="S152" i="1"/>
  <c r="DJ217" i="3"/>
  <c r="DJ74" i="3"/>
  <c r="Q144" i="1"/>
  <c r="R91" i="1"/>
  <c r="F241" i="1"/>
  <c r="AZ222" i="1"/>
  <c r="AZ28" i="1"/>
  <c r="F62" i="1"/>
  <c r="AZ262" i="1"/>
  <c r="CY48" i="1"/>
  <c r="X48" i="1" s="1"/>
  <c r="AZ196" i="8" s="1"/>
  <c r="L194" i="8" s="1"/>
  <c r="CZ48" i="1"/>
  <c r="Y48" i="1" s="1"/>
  <c r="AZ140" i="1"/>
  <c r="F199" i="1"/>
  <c r="AD222" i="1"/>
  <c r="Q230" i="1"/>
  <c r="F126" i="1"/>
  <c r="BA85" i="1"/>
  <c r="Q91" i="1"/>
  <c r="F73" i="1"/>
  <c r="G247" i="8" s="1"/>
  <c r="U28" i="1"/>
  <c r="U262" i="1"/>
  <c r="AD51" i="1"/>
  <c r="AO22" i="1"/>
  <c r="F266" i="1"/>
  <c r="AO292" i="1"/>
  <c r="W85" i="1"/>
  <c r="F130" i="1"/>
  <c r="DJ58" i="3"/>
  <c r="R160" i="1"/>
  <c r="AP22" i="1"/>
  <c r="AP292" i="1"/>
  <c r="F271" i="1"/>
  <c r="DJ182" i="3"/>
  <c r="T262" i="1"/>
  <c r="DJ193" i="3"/>
  <c r="S171" i="1"/>
  <c r="DJ10" i="3"/>
  <c r="S44" i="1"/>
  <c r="CP44" i="1" s="1"/>
  <c r="O44" i="1" s="1"/>
  <c r="V85" i="1"/>
  <c r="W140" i="1"/>
  <c r="F212" i="1"/>
  <c r="AX85" i="1"/>
  <c r="F113" i="1"/>
  <c r="DJ90" i="3"/>
  <c r="AX28" i="1"/>
  <c r="F58" i="1"/>
  <c r="AX262" i="1"/>
  <c r="DJ238" i="3"/>
  <c r="DJ126" i="3"/>
  <c r="DJ56" i="3"/>
  <c r="DJ21" i="3"/>
  <c r="AC51" i="1"/>
  <c r="Q168" i="1"/>
  <c r="CP168" i="1" s="1"/>
  <c r="O168" i="1" s="1"/>
  <c r="CY43" i="1"/>
  <c r="X43" i="1" s="1"/>
  <c r="CZ43" i="1"/>
  <c r="Y43" i="1" s="1"/>
  <c r="BA150" i="8" s="1"/>
  <c r="L149" i="8" s="1"/>
  <c r="U140" i="1"/>
  <c r="F210" i="1"/>
  <c r="G888" i="8" s="1"/>
  <c r="DJ145" i="3"/>
  <c r="S160" i="1"/>
  <c r="DJ46" i="3"/>
  <c r="CM85" i="1"/>
  <c r="BD106" i="1"/>
  <c r="BD262" i="1" s="1"/>
  <c r="DJ68" i="3"/>
  <c r="S102" i="1"/>
  <c r="DJ213" i="3"/>
  <c r="S176" i="1"/>
  <c r="CY168" i="1"/>
  <c r="X168" i="1" s="1"/>
  <c r="AZ701" i="8" s="1"/>
  <c r="DJ234" i="3"/>
  <c r="S179" i="1"/>
  <c r="DJ65" i="3"/>
  <c r="AC230" i="1"/>
  <c r="BD28" i="1"/>
  <c r="F76" i="1"/>
  <c r="R179" i="1"/>
  <c r="BA140" i="1"/>
  <c r="F208" i="1"/>
  <c r="DJ247" i="3"/>
  <c r="S184" i="1"/>
  <c r="CZ47" i="1"/>
  <c r="Y47" i="1" s="1"/>
  <c r="BA187" i="8" s="1"/>
  <c r="L186" i="8" s="1"/>
  <c r="CY47" i="1"/>
  <c r="X47" i="1" s="1"/>
  <c r="DJ54" i="3"/>
  <c r="S100" i="1"/>
  <c r="CY149" i="1"/>
  <c r="X149" i="1" s="1"/>
  <c r="AZ525" i="8" s="1"/>
  <c r="L523" i="8" s="1"/>
  <c r="CZ149" i="1"/>
  <c r="Y149" i="1" s="1"/>
  <c r="BA525" i="8" s="1"/>
  <c r="L524" i="8" s="1"/>
  <c r="R100" i="1"/>
  <c r="CY96" i="1"/>
  <c r="X96" i="1" s="1"/>
  <c r="CZ96" i="1"/>
  <c r="Y96" i="1" s="1"/>
  <c r="BA342" i="8" s="1"/>
  <c r="L341" i="8" s="1"/>
  <c r="DJ51" i="3"/>
  <c r="S93" i="1"/>
  <c r="CP93" i="1" s="1"/>
  <c r="O93" i="1" s="1"/>
  <c r="Q102" i="1"/>
  <c r="F251" i="1"/>
  <c r="T222" i="1"/>
  <c r="AQ22" i="1"/>
  <c r="AQ292" i="1"/>
  <c r="F272" i="1"/>
  <c r="DJ148" i="3"/>
  <c r="DJ11" i="3"/>
  <c r="S46" i="1"/>
  <c r="CP46" i="1" s="1"/>
  <c r="O46" i="1" s="1"/>
  <c r="W222" i="1"/>
  <c r="F254" i="1"/>
  <c r="T140" i="1"/>
  <c r="F209" i="1"/>
  <c r="BB22" i="1"/>
  <c r="BB292" i="1"/>
  <c r="F275" i="1"/>
  <c r="DJ174" i="3"/>
  <c r="P102" i="1"/>
  <c r="P91" i="1"/>
  <c r="P176" i="1"/>
  <c r="CY32" i="1"/>
  <c r="X32" i="1" s="1"/>
  <c r="AZ81" i="8" s="1"/>
  <c r="L79" i="8" s="1"/>
  <c r="CZ32" i="1"/>
  <c r="Y32" i="1" s="1"/>
  <c r="BA81" i="8" s="1"/>
  <c r="L80" i="8" s="1"/>
  <c r="DJ255" i="3"/>
  <c r="S224" i="1"/>
  <c r="CP224" i="1" s="1"/>
  <c r="O224" i="1" s="1"/>
  <c r="P100" i="1"/>
  <c r="CP97" i="1"/>
  <c r="O97" i="1" s="1"/>
  <c r="GM97" i="1" s="1"/>
  <c r="GN97" i="1" s="1"/>
  <c r="DJ63" i="3"/>
  <c r="Q87" i="1"/>
  <c r="CP87" i="1" s="1"/>
  <c r="O87" i="1" s="1"/>
  <c r="Q179" i="1"/>
  <c r="AE51" i="1" l="1"/>
  <c r="AW718" i="8"/>
  <c r="L714" i="8"/>
  <c r="AO525" i="8"/>
  <c r="L531" i="8"/>
  <c r="AO562" i="8" s="1"/>
  <c r="AT562" i="8"/>
  <c r="AW701" i="8"/>
  <c r="L987" i="8" s="1"/>
  <c r="L985" i="8" s="1"/>
  <c r="L697" i="8"/>
  <c r="AT376" i="8"/>
  <c r="L362" i="8"/>
  <c r="AO376" i="8" s="1"/>
  <c r="L319" i="8"/>
  <c r="AR323" i="8"/>
  <c r="L320" i="8" s="1"/>
  <c r="AR858" i="8"/>
  <c r="L855" i="8" s="1"/>
  <c r="L852" i="8"/>
  <c r="F52" i="10"/>
  <c r="F25" i="10"/>
  <c r="E127" i="10"/>
  <c r="CZ227" i="1"/>
  <c r="Y227" i="1" s="1"/>
  <c r="BA919" i="8" s="1"/>
  <c r="L918" i="8" s="1"/>
  <c r="AN919" i="8" s="1"/>
  <c r="CY227" i="1"/>
  <c r="X227" i="1" s="1"/>
  <c r="AZ919" i="8" s="1"/>
  <c r="L917" i="8" s="1"/>
  <c r="K919" i="8" s="1"/>
  <c r="I919" i="8" s="1"/>
  <c r="L95" i="8"/>
  <c r="L832" i="8"/>
  <c r="L722" i="8"/>
  <c r="E122" i="10"/>
  <c r="AR820" i="8"/>
  <c r="L814" i="8"/>
  <c r="CZ173" i="1"/>
  <c r="Y173" i="1" s="1"/>
  <c r="BA765" i="8" s="1"/>
  <c r="L764" i="8" s="1"/>
  <c r="AN765" i="8" s="1"/>
  <c r="AR288" i="8"/>
  <c r="L285" i="8" s="1"/>
  <c r="L283" i="8"/>
  <c r="AT637" i="8"/>
  <c r="L622" i="8"/>
  <c r="L896" i="8"/>
  <c r="AO907" i="8" s="1"/>
  <c r="L926" i="8" s="1"/>
  <c r="AT907" i="8"/>
  <c r="L928" i="8" s="1"/>
  <c r="AR72" i="8"/>
  <c r="L68" i="8"/>
  <c r="AT395" i="8"/>
  <c r="L392" i="8" s="1"/>
  <c r="L381" i="8"/>
  <c r="AR313" i="8"/>
  <c r="AR907" i="8"/>
  <c r="L902" i="8"/>
  <c r="AR173" i="8"/>
  <c r="L170" i="8" s="1"/>
  <c r="L169" i="8"/>
  <c r="L914" i="8"/>
  <c r="AR919" i="8"/>
  <c r="L916" i="8" s="1"/>
  <c r="L230" i="8"/>
  <c r="L228" i="8" s="1"/>
  <c r="L569" i="8"/>
  <c r="L183" i="8"/>
  <c r="CY144" i="1"/>
  <c r="X144" i="1" s="1"/>
  <c r="AZ490" i="8" s="1"/>
  <c r="L698" i="8"/>
  <c r="L978" i="8"/>
  <c r="L976" i="8" s="1"/>
  <c r="L990" i="8"/>
  <c r="AT820" i="8"/>
  <c r="L804" i="8"/>
  <c r="AO820" i="8" s="1"/>
  <c r="AR765" i="8"/>
  <c r="L762" i="8" s="1"/>
  <c r="L759" i="8"/>
  <c r="AT744" i="8"/>
  <c r="L727" i="8"/>
  <c r="AO744" i="8" s="1"/>
  <c r="L1040" i="8"/>
  <c r="L969" i="8"/>
  <c r="L232" i="8"/>
  <c r="AR118" i="8"/>
  <c r="L115" i="8" s="1"/>
  <c r="L114" i="8"/>
  <c r="L400" i="8"/>
  <c r="AO408" i="8" s="1"/>
  <c r="AT408" i="8"/>
  <c r="CZ182" i="1"/>
  <c r="Y182" i="1" s="1"/>
  <c r="BA837" i="8" s="1"/>
  <c r="L836" i="8" s="1"/>
  <c r="CY182" i="1"/>
  <c r="X182" i="1" s="1"/>
  <c r="E126" i="10"/>
  <c r="F54" i="10"/>
  <c r="L634" i="8"/>
  <c r="AR799" i="8"/>
  <c r="L298" i="8"/>
  <c r="AO313" i="8" s="1"/>
  <c r="AT313" i="8"/>
  <c r="L427" i="8" s="1"/>
  <c r="AR661" i="8"/>
  <c r="L658" i="8" s="1"/>
  <c r="L656" i="8"/>
  <c r="L184" i="8"/>
  <c r="L460" i="8"/>
  <c r="L771" i="8"/>
  <c r="AR408" i="8"/>
  <c r="L405" i="8" s="1"/>
  <c r="AR376" i="8"/>
  <c r="L373" i="8" s="1"/>
  <c r="L372" i="8"/>
  <c r="CP227" i="1"/>
  <c r="O227" i="1" s="1"/>
  <c r="GM227" i="1" s="1"/>
  <c r="GN227" i="1" s="1"/>
  <c r="AR616" i="8"/>
  <c r="CP171" i="1"/>
  <c r="O171" i="1" s="1"/>
  <c r="G16" i="2"/>
  <c r="C51" i="8"/>
  <c r="L505" i="8"/>
  <c r="AW525" i="8" s="1"/>
  <c r="L871" i="8" s="1"/>
  <c r="L869" i="8" s="1"/>
  <c r="L201" i="8"/>
  <c r="AO217" i="8" s="1"/>
  <c r="AT217" i="8"/>
  <c r="L666" i="8"/>
  <c r="AO683" i="8" s="1"/>
  <c r="AT683" i="8"/>
  <c r="L260" i="8"/>
  <c r="L422" i="8"/>
  <c r="F45" i="10"/>
  <c r="L603" i="8"/>
  <c r="AO616" i="8" s="1"/>
  <c r="AT616" i="8"/>
  <c r="AR159" i="8"/>
  <c r="L156" i="8" s="1"/>
  <c r="L155" i="8"/>
  <c r="AR562" i="8"/>
  <c r="L555" i="8"/>
  <c r="AO98" i="8"/>
  <c r="L94" i="8"/>
  <c r="AR683" i="8"/>
  <c r="L680" i="8" s="1"/>
  <c r="L678" i="8"/>
  <c r="AR109" i="8"/>
  <c r="L106" i="8" s="1"/>
  <c r="L105" i="8"/>
  <c r="AR217" i="8"/>
  <c r="L213" i="8"/>
  <c r="AR597" i="8"/>
  <c r="AO136" i="8"/>
  <c r="L132" i="8"/>
  <c r="F15" i="10"/>
  <c r="E27" i="10" s="1"/>
  <c r="F32" i="10"/>
  <c r="E60" i="10" s="1"/>
  <c r="CP91" i="1"/>
  <c r="O91" i="1" s="1"/>
  <c r="K525" i="8"/>
  <c r="I525" i="8" s="1"/>
  <c r="AN525" i="8"/>
  <c r="K765" i="8"/>
  <c r="I765" i="8" s="1"/>
  <c r="L489" i="8"/>
  <c r="GM47" i="1"/>
  <c r="GN47" i="1" s="1"/>
  <c r="AZ187" i="8"/>
  <c r="L185" i="8" s="1"/>
  <c r="L699" i="8"/>
  <c r="L991" i="8"/>
  <c r="CP160" i="1"/>
  <c r="O160" i="1" s="1"/>
  <c r="AN81" i="8"/>
  <c r="K81" i="8"/>
  <c r="I81" i="8" s="1"/>
  <c r="AN395" i="8"/>
  <c r="K395" i="8"/>
  <c r="I395" i="8" s="1"/>
  <c r="AN683" i="8"/>
  <c r="K683" i="8"/>
  <c r="I683" i="8" s="1"/>
  <c r="CP176" i="1"/>
  <c r="O176" i="1" s="1"/>
  <c r="GM96" i="1"/>
  <c r="GN96" i="1" s="1"/>
  <c r="AZ342" i="8"/>
  <c r="L340" i="8" s="1"/>
  <c r="K351" i="8"/>
  <c r="I351" i="8" s="1"/>
  <c r="AN351" i="8"/>
  <c r="K136" i="8"/>
  <c r="I136" i="8" s="1"/>
  <c r="AN136" i="8"/>
  <c r="L262" i="8"/>
  <c r="V188" i="1"/>
  <c r="V262" i="1" s="1"/>
  <c r="F285" i="1" s="1"/>
  <c r="AN718" i="8"/>
  <c r="K718" i="8"/>
  <c r="I718" i="8" s="1"/>
  <c r="L261" i="8"/>
  <c r="L700" i="8"/>
  <c r="L992" i="8"/>
  <c r="GM48" i="1"/>
  <c r="GN48" i="1" s="1"/>
  <c r="BA196" i="8"/>
  <c r="L195" i="8" s="1"/>
  <c r="K196" i="8" s="1"/>
  <c r="I196" i="8" s="1"/>
  <c r="AN637" i="8"/>
  <c r="K637" i="8"/>
  <c r="I637" i="8" s="1"/>
  <c r="AF106" i="1"/>
  <c r="GM43" i="1"/>
  <c r="GN43" i="1" s="1"/>
  <c r="AZ150" i="8"/>
  <c r="L148" i="8" s="1"/>
  <c r="L488" i="8"/>
  <c r="GM173" i="1"/>
  <c r="GN173" i="1" s="1"/>
  <c r="CP102" i="1"/>
  <c r="O102" i="1" s="1"/>
  <c r="GM41" i="1"/>
  <c r="GN41" i="1" s="1"/>
  <c r="GM162" i="1"/>
  <c r="GN162" i="1" s="1"/>
  <c r="CP89" i="1"/>
  <c r="O89" i="1" s="1"/>
  <c r="GM32" i="1"/>
  <c r="GN32" i="1" s="1"/>
  <c r="AE106" i="1"/>
  <c r="AE85" i="1" s="1"/>
  <c r="GM169" i="1"/>
  <c r="GO169" i="1" s="1"/>
  <c r="AD188" i="1"/>
  <c r="Q188" i="1" s="1"/>
  <c r="CP100" i="1"/>
  <c r="O100" i="1" s="1"/>
  <c r="GM149" i="1"/>
  <c r="GN149" i="1" s="1"/>
  <c r="AE188" i="1"/>
  <c r="R188" i="1" s="1"/>
  <c r="GM101" i="1"/>
  <c r="GN101" i="1" s="1"/>
  <c r="BD85" i="1"/>
  <c r="F131" i="1"/>
  <c r="CZ31" i="1"/>
  <c r="Y31" i="1" s="1"/>
  <c r="BA72" i="8" s="1"/>
  <c r="CY31" i="1"/>
  <c r="X31" i="1" s="1"/>
  <c r="AZ72" i="8" s="1"/>
  <c r="AF51" i="1"/>
  <c r="CY184" i="1"/>
  <c r="X184" i="1" s="1"/>
  <c r="AZ858" i="8" s="1"/>
  <c r="L856" i="8" s="1"/>
  <c r="CZ184" i="1"/>
  <c r="Y184" i="1" s="1"/>
  <c r="BA858" i="8" s="1"/>
  <c r="L857" i="8" s="1"/>
  <c r="AC222" i="1"/>
  <c r="CH230" i="1"/>
  <c r="P230" i="1"/>
  <c r="CF230" i="1"/>
  <c r="CE230" i="1"/>
  <c r="CP31" i="1"/>
  <c r="O31" i="1" s="1"/>
  <c r="AZ22" i="1"/>
  <c r="AZ292" i="1"/>
  <c r="F273" i="1"/>
  <c r="CY157" i="1"/>
  <c r="X157" i="1" s="1"/>
  <c r="AZ597" i="8" s="1"/>
  <c r="L595" i="8" s="1"/>
  <c r="CZ157" i="1"/>
  <c r="Y157" i="1" s="1"/>
  <c r="BA597" i="8" s="1"/>
  <c r="L596" i="8" s="1"/>
  <c r="CP144" i="1"/>
  <c r="O144" i="1" s="1"/>
  <c r="CP157" i="1"/>
  <c r="O157" i="1" s="1"/>
  <c r="CY102" i="1"/>
  <c r="X102" i="1" s="1"/>
  <c r="AZ408" i="8" s="1"/>
  <c r="L406" i="8" s="1"/>
  <c r="CZ102" i="1"/>
  <c r="Y102" i="1" s="1"/>
  <c r="BA408" i="8" s="1"/>
  <c r="L407" i="8" s="1"/>
  <c r="P51" i="1"/>
  <c r="CE51" i="1"/>
  <c r="AC28" i="1"/>
  <c r="CF51" i="1"/>
  <c r="CH51" i="1"/>
  <c r="CY44" i="1"/>
  <c r="X44" i="1" s="1"/>
  <c r="AZ159" i="8" s="1"/>
  <c r="L157" i="8" s="1"/>
  <c r="CZ44" i="1"/>
  <c r="Y44" i="1" s="1"/>
  <c r="BA159" i="8" s="1"/>
  <c r="L158" i="8" s="1"/>
  <c r="AP18" i="1"/>
  <c r="F301" i="1"/>
  <c r="CY152" i="1"/>
  <c r="X152" i="1" s="1"/>
  <c r="AZ562" i="8" s="1"/>
  <c r="L560" i="8" s="1"/>
  <c r="CZ152" i="1"/>
  <c r="Y152" i="1" s="1"/>
  <c r="BA562" i="8" s="1"/>
  <c r="L561" i="8" s="1"/>
  <c r="CP179" i="1"/>
  <c r="O179" i="1" s="1"/>
  <c r="CY89" i="1"/>
  <c r="X89" i="1" s="1"/>
  <c r="AZ288" i="8" s="1"/>
  <c r="L286" i="8" s="1"/>
  <c r="CZ89" i="1"/>
  <c r="Y89" i="1" s="1"/>
  <c r="BA288" i="8" s="1"/>
  <c r="L287" i="8" s="1"/>
  <c r="AU18" i="1"/>
  <c r="F311" i="1"/>
  <c r="AC106" i="1"/>
  <c r="Q51" i="1"/>
  <c r="AD28" i="1"/>
  <c r="AF85" i="1"/>
  <c r="S106" i="1"/>
  <c r="BA22" i="1"/>
  <c r="BA292" i="1"/>
  <c r="F282" i="1"/>
  <c r="H16" i="2" s="1"/>
  <c r="BB18" i="1"/>
  <c r="F305" i="1"/>
  <c r="CZ93" i="1"/>
  <c r="Y93" i="1" s="1"/>
  <c r="BA323" i="8" s="1"/>
  <c r="L322" i="8" s="1"/>
  <c r="CY93" i="1"/>
  <c r="X93" i="1" s="1"/>
  <c r="CY100" i="1"/>
  <c r="X100" i="1" s="1"/>
  <c r="AZ376" i="8" s="1"/>
  <c r="L374" i="8" s="1"/>
  <c r="CZ100" i="1"/>
  <c r="Y100" i="1" s="1"/>
  <c r="BA376" i="8" s="1"/>
  <c r="L375" i="8" s="1"/>
  <c r="AO18" i="1"/>
  <c r="F296" i="1"/>
  <c r="CP152" i="1"/>
  <c r="O152" i="1" s="1"/>
  <c r="F242" i="1"/>
  <c r="Q222" i="1"/>
  <c r="W22" i="1"/>
  <c r="F286" i="1"/>
  <c r="W292" i="1"/>
  <c r="CY49" i="1"/>
  <c r="X49" i="1" s="1"/>
  <c r="AZ217" i="8" s="1"/>
  <c r="L215" i="8" s="1"/>
  <c r="CZ49" i="1"/>
  <c r="Y49" i="1" s="1"/>
  <c r="BA217" i="8" s="1"/>
  <c r="L216" i="8" s="1"/>
  <c r="GM165" i="1"/>
  <c r="GN165" i="1" s="1"/>
  <c r="CY163" i="1"/>
  <c r="X163" i="1" s="1"/>
  <c r="AZ661" i="8" s="1"/>
  <c r="L659" i="8" s="1"/>
  <c r="CZ163" i="1"/>
  <c r="Y163" i="1" s="1"/>
  <c r="BA661" i="8" s="1"/>
  <c r="L660" i="8" s="1"/>
  <c r="U22" i="1"/>
  <c r="F284" i="1"/>
  <c r="U292" i="1"/>
  <c r="AF230" i="1"/>
  <c r="CY224" i="1"/>
  <c r="X224" i="1" s="1"/>
  <c r="CZ224" i="1"/>
  <c r="Y224" i="1" s="1"/>
  <c r="GM87" i="1"/>
  <c r="AD106" i="1"/>
  <c r="CZ179" i="1"/>
  <c r="Y179" i="1" s="1"/>
  <c r="BA820" i="8" s="1"/>
  <c r="L819" i="8" s="1"/>
  <c r="CY179" i="1"/>
  <c r="X179" i="1" s="1"/>
  <c r="AZ820" i="8" s="1"/>
  <c r="L818" i="8" s="1"/>
  <c r="CY171" i="1"/>
  <c r="X171" i="1" s="1"/>
  <c r="AZ744" i="8" s="1"/>
  <c r="L742" i="8" s="1"/>
  <c r="CZ171" i="1"/>
  <c r="Y171" i="1" s="1"/>
  <c r="BA744" i="8" s="1"/>
  <c r="L743" i="8" s="1"/>
  <c r="F244" i="1"/>
  <c r="R222" i="1"/>
  <c r="BD22" i="1"/>
  <c r="F287" i="1"/>
  <c r="BD292" i="1"/>
  <c r="BC18" i="1"/>
  <c r="F308" i="1"/>
  <c r="AF188" i="1"/>
  <c r="AQ18" i="1"/>
  <c r="F302" i="1"/>
  <c r="T22" i="1"/>
  <c r="T292" i="1"/>
  <c r="F283" i="1"/>
  <c r="CY37" i="1"/>
  <c r="X37" i="1" s="1"/>
  <c r="AZ118" i="8" s="1"/>
  <c r="L116" i="8" s="1"/>
  <c r="CZ37" i="1"/>
  <c r="Y37" i="1" s="1"/>
  <c r="BA118" i="8" s="1"/>
  <c r="L117" i="8" s="1"/>
  <c r="CY46" i="1"/>
  <c r="X46" i="1" s="1"/>
  <c r="AZ173" i="8" s="1"/>
  <c r="L171" i="8" s="1"/>
  <c r="CZ46" i="1"/>
  <c r="Y46" i="1" s="1"/>
  <c r="BA173" i="8" s="1"/>
  <c r="L172" i="8" s="1"/>
  <c r="GM168" i="1"/>
  <c r="GO168" i="1" s="1"/>
  <c r="CY176" i="1"/>
  <c r="X176" i="1" s="1"/>
  <c r="CZ176" i="1"/>
  <c r="Y176" i="1" s="1"/>
  <c r="BA799" i="8" s="1"/>
  <c r="L798" i="8" s="1"/>
  <c r="CY160" i="1"/>
  <c r="X160" i="1" s="1"/>
  <c r="AZ616" i="8" s="1"/>
  <c r="L614" i="8" s="1"/>
  <c r="CZ160" i="1"/>
  <c r="Y160" i="1" s="1"/>
  <c r="BA616" i="8" s="1"/>
  <c r="L615" i="8" s="1"/>
  <c r="AX22" i="1"/>
  <c r="AX292" i="1"/>
  <c r="F269" i="1"/>
  <c r="AE28" i="1"/>
  <c r="R51" i="1"/>
  <c r="CZ36" i="1"/>
  <c r="Y36" i="1" s="1"/>
  <c r="BA109" i="8" s="1"/>
  <c r="L108" i="8" s="1"/>
  <c r="CY36" i="1"/>
  <c r="X36" i="1" s="1"/>
  <c r="CY91" i="1"/>
  <c r="X91" i="1" s="1"/>
  <c r="CZ91" i="1"/>
  <c r="Y91" i="1" s="1"/>
  <c r="BA313" i="8" s="1"/>
  <c r="L312" i="8" s="1"/>
  <c r="CP184" i="1"/>
  <c r="O184" i="1" s="1"/>
  <c r="AC188" i="1"/>
  <c r="GM44" i="1" l="1"/>
  <c r="GN44" i="1" s="1"/>
  <c r="AB106" i="1"/>
  <c r="V292" i="1"/>
  <c r="L214" i="8"/>
  <c r="L1038" i="8"/>
  <c r="L1036" i="8" s="1"/>
  <c r="AO395" i="8"/>
  <c r="L391" i="8"/>
  <c r="L226" i="8"/>
  <c r="L770" i="8"/>
  <c r="AT799" i="8"/>
  <c r="L796" i="8"/>
  <c r="AZ837" i="8"/>
  <c r="L835" i="8" s="1"/>
  <c r="GM182" i="1"/>
  <c r="GN182" i="1" s="1"/>
  <c r="L967" i="8"/>
  <c r="L965" i="8" s="1"/>
  <c r="L935" i="8"/>
  <c r="L923" i="8"/>
  <c r="L904" i="8"/>
  <c r="L924" i="8"/>
  <c r="L817" i="8"/>
  <c r="E125" i="10"/>
  <c r="L520" i="8"/>
  <c r="F211" i="1"/>
  <c r="G889" i="8" s="1"/>
  <c r="L612" i="8"/>
  <c r="AT490" i="8"/>
  <c r="K48" i="8" s="1"/>
  <c r="L459" i="8"/>
  <c r="L309" i="8"/>
  <c r="AO637" i="8"/>
  <c r="L633" i="8"/>
  <c r="L559" i="8"/>
  <c r="AD140" i="1"/>
  <c r="AB230" i="1"/>
  <c r="AN196" i="8"/>
  <c r="L224" i="8"/>
  <c r="L222" i="8" s="1"/>
  <c r="L219" i="8" s="1"/>
  <c r="L434" i="8"/>
  <c r="L613" i="8"/>
  <c r="L404" i="8"/>
  <c r="L425" i="8"/>
  <c r="L423" i="8" s="1"/>
  <c r="L420" i="8" s="1"/>
  <c r="AT597" i="8"/>
  <c r="L594" i="8" s="1"/>
  <c r="L568" i="8"/>
  <c r="L310" i="8"/>
  <c r="L233" i="8"/>
  <c r="L221" i="8"/>
  <c r="L69" i="8"/>
  <c r="K47" i="8"/>
  <c r="L1041" i="8"/>
  <c r="AR744" i="8"/>
  <c r="L1029" i="8" s="1"/>
  <c r="L740" i="8"/>
  <c r="L963" i="8"/>
  <c r="V140" i="1"/>
  <c r="V22" i="1"/>
  <c r="CC188" i="1"/>
  <c r="L974" i="8"/>
  <c r="K263" i="8"/>
  <c r="I263" i="8" s="1"/>
  <c r="K744" i="8"/>
  <c r="I744" i="8" s="1"/>
  <c r="AN744" i="8"/>
  <c r="AN217" i="8"/>
  <c r="K217" i="8"/>
  <c r="I217" i="8" s="1"/>
  <c r="K858" i="8"/>
  <c r="I858" i="8" s="1"/>
  <c r="AN858" i="8"/>
  <c r="G1053" i="8"/>
  <c r="K50" i="8"/>
  <c r="AN187" i="8"/>
  <c r="K187" i="8"/>
  <c r="I187" i="8" s="1"/>
  <c r="K820" i="8"/>
  <c r="I820" i="8" s="1"/>
  <c r="AN820" i="8"/>
  <c r="K408" i="8"/>
  <c r="I408" i="8" s="1"/>
  <c r="AN408" i="8"/>
  <c r="K490" i="8"/>
  <c r="I490" i="8" s="1"/>
  <c r="AN490" i="8"/>
  <c r="AN173" i="8"/>
  <c r="K173" i="8"/>
  <c r="I173" i="8" s="1"/>
  <c r="G1052" i="8"/>
  <c r="K49" i="8"/>
  <c r="AN159" i="8"/>
  <c r="K159" i="8"/>
  <c r="I159" i="8" s="1"/>
  <c r="L70" i="8"/>
  <c r="AN342" i="8"/>
  <c r="K342" i="8"/>
  <c r="I342" i="8" s="1"/>
  <c r="L876" i="8"/>
  <c r="AL230" i="1"/>
  <c r="AL222" i="1" s="1"/>
  <c r="BA907" i="8"/>
  <c r="L972" i="8" s="1"/>
  <c r="AN376" i="8"/>
  <c r="K376" i="8"/>
  <c r="I376" i="8" s="1"/>
  <c r="K288" i="8"/>
  <c r="I288" i="8" s="1"/>
  <c r="AN288" i="8"/>
  <c r="L235" i="8"/>
  <c r="L71" i="8"/>
  <c r="GM91" i="1"/>
  <c r="GN91" i="1" s="1"/>
  <c r="AZ313" i="8"/>
  <c r="GM93" i="1"/>
  <c r="GN93" i="1" s="1"/>
  <c r="AZ323" i="8"/>
  <c r="L321" i="8" s="1"/>
  <c r="GM36" i="1"/>
  <c r="GN36" i="1" s="1"/>
  <c r="AZ109" i="8"/>
  <c r="L107" i="8" s="1"/>
  <c r="AN616" i="8"/>
  <c r="K616" i="8"/>
  <c r="I616" i="8" s="1"/>
  <c r="AN661" i="8"/>
  <c r="K661" i="8"/>
  <c r="I661" i="8" s="1"/>
  <c r="AN597" i="8"/>
  <c r="K597" i="8"/>
  <c r="I597" i="8" s="1"/>
  <c r="K150" i="8"/>
  <c r="I150" i="8" s="1"/>
  <c r="AN150" i="8"/>
  <c r="L436" i="8"/>
  <c r="AN118" i="8"/>
  <c r="K118" i="8"/>
  <c r="I118" i="8" s="1"/>
  <c r="K562" i="8"/>
  <c r="I562" i="8" s="1"/>
  <c r="AN562" i="8"/>
  <c r="GM176" i="1"/>
  <c r="GN176" i="1" s="1"/>
  <c r="AZ799" i="8"/>
  <c r="L797" i="8" s="1"/>
  <c r="GM49" i="1"/>
  <c r="GN49" i="1" s="1"/>
  <c r="AK230" i="1"/>
  <c r="AK222" i="1" s="1"/>
  <c r="AZ907" i="8"/>
  <c r="AN263" i="8"/>
  <c r="AN701" i="8"/>
  <c r="K701" i="8"/>
  <c r="I701" i="8" s="1"/>
  <c r="GM157" i="1"/>
  <c r="GN157" i="1" s="1"/>
  <c r="R106" i="1"/>
  <c r="F120" i="1" s="1"/>
  <c r="AL188" i="1"/>
  <c r="Y188" i="1" s="1"/>
  <c r="AE140" i="1"/>
  <c r="GM171" i="1"/>
  <c r="GN171" i="1" s="1"/>
  <c r="AK188" i="1"/>
  <c r="AK140" i="1" s="1"/>
  <c r="GM46" i="1"/>
  <c r="GN46" i="1" s="1"/>
  <c r="GM100" i="1"/>
  <c r="GN100" i="1" s="1"/>
  <c r="GM102" i="1"/>
  <c r="GN102" i="1" s="1"/>
  <c r="AL106" i="1"/>
  <c r="AL85" i="1" s="1"/>
  <c r="GM160" i="1"/>
  <c r="GN160" i="1" s="1"/>
  <c r="GM163" i="1"/>
  <c r="GN163" i="1" s="1"/>
  <c r="GM37" i="1"/>
  <c r="GN37" i="1" s="1"/>
  <c r="X188" i="1"/>
  <c r="Y230" i="1"/>
  <c r="AK106" i="1"/>
  <c r="S85" i="1"/>
  <c r="F121" i="1"/>
  <c r="GM184" i="1"/>
  <c r="GN184" i="1" s="1"/>
  <c r="CE222" i="1"/>
  <c r="AV230" i="1"/>
  <c r="GM89" i="1"/>
  <c r="GN89" i="1" s="1"/>
  <c r="BD18" i="1"/>
  <c r="F317" i="1"/>
  <c r="GM179" i="1"/>
  <c r="GN179" i="1" s="1"/>
  <c r="CF28" i="1"/>
  <c r="AW51" i="1"/>
  <c r="F233" i="1"/>
  <c r="P222" i="1"/>
  <c r="AK51" i="1"/>
  <c r="AC140" i="1"/>
  <c r="CH188" i="1"/>
  <c r="P188" i="1"/>
  <c r="CE188" i="1"/>
  <c r="CF188" i="1"/>
  <c r="X230" i="1"/>
  <c r="AF222" i="1"/>
  <c r="S230" i="1"/>
  <c r="Q140" i="1"/>
  <c r="F200" i="1"/>
  <c r="AD85" i="1"/>
  <c r="Q106" i="1"/>
  <c r="BA18" i="1"/>
  <c r="F312" i="1"/>
  <c r="Q28" i="1"/>
  <c r="F63" i="1"/>
  <c r="CH222" i="1"/>
  <c r="AY230" i="1"/>
  <c r="AL51" i="1"/>
  <c r="AF140" i="1"/>
  <c r="S188" i="1"/>
  <c r="GN87" i="1"/>
  <c r="W18" i="1"/>
  <c r="F316" i="1"/>
  <c r="CE28" i="1"/>
  <c r="AV51" i="1"/>
  <c r="V18" i="1"/>
  <c r="F315" i="1"/>
  <c r="F65" i="1"/>
  <c r="R28" i="1"/>
  <c r="R262" i="1"/>
  <c r="AB85" i="1"/>
  <c r="O106" i="1"/>
  <c r="P106" i="1"/>
  <c r="CE106" i="1"/>
  <c r="CF106" i="1"/>
  <c r="AC85" i="1"/>
  <c r="CH106" i="1"/>
  <c r="P28" i="1"/>
  <c r="F54" i="1"/>
  <c r="AZ18" i="1"/>
  <c r="F303" i="1"/>
  <c r="CC140" i="1"/>
  <c r="AT188" i="1"/>
  <c r="GM31" i="1"/>
  <c r="AB51" i="1"/>
  <c r="R140" i="1"/>
  <c r="F202" i="1"/>
  <c r="T18" i="1"/>
  <c r="F313" i="1"/>
  <c r="O230" i="1"/>
  <c r="AB222" i="1"/>
  <c r="AX18" i="1"/>
  <c r="F299" i="1"/>
  <c r="U18" i="1"/>
  <c r="F314" i="1"/>
  <c r="GM152" i="1"/>
  <c r="GN152" i="1" s="1"/>
  <c r="CH28" i="1"/>
  <c r="AY51" i="1"/>
  <c r="GM144" i="1"/>
  <c r="AB188" i="1"/>
  <c r="CF222" i="1"/>
  <c r="AW230" i="1"/>
  <c r="AF28" i="1"/>
  <c r="S51" i="1"/>
  <c r="GM224" i="1"/>
  <c r="L970" i="8" l="1"/>
  <c r="L921" i="8"/>
  <c r="AN837" i="8"/>
  <c r="K837" i="8"/>
  <c r="I837" i="8" s="1"/>
  <c r="L862" i="8"/>
  <c r="L958" i="8"/>
  <c r="AO597" i="8"/>
  <c r="L592" i="8"/>
  <c r="L874" i="8"/>
  <c r="L1034" i="8"/>
  <c r="AO490" i="8"/>
  <c r="L483" i="8"/>
  <c r="L741" i="8"/>
  <c r="L867" i="8"/>
  <c r="L487" i="8"/>
  <c r="AO799" i="8"/>
  <c r="L793" i="8"/>
  <c r="L971" i="8"/>
  <c r="L1042" i="8"/>
  <c r="AN109" i="8"/>
  <c r="K109" i="8"/>
  <c r="I109" i="8" s="1"/>
  <c r="L1043" i="8"/>
  <c r="L937" i="8"/>
  <c r="L906" i="8"/>
  <c r="AN323" i="8"/>
  <c r="K323" i="8"/>
  <c r="I323" i="8" s="1"/>
  <c r="L936" i="8"/>
  <c r="L945" i="8" s="1"/>
  <c r="L905" i="8"/>
  <c r="R85" i="1"/>
  <c r="L875" i="8"/>
  <c r="L311" i="8"/>
  <c r="L435" i="8"/>
  <c r="L444" i="8" s="1"/>
  <c r="AN72" i="8"/>
  <c r="K72" i="8"/>
  <c r="I72" i="8" s="1"/>
  <c r="K799" i="8"/>
  <c r="I799" i="8" s="1"/>
  <c r="AN799" i="8"/>
  <c r="Y106" i="1"/>
  <c r="Y85" i="1" s="1"/>
  <c r="L234" i="8"/>
  <c r="L243" i="8" s="1"/>
  <c r="CB106" i="1"/>
  <c r="CB85" i="1" s="1"/>
  <c r="AL140" i="1"/>
  <c r="CA106" i="1"/>
  <c r="AR106" i="1" s="1"/>
  <c r="CA51" i="1"/>
  <c r="GN31" i="1"/>
  <c r="CB51" i="1" s="1"/>
  <c r="CH85" i="1"/>
  <c r="AY106" i="1"/>
  <c r="F245" i="1"/>
  <c r="S222" i="1"/>
  <c r="P140" i="1"/>
  <c r="F191" i="1"/>
  <c r="F133" i="1"/>
  <c r="X106" i="1"/>
  <c r="AK85" i="1"/>
  <c r="AY28" i="1"/>
  <c r="F59" i="1"/>
  <c r="O222" i="1"/>
  <c r="F232" i="1"/>
  <c r="CF85" i="1"/>
  <c r="AW106" i="1"/>
  <c r="S140" i="1"/>
  <c r="F203" i="1"/>
  <c r="X222" i="1"/>
  <c r="F256" i="1"/>
  <c r="F257" i="1"/>
  <c r="Y222" i="1"/>
  <c r="GN144" i="1"/>
  <c r="CB188" i="1" s="1"/>
  <c r="CA188" i="1"/>
  <c r="AT140" i="1"/>
  <c r="F206" i="1"/>
  <c r="AT262" i="1"/>
  <c r="CH140" i="1"/>
  <c r="AY188" i="1"/>
  <c r="CA230" i="1"/>
  <c r="GN224" i="1"/>
  <c r="CB230" i="1" s="1"/>
  <c r="CE85" i="1"/>
  <c r="AV106" i="1"/>
  <c r="X51" i="1"/>
  <c r="AK28" i="1"/>
  <c r="AB140" i="1"/>
  <c r="O188" i="1"/>
  <c r="F66" i="1"/>
  <c r="S28" i="1"/>
  <c r="S262" i="1"/>
  <c r="Y51" i="1"/>
  <c r="AL28" i="1"/>
  <c r="AV222" i="1"/>
  <c r="F235" i="1"/>
  <c r="O85" i="1"/>
  <c r="F108" i="1"/>
  <c r="F238" i="1"/>
  <c r="AY222" i="1"/>
  <c r="F236" i="1"/>
  <c r="AW222" i="1"/>
  <c r="CF140" i="1"/>
  <c r="AW188" i="1"/>
  <c r="AW28" i="1"/>
  <c r="F57" i="1"/>
  <c r="X140" i="1"/>
  <c r="F214" i="1"/>
  <c r="P85" i="1"/>
  <c r="F109" i="1"/>
  <c r="AV28" i="1"/>
  <c r="F56" i="1"/>
  <c r="Q85" i="1"/>
  <c r="F118" i="1"/>
  <c r="Y140" i="1"/>
  <c r="F215" i="1"/>
  <c r="P262" i="1"/>
  <c r="AB28" i="1"/>
  <c r="O51" i="1"/>
  <c r="R22" i="1"/>
  <c r="F276" i="1"/>
  <c r="R292" i="1"/>
  <c r="Q262" i="1"/>
  <c r="CE140" i="1"/>
  <c r="AV188" i="1"/>
  <c r="L865" i="8" l="1"/>
  <c r="L863" i="8" s="1"/>
  <c r="L860" i="8" s="1"/>
  <c r="L884" i="8" s="1"/>
  <c r="L961" i="8"/>
  <c r="L959" i="8" s="1"/>
  <c r="L956" i="8" s="1"/>
  <c r="L954" i="8" s="1"/>
  <c r="L1025" i="8" s="1"/>
  <c r="L1055" i="8" s="1"/>
  <c r="L1032" i="8"/>
  <c r="L1030" i="8" s="1"/>
  <c r="L1027" i="8" s="1"/>
  <c r="K313" i="8"/>
  <c r="I313" i="8" s="1"/>
  <c r="AN313" i="8"/>
  <c r="AN907" i="8"/>
  <c r="K907" i="8"/>
  <c r="I907" i="8" s="1"/>
  <c r="AS106" i="1"/>
  <c r="AS85" i="1" s="1"/>
  <c r="CA85" i="1"/>
  <c r="AV262" i="1"/>
  <c r="AV22" i="1" s="1"/>
  <c r="F112" i="1"/>
  <c r="AW85" i="1"/>
  <c r="AY140" i="1"/>
  <c r="F196" i="1"/>
  <c r="AW140" i="1"/>
  <c r="F194" i="1"/>
  <c r="X28" i="1"/>
  <c r="F77" i="1"/>
  <c r="X262" i="1"/>
  <c r="CA28" i="1"/>
  <c r="AR51" i="1"/>
  <c r="Q22" i="1"/>
  <c r="F274" i="1"/>
  <c r="Q292" i="1"/>
  <c r="Y28" i="1"/>
  <c r="F78" i="1"/>
  <c r="Y262" i="1"/>
  <c r="F111" i="1"/>
  <c r="AV85" i="1"/>
  <c r="O28" i="1"/>
  <c r="F53" i="1"/>
  <c r="O262" i="1"/>
  <c r="AY85" i="1"/>
  <c r="F114" i="1"/>
  <c r="AV140" i="1"/>
  <c r="F193" i="1"/>
  <c r="AY262" i="1"/>
  <c r="R18" i="1"/>
  <c r="F306" i="1"/>
  <c r="S22" i="1"/>
  <c r="S292" i="1"/>
  <c r="F277" i="1"/>
  <c r="J16" i="2" s="1"/>
  <c r="CA140" i="1"/>
  <c r="AR188" i="1"/>
  <c r="CA222" i="1"/>
  <c r="AR230" i="1"/>
  <c r="X85" i="1"/>
  <c r="F132" i="1"/>
  <c r="O140" i="1"/>
  <c r="F190" i="1"/>
  <c r="AW262" i="1"/>
  <c r="CB222" i="1"/>
  <c r="AS230" i="1"/>
  <c r="CB140" i="1"/>
  <c r="AS188" i="1"/>
  <c r="AR85" i="1"/>
  <c r="F134" i="1"/>
  <c r="P22" i="1"/>
  <c r="F265" i="1"/>
  <c r="P292" i="1"/>
  <c r="AT22" i="1"/>
  <c r="F280" i="1"/>
  <c r="AT292" i="1"/>
  <c r="CB28" i="1"/>
  <c r="AS51" i="1"/>
  <c r="L1056" i="8" l="1"/>
  <c r="L1057" i="8" s="1"/>
  <c r="F123" i="1"/>
  <c r="F267" i="1"/>
  <c r="AV292" i="1"/>
  <c r="F16" i="2"/>
  <c r="C50" i="8"/>
  <c r="AW22" i="1"/>
  <c r="F268" i="1"/>
  <c r="AW292" i="1"/>
  <c r="F135" i="1"/>
  <c r="F136" i="1"/>
  <c r="Y22" i="1"/>
  <c r="F289" i="1"/>
  <c r="Y292" i="1"/>
  <c r="O22" i="1"/>
  <c r="F264" i="1"/>
  <c r="O292" i="1"/>
  <c r="AT18" i="1"/>
  <c r="F310" i="1"/>
  <c r="Q18" i="1"/>
  <c r="F304" i="1"/>
  <c r="AS222" i="1"/>
  <c r="F247" i="1"/>
  <c r="AY22" i="1"/>
  <c r="AY292" i="1"/>
  <c r="F270" i="1"/>
  <c r="AR28" i="1"/>
  <c r="F79" i="1"/>
  <c r="AR262" i="1"/>
  <c r="F68" i="1"/>
  <c r="AS28" i="1"/>
  <c r="AS262" i="1"/>
  <c r="S18" i="1"/>
  <c r="F307" i="1"/>
  <c r="X22" i="1"/>
  <c r="F288" i="1"/>
  <c r="X292" i="1"/>
  <c r="AS140" i="1"/>
  <c r="F205" i="1"/>
  <c r="AV18" i="1"/>
  <c r="F297" i="1"/>
  <c r="F258" i="1"/>
  <c r="AR222" i="1"/>
  <c r="P18" i="1"/>
  <c r="F295" i="1"/>
  <c r="AR140" i="1"/>
  <c r="F216" i="1"/>
  <c r="AS22" i="1" l="1"/>
  <c r="AS292" i="1"/>
  <c r="F279" i="1"/>
  <c r="Y18" i="1"/>
  <c r="F319" i="1"/>
  <c r="F217" i="1"/>
  <c r="F218" i="1"/>
  <c r="X18" i="1"/>
  <c r="F318" i="1"/>
  <c r="AR22" i="1"/>
  <c r="AR292" i="1"/>
  <c r="F290" i="1"/>
  <c r="F259" i="1"/>
  <c r="F260" i="1"/>
  <c r="F80" i="1"/>
  <c r="F81" i="1"/>
  <c r="AY18" i="1"/>
  <c r="F300" i="1"/>
  <c r="O18" i="1"/>
  <c r="F294" i="1"/>
  <c r="AW18" i="1"/>
  <c r="F298" i="1"/>
  <c r="E16" i="2" l="1"/>
  <c r="I16" i="2" s="1"/>
  <c r="N16" i="2" s="1"/>
  <c r="C49" i="8"/>
  <c r="C46" i="8" s="1"/>
  <c r="AR18" i="1"/>
  <c r="F320" i="1"/>
  <c r="AS18" i="1"/>
  <c r="F309" i="1"/>
  <c r="F321" i="1" l="1"/>
  <c r="F322" i="1"/>
</calcChain>
</file>

<file path=xl/sharedStrings.xml><?xml version="1.0" encoding="utf-8"?>
<sst xmlns="http://schemas.openxmlformats.org/spreadsheetml/2006/main" count="11896" uniqueCount="1085">
  <si>
    <t>Smeta.RU  (495) 974-1589</t>
  </si>
  <si>
    <t>_PS_</t>
  </si>
  <si>
    <t>Smeta.RU</t>
  </si>
  <si>
    <t/>
  </si>
  <si>
    <t>Новый проект 2</t>
  </si>
  <si>
    <t>2025 КР МУП РМПТС</t>
  </si>
  <si>
    <t>01-02-01</t>
  </si>
  <si>
    <t>г. Рязань, ул. Совхозная</t>
  </si>
  <si>
    <t>Сметные нормы списания</t>
  </si>
  <si>
    <t>Коды ценников</t>
  </si>
  <si>
    <t>ФСНБ-2022_И18</t>
  </si>
  <si>
    <t>Версия 1.18.0 для ФСНБ-2022 И18</t>
  </si>
  <si>
    <t>ФСНБ-2022 - Изменения И18</t>
  </si>
  <si>
    <t>Поправки для ФСНБ-2022 от 21.05.2026 г И18 (55/пр) Капитальный ремонт производственных зданий</t>
  </si>
  <si>
    <t>Приказ Минстроя России от 30.12.2021 г. № 1046/пр;  Приказ Минстроя России от 04.08.2020 г. № 421/пр;  Приказ Минстроя России от 21.12.2020 г. № 812/пр;  Приказ Минстроя России от 11.12.2020 г. № 774/пр</t>
  </si>
  <si>
    <t>ГСН</t>
  </si>
  <si>
    <t>Новая локальная смета</t>
  </si>
  <si>
    <t>ЭЛ,СВ. Аварийный ремонт систмы теплоснабжения и ГВС к общежитию ФГБОУ «Рязанский государственный агротехнологический университет имени П.А. Костычева»</t>
  </si>
  <si>
    <t>Земляные работы</t>
  </si>
  <si>
    <t>Новый раздел</t>
  </si>
  <si>
    <t>Раздел 1. Земляные работы</t>
  </si>
  <si>
    <t>Шурфовка коммуникаций</t>
  </si>
  <si>
    <t>1</t>
  </si>
  <si>
    <t>01-02-057-02</t>
  </si>
  <si>
    <t>Разработка грунта вручную в траншеях глубиной до 2 м без креплений с откосами, группа грунтов: 2</t>
  </si>
  <si>
    <t>100 м3</t>
  </si>
  <si>
    <t>ГЭСН-2022, 01-02-057-02, приказ Минстроя России от 18.05.2022 г. № 378/пр</t>
  </si>
  <si>
    <t>*(0,15+1)</t>
  </si>
  <si>
    <t>*(0,15+1)*1.15</t>
  </si>
  <si>
    <t>Общестроительные работы</t>
  </si>
  <si>
    <t>Земляные работы, выполняемые: ручным способом</t>
  </si>
  <si>
    <t>ФЕР-01</t>
  </si>
  <si>
    <t>Поправка: 421/пр_2020_прил.10_т.1_п.5_гр.3
Поправка: 2022-18-ГЭСН-ПР-01-12-3.189-000</t>
  </si>
  <si>
    <t>Пр/812-001.2-1</t>
  </si>
  <si>
    <t>Пр/774-001.2</t>
  </si>
  <si>
    <t>2</t>
  </si>
  <si>
    <t>01-02-060-01</t>
  </si>
  <si>
    <t>Погрузка вручную неуплотненного грунта из штабелей и отвалов в транспортные средства, группа грунтов: 1</t>
  </si>
  <si>
    <t>ГЭСН-2022, 01-02-060-01, приказ Минстроя России от 18.05.2022 г. № 378/пр</t>
  </si>
  <si>
    <t>Поправка: 421/пр_2020_прил.10_т.5_п.9.1_гр.3</t>
  </si>
  <si>
    <t>3</t>
  </si>
  <si>
    <t>02-15-1-01-0014</t>
  </si>
  <si>
    <t>Перевозка грузов I класса автомобилями-самосвалами грузоподъемностью до 15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 14 км</t>
  </si>
  <si>
    <t>1т груза</t>
  </si>
  <si>
    <t>Автомобили бортовые</t>
  </si>
  <si>
    <t>Перевозка строительных грузов автомобильным транспортом</t>
  </si>
  <si>
    <t>Перевозка строительных грузов автомобильным транспортом, тракторами и прицепами</t>
  </si>
  <si>
    <t>812/пр и 774/пр п.107</t>
  </si>
  <si>
    <t>Пр/812-107.0-1</t>
  </si>
  <si>
    <t>Пр/774-107.0</t>
  </si>
  <si>
    <t>разработка грунта на вывоз</t>
  </si>
  <si>
    <t>4</t>
  </si>
  <si>
    <t>01-01-022-23</t>
  </si>
  <si>
    <t>Разработка грунта с погрузкой на автомобили-самосвалы в траншеях экскаватором «обратная лопата» с ковшом вместимостью 0,25 м3, группа грунтов: 2</t>
  </si>
  <si>
    <t>1000 м3</t>
  </si>
  <si>
    <t>ГЭСН-2022, 01-01-022-23, приказ Минстроя России от 18.05.2022 г. № 378/пр</t>
  </si>
  <si>
    <t>Земляные работы, выполняемые: механизированным способом</t>
  </si>
  <si>
    <t>Пр/812-001.1-1</t>
  </si>
  <si>
    <t>Пр/774-001.1</t>
  </si>
  <si>
    <t>5</t>
  </si>
  <si>
    <t>*(0,15+1)*1.2</t>
  </si>
  <si>
    <t>Поправка: 421/пр_2020_прил.10_т.5_п.9.1_гр.3
Поправка: 2022-18-ГЭСН-ПР-01-12-3.187-000</t>
  </si>
  <si>
    <t>6</t>
  </si>
  <si>
    <t>7</t>
  </si>
  <si>
    <t>обратная засыпка грунтом, привезенным с площадки временного хранения грунта</t>
  </si>
  <si>
    <t>погрузка грунта в а/с для обратной засыпки</t>
  </si>
  <si>
    <t>8</t>
  </si>
  <si>
    <t>01-01-022-22</t>
  </si>
  <si>
    <t>Разработка грунта с погрузкой на автомобили-самосвалы в траншеях экскаватором «обратная лопата» с ковшом вместимостью 0,25 м3</t>
  </si>
  <si>
    <t>ГЭСН-2022, 01-01-022-22, приказ Минстроя России от 18.05.2022 г. № 378/пр</t>
  </si>
  <si>
    <t>9</t>
  </si>
  <si>
    <t>10</t>
  </si>
  <si>
    <t>01-02-061-01</t>
  </si>
  <si>
    <t>Засыпка вручную траншей, пазух котлованов и ям, группа грунтов: 1 (мест пересечений с существующими подземными коммуникациями )</t>
  </si>
  <si>
    <t>ГЭСН-2022, 01-02-061-01, приказ Минстроя России от 18.05.2022 г. № 378/пр</t>
  </si>
  <si>
    <t>11</t>
  </si>
  <si>
    <t>Засыпка вручную траншей, пазух котлованов и ям, группа грунтов: 1</t>
  </si>
  <si>
    <t>12</t>
  </si>
  <si>
    <t>01-01-010-40</t>
  </si>
  <si>
    <t>Разработка грунта в отвал экскаваторами, вместимость ковша 0,25 м3, группа грунтов: 1</t>
  </si>
  <si>
    <t>ГЭСН-2022, 01-01-010-40, приказ Минстроя России от 18.05.2022 г. № 378/пр</t>
  </si>
  <si>
    <t>*(0,15+1)*0,5</t>
  </si>
  <si>
    <t>13</t>
  </si>
  <si>
    <t>01-02-005-01</t>
  </si>
  <si>
    <t>Уплотнение грунта пневматическими трамбовками, группа грунтов: 1-2</t>
  </si>
  <si>
    <t>ГЭСН-2022 доп.4, 01-02-005-01, приказ Минстроя России от 27.12.2022 г. № 1133/пр</t>
  </si>
  <si>
    <t>14</t>
  </si>
  <si>
    <t>01-02-027-04</t>
  </si>
  <si>
    <t>Планировка площадей: ручным способом, группа грунтов 1 (зоны производства работ, зеленая зона в черте города )</t>
  </si>
  <si>
    <t>1000 м2</t>
  </si>
  <si>
    <t>ГЭСН-2022 доп.17, 01-02-027-04, приказ Минстроя России от 17.02.2026 г. № 91/пр</t>
  </si>
  <si>
    <t>Земляные работы, выполняемые: по другим видам работ ( подготовительные, сопутствующие, укрепительные )</t>
  </si>
  <si>
    <t>Пр/812-001.4-1</t>
  </si>
  <si>
    <t>Пр/774-001.4</t>
  </si>
  <si>
    <t>Земляные работы, выполняемые: по другим видам работ (подготовительные, сопутствующие, укрепительные)</t>
  </si>
  <si>
    <t>15</t>
  </si>
  <si>
    <t>22-06-011-02</t>
  </si>
  <si>
    <t>Подвешивание коробов подземных коммуникаций при пересечении их трассой трубопровода, площадь сечения коробов: до 0,25 м2</t>
  </si>
  <si>
    <t>м</t>
  </si>
  <si>
    <t>ГЭСН-2022, 22-06-011-02, приказ Минстроя России от 18.05.2022 г. № 378/пр</t>
  </si>
  <si>
    <t>Наружные сети водопровода, канализации, теплоснабжения, газопроводы</t>
  </si>
  <si>
    <t>ФЕР-22</t>
  </si>
  <si>
    <t>Пр/812-018.0-1</t>
  </si>
  <si>
    <t>Пр/774-018.0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</si>
  <si>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</si>
  <si>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</si>
  <si>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</si>
  <si>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</si>
  <si>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</si>
  <si>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</si>
  <si>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</si>
  <si>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</si>
  <si>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</si>
  <si>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</si>
  <si>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</si>
  <si>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</si>
  <si>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</si>
  <si>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</si>
  <si>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</si>
  <si>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</si>
  <si>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</si>
  <si>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</si>
  <si>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</si>
  <si>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</si>
  <si>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</si>
  <si>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</si>
  <si>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</si>
  <si>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</si>
  <si>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</si>
  <si>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</si>
  <si>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</si>
  <si>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</si>
  <si>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</si>
  <si>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</si>
  <si>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</si>
  <si>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</si>
  <si>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</si>
  <si>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</si>
  <si>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</si>
  <si>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</si>
  <si>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</si>
  <si>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</si>
  <si>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</si>
  <si>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</si>
  <si>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</si>
  <si>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</si>
  <si>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</si>
  <si>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</si>
  <si>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</si>
  <si>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</si>
  <si>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Перевозка</t>
  </si>
  <si>
    <t>Перевозка грузов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</si>
  <si>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</si>
  <si>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</si>
  <si>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</si>
  <si>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</si>
  <si>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</si>
  <si>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</si>
  <si>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НДС 22%</t>
  </si>
  <si>
    <t>Всего с НДС</t>
  </si>
  <si>
    <t>Раздел 2. Демонтажные работы</t>
  </si>
  <si>
    <t>16</t>
  </si>
  <si>
    <t>01-02-068-01</t>
  </si>
  <si>
    <t>Водоотлив: из траншей (многократная откачка воды)</t>
  </si>
  <si>
    <t>ГЭСН-2022, 01-02-068-01, приказ Минстроя России от 18.05.2022 г. № 378/пр</t>
  </si>
  <si>
    <t>Заглушки д76мм-3шт, д57-1шт</t>
  </si>
  <si>
    <t>17</t>
  </si>
  <si>
    <t>22-03-003-01</t>
  </si>
  <si>
    <t>Установка фасонных частей стальных сварным соединением с трубопроводом отводы, колена, патрубки и переходы диаметром: до 100 мм (заглушки)</t>
  </si>
  <si>
    <t>10 ШТ</t>
  </si>
  <si>
    <t>ГЭСН-2022 доп.5, 22-03-003-01, приказ Минстроя России от 10.02.2023 г. № 84/пр</t>
  </si>
  <si>
    <t>17,1</t>
  </si>
  <si>
    <t>08.3.05.02-0081</t>
  </si>
  <si>
    <t>Прокат листовой горячекатаный, марка стали 09Г2С, 12Г2С, ширина 1200-3000 мм, толщина 1-8 мм</t>
  </si>
  <si>
    <t>т</t>
  </si>
  <si>
    <t>ФСБЦ-2022 доп.6, 08.3.05.02-0081, приказ Минстроя России от 11.05.2023 г. № 335/пр</t>
  </si>
  <si>
    <t>18</t>
  </si>
  <si>
    <t>Установка фасонных частей стальных сварным соединением с трубопроводом отводы, колена, патрубки и переходы диаметром: до 100 мм (Демонтаж заглушек)</t>
  </si>
  <si>
    <t>*0</t>
  </si>
  <si>
    <t>*(0,15+1)*0,6</t>
  </si>
  <si>
    <t>Поправка: 421/пр_2020_прил.10_т.5_п.9.1_гр.3
Поправка: 571/пр_2022_п.83_т.2_стр.5_стб.3</t>
  </si>
  <si>
    <t>разборка изоляции</t>
  </si>
  <si>
    <t>19</t>
  </si>
  <si>
    <t>66-01-024-01</t>
  </si>
  <si>
    <t>Разборка тепловой изоляции: из плит, сегментов и скорлуп</t>
  </si>
  <si>
    <t>100 м2</t>
  </si>
  <si>
    <t>ГЭСНр-2022, 66-01-024-01, приказ Минстроя России от 18.05.2022 г. № 378/пр</t>
  </si>
  <si>
    <t>Ремонтно-строительные работы</t>
  </si>
  <si>
    <t>Наружные инженерные сети</t>
  </si>
  <si>
    <t>Наружные инженерные сети: демонтаж, разборка, очистка</t>
  </si>
  <si>
    <t>рФЕР-66</t>
  </si>
  <si>
    <t>Поправка: 421/пр_2020_прил.10_т.5_п.9.1_гр.5</t>
  </si>
  <si>
    <t>Пр/812-100.1-1</t>
  </si>
  <si>
    <t>Пр/774-100.1</t>
  </si>
  <si>
    <t>20</t>
  </si>
  <si>
    <t>47-1</t>
  </si>
  <si>
    <t>Погрузка в автотранспортное средство: мусор строительный с погрузкой вручную</t>
  </si>
  <si>
    <t>Погрузочно-разгрузочные работы</t>
  </si>
  <si>
    <t>812/пр и 774/пр п.106</t>
  </si>
  <si>
    <t>Пр/812-106.0-1</t>
  </si>
  <si>
    <t>Пр/774-106.0</t>
  </si>
  <si>
    <t>21</t>
  </si>
  <si>
    <t>22</t>
  </si>
  <si>
    <t>66-01-012-05</t>
  </si>
  <si>
    <t>Очистка непроходных каналов: от мокрого ила и грязи при снятых трубах, глубина очистки до 2 м</t>
  </si>
  <si>
    <t>м3</t>
  </si>
  <si>
    <t>ГЭСНр-2022, 66-01-012-05, приказ Минстроя России от 18.05.2022 г. № 378/пр</t>
  </si>
  <si>
    <t>23</t>
  </si>
  <si>
    <t>24</t>
  </si>
  <si>
    <t>демонтаж трубопроводов</t>
  </si>
  <si>
    <t>25</t>
  </si>
  <si>
    <t>66-01-016-01</t>
  </si>
  <si>
    <t>Демонтаж трубопроводов в непроходных каналах краном диаметром труб: до 50 мм</t>
  </si>
  <si>
    <t>100 м</t>
  </si>
  <si>
    <t>ГЭСНр-2022, 66-01-016-01, приказ Минстроя России от 18.05.2022 г. № 378/пр</t>
  </si>
  <si>
    <t>26</t>
  </si>
  <si>
    <t>66-01-016-02</t>
  </si>
  <si>
    <t>Демонтаж трубопроводов в непроходных каналах краном диаметром труб: до 80 мм</t>
  </si>
  <si>
    <t>ГЭСНр-2022, 66-01-016-02, приказ Минстроя России от 18.05.2022 г. № 378/пр</t>
  </si>
  <si>
    <t>27</t>
  </si>
  <si>
    <t>66-01-026-01</t>
  </si>
  <si>
    <t>Демонтаж задвижек диаметром: до 50 мм (спускника д20мм, для повторного использования)</t>
  </si>
  <si>
    <t>ШТ</t>
  </si>
  <si>
    <t>ГЭСНр-2022, 66-01-026-01, приказ Минстроя России от 18.05.2022 г. № 378/пр</t>
  </si>
  <si>
    <t>28</t>
  </si>
  <si>
    <t>36-1</t>
  </si>
  <si>
    <t>Погрузка в автотранспортное средство: трубы металлические (погрузка и разгрузка с применением автомобильных кранов)</t>
  </si>
  <si>
    <t>29</t>
  </si>
  <si>
    <t>Раздел 3. Монтажные работы</t>
  </si>
  <si>
    <t>трубы</t>
  </si>
  <si>
    <t>д57мм</t>
  </si>
  <si>
    <t>30</t>
  </si>
  <si>
    <t>24-01-002-01</t>
  </si>
  <si>
    <t>Прокладка стальных трубопроводов в непроходном канале при номинальном давлении 1,6 МПа, температуре 150°С, диаметр труб: 50 мм</t>
  </si>
  <si>
    <t>км</t>
  </si>
  <si>
    <t>ГЭСН-2022, 24-01-002-01, приказ Минстроя России от 18.05.2022 г. № 378/пр</t>
  </si>
  <si>
    <t>ФЕР-24</t>
  </si>
  <si>
    <t>30,1</t>
  </si>
  <si>
    <t>08.1.02.25-0091</t>
  </si>
  <si>
    <t>Опора скользящая стальная (5 шт * 1,77 кг=8,85 кг)</t>
  </si>
  <si>
    <t>кг</t>
  </si>
  <si>
    <t>ФСБЦ-2022, 08.1.02.25-0091, приказ Минстроя России от 18.05.2022 г. № 378/пр</t>
  </si>
  <si>
    <t>30,2</t>
  </si>
  <si>
    <t>23.5.02.02-1144</t>
  </si>
  <si>
    <t>Трубы стальные электросварные прямошовные из стали марки 20, наружный диаметр 57 мм, толщина стенки 4 мм</t>
  </si>
  <si>
    <t>ФСБЦ-2022, 23.5.02.02-1144, приказ Минстроя России от 18.05.2022 г. № 378/пр</t>
  </si>
  <si>
    <t>30,3</t>
  </si>
  <si>
    <t>23.8.04.06-0065</t>
  </si>
  <si>
    <t>Отвод 90° с радиусом кривизны R=1,5 Ду на давление до 16 МПа, номинальный диаметр 50 мм, наружный диаметр 57 мм, толщина стенки 5 мм *Прим толщина стенки 6 мм</t>
  </si>
  <si>
    <t>ФСБЦ-2022, 23.8.04.06-0065, приказ Минстроя России от 18.05.2022 г. № 378/пр</t>
  </si>
  <si>
    <t>Установка скользящих опор сверх нормы, учтенной расценкой 8,85 кг-4,35 кг=4,5кг)</t>
  </si>
  <si>
    <t>31</t>
  </si>
  <si>
    <t>09-03-039-01</t>
  </si>
  <si>
    <t>Монтаж опорных конструкций для крепления трубопроводов внутри зданий и сооружений массой: до 0,1 т</t>
  </si>
  <si>
    <t>ГЭСН-2022 доп.2, 09-03-039-01, приказ Минстроя России от 26.08.2022 г. № 703/пр</t>
  </si>
  <si>
    <t>Строительные металлические конструкции</t>
  </si>
  <si>
    <t>ФЕР-09</t>
  </si>
  <si>
    <t>Пр/812-009.0-1</t>
  </si>
  <si>
    <t>Пр/774-009.0</t>
  </si>
  <si>
    <t>31,1</t>
  </si>
  <si>
    <t>д76мм</t>
  </si>
  <si>
    <t>32</t>
  </si>
  <si>
    <t>24-01-002-02</t>
  </si>
  <si>
    <t>Прокладка стальных трубопроводов в непроходном канале при номинальном давлении 1,6 МПа, температуре 150°С, диаметр труб: 65 мм</t>
  </si>
  <si>
    <t>ГЭСН-2022, 24-01-002-02, приказ Минстроя России от 18.05.2022 г. № 378/пр</t>
  </si>
  <si>
    <t>32,1</t>
  </si>
  <si>
    <t>Опора скользящая стальная (15 шт * 1,94 кг=29,1 кг)</t>
  </si>
  <si>
    <t>32,2</t>
  </si>
  <si>
    <t>23.5.02.02-1160</t>
  </si>
  <si>
    <t>Трубы стальные электросварные прямошовные из стали марки 20, наружный диаметр 76 мм, толщина стенки 4 мм</t>
  </si>
  <si>
    <t>ФСБЦ-2022, 23.5.02.02-1160, приказ Минстроя России от 18.05.2022 г. № 378/пр</t>
  </si>
  <si>
    <t>32,3</t>
  </si>
  <si>
    <t>23.8.04.06-0068</t>
  </si>
  <si>
    <t>Отвод 90° с радиусом кривизны R=1,5 Ду на давление до 16 МПа, номинальный диаметр 65 мм, наружный диаметр 76 мм, толщина стенки 6 мм</t>
  </si>
  <si>
    <t>ФСБЦ-2022, 23.8.04.06-0068, приказ Минстроя России от 18.05.2022 г. № 378/пр</t>
  </si>
  <si>
    <t>Установка скользящих опор сверх нормы, учтенной расценкой 29,1 кг-13,05 кг= 16,05кг)</t>
  </si>
  <si>
    <t>33</t>
  </si>
  <si>
    <t>33,1</t>
  </si>
  <si>
    <t>Протаскивание трубопровоов д,57 мм 1 х12 м и 76 мм 3 х 12 м в существующий канал) ИТОГО 48м</t>
  </si>
  <si>
    <t>34</t>
  </si>
  <si>
    <t>22-05-003-01</t>
  </si>
  <si>
    <t>Протаскивание  стальных труб диаметром: 100 мм</t>
  </si>
  <si>
    <t>ГЭСН-2022 доп.9, 22-05-003-01, приказ Минстроя России от 16.02.2024 г. № 102/пр</t>
  </si>
  <si>
    <t>изоляция</t>
  </si>
  <si>
    <t>35</t>
  </si>
  <si>
    <t>13-03-004-17</t>
  </si>
  <si>
    <t>Окраска металлических огрунтованных поверхностей: органосиликатной композицией ОС-12-03 за 2 раза</t>
  </si>
  <si>
    <t>ГЭСН-2022 доп.13, 13-03-004-17, приказ Минстроя России от 07.02.2025 г. № 69/пр</t>
  </si>
  <si>
    <t>*2</t>
  </si>
  <si>
    <t>*(0,15+1)*2</t>
  </si>
  <si>
    <t>Защита строительных конструкций и оборудования от коррозии</t>
  </si>
  <si>
    <t>Защита строительных конструкций</t>
  </si>
  <si>
    <t>ФЕР-13</t>
  </si>
  <si>
    <t>Пр/812-013.0-1</t>
  </si>
  <si>
    <t>Пр/774-013.0</t>
  </si>
  <si>
    <t>36</t>
  </si>
  <si>
    <t>26-01-009-01</t>
  </si>
  <si>
    <t>Изоляция трубопроводов: матами минераловатными, плитами минераловатными на синтетическом связующем</t>
  </si>
  <si>
    <t>ГЭСН-2022 доп.7, 26-01-009-01, приказ Минстроя России от 02.08.2023 г. № 551/пр</t>
  </si>
  <si>
    <t>Теплоизоляционные работы</t>
  </si>
  <si>
    <t>ФЕР-26</t>
  </si>
  <si>
    <t>Пр/812-020.0-1</t>
  </si>
  <si>
    <t>Пр/774-020.0</t>
  </si>
  <si>
    <t>36,1</t>
  </si>
  <si>
    <t>12.2.04.04-0001</t>
  </si>
  <si>
    <t>Маты прошивные теплоизоляционные из минеральной ваты, без обкладок, марка 100 (МП-100)</t>
  </si>
  <si>
    <t>ФСБЦ-2022 доп.8, 12.2.04.04-0001, приказ Минстроя России от 14.11.2023 г. № 817/пр</t>
  </si>
  <si>
    <t>37</t>
  </si>
  <si>
    <t>26-01-054-01</t>
  </si>
  <si>
    <t>Обертывание поверхности изоляции рулонными материалами насухо с проклейкой швов</t>
  </si>
  <si>
    <t>ГЭСН-2022, 26-01-054-01, приказ Минстроя России от 18.05.2022 г. № 378/пр</t>
  </si>
  <si>
    <t>37,1</t>
  </si>
  <si>
    <t>12.2.03.11-0012</t>
  </si>
  <si>
    <t>Ткань стеклянная изоляционная, плотность 230 г/м2, толщина 0,2 мм (*РСТ-415-Л, клей)</t>
  </si>
  <si>
    <t>м2</t>
  </si>
  <si>
    <t>ФСБЦ-2022, 12.2.03.11-0012, приказ Минстроя России от 18.05.2022 г. № 378/пр</t>
  </si>
  <si>
    <t>врезки</t>
  </si>
  <si>
    <t>38</t>
  </si>
  <si>
    <t>м12-11-005-01</t>
  </si>
  <si>
    <t>Врезка трубопровода номинальным давлением 2,5 МПа в действующие магистрали, диаметр наружный врезаемой трубы: 57 мм</t>
  </si>
  <si>
    <t>ГЭСНм-2022, м12-11-005-01, приказ Минстроя России от 18.05.2022 г. № 378/пр</t>
  </si>
  <si>
    <t>Монтажные работы</t>
  </si>
  <si>
    <t>Технологические трубопроводы</t>
  </si>
  <si>
    <t>мФЕР-12</t>
  </si>
  <si>
    <t>Поправка: 421/пр_2020_прил.10_т.5_п.9.1_гр.4</t>
  </si>
  <si>
    <t>Пр/812-054.0-1</t>
  </si>
  <si>
    <t>Пр/774-054.0</t>
  </si>
  <si>
    <t>39</t>
  </si>
  <si>
    <t>м12-11-005-02</t>
  </si>
  <si>
    <t>Врезка трубопровода номинальным давлением 2,5 МПа в действующие магистрали, диаметр наружный врезаемой трубы: 76 мм</t>
  </si>
  <si>
    <t>ГЭСНм-2022, м12-11-005-02, приказ Минстроя России от 18.05.2022 г. № 378/пр</t>
  </si>
  <si>
    <t>спускник д20мм (б/у без стоимости) - 4 шт</t>
  </si>
  <si>
    <t>40</t>
  </si>
  <si>
    <t>24-01-032-01</t>
  </si>
  <si>
    <t>Установка задвижек или клапанов стальных для горячей воды и пара диаметром: 50 мм (20мм)</t>
  </si>
  <si>
    <t>10 компл</t>
  </si>
  <si>
    <t>ГЭСН-2022 доп.14, 24-01-032-01, приказ Минстроя России от 19.05.2025 г. № 299/пр</t>
  </si>
  <si>
    <t>выход из канала</t>
  </si>
  <si>
    <t>41</t>
  </si>
  <si>
    <t>08-02-001-09</t>
  </si>
  <si>
    <t>Кладка стен приямков и каналов</t>
  </si>
  <si>
    <t>ГЭСН-2022, 08-02-001-09, приказ Минстроя России от 18.05.2022 г. № 378/пр</t>
  </si>
  <si>
    <t>Конструкции из кирпича и блоков</t>
  </si>
  <si>
    <t>ФЕР-08</t>
  </si>
  <si>
    <t>Пр/812-008.0-1</t>
  </si>
  <si>
    <t>Пр/774-008.0</t>
  </si>
  <si>
    <t>41,1</t>
  </si>
  <si>
    <t>04.3.01.09-0014</t>
  </si>
  <si>
    <t>Раствор готовый кладочный, цементный, М100</t>
  </si>
  <si>
    <t>ФСБЦ-2022, 04.3.01.09-0014, приказ Минстроя России от 18.05.2022 г. № 378/пр</t>
  </si>
  <si>
    <t>41,2</t>
  </si>
  <si>
    <t>06.1.01.05-0037</t>
  </si>
  <si>
    <t>Кирпич керамический рядовой полнотелый одинарный, размеры 250х120х65 мм, марка М150</t>
  </si>
  <si>
    <t>1000 ШТ</t>
  </si>
  <si>
    <t>ФСБЦ-2022 доп.14, 06.1.01.05-0037, приказ Минстроя России от 19.05.2025 г. № 299/пр</t>
  </si>
  <si>
    <t>42</t>
  </si>
  <si>
    <t>09-06-001-02</t>
  </si>
  <si>
    <t>Монтаж: лотков, решеток, затворов из полосовой и тонколистовой стали</t>
  </si>
  <si>
    <t>ГЭСН-2022, 09-06-001-02, приказ Минстроя России от 18.05.2022 г. № 378/пр</t>
  </si>
  <si>
    <t>42,1</t>
  </si>
  <si>
    <t>08.3.08.02-0058</t>
  </si>
  <si>
    <t>Уголок стальной горячекатаный равнополочный, марки стали Ст3сп, Ст3пс, ширина полок 35-56 мм, толщина полки 3-5 мм (уголок 50х50х4 - 4м * 3,05кг=12,2 кг)</t>
  </si>
  <si>
    <t>ФСБЦ-2022, 08.3.08.02-0058, приказ Минстроя России от 18.05.2022 г. № 378/пр</t>
  </si>
  <si>
    <t>42,2</t>
  </si>
  <si>
    <t>08.3.05.02-0021</t>
  </si>
  <si>
    <t>Прокат листовой горячекатаный, марки стали Ст3сп, Ст3пс, ширина 1200-3000 мм, толщина 1-8 мм (лист т.5мм 1,2мх0,8м=0,96м2)</t>
  </si>
  <si>
    <t>ФСБЦ-2022, 08.3.05.02-0021, приказ Минстроя России от 18.05.2022 г. № 378/пр</t>
  </si>
  <si>
    <t>43</t>
  </si>
  <si>
    <t>13-03-004-12</t>
  </si>
  <si>
    <t>Окраска металлических огрунтованных поверхностей: органосиликатной композицией за 2 раза</t>
  </si>
  <si>
    <t>ГЭСН-2022 доп.18, 13-03-004-12, приказ Минстроя России от 15.05.2026 г. № 301/пр</t>
  </si>
  <si>
    <t>43,1</t>
  </si>
  <si>
    <t>14.2.01.01-0003</t>
  </si>
  <si>
    <t>Композиция органосиликатная ОС-12-03</t>
  </si>
  <si>
    <t>ФСБЦ-2022, 14.2.01.01-0003, приказ Минстроя России от 18.05.2022 г. № 378/пр</t>
  </si>
  <si>
    <t>43,2</t>
  </si>
  <si>
    <t>14.5.09.10-0001</t>
  </si>
  <si>
    <t>Толуол каменноугольный и сланцевый, марки А, Б</t>
  </si>
  <si>
    <t>ФСБЦ-2022, 14.5.09.10-0001, приказ Минстроя России от 18.05.2022 г. № 378/пр</t>
  </si>
  <si>
    <t>44</t>
  </si>
  <si>
    <t>15-02-001-01</t>
  </si>
  <si>
    <t>Улучшенная штукатурка фасадов цементно-известковым раствором по камню: стен</t>
  </si>
  <si>
    <t>ГЭСН-2022 доп.17, 15-02-001-01, приказ Минстроя России от 17.02.2026 г. № 91/пр</t>
  </si>
  <si>
    <t>Отделочные работы</t>
  </si>
  <si>
    <t>ФЕР-15</t>
  </si>
  <si>
    <t>Пр/812-015.0-1</t>
  </si>
  <si>
    <t>Пр/774-015.0</t>
  </si>
  <si>
    <t>44,1</t>
  </si>
  <si>
    <t>04.3.01.12-0005</t>
  </si>
  <si>
    <t>Раствор кладочный, цементно-известковый, М100</t>
  </si>
  <si>
    <t>ФСБЦ-2022, 04.3.01.12-0005, приказ Минстроя России от 18.05.2022 г. № 378/пр</t>
  </si>
  <si>
    <t>45</t>
  </si>
  <si>
    <t>08-01-003-07</t>
  </si>
  <si>
    <t>Гидроизоляция боковая обмазочная битумная в 2 слоя по выровненной поверхности бутовой кладки, кирпичу, бетону</t>
  </si>
  <si>
    <t>ГЭСН-2022 доп.6, 08-01-003-07, приказ Минстроя России от 11.05.2023 г. № 335/пр</t>
  </si>
  <si>
    <t>45,1</t>
  </si>
  <si>
    <t>01.2.01.02-0042</t>
  </si>
  <si>
    <t>Битум нефтяной строительный кровельный БНК-90/30</t>
  </si>
  <si>
    <t>ФСБЦ-2022, 01.2.01.02-0042, приказ Минстроя России от 18.05.2022 г. № 378/пр</t>
  </si>
  <si>
    <t>45,2</t>
  </si>
  <si>
    <t>01.2.03.03-0014</t>
  </si>
  <si>
    <t>Мастика битумная кровельная горячая МБК-Г-55, МБК-Г-65, МБК-Г-75, МБК-Г-85, МБК-Г-100</t>
  </si>
  <si>
    <t>ФСБЦ-2022 доп.14, 01.2.03.03-0014, приказ Минстроя России от 19.05.2025 г. № 299/пр</t>
  </si>
  <si>
    <t>Раздел Восстановление благоустройства</t>
  </si>
  <si>
    <t>46</t>
  </si>
  <si>
    <t>47-01-046-03</t>
  </si>
  <si>
    <t>Подготовка почвы для устройства партерного и обыкновенного газона с внесением растительной земли слоем 15 см: механизированным способом</t>
  </si>
  <si>
    <t>ГЭСН-2022 доп.15, 47-01-046-03, приказ Минстроя России от 14.08.2025 г. № 490/пр</t>
  </si>
  <si>
    <t>Озеленение. Защитные лесонасаждения</t>
  </si>
  <si>
    <t>ФЕР-47</t>
  </si>
  <si>
    <t>Пр/812-041.0-1</t>
  </si>
  <si>
    <t>Пр/774-041.0</t>
  </si>
  <si>
    <t>46,1</t>
  </si>
  <si>
    <t>16.2.01.02-0001</t>
  </si>
  <si>
    <t>Земля растительная</t>
  </si>
  <si>
    <t>ФСБЦ-2022, 16.2.01.02-0001, приказ Минстроя России от 18.05.2022 г. № 378/пр</t>
  </si>
  <si>
    <t>до 10 см</t>
  </si>
  <si>
    <t>47</t>
  </si>
  <si>
    <t>47-01-046-05</t>
  </si>
  <si>
    <t>На каждые 5 см изменения толщины слоя добавлять или исключать к нормам с 47-01-046-01 по 47-01-046-04 до 10 см</t>
  </si>
  <si>
    <t>ГЭСН-2022 доп.15, 47-01-046-05, приказ Минстроя России от 14.08.2025 г. № 490/пр</t>
  </si>
  <si>
    <t>47,1</t>
  </si>
  <si>
    <t>СТР_РЕК</t>
  </si>
  <si>
    <t>СТРОИТЕЛЬСТВО и РЕКОНСТРУКЦИЯ  зданий и сооружений всех назначений</t>
  </si>
  <si>
    <t>Строительство и реконструкция</t>
  </si>
  <si>
    <t>РЕМ_ЖИЛ</t>
  </si>
  <si>
    <t>КАП. РЕМ. ЖИЛЫХ И ОБЩЕСТВЕННЫХ ЗДАНИЙ</t>
  </si>
  <si>
    <t>Капитальный ремонт жилых и общественных зданий</t>
  </si>
  <si>
    <t>РЕМ_ПР</t>
  </si>
  <si>
    <t>КАП. РЕМ. ПРОИЗВОДСТВЕННЫХ ЗД. и СООРУЖЕНИЙ,  НАРУЖНЫХ ИНЖЕНЕРНЫХ СЕТЕЙ, УЛИЦ И ДОРОГ МЕСТНОГО ЗНАЧЕНИЯ, ИНЖ,СООРУЖЕНИЙ ( ГИДРОТЕХ,СООРУЖ, МОСТОВ И ПУТЕПРОВОДОВ И Т.П.)</t>
  </si>
  <si>
    <t>Капитальный ремонт прозводственных зданий</t>
  </si>
  <si>
    <t>Территория</t>
  </si>
  <si>
    <t>для территории Российской Федерации, не относящейся к районам Крайнего Севера и приравненным к ним местностям</t>
  </si>
  <si>
    <t>МПРКС</t>
  </si>
  <si>
    <t>для территории Российской Федерации, относящейся к местностям, приравненным к районам Крайнего Севера</t>
  </si>
  <si>
    <t>РКС</t>
  </si>
  <si>
    <t>для территории Российской Федерации, относящейся к районам Крайнего Севера</t>
  </si>
  <si>
    <t>СЛЖ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</si>
  <si>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За исключением АЭС.</t>
  </si>
  <si>
    <t>Для сборников ФЕР ( при производстве работ на технически сложных объектах ):  ·  { СЛЖ } - (вкл.)    - работа на сложных объектах  (к=1,2 к НР)           ·  { СЛЖ } - (выкл.) - работа на обычных объектах</t>
  </si>
  <si>
    <t>Сложные объекты</t>
  </si>
  <si>
    <t>СТНДРТ</t>
  </si>
  <si>
    <t>При определении сметной стоимости строительства объектов капитального строительства (за исключением АЭС).</t>
  </si>
  <si>
    <t>АЭС_ПНР</t>
  </si>
  <si>
    <t>При определении сметной стоимости строительства объектов капитального строительства АЭС. Пусконаладочные работы (за исключением технологического оборудования АЭС).</t>
  </si>
  <si>
    <t>АЭС</t>
  </si>
  <si>
    <t>АЭС_ПНР_ТЕХ</t>
  </si>
  <si>
    <t>При определении сметной стоимости строительства объектов капитального строительства АЭС. Пусконаладочные работы технологического оборудования АЭС.</t>
  </si>
  <si>
    <t>Для сборника ФЕРм -39  и ФЕРМ-08  ( при работах по контролю сварных соединений) :    {мАЭС} - ( вкл.)  -     при выполнении работ по на АЭС  (HР=101%; СП= 68%;             {мАЭС} - (выкл.) -  при выполнении работ  на обычных объектах</t>
  </si>
  <si>
    <t>АЭС, ПНР технологического оборудования АЭС.</t>
  </si>
  <si>
    <t>ОПТ/В</t>
  </si>
  <si>
    <t>{вкл}    - Прокладка  МЕЖДУГОРОДНЫХ  ВОЛОКОННО-ОПТИЧЕСКИХ ЛИНИЙ (для ФЕРм10, отд. 6 разд.3)  {выкл} - Прокладка  ГОРОДСКИХ               ВОЛОКОННО-ОПТИЧЕСКИХ ЛИНИЙ  (для ФЕРм10, отд. 6 разд.3)</t>
  </si>
  <si>
    <t>Для сборников ФЕРм-10  ( волоконно-оптические линии связи ): ·  {М_ГОР_опт} -  ( вкл.)  - междугородные сети связи ( НР=120% , СП=70% )           ·  {М_ГОР_опт} - ( выкл.) - городские сети связи  ( НР=100%; СП=65%)</t>
  </si>
  <si>
    <t>Прокладка междугородных в/опт. кабелей</t>
  </si>
  <si>
    <t>АВИ</t>
  </si>
  <si>
    <t>(вкл)   -  При работах по ДИСПЕТЧЕРИЗАЦИИ управления движением АВИАТРАНСПОРТОМ {вкл}  (монтажные работы )</t>
  </si>
  <si>
    <t>Для сборников ФЕРм 08;10;11 :    · {мАВИА} -  (вкл.)     -  производство монтажных  работы по диспетчеризации управления  движением авиатранспортном (НР=95%, СП=55%) ;    ·            {мАВИА} -  (выкл. ) -  при производстве работ на прочих объектах , кром</t>
  </si>
  <si>
    <t>Диспетчеризация авиатранспорта</t>
  </si>
  <si>
    <t>ЗАКР</t>
  </si>
  <si>
    <t>{вкл}   -  Обслуживающие и сопутствующие работы в тоннелях при  производстве работ ЗАКРЫТЫМ СПОСОБОМ   {выкл} - Обслуживающие и сопутствующие работы в тоннелях при  производстве работ  ОТКРЫТЫМ</t>
  </si>
  <si>
    <t>Для сборника ФЕР -29 ( сопутствующие работы в тоннелях и метро. ): ·  {ЗАКР} - (вкл.)     -  при выполнении работ в тоннелях  и метро закрытым способом  (НР=145% , СП=75%); ·                {ЗАКР} - (выкл.) -   при выполнении работ в тоннелях и метро  отк</t>
  </si>
  <si>
    <t>Производство работ закрытым способом (обслуживающие процессы)</t>
  </si>
  <si>
    <t>АВТО_ДРГ</t>
  </si>
  <si>
    <t>{вкл} - НР и СП по п.021.0 "Автомобильные дороги" (раздел 2 нормы 27-02-010-01:07)  {выкл} - НР и СП по п.021.1 Устройство покрытий дорожек, тротуаров, мостовых и площадок и прочее (раздел 2 нормы 27-02-010-01:07)</t>
  </si>
  <si>
    <t>ГОР</t>
  </si>
  <si>
    <t>(вкл) - ФЕРм-08, выполнение работ на горнорудных объектах  (выкл) - ФЕРм-08, выполнение работ на других объектах</t>
  </si>
  <si>
    <t>Выполнение работ на горнорудных объектах</t>
  </si>
  <si>
    <t>ОБ_ПР</t>
  </si>
  <si>
    <t>Объект производственного назначения</t>
  </si>
  <si>
    <t>ОБ_НПР</t>
  </si>
  <si>
    <t>Объект непроизводственного назначения</t>
  </si>
  <si>
    <t>К_НР_РЕМ</t>
  </si>
  <si>
    <t>при ремонте жилых и общественных зданий если  ( если {РЕМ_ЖИЛ}= [вкл.]</t>
  </si>
  <si>
    <t>Для сборников  ФЕР и  ФЕРмр :  · Значение {_МДСрем_НР}= 0,90 -  при ремонте зданий жилого и гражданского назначений ( 0,90 к НР) ;  · Значение {_МДСрем_НР}= 1,00  - при строительстве  и реконструкции  объектов всех назначений</t>
  </si>
  <si>
    <t>п.25</t>
  </si>
  <si>
    <t>К_СП_РЕМ</t>
  </si>
  <si>
    <t>к нормам СП при капитальном ремонте зданий и сооружений всех назначений ( если или {РЕМ_ЖИЛ}=[вкл] , или (РЕМ_ПР}=[вкл] )</t>
  </si>
  <si>
    <t>Для сборников  ФЕР и  ФЕРмр :   · Значение {_МДСрем_СП} = 0.85  -  при ремонте зданий всех назначений ( 0,85 к СП);   · Значение {_МДСрем_СП} = 1,00 -  при строительстве  и реконструкции  объектов всех назначений</t>
  </si>
  <si>
    <t>п.16</t>
  </si>
  <si>
    <t>К_НР_СЛЖ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</si>
  <si>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За исключением объектов атомных электрических станций.  ( если {СЛЖ} = [вкл] )</t>
  </si>
  <si>
    <t>п.27 СЛОЖН</t>
  </si>
  <si>
    <t>К_НР_АЭС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</si>
  <si>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Для объектов атомных электрических станций.  ( если {АЭС} = [вкл] )</t>
  </si>
  <si>
    <t>п.27 АЭС</t>
  </si>
  <si>
    <t>Р_ОКР</t>
  </si>
  <si>
    <t>Разрядность округления результата расчета НР и СП  (с 05.04.2020 - до семи знаков после запятой)</t>
  </si>
  <si>
    <t>Лист_НРиСП</t>
  </si>
  <si>
    <t>Уровень цен</t>
  </si>
  <si>
    <t>Вид цен</t>
  </si>
  <si>
    <t>Рязанская область, КТЦ к ФСНБ-2022, 2 квартал 2026 г</t>
  </si>
  <si>
    <t>Сборник индексов</t>
  </si>
  <si>
    <t>Рязанская область к ФСНБ-2022 ФГИС ЦС</t>
  </si>
  <si>
    <t>Письмо Минстроя России  «О размещении индексов изменения сметной стоимости строительства по группам однородных строительных ресурсов на II квартал 2026 года»</t>
  </si>
  <si>
    <t>Справочная информация</t>
  </si>
  <si>
    <t>Письмо Минстроя России от 22.05.2026 № 31076-ИФ/09</t>
  </si>
  <si>
    <t>Постановление главного управления архитектуры и градостроительства Рязанской области</t>
  </si>
  <si>
    <t>Постановление главного управления архитектуры и градостроительства Рязанской области от 20.03.2026 г. № 215-п</t>
  </si>
  <si>
    <t>_OBSM_</t>
  </si>
  <si>
    <t>1-100-20</t>
  </si>
  <si>
    <t>Средний разряд работы 2,0</t>
  </si>
  <si>
    <t>чел.-ч.</t>
  </si>
  <si>
    <t>1-100-15</t>
  </si>
  <si>
    <t>Средний разряд работы 1,5</t>
  </si>
  <si>
    <t>4-100-00</t>
  </si>
  <si>
    <t>Затраты труда машинистов</t>
  </si>
  <si>
    <t>91.01.05-106</t>
  </si>
  <si>
    <t>ФСЭМ-2022, 91.01.05-106, приказ Минстроя России от 18.05.2022 г. № 378/пр</t>
  </si>
  <si>
    <t>Экскаваторы одноковшовые дизельные на пневмоколесном ходу, объем ковша 0,25 м3</t>
  </si>
  <si>
    <t>маш.-ч</t>
  </si>
  <si>
    <t>4-100-050</t>
  </si>
  <si>
    <t>91.01.05-066</t>
  </si>
  <si>
    <t>ФСЭМ-2022, 91.01.05-066, приказ Минстроя России от 18.05.2022 г. № 378/пр</t>
  </si>
  <si>
    <t>Экскаваторы одноковшовые дизельные на гусеничном ходу, объем ковша 0,25 м3</t>
  </si>
  <si>
    <t>1-100-30</t>
  </si>
  <si>
    <t>Средний разряд работы 3,0</t>
  </si>
  <si>
    <t>91.08.09-023</t>
  </si>
  <si>
    <t>ФСЭМ-2022 доп.4, 91.08.09-023, приказ Минстроя России от 27.12.2022 г. № 1133/пр</t>
  </si>
  <si>
    <t>Трамбовки пневматические при работе от передвижных компрессорных установок</t>
  </si>
  <si>
    <t>91.18.01-007</t>
  </si>
  <si>
    <t>ФСЭМ-2022 доп.13, 91.18.01-007, приказ Минстроя России от 07.02.2025 г. № 69/пр</t>
  </si>
  <si>
    <t>Компрессоры винтовые передвижные с двигателем внутреннего сгорания, давление до 0,7 МПа (7 атм), производительность до 5,4 м3/мин</t>
  </si>
  <si>
    <t>4-100-040</t>
  </si>
  <si>
    <t>91.10.05-007</t>
  </si>
  <si>
    <t>ФСЭМ-2022, 91.10.05-007, приказ Минстроя России от 18.05.2022 г. № 378/пр</t>
  </si>
  <si>
    <t>Трубоукладчики, номинальная грузоподъемность 12,5 т</t>
  </si>
  <si>
    <t>4-100-070</t>
  </si>
  <si>
    <t>91.14.02-001</t>
  </si>
  <si>
    <t>ФСЭМ-2022 доп.7, 91.14.02-001, приказ Минстроя России от 02.08.2023 г. № 551/пр</t>
  </si>
  <si>
    <t>Автомобили бортовые, грузоподъемность до 5 т</t>
  </si>
  <si>
    <t>01.7.15.06-0111</t>
  </si>
  <si>
    <t>ФСБЦ-2022, 01.7.15.06-0111, приказ Минстроя России от 18.05.2022 г. № 378/пр</t>
  </si>
  <si>
    <t>Гвозди строительные</t>
  </si>
  <si>
    <t>08.3.03.06-0002</t>
  </si>
  <si>
    <t>ФСБЦ-2022, 08.3.03.06-0002, приказ Минстроя России от 18.05.2022 г. № 378/пр</t>
  </si>
  <si>
    <t>Проволока горячекатаная в мотках, диаметр 6,3-6,5 мм</t>
  </si>
  <si>
    <t>11.1.02.04-0031</t>
  </si>
  <si>
    <t>ФСБЦ-2022, 11.1.02.04-0031, приказ Минстроя России от 18.05.2022 г. № 378/пр</t>
  </si>
  <si>
    <t>Лесоматериалы круглые хвойных пород неокоренные, длина 3-6,5 м, диаметр 14-24 см, сорт II-III</t>
  </si>
  <si>
    <t>11.1.03.01-0062</t>
  </si>
  <si>
    <t>ФСБЦ-2022 доп.2, 11.1.03.01-0062, приказ Минстроя России от 26.08.2022 г. № 703/пр</t>
  </si>
  <si>
    <t>Бруски обрезные хвойных пород (ель, сосна), естественной влажности, длина 2-6,5 м, ширина 20-90 мм, толщина 20-90 мм, сорт II</t>
  </si>
  <si>
    <t>11.1.03.06-0071</t>
  </si>
  <si>
    <t>ФСБЦ-2022 доп.4, 11.1.03.06-0071, приказ Минстроя России от 27.12.2022 г. № 1133/пр</t>
  </si>
  <si>
    <t>Доска обрезная хвойных пород, естественной влажности, длина 2-6,5 м, ширина 100-250 мм, толщина 25 мм, сорт III</t>
  </si>
  <si>
    <t>91.19.08-004</t>
  </si>
  <si>
    <t>ФСЭМ-2022, 91.19.08-004, приказ Минстроя России от 18.05.2022 г. № 378/пр</t>
  </si>
  <si>
    <t>Насосы, производительность 53 м3/ч, напор 10 м, мощность 4 кВт</t>
  </si>
  <si>
    <t>2-100-01</t>
  </si>
  <si>
    <t>Рабочий 1 разряда</t>
  </si>
  <si>
    <t>чел.-ч</t>
  </si>
  <si>
    <t>2-100-03</t>
  </si>
  <si>
    <t>Рабочий 3 разряда</t>
  </si>
  <si>
    <t>2-100-04</t>
  </si>
  <si>
    <t>Рабочий 4 разряда</t>
  </si>
  <si>
    <t>2-100-05</t>
  </si>
  <si>
    <t>Рабочий 5 разряда</t>
  </si>
  <si>
    <t>91.17.04-033</t>
  </si>
  <si>
    <t>ФСЭМ-2022 доп.11, 91.17.04-033, приказ Минстроя России от 07.11.2024 г. № 747/пр</t>
  </si>
  <si>
    <t>Агрегаты сварочные для ручной дуговой сварки на тракторе, сварочный ток до 250 А, количество постов 2, мощность трактора 79 кВт (108 л.с.)</t>
  </si>
  <si>
    <t>01.7.03.04-0001</t>
  </si>
  <si>
    <t>ФСБЦ-2022, 01.7.03.04-0001, приказ Минстроя России от 18.05.2022 г. № 378/пр</t>
  </si>
  <si>
    <t>Электроэнергия</t>
  </si>
  <si>
    <t>КВТ-Ч</t>
  </si>
  <si>
    <t>01.7.11.07-0039</t>
  </si>
  <si>
    <t>ФСБЦ-2022, 01.7.11.07-0039, приказ Минстроя России от 18.05.2022 г. № 378/пр</t>
  </si>
  <si>
    <t>Электроды сварочные для сварки низколегированных и углеродистых сталей Э50, диаметр 4 мм</t>
  </si>
  <si>
    <t>01.7.17.07-0053</t>
  </si>
  <si>
    <t>ФСБЦ-2022 доп.10, 01.7.17.07-0053, приказ Минстроя России от 13.05.2024 г. № 323/пр</t>
  </si>
  <si>
    <t>Круг шлифовальный прямого профиля, размеры 180х10х22 мм</t>
  </si>
  <si>
    <t>1-100-27</t>
  </si>
  <si>
    <t>Средний разряд работы 2,7</t>
  </si>
  <si>
    <t>1-100-19</t>
  </si>
  <si>
    <t>Средний разряд работы 1,9</t>
  </si>
  <si>
    <t>91.05.05-015</t>
  </si>
  <si>
    <t>ФСЭМ-2022, 91.05.05-015, приказ Минстроя России от 18.05.2022 г. № 378/пр</t>
  </si>
  <si>
    <t>Краны на автомобильном ходу, грузоподъемность 16 т</t>
  </si>
  <si>
    <t>4-100-060</t>
  </si>
  <si>
    <t>91.17.04-042</t>
  </si>
  <si>
    <t>ФСЭМ-2022, 91.17.04-042, приказ Минстроя России от 18.05.2022 г. № 378/пр</t>
  </si>
  <si>
    <t>Аппараты для газовой сварки и резки</t>
  </si>
  <si>
    <t>01.3.02.08-0001</t>
  </si>
  <si>
    <t>ФСБЦ-2022 доп.3, 01.3.02.08-0001, приказ Минстроя России от 26.10.2022 г. № 905/пр</t>
  </si>
  <si>
    <t>Кислород газообразный технический</t>
  </si>
  <si>
    <t>01.3.02.09-0022</t>
  </si>
  <si>
    <t>ФСБЦ-2022 доп.3, 01.3.02.09-0022, приказ Минстроя России от 26.10.2022 г. № 905/пр</t>
  </si>
  <si>
    <t>Пропан-бутан смесь техническая</t>
  </si>
  <si>
    <t>1-100-31</t>
  </si>
  <si>
    <t>Средний разряд работы 3,1</t>
  </si>
  <si>
    <t>1-100-41</t>
  </si>
  <si>
    <t>Средний разряд работы 4,1</t>
  </si>
  <si>
    <t>91.10.01-001</t>
  </si>
  <si>
    <t>ФСЭМ-2022, 91.10.01-001, приказ Минстроя России от 18.05.2022 г. № 378/пр</t>
  </si>
  <si>
    <t>Агрегаты наполнительно-опрессовочные, подача до 70 м3/ч</t>
  </si>
  <si>
    <t>91.10.05-004</t>
  </si>
  <si>
    <t>ФСЭМ-2022, 91.10.05-004, приказ Минстроя России от 18.05.2022 г. № 378/пр</t>
  </si>
  <si>
    <t>Трубоукладчики, номинальная грузоподъемность 6,3 т</t>
  </si>
  <si>
    <t>91.17.04-233</t>
  </si>
  <si>
    <t>ФСЭМ-2022, 91.17.04-233, приказ Минстроя России от 18.05.2022 г. № 378/пр</t>
  </si>
  <si>
    <t>Аппараты сварочные для ручной дуговой сварки, сварочный ток до 350 А</t>
  </si>
  <si>
    <t>01.7.03.01-0001</t>
  </si>
  <si>
    <t>ФСБЦ-2022, 01.7.03.01-0001, приказ Минстроя России от 18.05.2022 г. № 378/пр</t>
  </si>
  <si>
    <t>Вода</t>
  </si>
  <si>
    <t>01.7.11.07-0227</t>
  </si>
  <si>
    <t>ФСБЦ-2022, 01.7.11.07-0227, приказ Минстроя России от 18.05.2022 г. № 378/пр</t>
  </si>
  <si>
    <t>Электроды сварочные для сварки низколегированных и углеродистых сталей УОНИ 13/45, Э42А, диаметр 4-5 мм</t>
  </si>
  <si>
    <t>03.1.02.03-0014</t>
  </si>
  <si>
    <t>ФСБЦ-2022, 03.1.02.03-0014, приказ Минстроя России от 18.05.2022 г. № 378/пр</t>
  </si>
  <si>
    <t>Известь хлорная, сорт I</t>
  </si>
  <si>
    <t>07.2.07.11-0002</t>
  </si>
  <si>
    <t>ФСБЦ-2022, 07.2.07.11-0002, приказ Минстроя России от 18.05.2022 г. № 378/пр</t>
  </si>
  <si>
    <t>Опора для трубопроводов неподвижная стальная из горячекатаных профилей</t>
  </si>
  <si>
    <t>1-100-35</t>
  </si>
  <si>
    <t>Средний разряд работы 3,5</t>
  </si>
  <si>
    <t>91.06.03-062</t>
  </si>
  <si>
    <t>ФСЭМ-2022, 91.06.03-062, приказ Минстроя России от 18.05.2022 г. № 378/пр</t>
  </si>
  <si>
    <t>Лебедки электрические тяговым усилием до 31,39 кН (3,2 т)</t>
  </si>
  <si>
    <t>91.17.04-171</t>
  </si>
  <si>
    <t>ФСЭМ-2022, 91.17.04-171, приказ Минстроя России от 18.05.2022 г. № 378/пр</t>
  </si>
  <si>
    <t>Аппараты сварочные для ручной дуговой сварки, сварочный ток до 500 А</t>
  </si>
  <si>
    <t>01.7.11.07-0036</t>
  </si>
  <si>
    <t>ФСБЦ-2022, 01.7.11.07-0036, приказ Минстроя России от 18.05.2022 г. № 378/пр</t>
  </si>
  <si>
    <t>Электроды сварочные для сварки низколегированных и углеродистых сталей Э46, диаметр 4 мм</t>
  </si>
  <si>
    <t>01.7.15.03-0042</t>
  </si>
  <si>
    <t>ФСБЦ-2022, 01.7.15.03-0042, приказ Минстроя России от 18.05.2022 г. № 378/пр</t>
  </si>
  <si>
    <t>Болты с гайками и шайбами строительные</t>
  </si>
  <si>
    <t>01.7.20.08-0071</t>
  </si>
  <si>
    <t>ФСБЦ-2022, 01.7.20.08-0071, приказ Минстроя России от 18.05.2022 г. № 378/пр</t>
  </si>
  <si>
    <t>Канат пеньковый тросовой свивки, пропитанный, диаметр 26 мм</t>
  </si>
  <si>
    <t>08.2.02.11-0007</t>
  </si>
  <si>
    <t>ФСБЦ-2022, 08.2.02.11-0007, приказ Минстроя России от 18.05.2022 г. № 378/пр</t>
  </si>
  <si>
    <t>Канат двойной свивки ТК, конструкции 6х19(1+6+12)+1 о.с., марка В, из оцинкованной по группе Ж проволоки, маркировочная группа 1570-1770 Н/мм2, диаметр 5,5 мм</t>
  </si>
  <si>
    <t>10 м</t>
  </si>
  <si>
    <t>08.3.11.01-1106</t>
  </si>
  <si>
    <t>ФСБЦ-2022, 08.3.11.01-1106, приказ Минстроя России от 18.05.2022 г. № 378/пр</t>
  </si>
  <si>
    <t>Швеллеры стальные горячекатаные, марки стали Ст3пс, Ст3сп, № 40У, № 40П</t>
  </si>
  <si>
    <t>11.1.03.01-0061</t>
  </si>
  <si>
    <t>ФСБЦ-2022 доп.2, 11.1.03.01-0061, приказ Минстроя России от 26.08.2022 г. № 703/пр</t>
  </si>
  <si>
    <t>Бруски обрезные хвойных пород (ель, сосна), естественной влажности, длина 2-6,5 м, ширина 20-90 мм, толщина 20-90 мм, сорт I</t>
  </si>
  <si>
    <t>14.4.01.01-0003</t>
  </si>
  <si>
    <t>ФСБЦ-2022, 14.4.01.01-0003, приказ Минстроя России от 18.05.2022 г. № 378/пр</t>
  </si>
  <si>
    <t>Грунтовка ГФ-021</t>
  </si>
  <si>
    <t>14.5.09.07-0030</t>
  </si>
  <si>
    <t>ФСБЦ-2022, 14.5.09.07-0030, приказ Минстроя России от 18.05.2022 г. № 378/пр</t>
  </si>
  <si>
    <t>Растворитель Р-4</t>
  </si>
  <si>
    <t>1-100-40</t>
  </si>
  <si>
    <t>Средний разряд работы 4,0</t>
  </si>
  <si>
    <t>91.06.03-045</t>
  </si>
  <si>
    <t>ФСЭМ-2022, 91.06.03-045, приказ Минстроя России от 18.05.2022 г. № 378/пр</t>
  </si>
  <si>
    <t>Лебедки ручные и рычажные тяговым усилием 14,72 кН (1,5 т)</t>
  </si>
  <si>
    <t>01.3.01.06-0051</t>
  </si>
  <si>
    <t>ФСБЦ-2022 доп.12, 01.3.01.06-0051, приказ Минстроя России от 07.11.2024 г. № 747/пр</t>
  </si>
  <si>
    <t>Смазка солидол жировой Ж</t>
  </si>
  <si>
    <t>01.7.19.04-0002</t>
  </si>
  <si>
    <t>ФСБЦ-2022, 01.7.19.04-0002, приказ Минстроя России от 18.05.2022 г. № 378/пр</t>
  </si>
  <si>
    <t>Пластины резиновые рулонная вулканизированная</t>
  </si>
  <si>
    <t>08.1.02.11-0001</t>
  </si>
  <si>
    <t>ФСБЦ-2022, 08.1.02.11-0001, приказ Минстроя России от 18.05.2022 г. № 378/пр</t>
  </si>
  <si>
    <t>Поковки из квадратных заготовок, масса 1,5-4,5 кг</t>
  </si>
  <si>
    <t>91.06.03-060</t>
  </si>
  <si>
    <t>ФСЭМ-2022, 91.06.03-060, приказ Минстроя России от 18.05.2022 г. № 378/пр</t>
  </si>
  <si>
    <t>Лебедки электрические тяговым усилием до 5,79 кН (0,59 т)</t>
  </si>
  <si>
    <t>91.06.05-011</t>
  </si>
  <si>
    <t>ФСЭМ-2022, 91.06.05-011, приказ Минстроя России от 18.05.2022 г. № 378/пр</t>
  </si>
  <si>
    <t>Погрузчики одноковшовые универсальные фронтальные пневмоколесные, номинальная вместимость основного ковша 2,6 м3, грузоподъемность 5 т</t>
  </si>
  <si>
    <t>91.21.01-012</t>
  </si>
  <si>
    <t>ФСЭМ-2022 доп.11, 91.21.01-012, приказ Минстроя России от 09.08.2024 г. № 524/пр</t>
  </si>
  <si>
    <t>Агрегаты окрасочные высокого давления для окраски поверхностей конструкций, мощность 1 кВт</t>
  </si>
  <si>
    <t>91.21.22-443</t>
  </si>
  <si>
    <t>ФСЭМ-2022 доп.4, 91.21.22-443, приказ Минстроя России от 27.12.2022 г. № 1133/пр</t>
  </si>
  <si>
    <t>Станки универсальные электромеханические для изготовления бандажей, диафрагм, пряжек, мощность 0,75 кВт</t>
  </si>
  <si>
    <t>01.7.15.14-0304</t>
  </si>
  <si>
    <t>ФСБЦ-2022 доп.12, 01.7.15.14-0304, приказ Минстроя России от 07.11.2024 г. № 747/пр</t>
  </si>
  <si>
    <t>Шурупы самонарезающие стальные оцинкованные с полукруглой головкой и крестообразным шлицем, остроконечные, диаметр 4 мм, длина 12 мм</t>
  </si>
  <si>
    <t>08.3.02.01-0041</t>
  </si>
  <si>
    <t>ФСБЦ-2022, 08.3.02.01-0041, приказ Минстроя России от 18.05.2022 г. № 378/пр</t>
  </si>
  <si>
    <t>Ленты стальные упаковочные, мягкие, нормальной точности по толщине и ширине 0,7х20-50 мм</t>
  </si>
  <si>
    <t>08.3.03.05-0011</t>
  </si>
  <si>
    <t>ФСБЦ-2022, 08.3.03.05-0011, приказ Минстроя России от 18.05.2022 г. № 378/пр</t>
  </si>
  <si>
    <t>Проволока стальная низкоуглеродистая оцинкованная разного назначения, диаметр 1,1 мм</t>
  </si>
  <si>
    <t>08.3.03.05-0013</t>
  </si>
  <si>
    <t>ФСБЦ-2022, 08.3.03.05-0013, приказ Минстроя России от 18.05.2022 г. № 378/пр</t>
  </si>
  <si>
    <t>Проволока стальная низкоуглеродистая оцинкованная разного назначения, диаметр 1,6 мм</t>
  </si>
  <si>
    <t>08.3.05.05-0054</t>
  </si>
  <si>
    <t>ФСБЦ-2022, 08.3.05.05-0054, приказ Минстроя России от 18.05.2022 г. № 378/пр</t>
  </si>
  <si>
    <t>Сталь листовая оцинкованная, толщина 0,8 мм</t>
  </si>
  <si>
    <t>12.2.03.10-0008</t>
  </si>
  <si>
    <t>ФСБЦ-2022, 12.2.03.10-0008, приказ Минстроя России от 18.05.2022 г. № 378/пр</t>
  </si>
  <si>
    <t>Стеклопластик рулонный теплоизоляционный, плотность 120 г/м2</t>
  </si>
  <si>
    <t>91.08.04-021</t>
  </si>
  <si>
    <t>ФСЭМ-2022, 91.08.04-021, приказ Минстроя России от 18.05.2022 г. № 378/пр</t>
  </si>
  <si>
    <t>Котлы битумные передвижные электрические с центробежной мешалкой, объем загрузочной емкости 400 л</t>
  </si>
  <si>
    <t>01.2.01.02-0031</t>
  </si>
  <si>
    <t>ФСБЦ-2022, 01.2.01.02-0031, приказ Минстроя России от 18.05.2022 г. № 378/пр</t>
  </si>
  <si>
    <t>Битум нефтяной строительный изоляционный БНИ-IV-3, БНИ-IV, БНИ-V</t>
  </si>
  <si>
    <t>01.2.03.03-0107</t>
  </si>
  <si>
    <t>ФСБЦ-2022, 01.2.03.03-0107, приказ Минстроя России от 18.05.2022 г. № 378/пр</t>
  </si>
  <si>
    <t>Мастика битумно-масляная МБ-50</t>
  </si>
  <si>
    <t>14.4.03.03-0102</t>
  </si>
  <si>
    <t>ФСБЦ-2022 доп.4, 14.4.03.03-0102, приказ Минстроя России от 27.12.2022 г. № 1133/пр</t>
  </si>
  <si>
    <t>Лак битумный БТ-577</t>
  </si>
  <si>
    <t>1-100-44</t>
  </si>
  <si>
    <t>Средний разряд работы 4,4</t>
  </si>
  <si>
    <t>01.7.11.07-0230</t>
  </si>
  <si>
    <t>ФСБЦ-2022, 01.7.11.07-0230, приказ Минстроя России от 18.05.2022 г. № 378/пр</t>
  </si>
  <si>
    <t>Электроды сварочные для сварки низколегированных и углеродистых сталей УОНИ 13/55, Э50А, диаметр 4-5 мм</t>
  </si>
  <si>
    <t>2-100-02</t>
  </si>
  <si>
    <t>Рабочий 2 разряда</t>
  </si>
  <si>
    <t>01.3.02.03-0001</t>
  </si>
  <si>
    <t>ФСБЦ-2022, 01.3.02.03-0001, приказ Минстроя России от 18.05.2022 г. № 378/пр</t>
  </si>
  <si>
    <t>Ацетилен газообразный технический</t>
  </si>
  <si>
    <t>01.7.17.07-0054</t>
  </si>
  <si>
    <t>ФСБЦ-2022, 01.7.17.07-0054, приказ Минстроя России от 18.05.2022 г. № 378/пр</t>
  </si>
  <si>
    <t>Круг шлифовальный прямого профиля, размеры 230х5х22 мм</t>
  </si>
  <si>
    <t>91.05.01-017</t>
  </si>
  <si>
    <t>ФСЭМ-2022 доп.3, 91.05.01-017, приказ Минстроя России от 26.10.2022 г. № 905/пр</t>
  </si>
  <si>
    <t>Краны башенные, грузоподъемность 8 т</t>
  </si>
  <si>
    <t>91.06.03-061</t>
  </si>
  <si>
    <t>ФСЭМ-2022, 91.06.03-061, приказ Минстроя России от 18.05.2022 г. № 378/пр</t>
  </si>
  <si>
    <t>Лебедки электрические тяговым усилием до 12,26 кН (1,25 т)</t>
  </si>
  <si>
    <t>91.07.07-011</t>
  </si>
  <si>
    <t>ФСЭМ-2022, 91.07.07-011, приказ Минстроя России от 18.05.2022 г. № 378/пр</t>
  </si>
  <si>
    <t>Растворонасосы, производительность 4 м3/ч</t>
  </si>
  <si>
    <t>1-100-39</t>
  </si>
  <si>
    <t>Средний разряд работы 3,9</t>
  </si>
  <si>
    <t>01.3.01.03-0002</t>
  </si>
  <si>
    <t>ФСБЦ-2022 доп.8, 01.3.01.03-0002, приказ Минстроя России от 14.11.2023 г. № 817/пр</t>
  </si>
  <si>
    <t>Керосин для технических целей</t>
  </si>
  <si>
    <t>01.7.20.08-0051</t>
  </si>
  <si>
    <t>ФСБЦ-2022 доп.8, 01.7.20.08-0051, приказ Минстроя России от 14.11.2023 г. № 817/пр</t>
  </si>
  <si>
    <t>Ветошь хлопчатобумажная цветная</t>
  </si>
  <si>
    <t>1-100-22</t>
  </si>
  <si>
    <t>Средний разряд работы 2,2</t>
  </si>
  <si>
    <t>91.12.08-051</t>
  </si>
  <si>
    <t>ФСЭМ-2022, 91.12.08-051, приказ Минстроя России от 18.05.2022 г. № 378/пр</t>
  </si>
  <si>
    <t>Катки прицепные кольчатые 2 т</t>
  </si>
  <si>
    <t>91.15.03-014</t>
  </si>
  <si>
    <t>ФСЭМ-2022 доп.11, 91.15.03-014, приказ Минстроя России от 09.08.2024 г. № 524/пр</t>
  </si>
  <si>
    <t>Тракторы на пневмоколесном ходу, мощность 59 кВт (80 л.с.)</t>
  </si>
  <si>
    <t>23.8.04.06</t>
  </si>
  <si>
    <t>Фасонные части стальные сварные</t>
  </si>
  <si>
    <t>07.2.07.11</t>
  </si>
  <si>
    <t>Опоры скользящие и катковые</t>
  </si>
  <si>
    <t>18.1.10.01</t>
  </si>
  <si>
    <t>Клапаны фланцевые</t>
  </si>
  <si>
    <t>23.3.03.02</t>
  </si>
  <si>
    <t>Трубы стальные</t>
  </si>
  <si>
    <t>23.8.03.11</t>
  </si>
  <si>
    <t>Фланцы</t>
  </si>
  <si>
    <t>КОМПЛ</t>
  </si>
  <si>
    <t>23.8.03.12</t>
  </si>
  <si>
    <t>Части фасонные соединительные стальные</t>
  </si>
  <si>
    <t>Конструкции стальные</t>
  </si>
  <si>
    <t>10.1.02.02</t>
  </si>
  <si>
    <t>Листы алюминиевые, толщина 1,0 мм</t>
  </si>
  <si>
    <t>12.2.04.04</t>
  </si>
  <si>
    <t>Материалы теплоизоляционные</t>
  </si>
  <si>
    <t>12.1.02.15</t>
  </si>
  <si>
    <t>Материалы рулонные</t>
  </si>
  <si>
    <t>421/пр_2020_п.75_пп.а</t>
  </si>
  <si>
    <t>Сметная стоимость вспомогательных ненормируемых материальных ресурсов, не учтенная в сметной норме, 2%</t>
  </si>
  <si>
    <t>%</t>
  </si>
  <si>
    <t>18.1.02.01</t>
  </si>
  <si>
    <t>Задвижки стальные для горячей воды и пара (или клапаны)</t>
  </si>
  <si>
    <t>04.3.01.09</t>
  </si>
  <si>
    <t>Раствор готовый кладочный</t>
  </si>
  <si>
    <t>06.1.01.05</t>
  </si>
  <si>
    <t>Кирпич керамический или силикатный</t>
  </si>
  <si>
    <t>07.2.07.13</t>
  </si>
  <si>
    <t>14.2.01.01</t>
  </si>
  <si>
    <t>Композиции органосиликатные</t>
  </si>
  <si>
    <t>14.5.09.10</t>
  </si>
  <si>
    <t>Растворители</t>
  </si>
  <si>
    <t>04.3.01.12</t>
  </si>
  <si>
    <t>Растворы отделочные цементно-известковые</t>
  </si>
  <si>
    <t>01.2.01.02</t>
  </si>
  <si>
    <t>Битум</t>
  </si>
  <si>
    <t>01.2.03.03</t>
  </si>
  <si>
    <t>Мастика</t>
  </si>
  <si>
    <t>16.2.01.02</t>
  </si>
  <si>
    <t>*1,15</t>
  </si>
  <si>
    <t>421/пр_2020_прил.10_т.1_п.5_гр.3</t>
  </si>
  <si>
    <t>Производство работ осуществляется в стесненных условиях населенных пунктов</t>
  </si>
  <si>
    <t>Методика 421/пр (Строительство)</t>
  </si>
  <si>
    <t>*1.15</t>
  </si>
  <si>
    <t>2022-18-ГЭСН-ПР-01-12-3.189-000</t>
  </si>
  <si>
    <t>Разработка грунта в местах, находящихся на расстоянии до 1 м от кабелей, проложенных в трубопроводах или коробах, а также от водопроводных и канализационных труб</t>
  </si>
  <si>
    <t>Часть 1. Земляные работы</t>
  </si>
  <si>
    <t>421/пр_2020_прил.10_т.5_п.9.1_гр.3</t>
  </si>
  <si>
    <t>Производство ремонтно-строительных работ осуществляется в стесненных условиях населенных пунктов: отдельных конструктивных решений объектов капитального строительства (кроме указанных в п.п. 10.2 и 10.3), объектов капитального строительства в целом</t>
  </si>
  <si>
    <t>Методика 421/пр (Кап. ремонт)</t>
  </si>
  <si>
    <t>*1.2</t>
  </si>
  <si>
    <t>2022-18-ГЭСН-ПР-01-12-3.187-000</t>
  </si>
  <si>
    <t>Доработка вручную, зачистка дна и стенок с выкидкой грунта в котлованах и траншеях, разработанных механизированным способом</t>
  </si>
  <si>
    <t>*0,6</t>
  </si>
  <si>
    <t>571/пр_2022_п.83_т.2_стр.5_стб.3</t>
  </si>
  <si>
    <t>Разборка и (или) демонтаж строительных конструкций, систем и сетей инженерно-технического обеспечения, в том числе их элементов: сетей инженерно-технического обеспечения</t>
  </si>
  <si>
    <t>Методика применения сметных норм 571/пр (О.П.)</t>
  </si>
  <si>
    <t>421/пр_2020_прил.10_т.5_п.9.1_гр.5</t>
  </si>
  <si>
    <t>421/пр_2020_прил.10_т.5_п.9.1_гр.4</t>
  </si>
  <si>
    <t>Приказ Минстроя России от 18.05.2022 г. № 378/пр; Приказ Минстроя России от 26.08.2022 г. № 703/пр; Приказ Минстроя России от 26.10.2022 г. № 905/пр;  Приказ Минстроя России от 27.12.2022 г. № 1133/пр; Приказ Минстроя России от 10.02.2023 г. № 84/пр; Приказ Минстроя России от 11.05.2023 г. № 335/пр;  Приказ Минстроя России от 02.08.2023 г. № 551/пр; Приказ Минстроя России от 14.11.2023 г. № 817/пр; Приказ Минстроя России от 16.02.2024 г. № 102/пр;  Приказ Минстроя России от 13.05.2024 г. № 323/пр; Приказ Минстроя России от 09.08.2024 г. № 524/пр; Приказ Минстроя России от 07.11.2024 г. № 747/пр;  Приказ Минстроя России от 07.02.2025 г. № 69/пр; Приказ Минстроя России от 19.05.2025 г. № 299/пр; Приказ Минстроя России от 14.08.2025 г. № 490/пр;  Приказ Минстроя России от 12.11.2025 г. № 696/пр; Приказ Минстроя России от 17.02.2026 г. № 91/пр; Приказ Минстроя России от 15.05.2026 г. № 301/пр;  Приказ Минстроя России от 07.07.2022 г. № 557/пр; Приказ Минстроя России от 30.01.2024 г. № 55/пр; Приказ Минстроя России от 23.01.2025 г. № 30/пр;  Приказ Минстроя России от 02.09.2021 г. № 636/пр; Приказ Минстроя России от 26.07.2022 г. № 611/пр; Приказ Минстроя России от 22.04.2022 г. № 317/пр</t>
  </si>
  <si>
    <t>Поправка: 421/пр_2020_прил.10_т.1_п.5_гр.3
Наименование: Производство работ осуществляется в стесненных условиях населенных пунктов
Поправка: 2022-18-ГЭСН-ПР-01-12-3.189-000
Наименование: Разработка грунта в местах, находящихся на расстоянии до 1 м от кабелей, проложенных в трубопроводах или коробах, а также от водопроводных и канализационных труб</t>
  </si>
  <si>
    <t>Поправка: 421/пр_2020_прил.10_т.5_п.9.1_гр.3
Наименование: Производство ремонтно-строительных работ осуществляется в стесненных условиях населенных пунктов: отдельных конструктивных решений объектов капитального строительства (кроме указанных в п.п. 10.2 и 10.3), объектов капитального строительства в целом</t>
  </si>
  <si>
    <t>Поправка: 421/пр_2020_прил.10_т.5_п.9.1_гр.3
Наименование: Производство ремонтно-строительных работ осуществляется в стесненных условиях населенных пунктов: отдельных конструктивных решений объектов капитального строительства (кроме указанных в п.п. 10.2 и 10.3), объектов капитального строительства в целом
Поправка: 2022-18-ГЭСН-ПР-01-12-3.187-000
Наименование: Доработка вручную, зачистка дна и стенок с выкидкой грунта в котлованах и траншеях, разработанных механизированным способом</t>
  </si>
  <si>
    <t>Поправка: 421/пр_2020_прил.10_т.5_п.9.1_гр.3
Наименование: Производство ремонтно-строительных работ осуществляется в стесненных условиях населенных пунктов: отдельных конструктивных решений объектов капитального строительства (кроме указанных в п.п. 10.2 и 10.3), объектов капитального строительства в целом
Поправка: 571/пр_2022_п.83_т.2_стр.5_стб.3
Наименование: Разборка и (или) демонтаж строительных конструкций, систем и сетей инженерно-технического обеспечения, в том числе их элементов: сетей инженерно-технического обеспечения</t>
  </si>
  <si>
    <t>Поправка: 421/пр_2020_прил.10_т.5_п.9.1_гр.5
Наименование: Производство ремонтно-строительных работ осуществляется в стесненных условиях населенных пунктов: отдельных конструктивных решений объектов капитального строительства (кроме указанных в п.п. 10.2 и 10.3), объектов капитального строительства в целом</t>
  </si>
  <si>
    <t>Поправка: 421/пр_2020_прил.10_т.5_п.9.1_гр.4
Наименование: Производство ремонтно-строительных работ осуществляется в стесненных условиях населенных пунктов: отдельных конструктивных решений объектов капитального строительства (кроме указанных в п.п. 10.2 и 10.3), объектов капитального строительства в целом</t>
  </si>
  <si>
    <t>"СОГЛАСОВАНО"</t>
  </si>
  <si>
    <t>___________________________</t>
  </si>
  <si>
    <t>"УТВЕРЖДАЮ"</t>
  </si>
  <si>
    <t>" ___ " ___________ 20 ___ г.</t>
  </si>
  <si>
    <t>№ п/п</t>
  </si>
  <si>
    <t>№ в ЛСР</t>
  </si>
  <si>
    <t>Наименование работ и затрат</t>
  </si>
  <si>
    <t>Единица измерения</t>
  </si>
  <si>
    <t>Количество</t>
  </si>
  <si>
    <t>Ссылка на чертежи, спецификации</t>
  </si>
  <si>
    <t>Формула расчета, расчет объемов работ и расхода материалов</t>
  </si>
  <si>
    <t>Примечание</t>
  </si>
  <si>
    <t>"_____"________________ 2026 г.</t>
  </si>
  <si>
    <t>Наименование программного продукта</t>
  </si>
  <si>
    <t>Наименование редакции сметных нормативов</t>
  </si>
  <si>
    <t>Реквизиты приказа Минстроя России об утверждении дополнений и изменений к сметным нормативам</t>
  </si>
  <si>
    <t xml:space="preserve">Реквизиты письма Минстроя России об индексах изменения сметной стоимости строительства, включаемые в федеральный реестр сметных нормативов и размещаемые в федеральной государственной информационной системе ценообразования в строительстве, подготовленного в соответствии с пунктом 85 Методики расчета индексов изменения сметной стоимости строительства, утвержденной приказом Министерства строительства и жилищно-коммунального хозяйства Российской Федерации от 5 июня 2019 г. N 326/пр </t>
  </si>
  <si>
    <t>Реквизиты нормативного правового акта об утверждении оплаты труда, утверждаемый в соответствии с пунктом 22(1) Правилами мониторинга цен, утвержденными постановлением Правительства Российской Федерации от 23 декабря 2016 г. N 1452</t>
  </si>
  <si>
    <t>Обоснование принятых текущих цен на строительные ресурсы</t>
  </si>
  <si>
    <t>Наименование субъекта Российской Федерации</t>
  </si>
  <si>
    <t>Наименование зоны субъекта Российской Федерации</t>
  </si>
  <si>
    <t>(наименование стройки)</t>
  </si>
  <si>
    <t>(наименование объекта капитального строительства)</t>
  </si>
  <si>
    <t>(наименование работ и затрат)</t>
  </si>
  <si>
    <t>Составлен</t>
  </si>
  <si>
    <t>методом</t>
  </si>
  <si>
    <t>Основание</t>
  </si>
  <si>
    <t>(проектная и (или) иная техническая документация)</t>
  </si>
  <si>
    <t>Сметная стоимость</t>
  </si>
  <si>
    <t>тыс. руб.</t>
  </si>
  <si>
    <t>Средства на оплату труда рабочих</t>
  </si>
  <si>
    <t>в том числе:</t>
  </si>
  <si>
    <t>Средства на оплату труда машинистов</t>
  </si>
  <si>
    <t>строительных работ</t>
  </si>
  <si>
    <t xml:space="preserve">Нормативные затраты труда рабочих </t>
  </si>
  <si>
    <t xml:space="preserve">монтажных работ    </t>
  </si>
  <si>
    <t xml:space="preserve">Нормативные затраты труда машинистов </t>
  </si>
  <si>
    <t xml:space="preserve">оборудования         </t>
  </si>
  <si>
    <t xml:space="preserve">прочих затрат       </t>
  </si>
  <si>
    <t>Обоснование</t>
  </si>
  <si>
    <t>Сметная стоимость, руб.</t>
  </si>
  <si>
    <t>на единицу измерения</t>
  </si>
  <si>
    <t>коэффициенты</t>
  </si>
  <si>
    <t>всего с учетом коэффициентов</t>
  </si>
  <si>
    <t>на единицу измерения в базисном уровне цен</t>
  </si>
  <si>
    <t>индекс</t>
  </si>
  <si>
    <t>на единицу измерения в текущем уровне цен</t>
  </si>
  <si>
    <t>всего в текущем уровне цен</t>
  </si>
  <si>
    <t>Программа для ЭВМ «Программа: «Smeta.RU» версия 12»</t>
  </si>
  <si>
    <t>ФГИС ЦС, конъюнктурный анализ</t>
  </si>
  <si>
    <t>Ресурсно-индексным</t>
  </si>
  <si>
    <t>Составлен(а) в текущем уровне цен на июнь 2026 года</t>
  </si>
  <si>
    <t>Раздел: Раздел 1. Земляные работы</t>
  </si>
  <si>
    <t>ГЭСН 01-02-057-02</t>
  </si>
  <si>
    <t>Разработка грунта в местах, находящихся на расстоянии до 1 м от кабелей, проложенных в трубопроводах или коробах, а также от водопроводных и канализационных труб
ЗТ *1.15</t>
  </si>
  <si>
    <t>Результирующие коэффициенты: 
ЭМ (0,15+1)=1,15;
ЗТ (0,15+1)*1.15=1,3225;
ЗТм (0,15+1)=1,15</t>
  </si>
  <si>
    <t>ОТ (ЗТ)</t>
  </si>
  <si>
    <t>Итого прямые затраты</t>
  </si>
  <si>
    <t>ФОТ</t>
  </si>
  <si>
    <t>НР Земляные работы, выполняемые: ручным способом</t>
  </si>
  <si>
    <t>СП Земляные работы, выполняемые: ручным способом</t>
  </si>
  <si>
    <t>Всего по позиции</t>
  </si>
  <si>
    <t>=</t>
  </si>
  <si>
    <t>ГЭСН 01-02-060-01</t>
  </si>
  <si>
    <t>Производство ремонтно-строительных работ осуществляется в стесненных условиях населенных пунктов: отдельных конструктивных решений объектов капитального строительства (кроме указанных в п.п. 10.2 и 10.3), объектов капитального строительства в целом
ЭМ *1,15; ЗТ *1,15; ЗТм *1,15</t>
  </si>
  <si>
    <t>НР Перевозка строительных грузов автомобильным транспортом</t>
  </si>
  <si>
    <t>СП Перевозка строительных грузов автомобильным транспортом</t>
  </si>
  <si>
    <t>ГЭСН 01-01-022-23</t>
  </si>
  <si>
    <t>ЭМ</t>
  </si>
  <si>
    <t>ОТм(ЗТм) Средний разряд машинистов 5</t>
  </si>
  <si>
    <t>ОТм(ЗТм)</t>
  </si>
  <si>
    <t>НР Земляные работы, выполняемые: механизированным способом</t>
  </si>
  <si>
    <t>СП Земляные работы, выполняемые: механизированным способом</t>
  </si>
  <si>
    <t>Доработка вручную, зачистка дна и стенок с выкидкой грунта в котлованах и траншеях, разработанных механизированным способом
ЗТ *1.2</t>
  </si>
  <si>
    <t>Результирующие коэффициенты: 
ЭМ (0,15+1)=1,15;
ЗТ (0,15+1)*1.2=1,38;
ЗТм (0,15+1)=1,15</t>
  </si>
  <si>
    <t>ГЭСН 01-01-022-22</t>
  </si>
  <si>
    <t>ГЭСН 01-02-061-01</t>
  </si>
  <si>
    <t>ГЭСН 01-01-010-40</t>
  </si>
  <si>
    <r>
      <t>Разработка грунта в отвал экскаваторами, вместимость ковша 0,25 м3, группа грунтов: 1</t>
    </r>
    <r>
      <rPr>
        <i/>
        <sz val="10"/>
        <rFont val="Arial"/>
        <family val="2"/>
        <charset val="204"/>
      </rPr>
      <t xml:space="preserve">
Поправки к: 
ЭМ *(0,15+1)*0,5;   
ЗТ *(0,15+1)*0,5;   
ЗТм *(0,15+1)*0,5</t>
    </r>
  </si>
  <si>
    <t>ГЭСН 01-02-005-01</t>
  </si>
  <si>
    <t>ОТм(ЗТм) Средний разряд машинистов 4</t>
  </si>
  <si>
    <t>ГЭСН 01-02-027-04</t>
  </si>
  <si>
    <t>НР Земляные работы, выполняемые: по другим видам работ (подготовительные, сопутствующие, укрепительные)</t>
  </si>
  <si>
    <t>СП Земляные работы, выполняемые: по другим видам работ (подготовительные, сопутствующие, укрепительные)</t>
  </si>
  <si>
    <t>ГЭСН 22-06-011-02</t>
  </si>
  <si>
    <t>ОТм(ЗТм) Средний разряд машинистов 7</t>
  </si>
  <si>
    <t>М</t>
  </si>
  <si>
    <t>НР Наружные сети водопровода, канализации, теплоснабжения, газопроводы</t>
  </si>
  <si>
    <t>СП Наружные сети водопровода, канализации, теплоснабжения, газопроводы</t>
  </si>
  <si>
    <t>Итого прямые затраты по разделу</t>
  </si>
  <si>
    <t>в том числе</t>
  </si>
  <si>
    <t xml:space="preserve">  оплата труда</t>
  </si>
  <si>
    <t xml:space="preserve">  эксплуатация машин и механизмов</t>
  </si>
  <si>
    <t xml:space="preserve">  в том числе</t>
  </si>
  <si>
    <t xml:space="preserve">    в том числе</t>
  </si>
  <si>
    <t xml:space="preserve">    доплаты к оплате труда машинистов</t>
  </si>
  <si>
    <t xml:space="preserve">  материальные ресурсы</t>
  </si>
  <si>
    <t xml:space="preserve">    материальные ресурсы без учета дополнительной перевозки</t>
  </si>
  <si>
    <t xml:space="preserve">    дополнительная перевозка материальных ресурсов</t>
  </si>
  <si>
    <t xml:space="preserve">  перевозка</t>
  </si>
  <si>
    <t>Всего ФОТ (справочно)</t>
  </si>
  <si>
    <t>Всего накладные расходы</t>
  </si>
  <si>
    <t>Всего сметная прибыль</t>
  </si>
  <si>
    <t>Итого оборудование</t>
  </si>
  <si>
    <t xml:space="preserve">  оборудование без учета дополнительной перевозки</t>
  </si>
  <si>
    <t xml:space="preserve">  дополнительная перевозка оборудования</t>
  </si>
  <si>
    <t>Итого прочие затраты</t>
  </si>
  <si>
    <t>Итого хозяйственный инвентарь</t>
  </si>
  <si>
    <t>Итого по разделу</t>
  </si>
  <si>
    <t>Справочно</t>
  </si>
  <si>
    <t xml:space="preserve">  материальные ресурсы, отсутствующие в ФРСН</t>
  </si>
  <si>
    <t xml:space="preserve">  оборудование, отсутствующие в ФРСН</t>
  </si>
  <si>
    <t xml:space="preserve">  затраты труда рабочих</t>
  </si>
  <si>
    <t xml:space="preserve">  затраты труда машинистов</t>
  </si>
  <si>
    <t xml:space="preserve">  оплата труда машинистов (ОТм)</t>
  </si>
  <si>
    <t>Раздел: Раздел 2. Демонтажные работы</t>
  </si>
  <si>
    <t>ГЭСН 01-02-068-01</t>
  </si>
  <si>
    <t>ГЭСН 22-03-003-01</t>
  </si>
  <si>
    <t>17.1</t>
  </si>
  <si>
    <t>Разборка и (или) демонтаж строительных конструкций, систем и сетей инженерно-технического обеспечения, в том числе их элементов: сетей инженерно-технического обеспечения
ЭМ *0,6; М *0; ЗТ *0,6; ЗТм *0,6</t>
  </si>
  <si>
    <t>Результирующие коэффициенты: 
ЭМ (0,15+1)*0,6=0,69;
М 0;
ЗТ (0,15+1)*0,6=0,69;
ЗТм (0,15+1)*0,6=0,69</t>
  </si>
  <si>
    <t>ГЭСНр 66-01-024-01</t>
  </si>
  <si>
    <t>НР Наружные инженерные сети: демонтаж, разборка, очистка</t>
  </si>
  <si>
    <t>СП Наружные инженерные сети: демонтаж, разборка, очистка</t>
  </si>
  <si>
    <t>НР Погрузочно-разгрузочные работы</t>
  </si>
  <si>
    <t>СП Погрузочно-разгрузочные работы</t>
  </si>
  <si>
    <t>ГЭСНр 66-01-012-05</t>
  </si>
  <si>
    <t>ГЭСНр 66-01-016-01</t>
  </si>
  <si>
    <t>ОТм(ЗТм) Средний разряд машинистов 6</t>
  </si>
  <si>
    <t>ГЭСНр 66-01-016-02</t>
  </si>
  <si>
    <t>ГЭСНр 66-01-026-01</t>
  </si>
  <si>
    <t>Раздел: Раздел 3. Монтажные работы</t>
  </si>
  <si>
    <t>ГЭСН 24-01-002-01</t>
  </si>
  <si>
    <t>30.1</t>
  </si>
  <si>
    <t>30.2</t>
  </si>
  <si>
    <t>30.3</t>
  </si>
  <si>
    <t>ГЭСН 09-03-039-01</t>
  </si>
  <si>
    <t>31.1</t>
  </si>
  <si>
    <t>НР Строительные металлические конструкции</t>
  </si>
  <si>
    <t>СП Строительные металлические конструкции</t>
  </si>
  <si>
    <t>ГЭСН 24-01-002-02</t>
  </si>
  <si>
    <t>32.1</t>
  </si>
  <si>
    <t>32.2</t>
  </si>
  <si>
    <t>32.3</t>
  </si>
  <si>
    <t>33.1</t>
  </si>
  <si>
    <t>ГЭСН 22-05-003-01</t>
  </si>
  <si>
    <r>
      <t>Протаскивание  стальных труб диаметром: 100 мм</t>
    </r>
    <r>
      <rPr>
        <i/>
        <sz val="10"/>
        <rFont val="Arial"/>
        <family val="2"/>
        <charset val="204"/>
      </rPr>
      <t xml:space="preserve">
Поправки к: 
М *0;   
ЭМ *(0,15+1);   
ЗТ *(0,15+1);   
ЗТм *(0,15+1)</t>
    </r>
  </si>
  <si>
    <t>ГЭСН 13-03-004-17</t>
  </si>
  <si>
    <r>
      <t>Окраска металлических огрунтованных поверхностей: органосиликатной композицией ОС-12-03 за 2 раза</t>
    </r>
    <r>
      <rPr>
        <i/>
        <sz val="10"/>
        <rFont val="Arial"/>
        <family val="2"/>
        <charset val="204"/>
      </rPr>
      <t xml:space="preserve">
Поправки к: 
М *2;   
ЭМ *(0,15+1)*2;   
ЗТ *(0,15+1)*2;   
ЗТм *(0,15+1)*2</t>
    </r>
  </si>
  <si>
    <t>НР Защита строительных конструкций и оборудования от коррозии</t>
  </si>
  <si>
    <t>СП Защита строительных конструкций и оборудования от коррозии</t>
  </si>
  <si>
    <t>ГЭСН 26-01-009-01</t>
  </si>
  <si>
    <t>36.1</t>
  </si>
  <si>
    <t>НР Теплоизоляционные работы</t>
  </si>
  <si>
    <t>СП Теплоизоляционные работы</t>
  </si>
  <si>
    <t>ГЭСН 26-01-054-01</t>
  </si>
  <si>
    <t>37.1</t>
  </si>
  <si>
    <t>ГЭСНм 12-11-005-01</t>
  </si>
  <si>
    <t>НР Технологические трубопроводы</t>
  </si>
  <si>
    <t>СП Технологические трубопроводы</t>
  </si>
  <si>
    <t>ГЭСНм 12-11-005-02</t>
  </si>
  <si>
    <t>ГЭСН 24-01-032-01</t>
  </si>
  <si>
    <t>ГЭСН 08-02-001-09</t>
  </si>
  <si>
    <t>41.1</t>
  </si>
  <si>
    <t>41.2</t>
  </si>
  <si>
    <t>НР Конструкции из кирпича и блоков</t>
  </si>
  <si>
    <t>СП Конструкции из кирпича и блоков</t>
  </si>
  <si>
    <t>ГЭСН 09-06-001-02</t>
  </si>
  <si>
    <t>42.1</t>
  </si>
  <si>
    <t>42.2</t>
  </si>
  <si>
    <t>ГЭСН 13-03-004-12</t>
  </si>
  <si>
    <r>
      <t>Окраска металлических огрунтованных поверхностей: органосиликатной композицией за 2 раза</t>
    </r>
    <r>
      <rPr>
        <i/>
        <sz val="10"/>
        <rFont val="Arial"/>
        <family val="2"/>
        <charset val="204"/>
      </rPr>
      <t xml:space="preserve">
Поправки к: 
М *2;   
ЭМ *(0,15+1)*2;   
ЗТ *(0,15+1)*2;   
ЗТм *(0,15+1)*2</t>
    </r>
  </si>
  <si>
    <t>43.1</t>
  </si>
  <si>
    <t>43.2</t>
  </si>
  <si>
    <t>ГЭСН 15-02-001-01</t>
  </si>
  <si>
    <t>44.1</t>
  </si>
  <si>
    <t>НР Отделочные работы</t>
  </si>
  <si>
    <t>СП Отделочные работы</t>
  </si>
  <si>
    <t>ГЭСН 08-01-003-07</t>
  </si>
  <si>
    <t>45.1</t>
  </si>
  <si>
    <t>45.2</t>
  </si>
  <si>
    <t>Раздел: Раздел Восстановление благоустройства</t>
  </si>
  <si>
    <t>ГЭСН 47-01-046-03</t>
  </si>
  <si>
    <t>46.1</t>
  </si>
  <si>
    <t>НР Озеленение. Защитные лесонасаждения</t>
  </si>
  <si>
    <t>СП Озеленение. Защитные лесонасаждения</t>
  </si>
  <si>
    <t>ГЭСН 47-01-046-05</t>
  </si>
  <si>
    <t>47.1</t>
  </si>
  <si>
    <t>Исключен
Земля растительная</t>
  </si>
  <si>
    <t>ИТОГИ ПО СМЕТЕ</t>
  </si>
  <si>
    <t>ВСЕГО строительные работы</t>
  </si>
  <si>
    <t>Всего прямые затраты</t>
  </si>
  <si>
    <t xml:space="preserve">  оплата труда (ОТ)</t>
  </si>
  <si>
    <t>ФОТ (справочно)</t>
  </si>
  <si>
    <t>накладные расходы</t>
  </si>
  <si>
    <t>сметная прибыль</t>
  </si>
  <si>
    <t>ВСЕГО монтажные работы</t>
  </si>
  <si>
    <t>ВСЕГО оборудование</t>
  </si>
  <si>
    <t>ВСЕГО прочие затраты</t>
  </si>
  <si>
    <t xml:space="preserve">   прочие затраты</t>
  </si>
  <si>
    <t xml:space="preserve">   прочие перевозки</t>
  </si>
  <si>
    <t xml:space="preserve">   Хозяйственный инвентарь</t>
  </si>
  <si>
    <t>Пусконаладочные работы</t>
  </si>
  <si>
    <t>ВСЕГО по смете</t>
  </si>
  <si>
    <t>Всего оборудование</t>
  </si>
  <si>
    <t>Всего прочие затраты</t>
  </si>
  <si>
    <t xml:space="preserve">Составил   </t>
  </si>
  <si>
    <t>[должность,подпись(инициалы,фамилия)]</t>
  </si>
  <si>
    <t xml:space="preserve">Проверил   </t>
  </si>
  <si>
    <t>TYPE</t>
  </si>
  <si>
    <t>SOURCE_LINK</t>
  </si>
  <si>
    <t>RABMAT_EX</t>
  </si>
  <si>
    <t>TIP_RAB</t>
  </si>
  <si>
    <t>TYPE_TRUD</t>
  </si>
  <si>
    <t>TAB</t>
  </si>
  <si>
    <t>NAME</t>
  </si>
  <si>
    <t>EDIZM</t>
  </si>
  <si>
    <t>KOLL</t>
  </si>
  <si>
    <t>UCH</t>
  </si>
  <si>
    <t>PRICE_B</t>
  </si>
  <si>
    <t>PRICE_ED</t>
  </si>
  <si>
    <t>STOIM_B</t>
  </si>
  <si>
    <t>PRICE_C</t>
  </si>
  <si>
    <t>STOIM_C</t>
  </si>
  <si>
    <t>ZPM_B</t>
  </si>
  <si>
    <t>ZPM_ED</t>
  </si>
  <si>
    <t>STOIM_ZPM_B</t>
  </si>
  <si>
    <t>ZPM_C</t>
  </si>
  <si>
    <t>STOIM_ZPM_C</t>
  </si>
  <si>
    <t>CRC_GR_RES</t>
  </si>
  <si>
    <t>CRC_B</t>
  </si>
  <si>
    <t>CRC_C</t>
  </si>
  <si>
    <t>RABMAT</t>
  </si>
  <si>
    <t>WBS</t>
  </si>
  <si>
    <t>CBSI</t>
  </si>
  <si>
    <t>CBSII</t>
  </si>
  <si>
    <t>TechSpecCVORPP</t>
  </si>
  <si>
    <t>BuildingFinished</t>
  </si>
  <si>
    <t>PEREVOZKA</t>
  </si>
  <si>
    <t>Trud</t>
  </si>
  <si>
    <t>Mash</t>
  </si>
  <si>
    <t>Mat</t>
  </si>
  <si>
    <t>MatZak</t>
  </si>
  <si>
    <t>Oborud</t>
  </si>
  <si>
    <t>OborudZak</t>
  </si>
  <si>
    <t>ZeroStoim</t>
  </si>
  <si>
    <t>NegativeKoll</t>
  </si>
  <si>
    <t>ReUnionKollResurcy</t>
  </si>
  <si>
    <t>UnionOneUchRes</t>
  </si>
  <si>
    <t>IdLevel</t>
  </si>
  <si>
    <t>ViewCodes</t>
  </si>
  <si>
    <t>UnionCodes</t>
  </si>
  <si>
    <t>Ресурсная ведомость на</t>
  </si>
  <si>
    <t>Наименование</t>
  </si>
  <si>
    <t>Объем</t>
  </si>
  <si>
    <t>Текущая</t>
  </si>
  <si>
    <t>цена</t>
  </si>
  <si>
    <t>стоимость</t>
  </si>
  <si>
    <t xml:space="preserve">Трудовые ресурсы </t>
  </si>
  <si>
    <t xml:space="preserve">Итого трудовые ресурсы </t>
  </si>
  <si>
    <t xml:space="preserve">Машины и механизмы </t>
  </si>
  <si>
    <t xml:space="preserve">Итого машины и механизмы </t>
  </si>
  <si>
    <t xml:space="preserve">Материальные ресурсы </t>
  </si>
  <si>
    <t xml:space="preserve">Итого материальные ресурсы </t>
  </si>
  <si>
    <t xml:space="preserve">Итого материалы заказчика </t>
  </si>
  <si>
    <t>Смета в сумме 599 900,00 руб</t>
  </si>
  <si>
    <t>62. Рязанская область</t>
  </si>
  <si>
    <t>г. Рязань</t>
  </si>
  <si>
    <t xml:space="preserve">ЛОКАЛЬНЫЙ СМЕТНЫЙ РАСЧЕТ </t>
  </si>
  <si>
    <t>Дефектная ведомость</t>
  </si>
  <si>
    <t xml:space="preserve">г. Рязань </t>
  </si>
  <si>
    <t>Аварийный ремонт систмы теплоснабжения и ГВС к общежитию ФГБОУ «Рязанский государственный агротехнологический университет имени П.А. Костычева»</t>
  </si>
  <si>
    <t>обратная засыпка траншеи экскаватором к=0,5</t>
  </si>
  <si>
    <t xml:space="preserve">ВСЕГО ПО СМЕТЕ </t>
  </si>
  <si>
    <t xml:space="preserve">ИТОГО </t>
  </si>
  <si>
    <t>" ___ " ___________ 2026 г.</t>
  </si>
  <si>
    <t>ФГБОУ ВО РГАТУ</t>
  </si>
  <si>
    <t>Текущий ремонт системы водоснабжения и ГВС студенческого общежития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</si>
</sst>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#,##0.00;[Red]\-\ #,##0.00"/>
    <numFmt numFmtId="166" formatCode="#,##0.00#####;[Red]\-\ #,##0.00#####"/>
  </numFmts>
  <fonts count="31" x14ac:knownFonts="1">
    <font>
      <sz val="10"/>
      <name val="Arial"/>
      <charset val="204"/>
    </font>
    <font>
      <b/>
      <sz val="10"/>
      <color indexed="12"/>
      <name val="Arial"/>
      <charset val="204"/>
    </font>
    <font>
      <b/>
      <sz val="10"/>
      <color indexed="16"/>
      <name val="Arial"/>
      <charset val="204"/>
    </font>
    <font>
      <b/>
      <sz val="10"/>
      <color indexed="20"/>
      <name val="Arial"/>
      <charset val="204"/>
    </font>
    <font>
      <b/>
      <sz val="10"/>
      <color indexed="17"/>
      <name val="Arial"/>
      <charset val="204"/>
    </font>
    <font>
      <sz val="10"/>
      <color indexed="17"/>
      <name val="Arial"/>
      <charset val="204"/>
    </font>
    <font>
      <sz val="10"/>
      <color indexed="12"/>
      <name val="Arial"/>
      <charset val="204"/>
    </font>
    <font>
      <sz val="10"/>
      <color indexed="14"/>
      <name val="Arial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2"/>
      <name val="Arial"/>
      <family val="2"/>
      <charset val="204"/>
    </font>
    <font>
      <sz val="13"/>
      <name val="Arial"/>
      <family val="2"/>
      <charset val="204"/>
    </font>
    <font>
      <b/>
      <sz val="13"/>
      <name val="Arial"/>
      <family val="2"/>
      <charset val="204"/>
    </font>
    <font>
      <i/>
      <sz val="11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 Cyr"/>
      <charset val="204"/>
    </font>
    <font>
      <b/>
      <sz val="1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3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i/>
      <sz val="9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i/>
      <u/>
      <sz val="11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1" fillId="0" borderId="0" xfId="0" applyFont="1"/>
    <xf numFmtId="0" fontId="0" fillId="0" borderId="0" xfId="0" applyAlignme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wrapText="1"/>
    </xf>
    <xf numFmtId="0" fontId="1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4" fillId="0" borderId="0" xfId="0" applyFont="1" applyAlignment="1"/>
    <xf numFmtId="0" fontId="3" fillId="0" borderId="0" xfId="0" applyFont="1" applyAlignment="1"/>
    <xf numFmtId="0" fontId="5" fillId="0" borderId="0" xfId="0" applyFont="1" applyAlignme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11" fillId="0" borderId="0" xfId="0" applyFont="1" applyBorder="1" applyAlignment="1">
      <alignment horizontal="right"/>
    </xf>
    <xf numFmtId="0" fontId="10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8" xfId="0" applyBorder="1"/>
    <xf numFmtId="0" fontId="15" fillId="0" borderId="8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center" vertical="center"/>
    </xf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17" fillId="0" borderId="0" xfId="0" applyNumberFormat="1" applyFont="1" applyAlignment="1"/>
    <xf numFmtId="0" fontId="20" fillId="0" borderId="0" xfId="0" applyNumberFormat="1" applyFont="1" applyAlignment="1"/>
    <xf numFmtId="0" fontId="22" fillId="0" borderId="0" xfId="0" applyNumberFormat="1" applyFont="1" applyAlignment="1"/>
    <xf numFmtId="0" fontId="22" fillId="0" borderId="0" xfId="0" applyNumberFormat="1" applyFont="1" applyAlignment="1">
      <alignment horizontal="left"/>
    </xf>
    <xf numFmtId="0" fontId="22" fillId="0" borderId="0" xfId="0" applyNumberFormat="1" applyFont="1" applyAlignment="1">
      <alignment wrapText="1"/>
    </xf>
    <xf numFmtId="0" fontId="16" fillId="0" borderId="0" xfId="0" applyNumberFormat="1" applyFont="1" applyAlignment="1"/>
    <xf numFmtId="0" fontId="16" fillId="0" borderId="0" xfId="0" applyNumberFormat="1" applyFont="1" applyAlignment="1">
      <alignment vertical="top" wrapText="1"/>
    </xf>
    <xf numFmtId="0" fontId="16" fillId="0" borderId="3" xfId="0" applyNumberFormat="1" applyFont="1" applyBorder="1" applyAlignment="1">
      <alignment vertical="top"/>
    </xf>
    <xf numFmtId="0" fontId="16" fillId="0" borderId="0" xfId="0" applyNumberFormat="1" applyFont="1" applyAlignment="1">
      <alignment horizontal="left" vertical="top" wrapText="1"/>
    </xf>
    <xf numFmtId="0" fontId="16" fillId="0" borderId="3" xfId="0" applyNumberFormat="1" applyFont="1" applyBorder="1" applyAlignment="1">
      <alignment horizontal="left" vertical="top" wrapText="1"/>
    </xf>
    <xf numFmtId="0" fontId="17" fillId="0" borderId="3" xfId="0" applyNumberFormat="1" applyFont="1" applyBorder="1" applyAlignment="1"/>
    <xf numFmtId="0" fontId="25" fillId="0" borderId="0" xfId="0" applyNumberFormat="1" applyFont="1" applyAlignment="1">
      <alignment vertical="center" wrapText="1"/>
    </xf>
    <xf numFmtId="0" fontId="25" fillId="0" borderId="0" xfId="0" applyNumberFormat="1" applyFont="1" applyAlignment="1">
      <alignment horizontal="center" wrapText="1"/>
    </xf>
    <xf numFmtId="0" fontId="16" fillId="0" borderId="0" xfId="0" applyNumberFormat="1" applyFont="1" applyAlignment="1">
      <alignment horizontal="center"/>
    </xf>
    <xf numFmtId="0" fontId="16" fillId="0" borderId="9" xfId="0" applyNumberFormat="1" applyFont="1" applyBorder="1" applyAlignment="1">
      <alignment horizontal="center"/>
    </xf>
    <xf numFmtId="0" fontId="16" fillId="0" borderId="3" xfId="0" applyNumberFormat="1" applyFont="1" applyBorder="1" applyAlignment="1"/>
    <xf numFmtId="0" fontId="16" fillId="0" borderId="0" xfId="0" applyNumberFormat="1" applyFont="1" applyAlignment="1">
      <alignment horizontal="left" wrapText="1"/>
    </xf>
    <xf numFmtId="0" fontId="16" fillId="0" borderId="0" xfId="0" applyNumberFormat="1" applyFont="1" applyAlignment="1">
      <alignment wrapText="1"/>
    </xf>
    <xf numFmtId="0" fontId="19" fillId="0" borderId="0" xfId="0" applyNumberFormat="1" applyFont="1" applyAlignment="1"/>
    <xf numFmtId="14" fontId="22" fillId="0" borderId="0" xfId="0" applyNumberFormat="1" applyFont="1" applyAlignment="1"/>
    <xf numFmtId="0" fontId="16" fillId="0" borderId="0" xfId="0" applyNumberFormat="1" applyFont="1" applyAlignment="1">
      <alignment horizontal="right"/>
    </xf>
    <xf numFmtId="0" fontId="23" fillId="0" borderId="0" xfId="0" applyNumberFormat="1" applyFont="1" applyAlignment="1"/>
    <xf numFmtId="164" fontId="16" fillId="0" borderId="0" xfId="0" applyNumberFormat="1" applyFont="1" applyAlignment="1">
      <alignment horizontal="right"/>
    </xf>
    <xf numFmtId="0" fontId="22" fillId="0" borderId="9" xfId="0" applyNumberFormat="1" applyFont="1" applyBorder="1" applyAlignment="1"/>
    <xf numFmtId="0" fontId="16" fillId="0" borderId="6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16" fillId="0" borderId="6" xfId="0" applyNumberFormat="1" applyFont="1" applyBorder="1" applyAlignment="1">
      <alignment horizontal="center"/>
    </xf>
    <xf numFmtId="0" fontId="22" fillId="0" borderId="0" xfId="0" applyNumberFormat="1" applyFont="1" applyAlignment="1">
      <alignment horizontal="center"/>
    </xf>
    <xf numFmtId="0" fontId="22" fillId="0" borderId="6" xfId="0" applyNumberFormat="1" applyFont="1" applyBorder="1" applyAlignment="1">
      <alignment horizontal="center"/>
    </xf>
    <xf numFmtId="0" fontId="16" fillId="0" borderId="9" xfId="0" applyNumberFormat="1" applyFont="1" applyBorder="1" applyAlignment="1">
      <alignment horizontal="left" vertical="top" wrapText="1"/>
    </xf>
    <xf numFmtId="0" fontId="26" fillId="0" borderId="9" xfId="0" applyNumberFormat="1" applyFont="1" applyBorder="1" applyAlignment="1">
      <alignment horizontal="center" wrapText="1"/>
    </xf>
    <xf numFmtId="0" fontId="10" fillId="0" borderId="0" xfId="0" applyFont="1" applyAlignment="1">
      <alignment vertical="top"/>
    </xf>
    <xf numFmtId="0" fontId="27" fillId="0" borderId="0" xfId="0" applyFont="1" applyAlignment="1">
      <alignment vertical="top" wrapText="1"/>
    </xf>
    <xf numFmtId="0" fontId="10" fillId="0" borderId="0" xfId="0" quotePrefix="1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0" fontId="15" fillId="0" borderId="0" xfId="0" applyFont="1" applyAlignment="1">
      <alignment horizontal="right" vertical="top" wrapText="1"/>
    </xf>
    <xf numFmtId="0" fontId="10" fillId="0" borderId="0" xfId="0" applyFont="1" applyAlignment="1">
      <alignment horizontal="right" vertical="top"/>
    </xf>
    <xf numFmtId="0" fontId="10" fillId="0" borderId="0" xfId="0" applyFont="1" applyAlignment="1">
      <alignment horizontal="right" vertical="top" wrapText="1"/>
    </xf>
    <xf numFmtId="165" fontId="10" fillId="0" borderId="0" xfId="0" applyNumberFormat="1" applyFont="1" applyAlignment="1">
      <alignment horizontal="right" vertical="top"/>
    </xf>
    <xf numFmtId="0" fontId="28" fillId="0" borderId="0" xfId="0" applyFont="1" applyAlignment="1">
      <alignment vertical="top" wrapText="1"/>
    </xf>
    <xf numFmtId="0" fontId="28" fillId="0" borderId="0" xfId="0" quotePrefix="1" applyFont="1" applyAlignment="1">
      <alignment vertical="top" wrapText="1"/>
    </xf>
    <xf numFmtId="0" fontId="29" fillId="0" borderId="0" xfId="0" quotePrefix="1" applyFont="1" applyAlignment="1">
      <alignment vertical="top" wrapText="1"/>
    </xf>
    <xf numFmtId="166" fontId="10" fillId="0" borderId="0" xfId="0" applyNumberFormat="1" applyFont="1" applyAlignment="1">
      <alignment horizontal="right" vertical="top"/>
    </xf>
    <xf numFmtId="165" fontId="11" fillId="0" borderId="0" xfId="0" applyNumberFormat="1" applyFont="1" applyAlignment="1">
      <alignment horizontal="right" vertical="top"/>
    </xf>
    <xf numFmtId="0" fontId="10" fillId="0" borderId="9" xfId="0" applyFont="1" applyBorder="1" applyAlignment="1">
      <alignment horizontal="left" vertical="top" wrapText="1"/>
    </xf>
    <xf numFmtId="0" fontId="15" fillId="0" borderId="9" xfId="0" applyFont="1" applyBorder="1" applyAlignment="1">
      <alignment horizontal="right" vertical="top" wrapText="1"/>
    </xf>
    <xf numFmtId="0" fontId="10" fillId="0" borderId="9" xfId="0" applyFont="1" applyBorder="1" applyAlignment="1">
      <alignment horizontal="right" vertical="top"/>
    </xf>
    <xf numFmtId="165" fontId="10" fillId="0" borderId="9" xfId="0" applyNumberFormat="1" applyFont="1" applyBorder="1" applyAlignment="1">
      <alignment horizontal="right" vertical="top"/>
    </xf>
    <xf numFmtId="0" fontId="10" fillId="0" borderId="9" xfId="0" applyFont="1" applyBorder="1" applyAlignment="1">
      <alignment horizontal="right" vertical="top" wrapText="1"/>
    </xf>
    <xf numFmtId="165" fontId="0" fillId="0" borderId="0" xfId="0" applyNumberFormat="1"/>
    <xf numFmtId="0" fontId="11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11" fillId="0" borderId="0" xfId="0" applyFont="1" applyAlignment="1">
      <alignment vertical="top"/>
    </xf>
    <xf numFmtId="0" fontId="18" fillId="0" borderId="0" xfId="0" applyFont="1" applyAlignment="1">
      <alignment horizontal="left" vertical="top" wrapText="1"/>
    </xf>
    <xf numFmtId="0" fontId="11" fillId="0" borderId="0" xfId="0" applyFont="1" applyAlignment="1">
      <alignment horizontal="right" vertical="top"/>
    </xf>
    <xf numFmtId="0" fontId="11" fillId="0" borderId="3" xfId="0" applyFont="1" applyBorder="1" applyAlignment="1">
      <alignment vertical="top"/>
    </xf>
    <xf numFmtId="0" fontId="18" fillId="0" borderId="3" xfId="0" applyFont="1" applyBorder="1" applyAlignment="1">
      <alignment horizontal="left" vertical="top" wrapText="1"/>
    </xf>
    <xf numFmtId="165" fontId="11" fillId="0" borderId="3" xfId="0" applyNumberFormat="1" applyFont="1" applyBorder="1" applyAlignment="1">
      <alignment horizontal="right" vertical="top"/>
    </xf>
    <xf numFmtId="0" fontId="11" fillId="0" borderId="3" xfId="0" applyFont="1" applyBorder="1" applyAlignment="1">
      <alignment horizontal="right" vertical="top"/>
    </xf>
    <xf numFmtId="165" fontId="16" fillId="0" borderId="0" xfId="0" applyNumberFormat="1" applyFont="1" applyAlignment="1">
      <alignment horizontal="right"/>
    </xf>
    <xf numFmtId="165" fontId="16" fillId="0" borderId="0" xfId="0" applyNumberFormat="1" applyFont="1" applyAlignment="1"/>
    <xf numFmtId="165" fontId="17" fillId="0" borderId="0" xfId="0" applyNumberFormat="1" applyFont="1" applyAlignment="1"/>
    <xf numFmtId="166" fontId="17" fillId="0" borderId="0" xfId="0" applyNumberFormat="1" applyFont="1" applyAlignment="1"/>
    <xf numFmtId="0" fontId="17" fillId="0" borderId="0" xfId="0" applyNumberFormat="1" applyFont="1" applyAlignment="1">
      <alignment horizontal="right"/>
    </xf>
    <xf numFmtId="0" fontId="16" fillId="0" borderId="0" xfId="0" applyNumberFormat="1" applyFont="1" applyAlignment="1">
      <alignment horizontal="right" vertical="center"/>
    </xf>
    <xf numFmtId="0" fontId="22" fillId="0" borderId="9" xfId="0" applyNumberFormat="1" applyFont="1" applyBorder="1" applyAlignment="1">
      <alignment horizontal="left"/>
    </xf>
    <xf numFmtId="0" fontId="22" fillId="0" borderId="0" xfId="0" applyNumberFormat="1" applyFont="1" applyAlignment="1">
      <alignment horizontal="right"/>
    </xf>
    <xf numFmtId="0" fontId="11" fillId="0" borderId="0" xfId="0" applyFont="1" applyAlignment="1">
      <alignment horizontal="left" vertical="top"/>
    </xf>
    <xf numFmtId="0" fontId="10" fillId="0" borderId="8" xfId="0" applyFont="1" applyBorder="1" applyAlignment="1">
      <alignment horizontal="center"/>
    </xf>
    <xf numFmtId="0" fontId="10" fillId="0" borderId="8" xfId="0" applyFont="1" applyFill="1" applyBorder="1" applyAlignment="1">
      <alignment horizontal="center"/>
    </xf>
    <xf numFmtId="0" fontId="10" fillId="0" borderId="6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wrapText="1"/>
    </xf>
    <xf numFmtId="0" fontId="10" fillId="0" borderId="6" xfId="0" applyFont="1" applyBorder="1" applyAlignment="1">
      <alignment horizontal="right" wrapText="1"/>
    </xf>
    <xf numFmtId="0" fontId="10" fillId="0" borderId="6" xfId="0" applyFont="1" applyBorder="1" applyAlignment="1">
      <alignment horizontal="right"/>
    </xf>
    <xf numFmtId="0" fontId="10" fillId="0" borderId="8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wrapText="1"/>
    </xf>
    <xf numFmtId="0" fontId="10" fillId="0" borderId="8" xfId="0" applyFont="1" applyBorder="1" applyAlignment="1">
      <alignment horizontal="right" wrapText="1"/>
    </xf>
    <xf numFmtId="0" fontId="10" fillId="0" borderId="8" xfId="0" applyFont="1" applyBorder="1" applyAlignment="1">
      <alignment horizontal="right"/>
    </xf>
    <xf numFmtId="0" fontId="11" fillId="0" borderId="0" xfId="0" applyFont="1"/>
    <xf numFmtId="49" fontId="10" fillId="0" borderId="6" xfId="0" applyNumberFormat="1" applyFont="1" applyBorder="1" applyAlignment="1">
      <alignment horizontal="left" vertical="top" wrapText="1"/>
    </xf>
    <xf numFmtId="165" fontId="10" fillId="0" borderId="6" xfId="0" applyNumberFormat="1" applyFont="1" applyBorder="1" applyAlignment="1">
      <alignment horizontal="right" wrapText="1"/>
    </xf>
    <xf numFmtId="4" fontId="11" fillId="0" borderId="0" xfId="0" applyNumberFormat="1" applyFont="1"/>
    <xf numFmtId="0" fontId="21" fillId="0" borderId="0" xfId="0" applyNumberFormat="1" applyFont="1" applyAlignment="1">
      <alignment horizontal="left"/>
    </xf>
    <xf numFmtId="0" fontId="22" fillId="0" borderId="0" xfId="0" applyNumberFormat="1" applyFont="1" applyAlignment="1">
      <alignment horizontal="left"/>
    </xf>
    <xf numFmtId="0" fontId="16" fillId="0" borderId="0" xfId="0" applyNumberFormat="1" applyFont="1" applyAlignment="1">
      <alignment horizontal="left" vertical="top" wrapText="1"/>
    </xf>
    <xf numFmtId="0" fontId="16" fillId="0" borderId="9" xfId="0" applyNumberFormat="1" applyFont="1" applyBorder="1" applyAlignment="1">
      <alignment horizontal="left" vertical="top" wrapText="1"/>
    </xf>
    <xf numFmtId="0" fontId="22" fillId="0" borderId="0" xfId="0" applyNumberFormat="1" applyFont="1" applyAlignment="1">
      <alignment horizontal="left" wrapText="1"/>
    </xf>
    <xf numFmtId="0" fontId="21" fillId="0" borderId="9" xfId="0" applyNumberFormat="1" applyFont="1" applyBorder="1" applyAlignment="1">
      <alignment horizontal="center" wrapText="1"/>
    </xf>
    <xf numFmtId="0" fontId="24" fillId="0" borderId="3" xfId="0" applyNumberFormat="1" applyFont="1" applyBorder="1" applyAlignment="1">
      <alignment horizontal="center" vertical="top" wrapText="1"/>
    </xf>
    <xf numFmtId="0" fontId="21" fillId="0" borderId="0" xfId="0" applyNumberFormat="1" applyFont="1" applyAlignment="1">
      <alignment horizontal="center" wrapText="1"/>
    </xf>
    <xf numFmtId="165" fontId="16" fillId="0" borderId="0" xfId="0" applyNumberFormat="1" applyFont="1" applyAlignment="1">
      <alignment horizontal="right"/>
    </xf>
    <xf numFmtId="0" fontId="16" fillId="0" borderId="0" xfId="0" applyNumberFormat="1" applyFont="1" applyAlignment="1">
      <alignment horizontal="right"/>
    </xf>
    <xf numFmtId="0" fontId="16" fillId="0" borderId="8" xfId="0" applyNumberFormat="1" applyFont="1" applyBorder="1" applyAlignment="1">
      <alignment horizontal="center" vertical="center" wrapText="1"/>
    </xf>
    <xf numFmtId="0" fontId="16" fillId="0" borderId="10" xfId="0" applyNumberFormat="1" applyFont="1" applyBorder="1" applyAlignment="1">
      <alignment horizontal="center" vertical="center" wrapText="1"/>
    </xf>
    <xf numFmtId="0" fontId="16" fillId="0" borderId="11" xfId="0" applyNumberFormat="1" applyFont="1" applyBorder="1" applyAlignment="1">
      <alignment horizontal="center" vertical="center" wrapText="1"/>
    </xf>
    <xf numFmtId="0" fontId="16" fillId="0" borderId="9" xfId="0" applyNumberFormat="1" applyFont="1" applyBorder="1" applyAlignment="1">
      <alignment horizontal="left" wrapText="1"/>
    </xf>
    <xf numFmtId="165" fontId="11" fillId="0" borderId="0" xfId="0" applyNumberFormat="1" applyFont="1" applyAlignment="1">
      <alignment horizontal="left" vertical="top"/>
    </xf>
    <xf numFmtId="165" fontId="11" fillId="0" borderId="3" xfId="0" applyNumberFormat="1" applyFont="1" applyBorder="1" applyAlignment="1">
      <alignment horizontal="right" vertical="top"/>
    </xf>
    <xf numFmtId="0" fontId="28" fillId="0" borderId="0" xfId="0" applyFont="1" applyAlignment="1">
      <alignment vertical="top" wrapText="1"/>
    </xf>
    <xf numFmtId="0" fontId="16" fillId="0" borderId="2" xfId="0" applyNumberFormat="1" applyFont="1" applyBorder="1" applyAlignment="1">
      <alignment horizontal="center" vertical="center" wrapText="1"/>
    </xf>
    <xf numFmtId="0" fontId="16" fillId="0" borderId="3" xfId="0" applyNumberFormat="1" applyFont="1" applyBorder="1" applyAlignment="1">
      <alignment horizontal="center" vertical="center" wrapText="1"/>
    </xf>
    <xf numFmtId="0" fontId="16" fillId="0" borderId="12" xfId="0" applyNumberFormat="1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 wrapText="1"/>
    </xf>
    <xf numFmtId="0" fontId="16" fillId="0" borderId="0" xfId="0" applyNumberFormat="1" applyFont="1" applyBorder="1" applyAlignment="1">
      <alignment horizontal="center" vertical="center" wrapText="1"/>
    </xf>
    <xf numFmtId="0" fontId="16" fillId="0" borderId="13" xfId="0" applyNumberFormat="1" applyFont="1" applyBorder="1" applyAlignment="1">
      <alignment horizontal="center" vertical="center" wrapText="1"/>
    </xf>
    <xf numFmtId="0" fontId="16" fillId="0" borderId="14" xfId="0" applyNumberFormat="1" applyFont="1" applyBorder="1" applyAlignment="1">
      <alignment horizontal="center" vertical="center" wrapText="1"/>
    </xf>
    <xf numFmtId="0" fontId="16" fillId="0" borderId="9" xfId="0" applyNumberFormat="1" applyFont="1" applyBorder="1" applyAlignment="1">
      <alignment horizontal="center" vertical="center" wrapText="1"/>
    </xf>
    <xf numFmtId="0" fontId="16" fillId="0" borderId="15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29" fillId="0" borderId="0" xfId="0" applyFont="1" applyAlignment="1">
      <alignment vertical="top" wrapText="1"/>
    </xf>
    <xf numFmtId="0" fontId="11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right" vertical="top" wrapText="1"/>
    </xf>
    <xf numFmtId="0" fontId="11" fillId="0" borderId="3" xfId="0" applyFont="1" applyBorder="1" applyAlignment="1">
      <alignment horizontal="left" vertical="top" wrapText="1"/>
    </xf>
    <xf numFmtId="0" fontId="30" fillId="0" borderId="3" xfId="0" applyNumberFormat="1" applyFont="1" applyBorder="1" applyAlignment="1">
      <alignment horizontal="center"/>
    </xf>
    <xf numFmtId="0" fontId="14" fillId="0" borderId="8" xfId="0" applyFont="1" applyBorder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right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4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right"/>
    </xf>
    <xf numFmtId="165" fontId="11" fillId="0" borderId="6" xfId="0" applyNumberFormat="1" applyFont="1" applyBorder="1" applyAlignment="1">
      <alignment horizontal="right"/>
    </xf>
    <xf numFmtId="0" fontId="14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W1065"/>
  <sheetViews>
    <sheetView topLeftCell="A26" zoomScale="86" zoomScaleNormal="86" workbookViewId="0">
      <selection activeCell="I37" sqref="I37"/>
    </sheetView>
  </sheetViews>
  <sheetFormatPr defaultRowHeight="13.2" x14ac:dyDescent="0.25"/>
  <cols>
    <col min="1" max="1" width="5.6640625" customWidth="1"/>
    <col min="2" max="2" width="20.6640625" customWidth="1"/>
    <col min="3" max="3" width="40.6640625" customWidth="1"/>
    <col min="4" max="4" width="10.6640625" customWidth="1"/>
    <col min="5" max="12" width="15.6640625" customWidth="1"/>
    <col min="15" max="91" width="0" hidden="1" customWidth="1"/>
    <col min="92" max="92" width="198.6640625" hidden="1" customWidth="1"/>
    <col min="93" max="93" width="108.6640625" hidden="1" customWidth="1"/>
    <col min="94" max="100" width="0" hidden="1" customWidth="1"/>
    <col min="101" max="101" width="173.6640625" hidden="1" customWidth="1"/>
  </cols>
  <sheetData>
    <row r="1" spans="1:93" x14ac:dyDescent="0.25">
      <c r="A1" s="15" t="str">
        <f>Source!B1</f>
        <v>Smeta.RU  (495) 974-1589</v>
      </c>
    </row>
    <row r="2" spans="1:93" ht="12.45" customHeight="1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93" ht="16.5" customHeight="1" x14ac:dyDescent="0.3">
      <c r="A3" s="31"/>
      <c r="B3" s="113" t="s">
        <v>807</v>
      </c>
      <c r="C3" s="113"/>
      <c r="D3" s="113"/>
      <c r="E3" s="113"/>
      <c r="F3" s="32"/>
      <c r="G3" s="32"/>
      <c r="H3" s="113" t="s">
        <v>809</v>
      </c>
      <c r="I3" s="113"/>
      <c r="J3" s="113"/>
      <c r="K3" s="113"/>
      <c r="L3" s="113"/>
    </row>
    <row r="4" spans="1:93" ht="13.95" customHeight="1" x14ac:dyDescent="0.25">
      <c r="A4" s="32"/>
      <c r="B4" s="114"/>
      <c r="C4" s="114"/>
      <c r="D4" s="114"/>
      <c r="E4" s="114"/>
      <c r="F4" s="32"/>
      <c r="G4" s="32"/>
      <c r="H4" s="114"/>
      <c r="I4" s="114"/>
      <c r="J4" s="114"/>
      <c r="K4" s="114"/>
      <c r="L4" s="114"/>
    </row>
    <row r="5" spans="1:93" ht="13.95" customHeight="1" x14ac:dyDescent="0.25">
      <c r="A5" s="32"/>
      <c r="B5" s="32" t="s">
        <v>1072</v>
      </c>
      <c r="C5" s="33"/>
      <c r="D5" s="33"/>
      <c r="E5" s="33"/>
      <c r="F5" s="32"/>
      <c r="G5" s="32"/>
      <c r="H5" s="33" t="str">
        <f>B5</f>
        <v>Смета в сумме 599 900,00 руб</v>
      </c>
      <c r="I5" s="33"/>
      <c r="J5" s="33"/>
      <c r="K5" s="33"/>
      <c r="L5" s="33"/>
    </row>
    <row r="6" spans="1:93" ht="13.95" customHeight="1" x14ac:dyDescent="0.25">
      <c r="A6" s="33"/>
      <c r="B6" s="114" t="str">
        <f>CONCATENATE("______________________ ", IF(Source!AL12&lt;&gt;"", Source!AL12, ""))</f>
        <v xml:space="preserve">______________________ </v>
      </c>
      <c r="C6" s="114"/>
      <c r="D6" s="114"/>
      <c r="E6" s="114"/>
      <c r="F6" s="32"/>
      <c r="G6" s="32"/>
      <c r="H6" s="114" t="str">
        <f>CONCATENATE("______________________ ", IF(Source!AH12&lt;&gt;"", Source!AH12, ""))</f>
        <v xml:space="preserve">______________________ </v>
      </c>
      <c r="I6" s="114"/>
      <c r="J6" s="114"/>
      <c r="K6" s="114"/>
      <c r="L6" s="114"/>
    </row>
    <row r="7" spans="1:93" ht="14.25" customHeight="1" x14ac:dyDescent="0.25">
      <c r="A7" s="34"/>
      <c r="B7" s="117" t="s">
        <v>819</v>
      </c>
      <c r="C7" s="117"/>
      <c r="D7" s="117"/>
      <c r="E7" s="117"/>
      <c r="F7" s="32"/>
      <c r="G7" s="32"/>
      <c r="H7" s="117" t="s">
        <v>819</v>
      </c>
      <c r="I7" s="117"/>
      <c r="J7" s="117"/>
      <c r="K7" s="117"/>
      <c r="L7" s="117"/>
    </row>
    <row r="10" spans="1:93" ht="12.75" customHeight="1" x14ac:dyDescent="0.25">
      <c r="A10" s="115" t="s">
        <v>820</v>
      </c>
      <c r="B10" s="115"/>
      <c r="C10" s="115"/>
      <c r="D10" s="115"/>
      <c r="E10" s="115"/>
      <c r="F10" s="116" t="s">
        <v>855</v>
      </c>
      <c r="G10" s="116"/>
      <c r="H10" s="116"/>
      <c r="I10" s="116"/>
      <c r="J10" s="116"/>
      <c r="K10" s="116"/>
      <c r="L10" s="116"/>
    </row>
    <row r="11" spans="1:93" ht="12.45" customHeight="1" x14ac:dyDescent="0.25">
      <c r="A11" s="36"/>
      <c r="B11" s="36"/>
      <c r="C11" s="36"/>
      <c r="D11" s="36"/>
      <c r="E11" s="36"/>
      <c r="F11" s="37"/>
      <c r="G11" s="37"/>
      <c r="H11" s="37"/>
      <c r="I11" s="37"/>
      <c r="J11" s="37"/>
      <c r="K11" s="37"/>
      <c r="L11" s="37"/>
    </row>
    <row r="12" spans="1:93" ht="26.4" x14ac:dyDescent="0.25">
      <c r="A12" s="115" t="s">
        <v>821</v>
      </c>
      <c r="B12" s="115"/>
      <c r="C12" s="115"/>
      <c r="D12" s="115"/>
      <c r="E12" s="115"/>
      <c r="F12" s="116" t="str">
        <f>IF(Source!CQ12 &lt;&gt; "", Source!CQ12, "")</f>
        <v>Приказ Минстроя России от 30.12.2021 г. № 1046/пр;  Приказ Минстроя России от 04.08.2020 г. № 421/пр;  Приказ Минстроя России от 21.12.2020 г. № 812/пр;  Приказ Минстроя России от 11.12.2020 г. № 774/пр</v>
      </c>
      <c r="G12" s="116"/>
      <c r="H12" s="116"/>
      <c r="I12" s="116"/>
      <c r="J12" s="116"/>
      <c r="K12" s="116"/>
      <c r="L12" s="116"/>
      <c r="CO12" s="59" t="str">
        <f>IF(Source!CQ12 &lt;&gt; "", Source!CQ12, "")</f>
        <v>Приказ Минстроя России от 30.12.2021 г. № 1046/пр;  Приказ Минстроя России от 04.08.2020 г. № 421/пр;  Приказ Минстроя России от 21.12.2020 г. № 812/пр;  Приказ Минстроя России от 11.12.2020 г. № 774/пр</v>
      </c>
    </row>
    <row r="13" spans="1:93" ht="12.45" customHeight="1" x14ac:dyDescent="0.25">
      <c r="A13" s="36"/>
      <c r="B13" s="36"/>
      <c r="C13" s="36"/>
      <c r="D13" s="36"/>
      <c r="E13" s="36"/>
      <c r="F13" s="37"/>
      <c r="G13" s="37"/>
      <c r="H13" s="37"/>
      <c r="I13" s="37"/>
      <c r="J13" s="37"/>
      <c r="K13" s="37"/>
      <c r="L13" s="37"/>
    </row>
    <row r="14" spans="1:93" ht="145.19999999999999" x14ac:dyDescent="0.25">
      <c r="A14" s="115" t="s">
        <v>822</v>
      </c>
      <c r="B14" s="115"/>
      <c r="C14" s="115"/>
      <c r="D14" s="115"/>
      <c r="E14" s="115"/>
      <c r="F14" s="116" t="str">
        <f>IF(Source!CV12 &lt;&gt; "", Source!CV12, "")</f>
        <v>Приказ Минстроя России от 18.05.2022 г. № 378/пр; Приказ Минстроя России от 26.08.2022 г. № 703/пр; Приказ Минстроя России от 26.10.2022 г. № 905/пр;  Приказ Минстроя России от 27.12.2022 г. № 1133/пр; Приказ Минстроя России от 10.02.2023 г. № 84/пр; Приказ Минстроя России от 11.05.2023 г. № 335/пр;  Приказ Минстроя России от 02.08.2023 г. № 551/пр; Приказ Минстроя России от 14.11.2023 г. № 817/пр; Приказ Минстроя России от 16.02.2024 г. № 102/пр;  Приказ Минстроя России от 13.05.2024 г. № 323/пр; Приказ Минстроя России от 09.08.2024 г. № 524/пр; Приказ Минстроя России от 07.11.2024 г. № 747/пр;  Приказ Минстроя России от 07.02.2025 г. № 69/пр; Приказ Минстроя России от 19.05.2025 г. № 299/пр; Приказ Минстроя России от 14.08.2025 г. № 490/пр;  Приказ Минстроя России от 12.11.2025 г. № 696/пр; Приказ Минстроя России от 17.02.2026 г. № 91/пр; Приказ Минстроя России от 15.05.2026 г. № 301/пр;  Приказ Минстроя России от 07.07.2022 г. № 557/пр; Приказ Минстроя России от 30.01.2024 г. № 55/пр; Приказ Минстроя России от 23.01.2025 г. № 30/пр;  Приказ Минстроя России от 02.09.2021 г. № 636/пр; Приказ Минстроя России от 26.07.2022 г. № 611/пр; Приказ Минстроя России от 22.04.2022 г. № 317/пр</v>
      </c>
      <c r="G14" s="116"/>
      <c r="H14" s="116"/>
      <c r="I14" s="116"/>
      <c r="J14" s="116"/>
      <c r="K14" s="116"/>
      <c r="L14" s="116"/>
      <c r="CO14" s="59" t="str">
        <f>IF(Source!CV12 &lt;&gt; "", Source!CV12, "")</f>
        <v>Приказ Минстроя России от 18.05.2022 г. № 378/пр; Приказ Минстроя России от 26.08.2022 г. № 703/пр; Приказ Минстроя России от 26.10.2022 г. № 905/пр;  Приказ Минстроя России от 27.12.2022 г. № 1133/пр; Приказ Минстроя России от 10.02.2023 г. № 84/пр; Приказ Минстроя России от 11.05.2023 г. № 335/пр;  Приказ Минстроя России от 02.08.2023 г. № 551/пр; Приказ Минстроя России от 14.11.2023 г. № 817/пр; Приказ Минстроя России от 16.02.2024 г. № 102/пр;  Приказ Минстроя России от 13.05.2024 г. № 323/пр; Приказ Минстроя России от 09.08.2024 г. № 524/пр; Приказ Минстроя России от 07.11.2024 г. № 747/пр;  Приказ Минстроя России от 07.02.2025 г. № 69/пр; Приказ Минстроя России от 19.05.2025 г. № 299/пр; Приказ Минстроя России от 14.08.2025 г. № 490/пр;  Приказ Минстроя России от 12.11.2025 г. № 696/пр; Приказ Минстроя России от 17.02.2026 г. № 91/пр; Приказ Минстроя России от 15.05.2026 г. № 301/пр;  Приказ Минстроя России от 07.07.2022 г. № 557/пр; Приказ Минстроя России от 30.01.2024 г. № 55/пр; Приказ Минстроя России от 23.01.2025 г. № 30/пр;  Приказ Минстроя России от 02.09.2021 г. № 636/пр; Приказ Минстроя России от 26.07.2022 г. № 611/пр; Приказ Минстроя России от 22.04.2022 г. № 317/пр</v>
      </c>
    </row>
    <row r="15" spans="1:93" ht="12.45" customHeight="1" x14ac:dyDescent="0.25">
      <c r="A15" s="36"/>
      <c r="B15" s="36"/>
      <c r="C15" s="36"/>
      <c r="D15" s="36"/>
      <c r="E15" s="36"/>
      <c r="F15" s="37"/>
      <c r="G15" s="37"/>
      <c r="H15" s="37"/>
      <c r="I15" s="37"/>
      <c r="J15" s="37"/>
      <c r="K15" s="37"/>
      <c r="L15" s="37"/>
    </row>
    <row r="16" spans="1:93" ht="76.5" customHeight="1" x14ac:dyDescent="0.25">
      <c r="A16" s="115" t="s">
        <v>823</v>
      </c>
      <c r="B16" s="115"/>
      <c r="C16" s="115"/>
      <c r="D16" s="115"/>
      <c r="E16" s="115"/>
      <c r="F16" s="116" t="s">
        <v>495</v>
      </c>
      <c r="G16" s="116"/>
      <c r="H16" s="116"/>
      <c r="I16" s="116"/>
      <c r="J16" s="116"/>
      <c r="K16" s="116"/>
      <c r="L16" s="116"/>
    </row>
    <row r="17" spans="1:93" ht="12.45" customHeight="1" x14ac:dyDescent="0.25">
      <c r="A17" s="36"/>
      <c r="B17" s="36"/>
      <c r="C17" s="36"/>
      <c r="D17" s="36"/>
      <c r="E17" s="36"/>
      <c r="F17" s="37"/>
      <c r="G17" s="37"/>
      <c r="H17" s="37"/>
      <c r="I17" s="37"/>
      <c r="J17" s="37"/>
      <c r="K17" s="37"/>
      <c r="L17" s="37"/>
    </row>
    <row r="18" spans="1:93" x14ac:dyDescent="0.25">
      <c r="A18" s="115" t="s">
        <v>824</v>
      </c>
      <c r="B18" s="115"/>
      <c r="C18" s="115"/>
      <c r="D18" s="115"/>
      <c r="E18" s="115"/>
      <c r="F18" s="116" t="s">
        <v>497</v>
      </c>
      <c r="G18" s="116"/>
      <c r="H18" s="116"/>
      <c r="I18" s="116"/>
      <c r="J18" s="116"/>
      <c r="K18" s="116"/>
      <c r="L18" s="116"/>
      <c r="CO18" s="59" t="s">
        <v>497</v>
      </c>
    </row>
    <row r="19" spans="1:93" ht="12.45" customHeight="1" x14ac:dyDescent="0.25">
      <c r="A19" s="38"/>
      <c r="B19" s="38"/>
      <c r="C19" s="38"/>
      <c r="D19" s="38"/>
      <c r="E19" s="38"/>
      <c r="F19" s="39"/>
      <c r="G19" s="39"/>
      <c r="H19" s="39"/>
      <c r="I19" s="39"/>
      <c r="J19" s="39"/>
      <c r="K19" s="39"/>
      <c r="L19" s="39"/>
    </row>
    <row r="20" spans="1:93" ht="12.45" customHeight="1" x14ac:dyDescent="0.25">
      <c r="A20" s="115" t="s">
        <v>825</v>
      </c>
      <c r="B20" s="115"/>
      <c r="C20" s="115"/>
      <c r="D20" s="115"/>
      <c r="E20" s="115"/>
      <c r="F20" s="116" t="s">
        <v>856</v>
      </c>
      <c r="G20" s="116"/>
      <c r="H20" s="116"/>
      <c r="I20" s="116"/>
      <c r="J20" s="116"/>
      <c r="K20" s="116"/>
      <c r="L20" s="116"/>
    </row>
    <row r="21" spans="1:93" ht="12.75" customHeight="1" x14ac:dyDescent="0.25">
      <c r="A21" s="38"/>
      <c r="B21" s="38"/>
      <c r="C21" s="38"/>
      <c r="D21" s="38"/>
      <c r="E21" s="38"/>
      <c r="F21" s="39"/>
      <c r="G21" s="39"/>
      <c r="H21" s="39"/>
      <c r="I21" s="39"/>
      <c r="J21" s="39"/>
      <c r="K21" s="39"/>
      <c r="L21" s="39"/>
    </row>
    <row r="22" spans="1:93" ht="12.75" customHeight="1" x14ac:dyDescent="0.25">
      <c r="A22" s="115" t="s">
        <v>826</v>
      </c>
      <c r="B22" s="115"/>
      <c r="C22" s="115"/>
      <c r="D22" s="115"/>
      <c r="E22" s="115"/>
      <c r="F22" s="116" t="s">
        <v>1073</v>
      </c>
      <c r="G22" s="116"/>
      <c r="H22" s="116"/>
      <c r="I22" s="116"/>
      <c r="J22" s="116"/>
      <c r="K22" s="116"/>
      <c r="L22" s="116"/>
    </row>
    <row r="23" spans="1:93" ht="12.75" customHeight="1" x14ac:dyDescent="0.25">
      <c r="A23" s="38"/>
      <c r="B23" s="38"/>
      <c r="C23" s="38"/>
      <c r="D23" s="38"/>
      <c r="E23" s="38"/>
      <c r="F23" s="39"/>
      <c r="G23" s="39"/>
      <c r="H23" s="39"/>
      <c r="I23" s="39"/>
      <c r="J23" s="39"/>
      <c r="K23" s="39"/>
      <c r="L23" s="37"/>
    </row>
    <row r="24" spans="1:93" ht="12.75" customHeight="1" x14ac:dyDescent="0.25">
      <c r="A24" s="115" t="s">
        <v>827</v>
      </c>
      <c r="B24" s="115"/>
      <c r="C24" s="115"/>
      <c r="D24" s="115"/>
      <c r="E24" s="115"/>
      <c r="F24" s="116" t="s">
        <v>1074</v>
      </c>
      <c r="G24" s="116"/>
      <c r="H24" s="116"/>
      <c r="I24" s="116"/>
      <c r="J24" s="116"/>
      <c r="K24" s="116"/>
      <c r="L24" s="116"/>
    </row>
    <row r="25" spans="1:93" ht="12.75" customHeight="1" x14ac:dyDescent="0.25">
      <c r="A25" s="30"/>
      <c r="B25" s="30"/>
      <c r="C25" s="30"/>
      <c r="D25" s="30"/>
      <c r="E25" s="30"/>
      <c r="F25" s="40"/>
      <c r="G25" s="40"/>
      <c r="H25" s="40"/>
      <c r="I25" s="40"/>
      <c r="J25" s="40"/>
      <c r="K25" s="40"/>
      <c r="L25" s="40"/>
    </row>
    <row r="26" spans="1:93" ht="12.75" customHeight="1" x14ac:dyDescent="0.25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</row>
    <row r="27" spans="1:93" ht="15.75" customHeight="1" x14ac:dyDescent="0.3">
      <c r="A27" s="118" t="s">
        <v>1077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</row>
    <row r="28" spans="1:93" ht="14.25" customHeight="1" x14ac:dyDescent="0.25">
      <c r="A28" s="119" t="s">
        <v>828</v>
      </c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</row>
    <row r="29" spans="1:93" ht="13.95" customHeight="1" x14ac:dyDescent="0.25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</row>
    <row r="30" spans="1:93" ht="15.75" customHeight="1" x14ac:dyDescent="0.3">
      <c r="A30" s="118" t="s">
        <v>1083</v>
      </c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</row>
    <row r="31" spans="1:93" ht="14.25" customHeight="1" x14ac:dyDescent="0.25">
      <c r="A31" s="119" t="s">
        <v>829</v>
      </c>
      <c r="B31" s="119"/>
      <c r="C31" s="119"/>
      <c r="D31" s="119"/>
      <c r="E31" s="119"/>
      <c r="F31" s="119"/>
      <c r="G31" s="119"/>
      <c r="H31" s="119"/>
      <c r="I31" s="119"/>
      <c r="J31" s="119"/>
      <c r="K31" s="119"/>
      <c r="L31" s="119"/>
    </row>
    <row r="32" spans="1:93" ht="14.25" customHeight="1" x14ac:dyDescent="0.25">
      <c r="A32" s="32"/>
      <c r="B32" s="32"/>
      <c r="C32" s="32"/>
      <c r="D32" s="32"/>
      <c r="E32" s="32"/>
      <c r="F32" s="34"/>
      <c r="G32" s="34"/>
      <c r="H32" s="34"/>
      <c r="I32" s="34"/>
      <c r="J32" s="34"/>
      <c r="K32" s="34"/>
      <c r="L32" s="34"/>
    </row>
    <row r="33" spans="1:92" ht="15.75" customHeight="1" x14ac:dyDescent="0.3">
      <c r="A33" s="120" t="s">
        <v>1075</v>
      </c>
      <c r="B33" s="120"/>
      <c r="C33" s="120"/>
      <c r="D33" s="120"/>
      <c r="E33" s="120"/>
      <c r="F33" s="120"/>
      <c r="G33" s="120"/>
      <c r="H33" s="120"/>
      <c r="I33" s="120"/>
      <c r="J33" s="120"/>
      <c r="K33" s="120"/>
      <c r="L33" s="120"/>
    </row>
    <row r="34" spans="1:92" ht="13.95" customHeight="1" x14ac:dyDescent="0.25">
      <c r="A34" s="41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1"/>
    </row>
    <row r="35" spans="1:92" ht="34.799999999999997" x14ac:dyDescent="0.3">
      <c r="A35" s="118" t="s">
        <v>1084</v>
      </c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CN35" s="60" t="str">
        <f>IF(Source!G20&lt;&gt;"Новая локальная смета", Source!G20, "")</f>
        <v>Аварийный ремонт систмы теплоснабжения и ГВС к общежитию ФГБОУ «Рязанский государственный агротехнологический университет имени П.А. Костычева»</v>
      </c>
    </row>
    <row r="36" spans="1:92" ht="14.25" customHeight="1" x14ac:dyDescent="0.25">
      <c r="A36" s="119" t="s">
        <v>830</v>
      </c>
      <c r="B36" s="119"/>
      <c r="C36" s="119"/>
      <c r="D36" s="119"/>
      <c r="E36" s="119"/>
      <c r="F36" s="119"/>
      <c r="G36" s="119"/>
      <c r="H36" s="119"/>
      <c r="I36" s="119"/>
      <c r="J36" s="119"/>
      <c r="K36" s="119"/>
      <c r="L36" s="119"/>
    </row>
    <row r="37" spans="1:92" ht="13.95" customHeight="1" x14ac:dyDescent="0.25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</row>
    <row r="38" spans="1:92" ht="13.95" customHeight="1" x14ac:dyDescent="0.25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</row>
    <row r="39" spans="1:92" ht="12.45" customHeight="1" x14ac:dyDescent="0.25">
      <c r="A39" s="35" t="s">
        <v>831</v>
      </c>
      <c r="B39" s="35"/>
      <c r="C39" s="44" t="s">
        <v>857</v>
      </c>
      <c r="D39" s="35" t="s">
        <v>832</v>
      </c>
      <c r="E39" s="35"/>
      <c r="F39" s="35"/>
      <c r="G39" s="35"/>
      <c r="H39" s="35"/>
      <c r="I39" s="35"/>
      <c r="J39" s="35"/>
      <c r="K39" s="35"/>
      <c r="L39" s="35"/>
    </row>
    <row r="40" spans="1:92" ht="12.45" customHeight="1" x14ac:dyDescent="0.25">
      <c r="A40" s="35"/>
      <c r="B40" s="35"/>
      <c r="C40" s="45"/>
      <c r="D40" s="35"/>
      <c r="E40" s="35"/>
      <c r="F40" s="35"/>
      <c r="G40" s="35"/>
      <c r="H40" s="35"/>
      <c r="I40" s="35"/>
      <c r="J40" s="35"/>
      <c r="K40" s="35"/>
      <c r="L40" s="35"/>
    </row>
    <row r="41" spans="1:92" ht="12.45" customHeight="1" x14ac:dyDescent="0.25">
      <c r="A41" s="35" t="s">
        <v>833</v>
      </c>
      <c r="B41" s="35"/>
      <c r="C41" s="126" t="s">
        <v>1076</v>
      </c>
      <c r="D41" s="126"/>
      <c r="E41" s="126"/>
      <c r="F41" s="126"/>
      <c r="G41" s="126"/>
      <c r="H41" s="126"/>
      <c r="I41" s="126"/>
      <c r="J41" s="126"/>
      <c r="K41" s="126"/>
      <c r="L41" s="126"/>
    </row>
    <row r="42" spans="1:92" ht="12.75" customHeight="1" x14ac:dyDescent="0.25">
      <c r="A42" s="46"/>
      <c r="B42" s="47"/>
      <c r="C42" s="119" t="s">
        <v>834</v>
      </c>
      <c r="D42" s="119"/>
      <c r="E42" s="119"/>
      <c r="F42" s="119"/>
      <c r="G42" s="119"/>
      <c r="H42" s="119"/>
      <c r="I42" s="119"/>
      <c r="J42" s="119"/>
      <c r="K42" s="119"/>
      <c r="L42" s="119"/>
    </row>
    <row r="43" spans="1:92" ht="13.95" customHeight="1" x14ac:dyDescent="0.25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</row>
    <row r="44" spans="1:92" ht="13.95" customHeight="1" x14ac:dyDescent="0.25">
      <c r="A44" s="48" t="s">
        <v>858</v>
      </c>
      <c r="B44" s="32"/>
      <c r="C44" s="32"/>
      <c r="D44" s="49"/>
      <c r="E44" s="32"/>
      <c r="F44" s="32"/>
      <c r="G44" s="32"/>
      <c r="H44" s="32"/>
      <c r="I44" s="32"/>
      <c r="J44" s="32"/>
      <c r="K44" s="32"/>
      <c r="L44" s="32"/>
    </row>
    <row r="45" spans="1:92" ht="13.95" customHeight="1" x14ac:dyDescent="0.2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</row>
    <row r="46" spans="1:92" ht="13.95" customHeight="1" x14ac:dyDescent="0.25">
      <c r="A46" s="48" t="s">
        <v>835</v>
      </c>
      <c r="B46" s="32"/>
      <c r="C46" s="121">
        <f>C49+C50+C51+C52</f>
        <v>491.71999999999997</v>
      </c>
      <c r="D46" s="122"/>
      <c r="E46" s="35" t="s">
        <v>836</v>
      </c>
      <c r="F46" s="30"/>
      <c r="G46" s="30"/>
      <c r="H46" s="30"/>
      <c r="I46" s="30"/>
      <c r="J46" s="30"/>
      <c r="K46" s="30"/>
      <c r="L46" s="32"/>
    </row>
    <row r="47" spans="1:92" ht="13.95" customHeight="1" x14ac:dyDescent="0.25">
      <c r="A47" s="48"/>
      <c r="B47" s="32"/>
      <c r="C47" s="90"/>
      <c r="D47" s="50"/>
      <c r="E47" s="35"/>
      <c r="F47" s="30"/>
      <c r="G47" s="35" t="s">
        <v>837</v>
      </c>
      <c r="H47" s="32"/>
      <c r="I47" s="35"/>
      <c r="J47" s="35"/>
      <c r="K47" s="92">
        <f>ROUND(SUM(AR60:AR1054)/1000, 2)</f>
        <v>118.05</v>
      </c>
      <c r="L47" s="35" t="s">
        <v>836</v>
      </c>
    </row>
    <row r="48" spans="1:92" ht="13.95" customHeight="1" x14ac:dyDescent="0.25">
      <c r="A48" s="32"/>
      <c r="B48" s="51" t="s">
        <v>838</v>
      </c>
      <c r="C48" s="91"/>
      <c r="D48" s="32"/>
      <c r="E48" s="35"/>
      <c r="F48" s="30"/>
      <c r="G48" s="35" t="s">
        <v>839</v>
      </c>
      <c r="H48" s="32"/>
      <c r="I48" s="35"/>
      <c r="J48" s="35"/>
      <c r="K48" s="92">
        <f>ROUND(SUM(AT60:AT1054)/1000, 2)</f>
        <v>10.16</v>
      </c>
      <c r="L48" s="35" t="s">
        <v>836</v>
      </c>
    </row>
    <row r="49" spans="1:101" ht="13.95" customHeight="1" x14ac:dyDescent="0.25">
      <c r="A49" s="32"/>
      <c r="B49" s="48" t="s">
        <v>840</v>
      </c>
      <c r="C49" s="121">
        <f>ROUND((Source!F279)/1000, 2)</f>
        <v>454.03</v>
      </c>
      <c r="D49" s="122"/>
      <c r="E49" s="35" t="s">
        <v>836</v>
      </c>
      <c r="F49" s="30"/>
      <c r="G49" s="35" t="s">
        <v>841</v>
      </c>
      <c r="H49" s="32"/>
      <c r="I49" s="35"/>
      <c r="J49" s="50"/>
      <c r="K49" s="93">
        <f>Source!F284</f>
        <v>345.98412400000001</v>
      </c>
      <c r="L49" s="35" t="s">
        <v>501</v>
      </c>
    </row>
    <row r="50" spans="1:101" ht="13.95" customHeight="1" x14ac:dyDescent="0.25">
      <c r="A50" s="32"/>
      <c r="B50" s="48" t="s">
        <v>842</v>
      </c>
      <c r="C50" s="121">
        <f>ROUND((Source!F280)/1000, 2)</f>
        <v>37.69</v>
      </c>
      <c r="D50" s="122"/>
      <c r="E50" s="35" t="s">
        <v>836</v>
      </c>
      <c r="F50" s="30"/>
      <c r="G50" s="35" t="s">
        <v>843</v>
      </c>
      <c r="H50" s="32"/>
      <c r="I50" s="35"/>
      <c r="J50" s="52"/>
      <c r="K50" s="93">
        <f>Source!F285</f>
        <v>24.553015800000001</v>
      </c>
      <c r="L50" s="35" t="s">
        <v>501</v>
      </c>
    </row>
    <row r="51" spans="1:101" ht="13.95" customHeight="1" x14ac:dyDescent="0.25">
      <c r="A51" s="32"/>
      <c r="B51" s="48" t="s">
        <v>844</v>
      </c>
      <c r="C51" s="121">
        <f>ROUND((Source!F271)/1000, 2)</f>
        <v>0</v>
      </c>
      <c r="D51" s="122"/>
      <c r="E51" s="35" t="s">
        <v>836</v>
      </c>
      <c r="F51" s="30"/>
      <c r="G51" s="35"/>
      <c r="H51" s="35"/>
      <c r="I51" s="35"/>
      <c r="J51" s="35"/>
      <c r="K51" s="30"/>
      <c r="L51" s="35"/>
    </row>
    <row r="52" spans="1:101" ht="13.95" customHeight="1" x14ac:dyDescent="0.25">
      <c r="A52" s="32"/>
      <c r="B52" s="48" t="s">
        <v>845</v>
      </c>
      <c r="C52" s="121">
        <f>ROUND((Source!F281)/1000, 2)</f>
        <v>0</v>
      </c>
      <c r="D52" s="122"/>
      <c r="E52" s="35" t="s">
        <v>836</v>
      </c>
      <c r="F52" s="30"/>
      <c r="G52" s="35"/>
      <c r="H52" s="35"/>
      <c r="I52" s="35"/>
      <c r="J52" s="35"/>
      <c r="K52" s="30"/>
      <c r="L52" s="35"/>
    </row>
    <row r="53" spans="1:101" ht="13.95" customHeight="1" x14ac:dyDescent="0.25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</row>
    <row r="54" spans="1:101" ht="12.45" customHeight="1" x14ac:dyDescent="0.25">
      <c r="A54" s="123" t="s">
        <v>811</v>
      </c>
      <c r="B54" s="123" t="s">
        <v>846</v>
      </c>
      <c r="C54" s="123" t="s">
        <v>813</v>
      </c>
      <c r="D54" s="123" t="s">
        <v>814</v>
      </c>
      <c r="E54" s="130" t="s">
        <v>815</v>
      </c>
      <c r="F54" s="131"/>
      <c r="G54" s="132"/>
      <c r="H54" s="130" t="s">
        <v>847</v>
      </c>
      <c r="I54" s="131"/>
      <c r="J54" s="131"/>
      <c r="K54" s="131"/>
      <c r="L54" s="132"/>
    </row>
    <row r="55" spans="1:101" ht="12.45" customHeight="1" x14ac:dyDescent="0.25">
      <c r="A55" s="124"/>
      <c r="B55" s="124"/>
      <c r="C55" s="124"/>
      <c r="D55" s="124"/>
      <c r="E55" s="133"/>
      <c r="F55" s="134"/>
      <c r="G55" s="135"/>
      <c r="H55" s="133"/>
      <c r="I55" s="134"/>
      <c r="J55" s="134"/>
      <c r="K55" s="134"/>
      <c r="L55" s="135"/>
    </row>
    <row r="56" spans="1:101" ht="12.45" customHeight="1" x14ac:dyDescent="0.25">
      <c r="A56" s="124"/>
      <c r="B56" s="124"/>
      <c r="C56" s="124"/>
      <c r="D56" s="124"/>
      <c r="E56" s="133"/>
      <c r="F56" s="134"/>
      <c r="G56" s="135"/>
      <c r="H56" s="133"/>
      <c r="I56" s="134"/>
      <c r="J56" s="134"/>
      <c r="K56" s="134"/>
      <c r="L56" s="135"/>
    </row>
    <row r="57" spans="1:101" ht="12.45" customHeight="1" x14ac:dyDescent="0.25">
      <c r="A57" s="124"/>
      <c r="B57" s="124"/>
      <c r="C57" s="124"/>
      <c r="D57" s="124"/>
      <c r="E57" s="136"/>
      <c r="F57" s="137"/>
      <c r="G57" s="138"/>
      <c r="H57" s="136"/>
      <c r="I57" s="137"/>
      <c r="J57" s="137"/>
      <c r="K57" s="137"/>
      <c r="L57" s="138"/>
    </row>
    <row r="58" spans="1:101" ht="49.95" customHeight="1" x14ac:dyDescent="0.25">
      <c r="A58" s="125"/>
      <c r="B58" s="125"/>
      <c r="C58" s="125"/>
      <c r="D58" s="125"/>
      <c r="E58" s="54" t="s">
        <v>848</v>
      </c>
      <c r="F58" s="54" t="s">
        <v>849</v>
      </c>
      <c r="G58" s="55" t="s">
        <v>850</v>
      </c>
      <c r="H58" s="54" t="s">
        <v>851</v>
      </c>
      <c r="I58" s="54" t="s">
        <v>852</v>
      </c>
      <c r="J58" s="54" t="s">
        <v>853</v>
      </c>
      <c r="K58" s="54" t="s">
        <v>849</v>
      </c>
      <c r="L58" s="54" t="s">
        <v>854</v>
      </c>
    </row>
    <row r="59" spans="1:101" ht="13.95" customHeight="1" x14ac:dyDescent="0.25">
      <c r="A59" s="56">
        <v>1</v>
      </c>
      <c r="B59" s="56">
        <v>2</v>
      </c>
      <c r="C59" s="56">
        <v>3</v>
      </c>
      <c r="D59" s="56">
        <v>4</v>
      </c>
      <c r="E59" s="56">
        <v>5</v>
      </c>
      <c r="F59" s="56">
        <v>6</v>
      </c>
      <c r="G59" s="56">
        <v>7</v>
      </c>
      <c r="H59" s="56">
        <v>8</v>
      </c>
      <c r="I59" s="56">
        <v>9</v>
      </c>
      <c r="J59" s="56">
        <v>10</v>
      </c>
      <c r="K59" s="58">
        <v>11</v>
      </c>
      <c r="L59" s="58">
        <v>12</v>
      </c>
    </row>
    <row r="60" spans="1:101" ht="16.8" x14ac:dyDescent="0.25">
      <c r="A60" s="139" t="s">
        <v>859</v>
      </c>
      <c r="B60" s="139"/>
      <c r="C60" s="139"/>
      <c r="D60" s="139"/>
      <c r="E60" s="139"/>
      <c r="F60" s="139"/>
      <c r="G60" s="139"/>
      <c r="H60" s="139"/>
      <c r="I60" s="139"/>
      <c r="J60" s="139"/>
      <c r="K60" s="139"/>
      <c r="L60" s="139"/>
    </row>
    <row r="61" spans="1:101" ht="13.8" x14ac:dyDescent="0.25">
      <c r="C61" s="62" t="str">
        <f>Source!G30</f>
        <v>Шурфовка коммуникаций</v>
      </c>
    </row>
    <row r="62" spans="1:101" ht="41.4" x14ac:dyDescent="0.25">
      <c r="A62" s="63" t="s">
        <v>22</v>
      </c>
      <c r="B62" s="65" t="s">
        <v>860</v>
      </c>
      <c r="C62" s="65" t="str">
        <f>Source!G31</f>
        <v>Разработка грунта вручную в траншеях глубиной до 2 м без креплений с откосами, группа грунтов: 2</v>
      </c>
      <c r="D62" s="66" t="str">
        <f>Source!H31</f>
        <v>100 м3</v>
      </c>
      <c r="E62" s="67">
        <f>Source!K31</f>
        <v>0.05</v>
      </c>
      <c r="F62" s="67"/>
      <c r="G62" s="67">
        <f>Source!I31</f>
        <v>0.05</v>
      </c>
      <c r="H62" s="69"/>
      <c r="I62" s="68"/>
      <c r="J62" s="69"/>
      <c r="K62" s="68"/>
      <c r="L62" s="69"/>
    </row>
    <row r="63" spans="1:101" ht="26.4" x14ac:dyDescent="0.25">
      <c r="B63" s="70" t="str">
        <f>B74</f>
        <v>421/пр_2020_прил.10_т.5_п.9.1_гр.3</v>
      </c>
      <c r="C63" s="129" t="str">
        <f>C74</f>
        <v>Производство ремонтно-строительных работ осуществляется в стесненных условиях населенных пунктов: отдельных конструктивных решений объектов капитального строительства (кроме указанных в п.п. 10.2 и 10.3), объектов капитального строительства в целом
ЭМ *1,15; ЗТ *1,15; ЗТм *1,15</v>
      </c>
      <c r="D63" s="129"/>
      <c r="E63" s="129"/>
      <c r="F63" s="129"/>
      <c r="G63" s="129"/>
      <c r="H63" s="129"/>
      <c r="I63" s="129"/>
      <c r="J63" s="129"/>
      <c r="K63" s="129"/>
      <c r="L63" s="129"/>
    </row>
    <row r="64" spans="1:101" ht="26.4" x14ac:dyDescent="0.25">
      <c r="B64" s="70" t="s">
        <v>785</v>
      </c>
      <c r="C64" s="129" t="s">
        <v>861</v>
      </c>
      <c r="D64" s="129"/>
      <c r="E64" s="129"/>
      <c r="F64" s="129"/>
      <c r="G64" s="129"/>
      <c r="H64" s="129"/>
      <c r="I64" s="129"/>
      <c r="J64" s="129"/>
      <c r="K64" s="129"/>
      <c r="L64" s="129"/>
      <c r="CW64" s="71" t="s">
        <v>861</v>
      </c>
    </row>
    <row r="65" spans="1:101" ht="52.8" x14ac:dyDescent="0.25">
      <c r="C65" s="140" t="s">
        <v>862</v>
      </c>
      <c r="D65" s="140"/>
      <c r="E65" s="140"/>
      <c r="F65" s="140"/>
      <c r="CW65" s="72" t="s">
        <v>862</v>
      </c>
    </row>
    <row r="66" spans="1:101" ht="14.4" x14ac:dyDescent="0.25">
      <c r="A66" s="64"/>
      <c r="B66" s="67">
        <v>1</v>
      </c>
      <c r="C66" s="64" t="s">
        <v>863</v>
      </c>
      <c r="D66" s="66" t="s">
        <v>501</v>
      </c>
      <c r="E66" s="73"/>
      <c r="F66" s="67"/>
      <c r="G66" s="67">
        <f>Source!U31</f>
        <v>10.183249999999999</v>
      </c>
      <c r="H66" s="67"/>
      <c r="I66" s="67"/>
      <c r="J66" s="67"/>
      <c r="K66" s="67"/>
      <c r="L66" s="74">
        <f>SUM(L67:L67)-SUMIF(CE67:CE67, 1, L67:L67)</f>
        <v>3048.46</v>
      </c>
    </row>
    <row r="67" spans="1:101" ht="14.4" x14ac:dyDescent="0.25">
      <c r="A67" s="65"/>
      <c r="B67" s="65" t="s">
        <v>499</v>
      </c>
      <c r="C67" s="75" t="s">
        <v>500</v>
      </c>
      <c r="D67" s="76" t="s">
        <v>501</v>
      </c>
      <c r="E67" s="77">
        <v>154</v>
      </c>
      <c r="F67" s="77">
        <f>ROUND((0.15+1)*1.15,7)</f>
        <v>1.3225</v>
      </c>
      <c r="G67" s="77">
        <f>SmtRes!CX1</f>
        <v>10.183249999999999</v>
      </c>
      <c r="H67" s="78"/>
      <c r="I67" s="79"/>
      <c r="J67" s="78">
        <f>SmtRes!CZ1</f>
        <v>299.36</v>
      </c>
      <c r="K67" s="79"/>
      <c r="L67" s="78">
        <f>SmtRes!DI1</f>
        <v>3048.46</v>
      </c>
    </row>
    <row r="68" spans="1:101" ht="14.4" x14ac:dyDescent="0.25">
      <c r="A68" s="65"/>
      <c r="B68" s="65"/>
      <c r="C68" s="81" t="s">
        <v>864</v>
      </c>
      <c r="D68" s="66"/>
      <c r="E68" s="67"/>
      <c r="F68" s="67"/>
      <c r="G68" s="67"/>
      <c r="H68" s="69"/>
      <c r="I68" s="68"/>
      <c r="J68" s="69"/>
      <c r="K68" s="68"/>
      <c r="L68" s="69">
        <f>L66</f>
        <v>3048.46</v>
      </c>
    </row>
    <row r="69" spans="1:101" ht="14.4" x14ac:dyDescent="0.25">
      <c r="A69" s="65"/>
      <c r="B69" s="65"/>
      <c r="C69" s="65" t="s">
        <v>865</v>
      </c>
      <c r="D69" s="66"/>
      <c r="E69" s="67"/>
      <c r="F69" s="67"/>
      <c r="G69" s="67"/>
      <c r="H69" s="69"/>
      <c r="I69" s="68"/>
      <c r="J69" s="69"/>
      <c r="K69" s="68"/>
      <c r="L69" s="69">
        <f>SUM(AR62:AR72)+SUM(AS62:AS72)+SUM(AT62:AT72)+SUM(AU62:AU72)+SUM(AV62:AV72)</f>
        <v>3048.46</v>
      </c>
    </row>
    <row r="70" spans="1:101" ht="27.6" x14ac:dyDescent="0.25">
      <c r="A70" s="65"/>
      <c r="B70" s="65" t="s">
        <v>33</v>
      </c>
      <c r="C70" s="65" t="s">
        <v>866</v>
      </c>
      <c r="D70" s="66" t="s">
        <v>761</v>
      </c>
      <c r="E70" s="67">
        <f>Source!BZ31</f>
        <v>89</v>
      </c>
      <c r="F70" s="67"/>
      <c r="G70" s="67">
        <f>Source!AT31</f>
        <v>89</v>
      </c>
      <c r="H70" s="69"/>
      <c r="I70" s="68"/>
      <c r="J70" s="69"/>
      <c r="K70" s="68"/>
      <c r="L70" s="69">
        <f>SUM(AZ62:AZ72)</f>
        <v>2713.13</v>
      </c>
    </row>
    <row r="71" spans="1:101" ht="27.6" x14ac:dyDescent="0.25">
      <c r="A71" s="75"/>
      <c r="B71" s="75" t="s">
        <v>34</v>
      </c>
      <c r="C71" s="75" t="s">
        <v>867</v>
      </c>
      <c r="D71" s="76" t="s">
        <v>761</v>
      </c>
      <c r="E71" s="77">
        <f>Source!CA31</f>
        <v>40</v>
      </c>
      <c r="F71" s="77"/>
      <c r="G71" s="77">
        <f>Source!AU31</f>
        <v>40</v>
      </c>
      <c r="H71" s="78"/>
      <c r="I71" s="79"/>
      <c r="J71" s="78"/>
      <c r="K71" s="79"/>
      <c r="L71" s="78">
        <f>SUM(BA62:BA72)</f>
        <v>1219.3800000000001</v>
      </c>
    </row>
    <row r="72" spans="1:101" ht="13.8" x14ac:dyDescent="0.25">
      <c r="C72" s="127" t="s">
        <v>868</v>
      </c>
      <c r="D72" s="127"/>
      <c r="E72" s="127"/>
      <c r="F72" s="127"/>
      <c r="G72" s="127"/>
      <c r="H72" s="127"/>
      <c r="I72" s="128">
        <f>IF(E62&lt;&gt;0,K72/E62, 0)</f>
        <v>139619.4</v>
      </c>
      <c r="J72" s="128"/>
      <c r="K72" s="128">
        <f>L66+L70+L71</f>
        <v>6980.97</v>
      </c>
      <c r="L72" s="128"/>
      <c r="AD72">
        <f>ROUND((Source!AT31/100)*((ROUND(SUMIF(SmtRes!AQ1:'SmtRes'!AQ1,"=1",SmtRes!AD1:'SmtRes'!AD1)*Source!I31, 2)+ROUND(SUMIF(SmtRes!AQ1:'SmtRes'!AQ1,"=1",SmtRes!AC1:'SmtRes'!AC1)*Source!I31, 2))), 2)</f>
        <v>13.32</v>
      </c>
      <c r="AE72">
        <f>ROUND((Source!AU31/100)*((ROUND(SUMIF(SmtRes!AQ1:'SmtRes'!AQ1,"=1",SmtRes!AD1:'SmtRes'!AD1)*Source!I31, 2)+ROUND(SUMIF(SmtRes!AQ1:'SmtRes'!AQ1,"=1",SmtRes!AC1:'SmtRes'!AC1)*Source!I31, 2))), 2)</f>
        <v>5.99</v>
      </c>
      <c r="AN72" s="80">
        <f>L66+L70+L71</f>
        <v>6980.97</v>
      </c>
      <c r="AO72">
        <f>0</f>
        <v>0</v>
      </c>
      <c r="AQ72" t="s">
        <v>869</v>
      </c>
      <c r="AR72" s="80">
        <f>L66</f>
        <v>3048.46</v>
      </c>
      <c r="AT72">
        <f>0</f>
        <v>0</v>
      </c>
      <c r="AV72" t="s">
        <v>869</v>
      </c>
      <c r="AW72">
        <f>0</f>
        <v>0</v>
      </c>
      <c r="AZ72">
        <f>Source!X31</f>
        <v>2713.13</v>
      </c>
      <c r="BA72">
        <f>Source!Y31</f>
        <v>1219.3800000000001</v>
      </c>
      <c r="CD72">
        <v>1</v>
      </c>
    </row>
    <row r="73" spans="1:101" ht="41.4" x14ac:dyDescent="0.25">
      <c r="A73" s="63" t="s">
        <v>35</v>
      </c>
      <c r="B73" s="65" t="s">
        <v>870</v>
      </c>
      <c r="C73" s="65" t="str">
        <f>Source!G32</f>
        <v>Погрузка вручную неуплотненного грунта из штабелей и отвалов в транспортные средства, группа грунтов: 1</v>
      </c>
      <c r="D73" s="66" t="str">
        <f>Source!H32</f>
        <v>100 м3</v>
      </c>
      <c r="E73" s="67">
        <f>Source!K32</f>
        <v>0.05</v>
      </c>
      <c r="F73" s="67"/>
      <c r="G73" s="67">
        <f>Source!I32</f>
        <v>0.05</v>
      </c>
      <c r="H73" s="69"/>
      <c r="I73" s="68"/>
      <c r="J73" s="69"/>
      <c r="K73" s="68"/>
      <c r="L73" s="69"/>
    </row>
    <row r="74" spans="1:101" ht="39.6" x14ac:dyDescent="0.25">
      <c r="B74" s="70" t="s">
        <v>788</v>
      </c>
      <c r="C74" s="129" t="s">
        <v>871</v>
      </c>
      <c r="D74" s="129"/>
      <c r="E74" s="129"/>
      <c r="F74" s="129"/>
      <c r="G74" s="129"/>
      <c r="H74" s="129"/>
      <c r="I74" s="129"/>
      <c r="J74" s="129"/>
      <c r="K74" s="129"/>
      <c r="L74" s="129"/>
      <c r="CW74" s="71" t="s">
        <v>871</v>
      </c>
    </row>
    <row r="75" spans="1:101" ht="14.4" x14ac:dyDescent="0.25">
      <c r="A75" s="64"/>
      <c r="B75" s="67">
        <v>1</v>
      </c>
      <c r="C75" s="64" t="s">
        <v>863</v>
      </c>
      <c r="D75" s="66" t="s">
        <v>501</v>
      </c>
      <c r="E75" s="73"/>
      <c r="F75" s="67"/>
      <c r="G75" s="67">
        <f>Source!U32</f>
        <v>3.0796999999999999</v>
      </c>
      <c r="H75" s="67"/>
      <c r="I75" s="67"/>
      <c r="J75" s="67"/>
      <c r="K75" s="67"/>
      <c r="L75" s="74">
        <f>SUM(L76:L76)-SUMIF(CE76:CE76, 1, L76:L76)</f>
        <v>883.87</v>
      </c>
    </row>
    <row r="76" spans="1:101" ht="14.4" x14ac:dyDescent="0.25">
      <c r="A76" s="65"/>
      <c r="B76" s="65" t="s">
        <v>502</v>
      </c>
      <c r="C76" s="75" t="s">
        <v>503</v>
      </c>
      <c r="D76" s="76" t="s">
        <v>501</v>
      </c>
      <c r="E76" s="77">
        <v>53.56</v>
      </c>
      <c r="F76" s="77">
        <f>ROUND((0.15+1),7)</f>
        <v>1.1499999999999999</v>
      </c>
      <c r="G76" s="77">
        <f>SmtRes!CX2</f>
        <v>3.0796999999999999</v>
      </c>
      <c r="H76" s="78"/>
      <c r="I76" s="79"/>
      <c r="J76" s="78">
        <f>SmtRes!CZ2</f>
        <v>287</v>
      </c>
      <c r="K76" s="79"/>
      <c r="L76" s="78">
        <f>SmtRes!DI2</f>
        <v>883.87</v>
      </c>
    </row>
    <row r="77" spans="1:101" ht="14.4" x14ac:dyDescent="0.25">
      <c r="A77" s="65"/>
      <c r="B77" s="65"/>
      <c r="C77" s="81" t="s">
        <v>864</v>
      </c>
      <c r="D77" s="66"/>
      <c r="E77" s="67"/>
      <c r="F77" s="67"/>
      <c r="G77" s="67"/>
      <c r="H77" s="69"/>
      <c r="I77" s="68"/>
      <c r="J77" s="69"/>
      <c r="K77" s="68"/>
      <c r="L77" s="69">
        <f>L75</f>
        <v>883.87</v>
      </c>
    </row>
    <row r="78" spans="1:101" ht="14.4" x14ac:dyDescent="0.25">
      <c r="A78" s="65"/>
      <c r="B78" s="65"/>
      <c r="C78" s="65" t="s">
        <v>865</v>
      </c>
      <c r="D78" s="66"/>
      <c r="E78" s="67"/>
      <c r="F78" s="67"/>
      <c r="G78" s="67"/>
      <c r="H78" s="69"/>
      <c r="I78" s="68"/>
      <c r="J78" s="69"/>
      <c r="K78" s="68"/>
      <c r="L78" s="69">
        <f>SUM(AR73:AR81)+SUM(AS73:AS81)+SUM(AT73:AT81)+SUM(AU73:AU81)+SUM(AV73:AV81)</f>
        <v>883.87</v>
      </c>
    </row>
    <row r="79" spans="1:101" ht="27.6" x14ac:dyDescent="0.25">
      <c r="A79" s="65"/>
      <c r="B79" s="65" t="s">
        <v>33</v>
      </c>
      <c r="C79" s="65" t="s">
        <v>866</v>
      </c>
      <c r="D79" s="66" t="s">
        <v>761</v>
      </c>
      <c r="E79" s="67">
        <f>Source!BZ32</f>
        <v>89</v>
      </c>
      <c r="F79" s="67"/>
      <c r="G79" s="67">
        <f>Source!AT32</f>
        <v>89</v>
      </c>
      <c r="H79" s="69"/>
      <c r="I79" s="68"/>
      <c r="J79" s="69"/>
      <c r="K79" s="68"/>
      <c r="L79" s="69">
        <f>SUM(AZ73:AZ81)</f>
        <v>786.64</v>
      </c>
    </row>
    <row r="80" spans="1:101" ht="27.6" x14ac:dyDescent="0.25">
      <c r="A80" s="75"/>
      <c r="B80" s="75" t="s">
        <v>34</v>
      </c>
      <c r="C80" s="75" t="s">
        <v>867</v>
      </c>
      <c r="D80" s="76" t="s">
        <v>761</v>
      </c>
      <c r="E80" s="77">
        <f>Source!CA32</f>
        <v>40</v>
      </c>
      <c r="F80" s="77"/>
      <c r="G80" s="77">
        <f>Source!AU32</f>
        <v>40</v>
      </c>
      <c r="H80" s="78"/>
      <c r="I80" s="79"/>
      <c r="J80" s="78"/>
      <c r="K80" s="79"/>
      <c r="L80" s="78">
        <f>SUM(BA73:BA81)</f>
        <v>353.55</v>
      </c>
    </row>
    <row r="81" spans="1:101" ht="13.8" x14ac:dyDescent="0.25">
      <c r="C81" s="127" t="s">
        <v>868</v>
      </c>
      <c r="D81" s="127"/>
      <c r="E81" s="127"/>
      <c r="F81" s="127"/>
      <c r="G81" s="127"/>
      <c r="H81" s="127"/>
      <c r="I81" s="128">
        <f>IF(E73&lt;&gt;0,K81/E73, 0)</f>
        <v>40481.199999999997</v>
      </c>
      <c r="J81" s="128"/>
      <c r="K81" s="128">
        <f>L75+L79+L80</f>
        <v>2024.06</v>
      </c>
      <c r="L81" s="128"/>
      <c r="AD81">
        <f>ROUND((Source!AT32/100)*((ROUND(SUMIF(SmtRes!AQ2:'SmtRes'!AQ2,"=1",SmtRes!AD2:'SmtRes'!AD2)*Source!I32, 2)+ROUND(SUMIF(SmtRes!AQ2:'SmtRes'!AQ2,"=1",SmtRes!AC2:'SmtRes'!AC2)*Source!I32, 2))), 2)</f>
        <v>12.77</v>
      </c>
      <c r="AE81">
        <f>ROUND((Source!AU32/100)*((ROUND(SUMIF(SmtRes!AQ2:'SmtRes'!AQ2,"=1",SmtRes!AD2:'SmtRes'!AD2)*Source!I32, 2)+ROUND(SUMIF(SmtRes!AQ2:'SmtRes'!AQ2,"=1",SmtRes!AC2:'SmtRes'!AC2)*Source!I32, 2))), 2)</f>
        <v>5.74</v>
      </c>
      <c r="AN81" s="80">
        <f>L75+L79+L80</f>
        <v>2024.06</v>
      </c>
      <c r="AO81">
        <f>0</f>
        <v>0</v>
      </c>
      <c r="AQ81" t="s">
        <v>869</v>
      </c>
      <c r="AR81" s="80">
        <f>L75</f>
        <v>883.87</v>
      </c>
      <c r="AT81">
        <f>0</f>
        <v>0</v>
      </c>
      <c r="AV81" t="s">
        <v>869</v>
      </c>
      <c r="AW81">
        <f>0</f>
        <v>0</v>
      </c>
      <c r="AZ81">
        <f>Source!X32</f>
        <v>786.64</v>
      </c>
      <c r="BA81">
        <f>Source!Y32</f>
        <v>353.55</v>
      </c>
      <c r="CD81">
        <v>1</v>
      </c>
    </row>
    <row r="82" spans="1:101" ht="96.6" x14ac:dyDescent="0.25">
      <c r="A82" s="63" t="s">
        <v>40</v>
      </c>
      <c r="B82" s="65" t="s">
        <v>41</v>
      </c>
      <c r="C82" s="65" t="str">
        <f>Source!G33</f>
        <v>Перевозка грузов I класса автомобилями-самосвалами грузоподъемностью до 15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 14 км</v>
      </c>
      <c r="D82" s="66" t="str">
        <f>Source!H33</f>
        <v>1т груза</v>
      </c>
      <c r="E82" s="67">
        <f>Source!K33</f>
        <v>8.75</v>
      </c>
      <c r="F82" s="67"/>
      <c r="G82" s="67">
        <f>Source!I33</f>
        <v>8.75</v>
      </c>
      <c r="H82" s="69"/>
      <c r="I82" s="68"/>
      <c r="J82" s="69">
        <f>Source!AK33</f>
        <v>251.35</v>
      </c>
      <c r="K82" s="68"/>
      <c r="L82" s="69">
        <f>Source!HD33</f>
        <v>2199.31</v>
      </c>
    </row>
    <row r="83" spans="1:101" ht="14.4" x14ac:dyDescent="0.25">
      <c r="A83" s="65"/>
      <c r="B83" s="65"/>
      <c r="C83" s="65" t="s">
        <v>865</v>
      </c>
      <c r="D83" s="66"/>
      <c r="E83" s="67"/>
      <c r="F83" s="67"/>
      <c r="G83" s="67"/>
      <c r="H83" s="69"/>
      <c r="I83" s="68"/>
      <c r="J83" s="69"/>
      <c r="K83" s="68"/>
      <c r="L83" s="69">
        <f>SUM(AR82:AR86)+SUM(AS82:AS86)+SUM(AT82:AT86)+SUM(AU82:AU86)+SUM(AV82:AV86)</f>
        <v>0</v>
      </c>
    </row>
    <row r="84" spans="1:101" ht="27.6" x14ac:dyDescent="0.25">
      <c r="A84" s="65"/>
      <c r="B84" s="65" t="s">
        <v>48</v>
      </c>
      <c r="C84" s="65" t="s">
        <v>872</v>
      </c>
      <c r="D84" s="66" t="s">
        <v>761</v>
      </c>
      <c r="E84" s="67">
        <f>Source!BZ33</f>
        <v>94</v>
      </c>
      <c r="F84" s="67"/>
      <c r="G84" s="67">
        <f>Source!AT33</f>
        <v>0</v>
      </c>
      <c r="H84" s="69"/>
      <c r="I84" s="68"/>
      <c r="J84" s="69"/>
      <c r="K84" s="68"/>
      <c r="L84" s="69">
        <f>SUM(AZ82:AZ86)</f>
        <v>0</v>
      </c>
    </row>
    <row r="85" spans="1:101" ht="27.6" x14ac:dyDescent="0.25">
      <c r="A85" s="75"/>
      <c r="B85" s="75" t="s">
        <v>49</v>
      </c>
      <c r="C85" s="75" t="s">
        <v>873</v>
      </c>
      <c r="D85" s="76" t="s">
        <v>761</v>
      </c>
      <c r="E85" s="77">
        <f>Source!CA33</f>
        <v>61</v>
      </c>
      <c r="F85" s="77"/>
      <c r="G85" s="77">
        <f>Source!AU33</f>
        <v>0</v>
      </c>
      <c r="H85" s="78"/>
      <c r="I85" s="79"/>
      <c r="J85" s="78"/>
      <c r="K85" s="79"/>
      <c r="L85" s="78">
        <f>SUM(BA82:BA86)</f>
        <v>0</v>
      </c>
    </row>
    <row r="86" spans="1:101" ht="13.8" x14ac:dyDescent="0.25">
      <c r="C86" s="127" t="s">
        <v>868</v>
      </c>
      <c r="D86" s="127"/>
      <c r="E86" s="127"/>
      <c r="F86" s="127"/>
      <c r="G86" s="127"/>
      <c r="H86" s="127"/>
      <c r="I86" s="128">
        <f>IF(E82&lt;&gt;0,K86/E82, 0)</f>
        <v>251.34971428571427</v>
      </c>
      <c r="J86" s="128"/>
      <c r="K86" s="128">
        <f>L82</f>
        <v>2199.31</v>
      </c>
      <c r="L86" s="128"/>
      <c r="AD86">
        <f>ROUND((Source!AT33/100)*((ROUND(0*Source!I33, 2)+ROUND(0*Source!I33, 2))), 2)</f>
        <v>0</v>
      </c>
      <c r="AE86">
        <f>ROUND((Source!AU33/100)*((ROUND(0*Source!I33, 2)+ROUND(0*Source!I33, 2))), 2)</f>
        <v>0</v>
      </c>
      <c r="AN86" s="80">
        <f>L82</f>
        <v>2199.31</v>
      </c>
      <c r="AP86">
        <f>0</f>
        <v>0</v>
      </c>
      <c r="AQ86" t="s">
        <v>869</v>
      </c>
      <c r="AS86">
        <f>0</f>
        <v>0</v>
      </c>
      <c r="AU86">
        <f>0</f>
        <v>0</v>
      </c>
      <c r="AV86" t="s">
        <v>869</v>
      </c>
      <c r="AZ86">
        <f>Source!X33</f>
        <v>0</v>
      </c>
      <c r="BA86">
        <f>Source!Y33</f>
        <v>0</v>
      </c>
      <c r="BB86" s="80">
        <f>L82</f>
        <v>2199.31</v>
      </c>
      <c r="CD86">
        <v>1</v>
      </c>
    </row>
    <row r="87" spans="1:101" ht="13.8" x14ac:dyDescent="0.25">
      <c r="C87" s="62" t="str">
        <f>Source!G34</f>
        <v>разработка грунта на вывоз</v>
      </c>
    </row>
    <row r="88" spans="1:101" ht="69" x14ac:dyDescent="0.25">
      <c r="A88" s="63" t="s">
        <v>51</v>
      </c>
      <c r="B88" s="65" t="s">
        <v>874</v>
      </c>
      <c r="C88" s="65" t="str">
        <f>Source!G35</f>
        <v>Разработка грунта с погрузкой на автомобили-самосвалы в траншеях экскаватором «обратная лопата» с ковшом вместимостью 0,25 м3, группа грунтов: 2</v>
      </c>
      <c r="D88" s="66" t="str">
        <f>Source!H35</f>
        <v>1000 м3</v>
      </c>
      <c r="E88" s="67">
        <f>Source!K35</f>
        <v>0.06</v>
      </c>
      <c r="F88" s="67"/>
      <c r="G88" s="67">
        <f>Source!I35</f>
        <v>0.06</v>
      </c>
      <c r="H88" s="69"/>
      <c r="I88" s="68"/>
      <c r="J88" s="69"/>
      <c r="K88" s="68"/>
      <c r="L88" s="69"/>
    </row>
    <row r="89" spans="1:101" ht="39.6" x14ac:dyDescent="0.25">
      <c r="B89" s="70" t="s">
        <v>788</v>
      </c>
      <c r="C89" s="129" t="s">
        <v>871</v>
      </c>
      <c r="D89" s="129"/>
      <c r="E89" s="129"/>
      <c r="F89" s="129"/>
      <c r="G89" s="129"/>
      <c r="H89" s="129"/>
      <c r="I89" s="129"/>
      <c r="J89" s="129"/>
      <c r="K89" s="129"/>
      <c r="L89" s="129"/>
      <c r="CW89" s="71" t="s">
        <v>871</v>
      </c>
    </row>
    <row r="90" spans="1:101" ht="14.4" x14ac:dyDescent="0.25">
      <c r="A90" s="64"/>
      <c r="B90" s="67">
        <v>2</v>
      </c>
      <c r="C90" s="64" t="s">
        <v>875</v>
      </c>
      <c r="D90" s="66"/>
      <c r="E90" s="73"/>
      <c r="F90" s="67"/>
      <c r="G90" s="67"/>
      <c r="H90" s="67"/>
      <c r="I90" s="67"/>
      <c r="J90" s="67"/>
      <c r="K90" s="67"/>
      <c r="L90" s="74">
        <f>SUM(L91:L93)-SUMIF(CE91:CE93, 1, L91:L93)</f>
        <v>3512.329999999999</v>
      </c>
    </row>
    <row r="91" spans="1:101" ht="14.4" x14ac:dyDescent="0.25">
      <c r="A91" s="64"/>
      <c r="B91" s="67"/>
      <c r="C91" s="64" t="s">
        <v>877</v>
      </c>
      <c r="D91" s="66" t="s">
        <v>501</v>
      </c>
      <c r="E91" s="73"/>
      <c r="F91" s="67"/>
      <c r="G91" s="67">
        <f>Source!V35</f>
        <v>3.657</v>
      </c>
      <c r="H91" s="67"/>
      <c r="I91" s="67"/>
      <c r="J91" s="67"/>
      <c r="K91" s="67"/>
      <c r="L91" s="74">
        <f>SUMIF(CE92:CE93, 1, L92:L93)</f>
        <v>1546.73</v>
      </c>
      <c r="CE91">
        <v>1</v>
      </c>
    </row>
    <row r="92" spans="1:101" ht="41.4" x14ac:dyDescent="0.25">
      <c r="A92" s="65"/>
      <c r="B92" s="65" t="s">
        <v>506</v>
      </c>
      <c r="C92" s="65" t="s">
        <v>508</v>
      </c>
      <c r="D92" s="66" t="s">
        <v>509</v>
      </c>
      <c r="E92" s="67">
        <v>53</v>
      </c>
      <c r="F92" s="67">
        <f>ROUND((0.15+1),7)</f>
        <v>1.1499999999999999</v>
      </c>
      <c r="G92" s="67">
        <f>SmtRes!CX4</f>
        <v>3.657</v>
      </c>
      <c r="H92" s="69">
        <f>SmtRes!CZ4</f>
        <v>800.37</v>
      </c>
      <c r="I92" s="68">
        <f>SmtRes!AJ4</f>
        <v>1.2</v>
      </c>
      <c r="J92" s="69">
        <f>ROUND(H92*I92, 2)</f>
        <v>960.44</v>
      </c>
      <c r="K92" s="68"/>
      <c r="L92" s="69">
        <f>SmtRes!DG4</f>
        <v>3512.33</v>
      </c>
    </row>
    <row r="93" spans="1:101" ht="27.6" x14ac:dyDescent="0.25">
      <c r="A93" s="65"/>
      <c r="B93" s="65" t="s">
        <v>510</v>
      </c>
      <c r="C93" s="75" t="s">
        <v>876</v>
      </c>
      <c r="D93" s="76" t="s">
        <v>501</v>
      </c>
      <c r="E93" s="77">
        <f>SmtRes!DO4*SmtRes!AT4</f>
        <v>53</v>
      </c>
      <c r="F93" s="77">
        <f>ROUND((0.15+1),7)</f>
        <v>1.1499999999999999</v>
      </c>
      <c r="G93" s="77">
        <f>ROUND(E93*F93*G88, 7)</f>
        <v>3.657</v>
      </c>
      <c r="H93" s="78"/>
      <c r="I93" s="79"/>
      <c r="J93" s="78">
        <f>ROUND(SmtRes!AG4/SmtRes!DO4, 2)</f>
        <v>422.95</v>
      </c>
      <c r="K93" s="79"/>
      <c r="L93" s="78">
        <f>SmtRes!DH4</f>
        <v>1546.73</v>
      </c>
      <c r="CE93">
        <v>1</v>
      </c>
    </row>
    <row r="94" spans="1:101" ht="14.4" x14ac:dyDescent="0.25">
      <c r="A94" s="65"/>
      <c r="B94" s="65"/>
      <c r="C94" s="81" t="s">
        <v>864</v>
      </c>
      <c r="D94" s="66"/>
      <c r="E94" s="67"/>
      <c r="F94" s="67"/>
      <c r="G94" s="67"/>
      <c r="H94" s="69"/>
      <c r="I94" s="68"/>
      <c r="J94" s="69"/>
      <c r="K94" s="68"/>
      <c r="L94" s="69">
        <f>L90+L91</f>
        <v>5059.0599999999995</v>
      </c>
    </row>
    <row r="95" spans="1:101" ht="14.4" x14ac:dyDescent="0.25">
      <c r="A95" s="65"/>
      <c r="B95" s="65"/>
      <c r="C95" s="65" t="s">
        <v>865</v>
      </c>
      <c r="D95" s="66"/>
      <c r="E95" s="67"/>
      <c r="F95" s="67"/>
      <c r="G95" s="67"/>
      <c r="H95" s="69"/>
      <c r="I95" s="68"/>
      <c r="J95" s="69"/>
      <c r="K95" s="68"/>
      <c r="L95" s="69">
        <f>SUM(AR88:AR98)+SUM(AS88:AS98)+SUM(AT88:AT98)+SUM(AU88:AU98)+SUM(AV88:AV98)</f>
        <v>1546.73</v>
      </c>
    </row>
    <row r="96" spans="1:101" ht="27.6" x14ac:dyDescent="0.25">
      <c r="A96" s="65"/>
      <c r="B96" s="65" t="s">
        <v>57</v>
      </c>
      <c r="C96" s="65" t="s">
        <v>878</v>
      </c>
      <c r="D96" s="66" t="s">
        <v>761</v>
      </c>
      <c r="E96" s="67">
        <f>Source!BZ35</f>
        <v>92</v>
      </c>
      <c r="F96" s="67"/>
      <c r="G96" s="67">
        <f>Source!AT35</f>
        <v>92</v>
      </c>
      <c r="H96" s="69"/>
      <c r="I96" s="68"/>
      <c r="J96" s="69"/>
      <c r="K96" s="68"/>
      <c r="L96" s="69">
        <f>SUM(AZ88:AZ98)</f>
        <v>1422.99</v>
      </c>
    </row>
    <row r="97" spans="1:101" ht="27.6" x14ac:dyDescent="0.25">
      <c r="A97" s="75"/>
      <c r="B97" s="75" t="s">
        <v>58</v>
      </c>
      <c r="C97" s="75" t="s">
        <v>879</v>
      </c>
      <c r="D97" s="76" t="s">
        <v>761</v>
      </c>
      <c r="E97" s="77">
        <f>Source!CA35</f>
        <v>46</v>
      </c>
      <c r="F97" s="77"/>
      <c r="G97" s="77">
        <f>Source!AU35</f>
        <v>46</v>
      </c>
      <c r="H97" s="78"/>
      <c r="I97" s="79"/>
      <c r="J97" s="78"/>
      <c r="K97" s="79"/>
      <c r="L97" s="78">
        <f>SUM(BA88:BA98)</f>
        <v>711.5</v>
      </c>
    </row>
    <row r="98" spans="1:101" ht="13.8" x14ac:dyDescent="0.25">
      <c r="C98" s="127" t="s">
        <v>868</v>
      </c>
      <c r="D98" s="127"/>
      <c r="E98" s="127"/>
      <c r="F98" s="127"/>
      <c r="G98" s="127"/>
      <c r="H98" s="127"/>
      <c r="I98" s="128">
        <f>IF(E88&lt;&gt;0,K98/E88, 0)</f>
        <v>119892.49999999999</v>
      </c>
      <c r="J98" s="128"/>
      <c r="K98" s="128">
        <f>L90+L96+L97+L91</f>
        <v>7193.5499999999993</v>
      </c>
      <c r="L98" s="128"/>
      <c r="AD98">
        <f>ROUND((Source!AT35/100)*((ROUND(SUMIF(SmtRes!AQ3:'SmtRes'!AQ4,"=1",SmtRes!AD3:'SmtRes'!AD4)*Source!I35, 2)+ROUND(SUMIF(SmtRes!AQ3:'SmtRes'!AQ4,"=1",SmtRes!AC3:'SmtRes'!AC4)*Source!I35, 2))), 2)</f>
        <v>23.35</v>
      </c>
      <c r="AE98">
        <f>ROUND((Source!AU35/100)*((ROUND(SUMIF(SmtRes!AQ3:'SmtRes'!AQ4,"=1",SmtRes!AD3:'SmtRes'!AD4)*Source!I35, 2)+ROUND(SUMIF(SmtRes!AQ3:'SmtRes'!AQ4,"=1",SmtRes!AC3:'SmtRes'!AC4)*Source!I35, 2))), 2)</f>
        <v>11.67</v>
      </c>
      <c r="AN98" s="80">
        <f>L90+L96+L97+L91</f>
        <v>7193.5499999999993</v>
      </c>
      <c r="AO98" s="80">
        <f>L90</f>
        <v>3512.329999999999</v>
      </c>
      <c r="AQ98" t="s">
        <v>869</v>
      </c>
      <c r="AR98">
        <f>0</f>
        <v>0</v>
      </c>
      <c r="AT98" s="80">
        <f>L91</f>
        <v>1546.73</v>
      </c>
      <c r="AV98" t="s">
        <v>869</v>
      </c>
      <c r="AW98">
        <f>0</f>
        <v>0</v>
      </c>
      <c r="AZ98">
        <f>Source!X35</f>
        <v>1422.99</v>
      </c>
      <c r="BA98">
        <f>Source!Y35</f>
        <v>711.5</v>
      </c>
      <c r="CD98">
        <v>1</v>
      </c>
    </row>
    <row r="99" spans="1:101" ht="41.4" x14ac:dyDescent="0.25">
      <c r="A99" s="63" t="s">
        <v>59</v>
      </c>
      <c r="B99" s="65" t="s">
        <v>860</v>
      </c>
      <c r="C99" s="65" t="str">
        <f>Source!G36</f>
        <v>Разработка грунта вручную в траншеях глубиной до 2 м без креплений с откосами, группа грунтов: 2</v>
      </c>
      <c r="D99" s="66" t="str">
        <f>Source!H36</f>
        <v>100 м3</v>
      </c>
      <c r="E99" s="67">
        <f>Source!K36</f>
        <v>0.04</v>
      </c>
      <c r="F99" s="67"/>
      <c r="G99" s="67">
        <f>Source!I36</f>
        <v>0.04</v>
      </c>
      <c r="H99" s="69"/>
      <c r="I99" s="68"/>
      <c r="J99" s="69"/>
      <c r="K99" s="68"/>
      <c r="L99" s="69"/>
    </row>
    <row r="100" spans="1:101" ht="39.6" x14ac:dyDescent="0.25">
      <c r="B100" s="70" t="s">
        <v>788</v>
      </c>
      <c r="C100" s="129" t="s">
        <v>871</v>
      </c>
      <c r="D100" s="129"/>
      <c r="E100" s="129"/>
      <c r="F100" s="129"/>
      <c r="G100" s="129"/>
      <c r="H100" s="129"/>
      <c r="I100" s="129"/>
      <c r="J100" s="129"/>
      <c r="K100" s="129"/>
      <c r="L100" s="129"/>
      <c r="CW100" s="71" t="s">
        <v>871</v>
      </c>
    </row>
    <row r="101" spans="1:101" ht="26.4" x14ac:dyDescent="0.25">
      <c r="B101" s="70" t="s">
        <v>792</v>
      </c>
      <c r="C101" s="129" t="s">
        <v>880</v>
      </c>
      <c r="D101" s="129"/>
      <c r="E101" s="129"/>
      <c r="F101" s="129"/>
      <c r="G101" s="129"/>
      <c r="H101" s="129"/>
      <c r="I101" s="129"/>
      <c r="J101" s="129"/>
      <c r="K101" s="129"/>
      <c r="L101" s="129"/>
      <c r="CW101" s="71" t="s">
        <v>880</v>
      </c>
    </row>
    <row r="102" spans="1:101" ht="52.8" x14ac:dyDescent="0.25">
      <c r="C102" s="140" t="s">
        <v>881</v>
      </c>
      <c r="D102" s="140"/>
      <c r="E102" s="140"/>
      <c r="F102" s="140"/>
      <c r="CW102" s="72" t="s">
        <v>881</v>
      </c>
    </row>
    <row r="103" spans="1:101" ht="14.4" x14ac:dyDescent="0.25">
      <c r="A103" s="64"/>
      <c r="B103" s="67">
        <v>1</v>
      </c>
      <c r="C103" s="64" t="s">
        <v>863</v>
      </c>
      <c r="D103" s="66" t="s">
        <v>501</v>
      </c>
      <c r="E103" s="73"/>
      <c r="F103" s="67"/>
      <c r="G103" s="67">
        <f>Source!U36</f>
        <v>8.5007999999999999</v>
      </c>
      <c r="H103" s="67"/>
      <c r="I103" s="67"/>
      <c r="J103" s="67"/>
      <c r="K103" s="67"/>
      <c r="L103" s="74">
        <f>SUM(L104:L104)-SUMIF(CE104:CE104, 1, L104:L104)</f>
        <v>2544.8000000000002</v>
      </c>
    </row>
    <row r="104" spans="1:101" ht="14.4" x14ac:dyDescent="0.25">
      <c r="A104" s="65"/>
      <c r="B104" s="65" t="s">
        <v>499</v>
      </c>
      <c r="C104" s="75" t="s">
        <v>500</v>
      </c>
      <c r="D104" s="76" t="s">
        <v>501</v>
      </c>
      <c r="E104" s="77">
        <v>154</v>
      </c>
      <c r="F104" s="77">
        <f>ROUND((0.15+1)*1.2,7)</f>
        <v>1.38</v>
      </c>
      <c r="G104" s="77">
        <f>SmtRes!CX5</f>
        <v>8.5007999999999999</v>
      </c>
      <c r="H104" s="78"/>
      <c r="I104" s="79"/>
      <c r="J104" s="78">
        <f>SmtRes!CZ5</f>
        <v>299.36</v>
      </c>
      <c r="K104" s="79"/>
      <c r="L104" s="78">
        <f>SmtRes!DI5</f>
        <v>2544.8000000000002</v>
      </c>
    </row>
    <row r="105" spans="1:101" ht="14.4" x14ac:dyDescent="0.25">
      <c r="A105" s="65"/>
      <c r="B105" s="65"/>
      <c r="C105" s="81" t="s">
        <v>864</v>
      </c>
      <c r="D105" s="66"/>
      <c r="E105" s="67"/>
      <c r="F105" s="67"/>
      <c r="G105" s="67"/>
      <c r="H105" s="69"/>
      <c r="I105" s="68"/>
      <c r="J105" s="69"/>
      <c r="K105" s="68"/>
      <c r="L105" s="69">
        <f>L103</f>
        <v>2544.8000000000002</v>
      </c>
    </row>
    <row r="106" spans="1:101" ht="14.4" x14ac:dyDescent="0.25">
      <c r="A106" s="65"/>
      <c r="B106" s="65"/>
      <c r="C106" s="65" t="s">
        <v>865</v>
      </c>
      <c r="D106" s="66"/>
      <c r="E106" s="67"/>
      <c r="F106" s="67"/>
      <c r="G106" s="67"/>
      <c r="H106" s="69"/>
      <c r="I106" s="68"/>
      <c r="J106" s="69"/>
      <c r="K106" s="68"/>
      <c r="L106" s="69">
        <f>SUM(AR99:AR109)+SUM(AS99:AS109)+SUM(AT99:AT109)+SUM(AU99:AU109)+SUM(AV99:AV109)</f>
        <v>2544.8000000000002</v>
      </c>
    </row>
    <row r="107" spans="1:101" ht="27.6" x14ac:dyDescent="0.25">
      <c r="A107" s="65"/>
      <c r="B107" s="65" t="s">
        <v>33</v>
      </c>
      <c r="C107" s="65" t="s">
        <v>866</v>
      </c>
      <c r="D107" s="66" t="s">
        <v>761</v>
      </c>
      <c r="E107" s="67">
        <f>Source!BZ36</f>
        <v>89</v>
      </c>
      <c r="F107" s="67"/>
      <c r="G107" s="67">
        <f>Source!AT36</f>
        <v>89</v>
      </c>
      <c r="H107" s="69"/>
      <c r="I107" s="68"/>
      <c r="J107" s="69"/>
      <c r="K107" s="68"/>
      <c r="L107" s="69">
        <f>SUM(AZ99:AZ109)</f>
        <v>2264.87</v>
      </c>
    </row>
    <row r="108" spans="1:101" ht="27.6" x14ac:dyDescent="0.25">
      <c r="A108" s="75"/>
      <c r="B108" s="75" t="s">
        <v>34</v>
      </c>
      <c r="C108" s="75" t="s">
        <v>867</v>
      </c>
      <c r="D108" s="76" t="s">
        <v>761</v>
      </c>
      <c r="E108" s="77">
        <f>Source!CA36</f>
        <v>40</v>
      </c>
      <c r="F108" s="77"/>
      <c r="G108" s="77">
        <f>Source!AU36</f>
        <v>40</v>
      </c>
      <c r="H108" s="78"/>
      <c r="I108" s="79"/>
      <c r="J108" s="78"/>
      <c r="K108" s="79"/>
      <c r="L108" s="78">
        <f>SUM(BA99:BA109)</f>
        <v>1017.92</v>
      </c>
    </row>
    <row r="109" spans="1:101" ht="13.8" x14ac:dyDescent="0.25">
      <c r="C109" s="127" t="s">
        <v>868</v>
      </c>
      <c r="D109" s="127"/>
      <c r="E109" s="127"/>
      <c r="F109" s="127"/>
      <c r="G109" s="127"/>
      <c r="H109" s="127"/>
      <c r="I109" s="128">
        <f>IF(E99&lt;&gt;0,K109/E99, 0)</f>
        <v>145689.75</v>
      </c>
      <c r="J109" s="128"/>
      <c r="K109" s="128">
        <f>L103+L107+L108</f>
        <v>5827.59</v>
      </c>
      <c r="L109" s="128"/>
      <c r="AD109">
        <f>ROUND((Source!AT36/100)*((ROUND(SUMIF(SmtRes!AQ5:'SmtRes'!AQ5,"=1",SmtRes!AD5:'SmtRes'!AD5)*Source!I36, 2)+ROUND(SUMIF(SmtRes!AQ5:'SmtRes'!AQ5,"=1",SmtRes!AC5:'SmtRes'!AC5)*Source!I36, 2))), 2)</f>
        <v>10.65</v>
      </c>
      <c r="AE109">
        <f>ROUND((Source!AU36/100)*((ROUND(SUMIF(SmtRes!AQ5:'SmtRes'!AQ5,"=1",SmtRes!AD5:'SmtRes'!AD5)*Source!I36, 2)+ROUND(SUMIF(SmtRes!AQ5:'SmtRes'!AQ5,"=1",SmtRes!AC5:'SmtRes'!AC5)*Source!I36, 2))), 2)</f>
        <v>4.79</v>
      </c>
      <c r="AN109" s="80">
        <f>L103+L107+L108</f>
        <v>5827.59</v>
      </c>
      <c r="AO109">
        <f>0</f>
        <v>0</v>
      </c>
      <c r="AQ109" t="s">
        <v>869</v>
      </c>
      <c r="AR109" s="80">
        <f>L103</f>
        <v>2544.8000000000002</v>
      </c>
      <c r="AT109">
        <f>0</f>
        <v>0</v>
      </c>
      <c r="AV109" t="s">
        <v>869</v>
      </c>
      <c r="AW109">
        <f>0</f>
        <v>0</v>
      </c>
      <c r="AZ109">
        <f>Source!X36</f>
        <v>2264.87</v>
      </c>
      <c r="BA109">
        <f>Source!Y36</f>
        <v>1017.92</v>
      </c>
      <c r="CD109">
        <v>1</v>
      </c>
    </row>
    <row r="110" spans="1:101" ht="41.4" x14ac:dyDescent="0.25">
      <c r="A110" s="63" t="s">
        <v>62</v>
      </c>
      <c r="B110" s="65" t="s">
        <v>870</v>
      </c>
      <c r="C110" s="65" t="str">
        <f>Source!G37</f>
        <v>Погрузка вручную неуплотненного грунта из штабелей и отвалов в транспортные средства, группа грунтов: 1</v>
      </c>
      <c r="D110" s="66" t="str">
        <f>Source!H37</f>
        <v>100 м3</v>
      </c>
      <c r="E110" s="67">
        <f>Source!K37</f>
        <v>0.04</v>
      </c>
      <c r="F110" s="67"/>
      <c r="G110" s="67">
        <f>Source!I37</f>
        <v>0.04</v>
      </c>
      <c r="H110" s="69"/>
      <c r="I110" s="68"/>
      <c r="J110" s="69"/>
      <c r="K110" s="68"/>
      <c r="L110" s="69"/>
    </row>
    <row r="111" spans="1:101" ht="39.6" x14ac:dyDescent="0.25">
      <c r="B111" s="70" t="s">
        <v>788</v>
      </c>
      <c r="C111" s="129" t="s">
        <v>871</v>
      </c>
      <c r="D111" s="129"/>
      <c r="E111" s="129"/>
      <c r="F111" s="129"/>
      <c r="G111" s="129"/>
      <c r="H111" s="129"/>
      <c r="I111" s="129"/>
      <c r="J111" s="129"/>
      <c r="K111" s="129"/>
      <c r="L111" s="129"/>
      <c r="CW111" s="71" t="s">
        <v>871</v>
      </c>
    </row>
    <row r="112" spans="1:101" ht="14.4" x14ac:dyDescent="0.25">
      <c r="A112" s="64"/>
      <c r="B112" s="67">
        <v>1</v>
      </c>
      <c r="C112" s="64" t="s">
        <v>863</v>
      </c>
      <c r="D112" s="66" t="s">
        <v>501</v>
      </c>
      <c r="E112" s="73"/>
      <c r="F112" s="67"/>
      <c r="G112" s="67">
        <f>Source!U37</f>
        <v>2.4637600000000002</v>
      </c>
      <c r="H112" s="67"/>
      <c r="I112" s="67"/>
      <c r="J112" s="67"/>
      <c r="K112" s="67"/>
      <c r="L112" s="74">
        <f>SUM(L113:L113)-SUMIF(CE113:CE113, 1, L113:L113)</f>
        <v>707.1</v>
      </c>
    </row>
    <row r="113" spans="1:101" ht="14.4" x14ac:dyDescent="0.25">
      <c r="A113" s="65"/>
      <c r="B113" s="65" t="s">
        <v>502</v>
      </c>
      <c r="C113" s="75" t="s">
        <v>503</v>
      </c>
      <c r="D113" s="76" t="s">
        <v>501</v>
      </c>
      <c r="E113" s="77">
        <v>53.56</v>
      </c>
      <c r="F113" s="77">
        <f>ROUND((0.15+1),7)</f>
        <v>1.1499999999999999</v>
      </c>
      <c r="G113" s="77">
        <f>SmtRes!CX6</f>
        <v>2.4637600000000002</v>
      </c>
      <c r="H113" s="78"/>
      <c r="I113" s="79"/>
      <c r="J113" s="78">
        <f>SmtRes!CZ6</f>
        <v>287</v>
      </c>
      <c r="K113" s="79"/>
      <c r="L113" s="78">
        <f>SmtRes!DI6</f>
        <v>707.1</v>
      </c>
    </row>
    <row r="114" spans="1:101" ht="14.4" x14ac:dyDescent="0.25">
      <c r="A114" s="65"/>
      <c r="B114" s="65"/>
      <c r="C114" s="81" t="s">
        <v>864</v>
      </c>
      <c r="D114" s="66"/>
      <c r="E114" s="67"/>
      <c r="F114" s="67"/>
      <c r="G114" s="67"/>
      <c r="H114" s="69"/>
      <c r="I114" s="68"/>
      <c r="J114" s="69"/>
      <c r="K114" s="68"/>
      <c r="L114" s="69">
        <f>L112</f>
        <v>707.1</v>
      </c>
    </row>
    <row r="115" spans="1:101" ht="14.4" x14ac:dyDescent="0.25">
      <c r="A115" s="65"/>
      <c r="B115" s="65"/>
      <c r="C115" s="65" t="s">
        <v>865</v>
      </c>
      <c r="D115" s="66"/>
      <c r="E115" s="67"/>
      <c r="F115" s="67"/>
      <c r="G115" s="67"/>
      <c r="H115" s="69"/>
      <c r="I115" s="68"/>
      <c r="J115" s="69"/>
      <c r="K115" s="68"/>
      <c r="L115" s="69">
        <f>SUM(AR110:AR118)+SUM(AS110:AS118)+SUM(AT110:AT118)+SUM(AU110:AU118)+SUM(AV110:AV118)</f>
        <v>707.1</v>
      </c>
    </row>
    <row r="116" spans="1:101" ht="27.6" x14ac:dyDescent="0.25">
      <c r="A116" s="65"/>
      <c r="B116" s="65" t="s">
        <v>33</v>
      </c>
      <c r="C116" s="65" t="s">
        <v>866</v>
      </c>
      <c r="D116" s="66" t="s">
        <v>761</v>
      </c>
      <c r="E116" s="67">
        <f>Source!BZ37</f>
        <v>89</v>
      </c>
      <c r="F116" s="67"/>
      <c r="G116" s="67">
        <f>Source!AT37</f>
        <v>89</v>
      </c>
      <c r="H116" s="69"/>
      <c r="I116" s="68"/>
      <c r="J116" s="69"/>
      <c r="K116" s="68"/>
      <c r="L116" s="69">
        <f>SUM(AZ110:AZ118)</f>
        <v>629.32000000000005</v>
      </c>
    </row>
    <row r="117" spans="1:101" ht="27.6" x14ac:dyDescent="0.25">
      <c r="A117" s="75"/>
      <c r="B117" s="75" t="s">
        <v>34</v>
      </c>
      <c r="C117" s="75" t="s">
        <v>867</v>
      </c>
      <c r="D117" s="76" t="s">
        <v>761</v>
      </c>
      <c r="E117" s="77">
        <f>Source!CA37</f>
        <v>40</v>
      </c>
      <c r="F117" s="77"/>
      <c r="G117" s="77">
        <f>Source!AU37</f>
        <v>40</v>
      </c>
      <c r="H117" s="78"/>
      <c r="I117" s="79"/>
      <c r="J117" s="78"/>
      <c r="K117" s="79"/>
      <c r="L117" s="78">
        <f>SUM(BA110:BA118)</f>
        <v>282.83999999999997</v>
      </c>
    </row>
    <row r="118" spans="1:101" ht="13.8" x14ac:dyDescent="0.25">
      <c r="C118" s="127" t="s">
        <v>868</v>
      </c>
      <c r="D118" s="127"/>
      <c r="E118" s="127"/>
      <c r="F118" s="127"/>
      <c r="G118" s="127"/>
      <c r="H118" s="127"/>
      <c r="I118" s="128">
        <f>IF(E110&lt;&gt;0,K118/E110, 0)</f>
        <v>40481.5</v>
      </c>
      <c r="J118" s="128"/>
      <c r="K118" s="128">
        <f>L112+L116+L117</f>
        <v>1619.26</v>
      </c>
      <c r="L118" s="128"/>
      <c r="AD118">
        <f>ROUND((Source!AT37/100)*((ROUND(SUMIF(SmtRes!AQ6:'SmtRes'!AQ6,"=1",SmtRes!AD6:'SmtRes'!AD6)*Source!I37, 2)+ROUND(SUMIF(SmtRes!AQ6:'SmtRes'!AQ6,"=1",SmtRes!AC6:'SmtRes'!AC6)*Source!I37, 2))), 2)</f>
        <v>10.220000000000001</v>
      </c>
      <c r="AE118">
        <f>ROUND((Source!AU37/100)*((ROUND(SUMIF(SmtRes!AQ6:'SmtRes'!AQ6,"=1",SmtRes!AD6:'SmtRes'!AD6)*Source!I37, 2)+ROUND(SUMIF(SmtRes!AQ6:'SmtRes'!AQ6,"=1",SmtRes!AC6:'SmtRes'!AC6)*Source!I37, 2))), 2)</f>
        <v>4.59</v>
      </c>
      <c r="AN118" s="80">
        <f>L112+L116+L117</f>
        <v>1619.26</v>
      </c>
      <c r="AO118">
        <f>0</f>
        <v>0</v>
      </c>
      <c r="AQ118" t="s">
        <v>869</v>
      </c>
      <c r="AR118" s="80">
        <f>L112</f>
        <v>707.1</v>
      </c>
      <c r="AT118">
        <f>0</f>
        <v>0</v>
      </c>
      <c r="AV118" t="s">
        <v>869</v>
      </c>
      <c r="AW118">
        <f>0</f>
        <v>0</v>
      </c>
      <c r="AZ118">
        <f>Source!X37</f>
        <v>629.32000000000005</v>
      </c>
      <c r="BA118">
        <f>Source!Y37</f>
        <v>282.83999999999997</v>
      </c>
      <c r="CD118">
        <v>1</v>
      </c>
    </row>
    <row r="119" spans="1:101" ht="96.6" x14ac:dyDescent="0.25">
      <c r="A119" s="63" t="s">
        <v>63</v>
      </c>
      <c r="B119" s="65" t="s">
        <v>41</v>
      </c>
      <c r="C119" s="65" t="str">
        <f>Source!G38</f>
        <v>Перевозка грузов I класса автомобилями-самосвалами грузоподъемностью до 15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 14 км</v>
      </c>
      <c r="D119" s="66" t="str">
        <f>Source!H38</f>
        <v>1т груза</v>
      </c>
      <c r="E119" s="67">
        <f>Source!K38</f>
        <v>112</v>
      </c>
      <c r="F119" s="67"/>
      <c r="G119" s="67">
        <f>Source!I38</f>
        <v>112</v>
      </c>
      <c r="H119" s="69"/>
      <c r="I119" s="68"/>
      <c r="J119" s="69">
        <f>Source!AK38</f>
        <v>251.35</v>
      </c>
      <c r="K119" s="68"/>
      <c r="L119" s="69">
        <f>Source!HD38</f>
        <v>28151.200000000001</v>
      </c>
    </row>
    <row r="120" spans="1:101" ht="14.4" x14ac:dyDescent="0.25">
      <c r="A120" s="65"/>
      <c r="B120" s="65"/>
      <c r="C120" s="65" t="s">
        <v>865</v>
      </c>
      <c r="D120" s="66"/>
      <c r="E120" s="67"/>
      <c r="F120" s="67"/>
      <c r="G120" s="67"/>
      <c r="H120" s="69"/>
      <c r="I120" s="68"/>
      <c r="J120" s="69"/>
      <c r="K120" s="68"/>
      <c r="L120" s="69">
        <f>SUM(AR119:AR123)+SUM(AS119:AS123)+SUM(AT119:AT123)+SUM(AU119:AU123)+SUM(AV119:AV123)</f>
        <v>0</v>
      </c>
    </row>
    <row r="121" spans="1:101" ht="27.6" x14ac:dyDescent="0.25">
      <c r="A121" s="65"/>
      <c r="B121" s="65" t="s">
        <v>48</v>
      </c>
      <c r="C121" s="65" t="s">
        <v>872</v>
      </c>
      <c r="D121" s="66" t="s">
        <v>761</v>
      </c>
      <c r="E121" s="67">
        <f>Source!BZ38</f>
        <v>94</v>
      </c>
      <c r="F121" s="67"/>
      <c r="G121" s="67">
        <f>Source!AT38</f>
        <v>0</v>
      </c>
      <c r="H121" s="69"/>
      <c r="I121" s="68"/>
      <c r="J121" s="69"/>
      <c r="K121" s="68"/>
      <c r="L121" s="69">
        <f>SUM(AZ119:AZ123)</f>
        <v>0</v>
      </c>
    </row>
    <row r="122" spans="1:101" ht="27.6" x14ac:dyDescent="0.25">
      <c r="A122" s="75"/>
      <c r="B122" s="75" t="s">
        <v>49</v>
      </c>
      <c r="C122" s="75" t="s">
        <v>873</v>
      </c>
      <c r="D122" s="76" t="s">
        <v>761</v>
      </c>
      <c r="E122" s="77">
        <f>Source!CA38</f>
        <v>61</v>
      </c>
      <c r="F122" s="77"/>
      <c r="G122" s="77">
        <f>Source!AU38</f>
        <v>0</v>
      </c>
      <c r="H122" s="78"/>
      <c r="I122" s="79"/>
      <c r="J122" s="78"/>
      <c r="K122" s="79"/>
      <c r="L122" s="78">
        <f>SUM(BA119:BA123)</f>
        <v>0</v>
      </c>
    </row>
    <row r="123" spans="1:101" ht="13.8" x14ac:dyDescent="0.25">
      <c r="C123" s="127" t="s">
        <v>868</v>
      </c>
      <c r="D123" s="127"/>
      <c r="E123" s="127"/>
      <c r="F123" s="127"/>
      <c r="G123" s="127"/>
      <c r="H123" s="127"/>
      <c r="I123" s="128">
        <f>IF(E119&lt;&gt;0,K123/E119, 0)</f>
        <v>251.35</v>
      </c>
      <c r="J123" s="128"/>
      <c r="K123" s="128">
        <f>L119</f>
        <v>28151.200000000001</v>
      </c>
      <c r="L123" s="128"/>
      <c r="AD123">
        <f>ROUND((Source!AT38/100)*((ROUND(0*Source!I38, 2)+ROUND(0*Source!I38, 2))), 2)</f>
        <v>0</v>
      </c>
      <c r="AE123">
        <f>ROUND((Source!AU38/100)*((ROUND(0*Source!I38, 2)+ROUND(0*Source!I38, 2))), 2)</f>
        <v>0</v>
      </c>
      <c r="AN123" s="80">
        <f>L119</f>
        <v>28151.200000000001</v>
      </c>
      <c r="AP123">
        <f>0</f>
        <v>0</v>
      </c>
      <c r="AQ123" t="s">
        <v>869</v>
      </c>
      <c r="AS123">
        <f>0</f>
        <v>0</v>
      </c>
      <c r="AU123">
        <f>0</f>
        <v>0</v>
      </c>
      <c r="AV123" t="s">
        <v>869</v>
      </c>
      <c r="AZ123">
        <f>Source!X38</f>
        <v>0</v>
      </c>
      <c r="BA123">
        <f>Source!Y38</f>
        <v>0</v>
      </c>
      <c r="BB123" s="80">
        <f>L119</f>
        <v>28151.200000000001</v>
      </c>
      <c r="CD123">
        <v>1</v>
      </c>
    </row>
    <row r="124" spans="1:101" ht="41.4" x14ac:dyDescent="0.25">
      <c r="C124" s="62" t="str">
        <f>Source!G39</f>
        <v>обратная засыпка грунтом, привезенным с площадки временного хранения грунта</v>
      </c>
    </row>
    <row r="125" spans="1:101" ht="27.6" x14ac:dyDescent="0.25">
      <c r="C125" s="62" t="str">
        <f>Source!G40</f>
        <v>погрузка грунта в а/с для обратной засыпки</v>
      </c>
    </row>
    <row r="126" spans="1:101" ht="55.2" x14ac:dyDescent="0.25">
      <c r="A126" s="63" t="s">
        <v>66</v>
      </c>
      <c r="B126" s="65" t="s">
        <v>882</v>
      </c>
      <c r="C126" s="65" t="str">
        <f>Source!G41</f>
        <v>Разработка грунта с погрузкой на автомобили-самосвалы в траншеях экскаватором «обратная лопата» с ковшом вместимостью 0,25 м3</v>
      </c>
      <c r="D126" s="66" t="str">
        <f>Source!H41</f>
        <v>1000 м3</v>
      </c>
      <c r="E126" s="67">
        <f>Source!K41</f>
        <v>6.9000000000000006E-2</v>
      </c>
      <c r="F126" s="67"/>
      <c r="G126" s="67">
        <f>Source!I41</f>
        <v>6.9000000000000006E-2</v>
      </c>
      <c r="H126" s="69"/>
      <c r="I126" s="68"/>
      <c r="J126" s="69"/>
      <c r="K126" s="68"/>
      <c r="L126" s="69"/>
    </row>
    <row r="127" spans="1:101" ht="39.6" x14ac:dyDescent="0.25">
      <c r="B127" s="70" t="s">
        <v>788</v>
      </c>
      <c r="C127" s="129" t="s">
        <v>871</v>
      </c>
      <c r="D127" s="129"/>
      <c r="E127" s="129"/>
      <c r="F127" s="129"/>
      <c r="G127" s="129"/>
      <c r="H127" s="129"/>
      <c r="I127" s="129"/>
      <c r="J127" s="129"/>
      <c r="K127" s="129"/>
      <c r="L127" s="129"/>
      <c r="CW127" s="71" t="s">
        <v>871</v>
      </c>
    </row>
    <row r="128" spans="1:101" ht="14.4" x14ac:dyDescent="0.25">
      <c r="A128" s="64"/>
      <c r="B128" s="67">
        <v>2</v>
      </c>
      <c r="C128" s="64" t="s">
        <v>875</v>
      </c>
      <c r="D128" s="66"/>
      <c r="E128" s="73"/>
      <c r="F128" s="67"/>
      <c r="G128" s="67"/>
      <c r="H128" s="67"/>
      <c r="I128" s="67"/>
      <c r="J128" s="67"/>
      <c r="K128" s="67"/>
      <c r="L128" s="74">
        <f>SUM(L129:L131)-SUMIF(CE129:CE131, 1, L129:L131)</f>
        <v>3124.6499999999996</v>
      </c>
    </row>
    <row r="129" spans="1:101" ht="14.4" x14ac:dyDescent="0.25">
      <c r="A129" s="64"/>
      <c r="B129" s="67"/>
      <c r="C129" s="64" t="s">
        <v>877</v>
      </c>
      <c r="D129" s="66" t="s">
        <v>501</v>
      </c>
      <c r="E129" s="73"/>
      <c r="F129" s="67"/>
      <c r="G129" s="67">
        <f>Source!V41</f>
        <v>3.2533500000000002</v>
      </c>
      <c r="H129" s="67"/>
      <c r="I129" s="67"/>
      <c r="J129" s="67"/>
      <c r="K129" s="67"/>
      <c r="L129" s="74">
        <f>SUMIF(CE130:CE131, 1, L130:L131)</f>
        <v>1376</v>
      </c>
      <c r="CE129">
        <v>1</v>
      </c>
    </row>
    <row r="130" spans="1:101" ht="41.4" x14ac:dyDescent="0.25">
      <c r="A130" s="65"/>
      <c r="B130" s="65" t="s">
        <v>506</v>
      </c>
      <c r="C130" s="65" t="s">
        <v>508</v>
      </c>
      <c r="D130" s="66" t="s">
        <v>509</v>
      </c>
      <c r="E130" s="67">
        <v>41</v>
      </c>
      <c r="F130" s="67">
        <f>ROUND((0.15+1),7)</f>
        <v>1.1499999999999999</v>
      </c>
      <c r="G130" s="67">
        <f>SmtRes!CX8</f>
        <v>3.2533500000000002</v>
      </c>
      <c r="H130" s="69">
        <f>SmtRes!CZ8</f>
        <v>800.37</v>
      </c>
      <c r="I130" s="68">
        <f>SmtRes!AJ8</f>
        <v>1.2</v>
      </c>
      <c r="J130" s="69">
        <f>ROUND(H130*I130, 2)</f>
        <v>960.44</v>
      </c>
      <c r="K130" s="68"/>
      <c r="L130" s="69">
        <f>SmtRes!DG8</f>
        <v>3124.65</v>
      </c>
    </row>
    <row r="131" spans="1:101" ht="27.6" x14ac:dyDescent="0.25">
      <c r="A131" s="65"/>
      <c r="B131" s="65" t="s">
        <v>510</v>
      </c>
      <c r="C131" s="75" t="s">
        <v>876</v>
      </c>
      <c r="D131" s="76" t="s">
        <v>501</v>
      </c>
      <c r="E131" s="77">
        <f>SmtRes!DO8*SmtRes!AT8</f>
        <v>41</v>
      </c>
      <c r="F131" s="77">
        <f>ROUND((0.15+1),7)</f>
        <v>1.1499999999999999</v>
      </c>
      <c r="G131" s="77">
        <f>ROUND(E131*F131*G126, 7)</f>
        <v>3.2533500000000002</v>
      </c>
      <c r="H131" s="78"/>
      <c r="I131" s="79"/>
      <c r="J131" s="78">
        <f>ROUND(SmtRes!AG8/SmtRes!DO8, 2)</f>
        <v>422.95</v>
      </c>
      <c r="K131" s="79"/>
      <c r="L131" s="78">
        <f>SmtRes!DH8</f>
        <v>1376</v>
      </c>
      <c r="CE131">
        <v>1</v>
      </c>
    </row>
    <row r="132" spans="1:101" ht="14.4" x14ac:dyDescent="0.25">
      <c r="A132" s="65"/>
      <c r="B132" s="65"/>
      <c r="C132" s="81" t="s">
        <v>864</v>
      </c>
      <c r="D132" s="66"/>
      <c r="E132" s="67"/>
      <c r="F132" s="67"/>
      <c r="G132" s="67"/>
      <c r="H132" s="69"/>
      <c r="I132" s="68"/>
      <c r="J132" s="69"/>
      <c r="K132" s="68"/>
      <c r="L132" s="69">
        <f>L128+L129</f>
        <v>4500.6499999999996</v>
      </c>
    </row>
    <row r="133" spans="1:101" ht="14.4" x14ac:dyDescent="0.25">
      <c r="A133" s="65"/>
      <c r="B133" s="65"/>
      <c r="C133" s="65" t="s">
        <v>865</v>
      </c>
      <c r="D133" s="66"/>
      <c r="E133" s="67"/>
      <c r="F133" s="67"/>
      <c r="G133" s="67"/>
      <c r="H133" s="69"/>
      <c r="I133" s="68"/>
      <c r="J133" s="69"/>
      <c r="K133" s="68"/>
      <c r="L133" s="69">
        <f>SUM(AR126:AR136)+SUM(AS126:AS136)+SUM(AT126:AT136)+SUM(AU126:AU136)+SUM(AV126:AV136)</f>
        <v>1376</v>
      </c>
    </row>
    <row r="134" spans="1:101" ht="27.6" x14ac:dyDescent="0.25">
      <c r="A134" s="65"/>
      <c r="B134" s="65" t="s">
        <v>57</v>
      </c>
      <c r="C134" s="65" t="s">
        <v>878</v>
      </c>
      <c r="D134" s="66" t="s">
        <v>761</v>
      </c>
      <c r="E134" s="67">
        <f>Source!BZ41</f>
        <v>92</v>
      </c>
      <c r="F134" s="67"/>
      <c r="G134" s="67">
        <f>Source!AT41</f>
        <v>92</v>
      </c>
      <c r="H134" s="69"/>
      <c r="I134" s="68"/>
      <c r="J134" s="69"/>
      <c r="K134" s="68"/>
      <c r="L134" s="69">
        <f>SUM(AZ126:AZ136)</f>
        <v>1265.92</v>
      </c>
    </row>
    <row r="135" spans="1:101" ht="27.6" x14ac:dyDescent="0.25">
      <c r="A135" s="75"/>
      <c r="B135" s="75" t="s">
        <v>58</v>
      </c>
      <c r="C135" s="75" t="s">
        <v>879</v>
      </c>
      <c r="D135" s="76" t="s">
        <v>761</v>
      </c>
      <c r="E135" s="77">
        <f>Source!CA41</f>
        <v>46</v>
      </c>
      <c r="F135" s="77"/>
      <c r="G135" s="77">
        <f>Source!AU41</f>
        <v>46</v>
      </c>
      <c r="H135" s="78"/>
      <c r="I135" s="79"/>
      <c r="J135" s="78"/>
      <c r="K135" s="79"/>
      <c r="L135" s="78">
        <f>SUM(BA126:BA136)</f>
        <v>632.96</v>
      </c>
    </row>
    <row r="136" spans="1:101" ht="13.8" x14ac:dyDescent="0.25">
      <c r="C136" s="127" t="s">
        <v>868</v>
      </c>
      <c r="D136" s="127"/>
      <c r="E136" s="127"/>
      <c r="F136" s="127"/>
      <c r="G136" s="127"/>
      <c r="H136" s="127"/>
      <c r="I136" s="128">
        <f>IF(E126&lt;&gt;0,K136/E126, 0)</f>
        <v>92746.811594202882</v>
      </c>
      <c r="J136" s="128"/>
      <c r="K136" s="128">
        <f>L128+L134+L135+L129</f>
        <v>6399.53</v>
      </c>
      <c r="L136" s="128"/>
      <c r="AD136">
        <f>ROUND((Source!AT41/100)*((ROUND(SUMIF(SmtRes!AQ7:'SmtRes'!AQ8,"=1",SmtRes!AD7:'SmtRes'!AD8)*Source!I41, 2)+ROUND(SUMIF(SmtRes!AQ7:'SmtRes'!AQ8,"=1",SmtRes!AC7:'SmtRes'!AC8)*Source!I41, 2))), 2)</f>
        <v>26.85</v>
      </c>
      <c r="AE136">
        <f>ROUND((Source!AU41/100)*((ROUND(SUMIF(SmtRes!AQ7:'SmtRes'!AQ8,"=1",SmtRes!AD7:'SmtRes'!AD8)*Source!I41, 2)+ROUND(SUMIF(SmtRes!AQ7:'SmtRes'!AQ8,"=1",SmtRes!AC7:'SmtRes'!AC8)*Source!I41, 2))), 2)</f>
        <v>13.42</v>
      </c>
      <c r="AN136" s="80">
        <f>L128+L134+L135+L129</f>
        <v>6399.53</v>
      </c>
      <c r="AO136" s="80">
        <f>L128</f>
        <v>3124.6499999999996</v>
      </c>
      <c r="AQ136" t="s">
        <v>869</v>
      </c>
      <c r="AR136">
        <f>0</f>
        <v>0</v>
      </c>
      <c r="AT136" s="80">
        <f>L129</f>
        <v>1376</v>
      </c>
      <c r="AV136" t="s">
        <v>869</v>
      </c>
      <c r="AW136">
        <f>0</f>
        <v>0</v>
      </c>
      <c r="AZ136">
        <f>Source!X41</f>
        <v>1265.92</v>
      </c>
      <c r="BA136">
        <f>Source!Y41</f>
        <v>632.96</v>
      </c>
      <c r="CD136">
        <v>1</v>
      </c>
    </row>
    <row r="137" spans="1:101" ht="96.6" x14ac:dyDescent="0.25">
      <c r="A137" s="63" t="s">
        <v>70</v>
      </c>
      <c r="B137" s="65" t="s">
        <v>41</v>
      </c>
      <c r="C137" s="65" t="str">
        <f>Source!G42</f>
        <v>Перевозка грузов I класса автомобилями-самосвалами грузоподъемностью до 15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 14 км</v>
      </c>
      <c r="D137" s="66" t="str">
        <f>Source!H42</f>
        <v>1т груза</v>
      </c>
      <c r="E137" s="67">
        <f>Source!K42</f>
        <v>120.75</v>
      </c>
      <c r="F137" s="67"/>
      <c r="G137" s="67">
        <f>Source!I42</f>
        <v>120.75</v>
      </c>
      <c r="H137" s="69"/>
      <c r="I137" s="68"/>
      <c r="J137" s="69">
        <f>Source!AK42</f>
        <v>251.35</v>
      </c>
      <c r="K137" s="68"/>
      <c r="L137" s="69">
        <f>Source!HD42</f>
        <v>30350.51</v>
      </c>
    </row>
    <row r="138" spans="1:101" ht="14.4" x14ac:dyDescent="0.25">
      <c r="A138" s="65"/>
      <c r="B138" s="65"/>
      <c r="C138" s="65" t="s">
        <v>865</v>
      </c>
      <c r="D138" s="66"/>
      <c r="E138" s="67"/>
      <c r="F138" s="67"/>
      <c r="G138" s="67"/>
      <c r="H138" s="69"/>
      <c r="I138" s="68"/>
      <c r="J138" s="69"/>
      <c r="K138" s="68"/>
      <c r="L138" s="69">
        <f>SUM(AR137:AR141)+SUM(AS137:AS141)+SUM(AT137:AT141)+SUM(AU137:AU141)+SUM(AV137:AV141)</f>
        <v>0</v>
      </c>
    </row>
    <row r="139" spans="1:101" ht="27.6" x14ac:dyDescent="0.25">
      <c r="A139" s="65"/>
      <c r="B139" s="65" t="s">
        <v>48</v>
      </c>
      <c r="C139" s="65" t="s">
        <v>872</v>
      </c>
      <c r="D139" s="66" t="s">
        <v>761</v>
      </c>
      <c r="E139" s="67">
        <f>Source!BZ42</f>
        <v>94</v>
      </c>
      <c r="F139" s="67"/>
      <c r="G139" s="67">
        <f>Source!AT42</f>
        <v>0</v>
      </c>
      <c r="H139" s="69"/>
      <c r="I139" s="68"/>
      <c r="J139" s="69"/>
      <c r="K139" s="68"/>
      <c r="L139" s="69">
        <f>SUM(AZ137:AZ141)</f>
        <v>0</v>
      </c>
    </row>
    <row r="140" spans="1:101" ht="27.6" x14ac:dyDescent="0.25">
      <c r="A140" s="75"/>
      <c r="B140" s="75" t="s">
        <v>49</v>
      </c>
      <c r="C140" s="75" t="s">
        <v>873</v>
      </c>
      <c r="D140" s="76" t="s">
        <v>761</v>
      </c>
      <c r="E140" s="77">
        <f>Source!CA42</f>
        <v>61</v>
      </c>
      <c r="F140" s="77"/>
      <c r="G140" s="77">
        <f>Source!AU42</f>
        <v>0</v>
      </c>
      <c r="H140" s="78"/>
      <c r="I140" s="79"/>
      <c r="J140" s="78"/>
      <c r="K140" s="79"/>
      <c r="L140" s="78">
        <f>SUM(BA137:BA141)</f>
        <v>0</v>
      </c>
    </row>
    <row r="141" spans="1:101" ht="13.8" x14ac:dyDescent="0.25">
      <c r="C141" s="127" t="s">
        <v>868</v>
      </c>
      <c r="D141" s="127"/>
      <c r="E141" s="127"/>
      <c r="F141" s="127"/>
      <c r="G141" s="127"/>
      <c r="H141" s="127"/>
      <c r="I141" s="128">
        <f>IF(E137&lt;&gt;0,K141/E137, 0)</f>
        <v>251.34997929606624</v>
      </c>
      <c r="J141" s="128"/>
      <c r="K141" s="128">
        <f>L137</f>
        <v>30350.51</v>
      </c>
      <c r="L141" s="128"/>
      <c r="AD141">
        <f>ROUND((Source!AT42/100)*((ROUND(0*Source!I42, 2)+ROUND(0*Source!I42, 2))), 2)</f>
        <v>0</v>
      </c>
      <c r="AE141">
        <f>ROUND((Source!AU42/100)*((ROUND(0*Source!I42, 2)+ROUND(0*Source!I42, 2))), 2)</f>
        <v>0</v>
      </c>
      <c r="AN141" s="80">
        <f>L137</f>
        <v>30350.51</v>
      </c>
      <c r="AP141">
        <f>0</f>
        <v>0</v>
      </c>
      <c r="AQ141" t="s">
        <v>869</v>
      </c>
      <c r="AS141">
        <f>0</f>
        <v>0</v>
      </c>
      <c r="AU141">
        <f>0</f>
        <v>0</v>
      </c>
      <c r="AV141" t="s">
        <v>869</v>
      </c>
      <c r="AZ141">
        <f>Source!X42</f>
        <v>0</v>
      </c>
      <c r="BA141">
        <f>Source!Y42</f>
        <v>0</v>
      </c>
      <c r="BB141" s="80">
        <f>L137</f>
        <v>30350.51</v>
      </c>
      <c r="CD141">
        <v>1</v>
      </c>
    </row>
    <row r="142" spans="1:101" ht="55.2" x14ac:dyDescent="0.25">
      <c r="A142" s="63" t="s">
        <v>71</v>
      </c>
      <c r="B142" s="65" t="s">
        <v>883</v>
      </c>
      <c r="C142" s="65" t="str">
        <f>Source!G43</f>
        <v>Засыпка вручную траншей, пазух котлованов и ям, группа грунтов: 1 (мест пересечений с существующими подземными коммуникациями )</v>
      </c>
      <c r="D142" s="66" t="str">
        <f>Source!H43</f>
        <v>100 м3</v>
      </c>
      <c r="E142" s="67">
        <f>Source!K43</f>
        <v>0.05</v>
      </c>
      <c r="F142" s="67"/>
      <c r="G142" s="67">
        <f>Source!I43</f>
        <v>0.05</v>
      </c>
      <c r="H142" s="69"/>
      <c r="I142" s="68"/>
      <c r="J142" s="69"/>
      <c r="K142" s="68"/>
      <c r="L142" s="69"/>
    </row>
    <row r="143" spans="1:101" ht="39.6" x14ac:dyDescent="0.25">
      <c r="B143" s="70" t="s">
        <v>788</v>
      </c>
      <c r="C143" s="129" t="s">
        <v>871</v>
      </c>
      <c r="D143" s="129"/>
      <c r="E143" s="129"/>
      <c r="F143" s="129"/>
      <c r="G143" s="129"/>
      <c r="H143" s="129"/>
      <c r="I143" s="129"/>
      <c r="J143" s="129"/>
      <c r="K143" s="129"/>
      <c r="L143" s="129"/>
      <c r="CW143" s="71" t="s">
        <v>871</v>
      </c>
    </row>
    <row r="144" spans="1:101" ht="14.4" x14ac:dyDescent="0.25">
      <c r="A144" s="64"/>
      <c r="B144" s="67">
        <v>1</v>
      </c>
      <c r="C144" s="64" t="s">
        <v>863</v>
      </c>
      <c r="D144" s="66" t="s">
        <v>501</v>
      </c>
      <c r="E144" s="73"/>
      <c r="F144" s="67"/>
      <c r="G144" s="67">
        <f>Source!U43</f>
        <v>5.0887500000000001</v>
      </c>
      <c r="H144" s="67"/>
      <c r="I144" s="67"/>
      <c r="J144" s="67"/>
      <c r="K144" s="67"/>
      <c r="L144" s="74">
        <f>SUM(L145:L145)-SUMIF(CE145:CE145, 1, L145:L145)</f>
        <v>1460.47</v>
      </c>
    </row>
    <row r="145" spans="1:101" ht="14.4" x14ac:dyDescent="0.25">
      <c r="A145" s="65"/>
      <c r="B145" s="65" t="s">
        <v>502</v>
      </c>
      <c r="C145" s="75" t="s">
        <v>503</v>
      </c>
      <c r="D145" s="76" t="s">
        <v>501</v>
      </c>
      <c r="E145" s="77">
        <v>88.5</v>
      </c>
      <c r="F145" s="77">
        <f>ROUND((0.15+1),7)</f>
        <v>1.1499999999999999</v>
      </c>
      <c r="G145" s="77">
        <f>SmtRes!CX9</f>
        <v>5.0887500000000001</v>
      </c>
      <c r="H145" s="78"/>
      <c r="I145" s="79"/>
      <c r="J145" s="78">
        <f>SmtRes!CZ9</f>
        <v>287</v>
      </c>
      <c r="K145" s="79"/>
      <c r="L145" s="78">
        <f>SmtRes!DI9</f>
        <v>1460.47</v>
      </c>
    </row>
    <row r="146" spans="1:101" ht="14.4" x14ac:dyDescent="0.25">
      <c r="A146" s="65"/>
      <c r="B146" s="65"/>
      <c r="C146" s="81" t="s">
        <v>864</v>
      </c>
      <c r="D146" s="66"/>
      <c r="E146" s="67"/>
      <c r="F146" s="67"/>
      <c r="G146" s="67"/>
      <c r="H146" s="69"/>
      <c r="I146" s="68"/>
      <c r="J146" s="69"/>
      <c r="K146" s="68"/>
      <c r="L146" s="69">
        <f>L144</f>
        <v>1460.47</v>
      </c>
    </row>
    <row r="147" spans="1:101" ht="14.4" x14ac:dyDescent="0.25">
      <c r="A147" s="65"/>
      <c r="B147" s="65"/>
      <c r="C147" s="65" t="s">
        <v>865</v>
      </c>
      <c r="D147" s="66"/>
      <c r="E147" s="67"/>
      <c r="F147" s="67"/>
      <c r="G147" s="67"/>
      <c r="H147" s="69"/>
      <c r="I147" s="68"/>
      <c r="J147" s="69"/>
      <c r="K147" s="68"/>
      <c r="L147" s="69">
        <f>SUM(AR142:AR150)+SUM(AS142:AS150)+SUM(AT142:AT150)+SUM(AU142:AU150)+SUM(AV142:AV150)</f>
        <v>1460.47</v>
      </c>
    </row>
    <row r="148" spans="1:101" ht="27.6" x14ac:dyDescent="0.25">
      <c r="A148" s="65"/>
      <c r="B148" s="65" t="s">
        <v>33</v>
      </c>
      <c r="C148" s="65" t="s">
        <v>866</v>
      </c>
      <c r="D148" s="66" t="s">
        <v>761</v>
      </c>
      <c r="E148" s="67">
        <f>Source!BZ43</f>
        <v>89</v>
      </c>
      <c r="F148" s="67"/>
      <c r="G148" s="67">
        <f>Source!AT43</f>
        <v>89</v>
      </c>
      <c r="H148" s="69"/>
      <c r="I148" s="68"/>
      <c r="J148" s="69"/>
      <c r="K148" s="68"/>
      <c r="L148" s="69">
        <f>SUM(AZ142:AZ150)</f>
        <v>1299.82</v>
      </c>
    </row>
    <row r="149" spans="1:101" ht="27.6" x14ac:dyDescent="0.25">
      <c r="A149" s="75"/>
      <c r="B149" s="75" t="s">
        <v>34</v>
      </c>
      <c r="C149" s="75" t="s">
        <v>867</v>
      </c>
      <c r="D149" s="76" t="s">
        <v>761</v>
      </c>
      <c r="E149" s="77">
        <f>Source!CA43</f>
        <v>40</v>
      </c>
      <c r="F149" s="77"/>
      <c r="G149" s="77">
        <f>Source!AU43</f>
        <v>40</v>
      </c>
      <c r="H149" s="78"/>
      <c r="I149" s="79"/>
      <c r="J149" s="78"/>
      <c r="K149" s="79"/>
      <c r="L149" s="78">
        <f>SUM(BA142:BA150)</f>
        <v>584.19000000000005</v>
      </c>
    </row>
    <row r="150" spans="1:101" ht="13.8" x14ac:dyDescent="0.25">
      <c r="C150" s="127" t="s">
        <v>868</v>
      </c>
      <c r="D150" s="127"/>
      <c r="E150" s="127"/>
      <c r="F150" s="127"/>
      <c r="G150" s="127"/>
      <c r="H150" s="127"/>
      <c r="I150" s="128">
        <f>IF(E142&lt;&gt;0,K150/E142, 0)</f>
        <v>66889.599999999991</v>
      </c>
      <c r="J150" s="128"/>
      <c r="K150" s="128">
        <f>L144+L148+L149</f>
        <v>3344.48</v>
      </c>
      <c r="L150" s="128"/>
      <c r="AD150">
        <f>ROUND((Source!AT43/100)*((ROUND(SUMIF(SmtRes!AQ9:'SmtRes'!AQ9,"=1",SmtRes!AD9:'SmtRes'!AD9)*Source!I43, 2)+ROUND(SUMIF(SmtRes!AQ9:'SmtRes'!AQ9,"=1",SmtRes!AC9:'SmtRes'!AC9)*Source!I43, 2))), 2)</f>
        <v>12.77</v>
      </c>
      <c r="AE150">
        <f>ROUND((Source!AU43/100)*((ROUND(SUMIF(SmtRes!AQ9:'SmtRes'!AQ9,"=1",SmtRes!AD9:'SmtRes'!AD9)*Source!I43, 2)+ROUND(SUMIF(SmtRes!AQ9:'SmtRes'!AQ9,"=1",SmtRes!AC9:'SmtRes'!AC9)*Source!I43, 2))), 2)</f>
        <v>5.74</v>
      </c>
      <c r="AN150" s="80">
        <f>L144+L148+L149</f>
        <v>3344.48</v>
      </c>
      <c r="AO150">
        <f>0</f>
        <v>0</v>
      </c>
      <c r="AQ150" t="s">
        <v>869</v>
      </c>
      <c r="AR150" s="80">
        <f>L144</f>
        <v>1460.47</v>
      </c>
      <c r="AT150">
        <f>0</f>
        <v>0</v>
      </c>
      <c r="AV150" t="s">
        <v>869</v>
      </c>
      <c r="AW150">
        <f>0</f>
        <v>0</v>
      </c>
      <c r="AZ150">
        <f>Source!X43</f>
        <v>1299.82</v>
      </c>
      <c r="BA150">
        <f>Source!Y43</f>
        <v>584.19000000000005</v>
      </c>
      <c r="CD150">
        <v>1</v>
      </c>
    </row>
    <row r="151" spans="1:101" ht="27.6" x14ac:dyDescent="0.25">
      <c r="A151" s="63" t="s">
        <v>75</v>
      </c>
      <c r="B151" s="65" t="s">
        <v>883</v>
      </c>
      <c r="C151" s="65" t="str">
        <f>Source!G44</f>
        <v>Засыпка вручную траншей, пазух котлованов и ям, группа грунтов: 1</v>
      </c>
      <c r="D151" s="66" t="str">
        <f>Source!H44</f>
        <v>100 м3</v>
      </c>
      <c r="E151" s="67">
        <f>Source!K44</f>
        <v>0.04</v>
      </c>
      <c r="F151" s="67"/>
      <c r="G151" s="67">
        <f>Source!I44</f>
        <v>0.04</v>
      </c>
      <c r="H151" s="69"/>
      <c r="I151" s="68"/>
      <c r="J151" s="69"/>
      <c r="K151" s="68"/>
      <c r="L151" s="69"/>
    </row>
    <row r="152" spans="1:101" ht="39.6" x14ac:dyDescent="0.25">
      <c r="B152" s="70" t="s">
        <v>788</v>
      </c>
      <c r="C152" s="129" t="s">
        <v>871</v>
      </c>
      <c r="D152" s="129"/>
      <c r="E152" s="129"/>
      <c r="F152" s="129"/>
      <c r="G152" s="129"/>
      <c r="H152" s="129"/>
      <c r="I152" s="129"/>
      <c r="J152" s="129"/>
      <c r="K152" s="129"/>
      <c r="L152" s="129"/>
      <c r="CW152" s="71" t="s">
        <v>871</v>
      </c>
    </row>
    <row r="153" spans="1:101" ht="14.4" x14ac:dyDescent="0.25">
      <c r="A153" s="64"/>
      <c r="B153" s="67">
        <v>1</v>
      </c>
      <c r="C153" s="64" t="s">
        <v>863</v>
      </c>
      <c r="D153" s="66" t="s">
        <v>501</v>
      </c>
      <c r="E153" s="73"/>
      <c r="F153" s="67"/>
      <c r="G153" s="67">
        <f>Source!U44</f>
        <v>4.0709999999999997</v>
      </c>
      <c r="H153" s="67"/>
      <c r="I153" s="67"/>
      <c r="J153" s="67"/>
      <c r="K153" s="67"/>
      <c r="L153" s="74">
        <f>SUM(L154:L154)-SUMIF(CE154:CE154, 1, L154:L154)</f>
        <v>1168.3800000000001</v>
      </c>
    </row>
    <row r="154" spans="1:101" ht="14.4" x14ac:dyDescent="0.25">
      <c r="A154" s="65"/>
      <c r="B154" s="65" t="s">
        <v>502</v>
      </c>
      <c r="C154" s="75" t="s">
        <v>503</v>
      </c>
      <c r="D154" s="76" t="s">
        <v>501</v>
      </c>
      <c r="E154" s="77">
        <v>88.5</v>
      </c>
      <c r="F154" s="77">
        <f>ROUND((0.15+1),7)</f>
        <v>1.1499999999999999</v>
      </c>
      <c r="G154" s="77">
        <f>SmtRes!CX10</f>
        <v>4.0709999999999997</v>
      </c>
      <c r="H154" s="78"/>
      <c r="I154" s="79"/>
      <c r="J154" s="78">
        <f>SmtRes!CZ10</f>
        <v>287</v>
      </c>
      <c r="K154" s="79"/>
      <c r="L154" s="78">
        <f>SmtRes!DI10</f>
        <v>1168.3800000000001</v>
      </c>
    </row>
    <row r="155" spans="1:101" ht="14.4" x14ac:dyDescent="0.25">
      <c r="A155" s="65"/>
      <c r="B155" s="65"/>
      <c r="C155" s="81" t="s">
        <v>864</v>
      </c>
      <c r="D155" s="66"/>
      <c r="E155" s="67"/>
      <c r="F155" s="67"/>
      <c r="G155" s="67"/>
      <c r="H155" s="69"/>
      <c r="I155" s="68"/>
      <c r="J155" s="69"/>
      <c r="K155" s="68"/>
      <c r="L155" s="69">
        <f>L153</f>
        <v>1168.3800000000001</v>
      </c>
    </row>
    <row r="156" spans="1:101" ht="14.4" x14ac:dyDescent="0.25">
      <c r="A156" s="65"/>
      <c r="B156" s="65"/>
      <c r="C156" s="65" t="s">
        <v>865</v>
      </c>
      <c r="D156" s="66"/>
      <c r="E156" s="67"/>
      <c r="F156" s="67"/>
      <c r="G156" s="67"/>
      <c r="H156" s="69"/>
      <c r="I156" s="68"/>
      <c r="J156" s="69"/>
      <c r="K156" s="68"/>
      <c r="L156" s="69">
        <f>SUM(AR151:AR159)+SUM(AS151:AS159)+SUM(AT151:AT159)+SUM(AU151:AU159)+SUM(AV151:AV159)</f>
        <v>1168.3800000000001</v>
      </c>
    </row>
    <row r="157" spans="1:101" ht="27.6" x14ac:dyDescent="0.25">
      <c r="A157" s="65"/>
      <c r="B157" s="65" t="s">
        <v>33</v>
      </c>
      <c r="C157" s="65" t="s">
        <v>866</v>
      </c>
      <c r="D157" s="66" t="s">
        <v>761</v>
      </c>
      <c r="E157" s="67">
        <f>Source!BZ44</f>
        <v>89</v>
      </c>
      <c r="F157" s="67"/>
      <c r="G157" s="67">
        <f>Source!AT44</f>
        <v>89</v>
      </c>
      <c r="H157" s="69"/>
      <c r="I157" s="68"/>
      <c r="J157" s="69"/>
      <c r="K157" s="68"/>
      <c r="L157" s="69">
        <f>SUM(AZ151:AZ159)</f>
        <v>1039.8599999999999</v>
      </c>
    </row>
    <row r="158" spans="1:101" ht="27.6" x14ac:dyDescent="0.25">
      <c r="A158" s="75"/>
      <c r="B158" s="75" t="s">
        <v>34</v>
      </c>
      <c r="C158" s="75" t="s">
        <v>867</v>
      </c>
      <c r="D158" s="76" t="s">
        <v>761</v>
      </c>
      <c r="E158" s="77">
        <f>Source!CA44</f>
        <v>40</v>
      </c>
      <c r="F158" s="77"/>
      <c r="G158" s="77">
        <f>Source!AU44</f>
        <v>40</v>
      </c>
      <c r="H158" s="78"/>
      <c r="I158" s="79"/>
      <c r="J158" s="78"/>
      <c r="K158" s="79"/>
      <c r="L158" s="78">
        <f>SUM(BA151:BA159)</f>
        <v>467.35</v>
      </c>
    </row>
    <row r="159" spans="1:101" ht="13.8" x14ac:dyDescent="0.25">
      <c r="C159" s="127" t="s">
        <v>868</v>
      </c>
      <c r="D159" s="127"/>
      <c r="E159" s="127"/>
      <c r="F159" s="127"/>
      <c r="G159" s="127"/>
      <c r="H159" s="127"/>
      <c r="I159" s="128">
        <f>IF(E151&lt;&gt;0,K159/E151, 0)</f>
        <v>66889.749999999985</v>
      </c>
      <c r="J159" s="128"/>
      <c r="K159" s="128">
        <f>L153+L157+L158</f>
        <v>2675.5899999999997</v>
      </c>
      <c r="L159" s="128"/>
      <c r="AD159">
        <f>ROUND((Source!AT44/100)*((ROUND(SUMIF(SmtRes!AQ10:'SmtRes'!AQ10,"=1",SmtRes!AD10:'SmtRes'!AD10)*Source!I44, 2)+ROUND(SUMIF(SmtRes!AQ10:'SmtRes'!AQ10,"=1",SmtRes!AC10:'SmtRes'!AC10)*Source!I44, 2))), 2)</f>
        <v>10.220000000000001</v>
      </c>
      <c r="AE159">
        <f>ROUND((Source!AU44/100)*((ROUND(SUMIF(SmtRes!AQ10:'SmtRes'!AQ10,"=1",SmtRes!AD10:'SmtRes'!AD10)*Source!I44, 2)+ROUND(SUMIF(SmtRes!AQ10:'SmtRes'!AQ10,"=1",SmtRes!AC10:'SmtRes'!AC10)*Source!I44, 2))), 2)</f>
        <v>4.59</v>
      </c>
      <c r="AN159" s="80">
        <f>L153+L157+L158</f>
        <v>2675.5899999999997</v>
      </c>
      <c r="AO159">
        <f>0</f>
        <v>0</v>
      </c>
      <c r="AQ159" t="s">
        <v>869</v>
      </c>
      <c r="AR159" s="80">
        <f>L153</f>
        <v>1168.3800000000001</v>
      </c>
      <c r="AT159">
        <f>0</f>
        <v>0</v>
      </c>
      <c r="AV159" t="s">
        <v>869</v>
      </c>
      <c r="AW159">
        <f>0</f>
        <v>0</v>
      </c>
      <c r="AZ159">
        <f>Source!X44</f>
        <v>1039.8599999999999</v>
      </c>
      <c r="BA159">
        <f>Source!Y44</f>
        <v>467.35</v>
      </c>
      <c r="CD159">
        <v>1</v>
      </c>
    </row>
    <row r="160" spans="1:101" ht="27.6" x14ac:dyDescent="0.25">
      <c r="C160" s="62" t="str">
        <f>Source!G45</f>
        <v>обратная засыпка траншеи экскаватором к=0,5</v>
      </c>
    </row>
    <row r="161" spans="1:101" ht="94.2" x14ac:dyDescent="0.25">
      <c r="A161" s="63" t="s">
        <v>77</v>
      </c>
      <c r="B161" s="65" t="s">
        <v>884</v>
      </c>
      <c r="C161" s="65" t="s">
        <v>885</v>
      </c>
      <c r="D161" s="66" t="str">
        <f>Source!H46</f>
        <v>1000 м3</v>
      </c>
      <c r="E161" s="67">
        <f>Source!K46</f>
        <v>0.06</v>
      </c>
      <c r="F161" s="67"/>
      <c r="G161" s="67">
        <f>Source!I46</f>
        <v>0.06</v>
      </c>
      <c r="H161" s="69"/>
      <c r="I161" s="68"/>
      <c r="J161" s="69"/>
      <c r="K161" s="68"/>
      <c r="L161" s="69"/>
    </row>
    <row r="162" spans="1:101" ht="132" x14ac:dyDescent="0.25">
      <c r="B162" s="70" t="str">
        <f>Source!EO46</f>
        <v>Поправка: 421/пр_2020_прил.10_т.5_п.9.1_гр.3</v>
      </c>
      <c r="C162" s="70" t="str">
        <f>Source!CN46</f>
        <v>Поправка: 421/пр_2020_прил.10_т.5_п.9.1_гр.3
Наименование: Производство ремонтно-строительных работ осуществляется в стесненных условиях населенных пунктов: отдельных конструктивных решений объектов капитального строительства (кроме указанных в п.п. 10.2 и 10.3), объектов капитального строительства в целом</v>
      </c>
    </row>
    <row r="163" spans="1:101" ht="14.4" x14ac:dyDescent="0.25">
      <c r="A163" s="64"/>
      <c r="B163" s="67">
        <v>1</v>
      </c>
      <c r="C163" s="64" t="s">
        <v>863</v>
      </c>
      <c r="D163" s="66" t="s">
        <v>501</v>
      </c>
      <c r="E163" s="73"/>
      <c r="F163" s="67"/>
      <c r="G163" s="67">
        <f>Source!U46</f>
        <v>0.24632999999999999</v>
      </c>
      <c r="H163" s="67"/>
      <c r="I163" s="67"/>
      <c r="J163" s="67"/>
      <c r="K163" s="67"/>
      <c r="L163" s="74">
        <f>SUM(L164:L164)-SUMIF(CE164:CE164, 1, L164:L164)</f>
        <v>73.739999999999995</v>
      </c>
    </row>
    <row r="164" spans="1:101" ht="14.4" x14ac:dyDescent="0.25">
      <c r="A164" s="65"/>
      <c r="B164" s="65" t="s">
        <v>499</v>
      </c>
      <c r="C164" s="65" t="s">
        <v>500</v>
      </c>
      <c r="D164" s="66" t="s">
        <v>501</v>
      </c>
      <c r="E164" s="67">
        <v>7.14</v>
      </c>
      <c r="F164" s="67">
        <f>ROUND((0.15+1)*0.5,7)</f>
        <v>0.57499999999999996</v>
      </c>
      <c r="G164" s="67">
        <f>SmtRes!CX11</f>
        <v>0.24632999999999999</v>
      </c>
      <c r="H164" s="69"/>
      <c r="I164" s="68"/>
      <c r="J164" s="69">
        <f>SmtRes!CZ11</f>
        <v>299.36</v>
      </c>
      <c r="K164" s="68"/>
      <c r="L164" s="69">
        <f>SmtRes!DI11</f>
        <v>73.739999999999995</v>
      </c>
    </row>
    <row r="165" spans="1:101" ht="14.4" x14ac:dyDescent="0.25">
      <c r="A165" s="64"/>
      <c r="B165" s="67">
        <v>2</v>
      </c>
      <c r="C165" s="64" t="s">
        <v>875</v>
      </c>
      <c r="D165" s="66"/>
      <c r="E165" s="73"/>
      <c r="F165" s="67"/>
      <c r="G165" s="67"/>
      <c r="H165" s="67"/>
      <c r="I165" s="67"/>
      <c r="J165" s="67"/>
      <c r="K165" s="67"/>
      <c r="L165" s="74">
        <f>SUM(L166:L168)-SUMIF(CE166:CE168, 1, L166:L168)</f>
        <v>1052.9599999999998</v>
      </c>
    </row>
    <row r="166" spans="1:101" ht="14.4" x14ac:dyDescent="0.25">
      <c r="A166" s="64"/>
      <c r="B166" s="67"/>
      <c r="C166" s="64" t="s">
        <v>877</v>
      </c>
      <c r="D166" s="66" t="s">
        <v>501</v>
      </c>
      <c r="E166" s="73"/>
      <c r="F166" s="67"/>
      <c r="G166" s="67">
        <f>Source!V46</f>
        <v>1.2275100000000001</v>
      </c>
      <c r="H166" s="67"/>
      <c r="I166" s="67"/>
      <c r="J166" s="67"/>
      <c r="K166" s="67"/>
      <c r="L166" s="74">
        <f>SUMIF(CE167:CE168, 1, L167:L168)</f>
        <v>519.17999999999995</v>
      </c>
      <c r="CE166">
        <v>1</v>
      </c>
    </row>
    <row r="167" spans="1:101" ht="41.4" x14ac:dyDescent="0.25">
      <c r="A167" s="65"/>
      <c r="B167" s="65" t="s">
        <v>511</v>
      </c>
      <c r="C167" s="65" t="s">
        <v>513</v>
      </c>
      <c r="D167" s="66" t="s">
        <v>509</v>
      </c>
      <c r="E167" s="67">
        <v>35.58</v>
      </c>
      <c r="F167" s="67">
        <f>ROUND((0.15+1)*0.5,7)</f>
        <v>0.57499999999999996</v>
      </c>
      <c r="G167" s="67">
        <f>SmtRes!CX13</f>
        <v>1.2275100000000001</v>
      </c>
      <c r="H167" s="69">
        <f>SmtRes!CZ13</f>
        <v>675.43</v>
      </c>
      <c r="I167" s="68">
        <f>SmtRes!AJ13</f>
        <v>1.27</v>
      </c>
      <c r="J167" s="69">
        <f>ROUND(H167*I167, 2)</f>
        <v>857.8</v>
      </c>
      <c r="K167" s="68"/>
      <c r="L167" s="69">
        <f>SmtRes!DG13</f>
        <v>1052.96</v>
      </c>
    </row>
    <row r="168" spans="1:101" ht="27.6" x14ac:dyDescent="0.25">
      <c r="A168" s="65"/>
      <c r="B168" s="65" t="s">
        <v>510</v>
      </c>
      <c r="C168" s="75" t="s">
        <v>876</v>
      </c>
      <c r="D168" s="76" t="s">
        <v>501</v>
      </c>
      <c r="E168" s="77">
        <f>SmtRes!DO13*SmtRes!AT13</f>
        <v>35.58</v>
      </c>
      <c r="F168" s="77">
        <f>ROUND((0.15+1)*0.5,7)</f>
        <v>0.57499999999999996</v>
      </c>
      <c r="G168" s="77">
        <f>ROUND(E168*F168*G161, 7)</f>
        <v>1.2275100000000001</v>
      </c>
      <c r="H168" s="78"/>
      <c r="I168" s="79"/>
      <c r="J168" s="78">
        <f>ROUND(SmtRes!AG13/SmtRes!DO13, 2)</f>
        <v>422.95</v>
      </c>
      <c r="K168" s="79"/>
      <c r="L168" s="78">
        <f>SmtRes!DH13</f>
        <v>519.17999999999995</v>
      </c>
      <c r="CE168">
        <v>1</v>
      </c>
    </row>
    <row r="169" spans="1:101" ht="14.4" x14ac:dyDescent="0.25">
      <c r="A169" s="65"/>
      <c r="B169" s="65"/>
      <c r="C169" s="81" t="s">
        <v>864</v>
      </c>
      <c r="D169" s="66"/>
      <c r="E169" s="67"/>
      <c r="F169" s="67"/>
      <c r="G169" s="67"/>
      <c r="H169" s="69"/>
      <c r="I169" s="68"/>
      <c r="J169" s="69"/>
      <c r="K169" s="68"/>
      <c r="L169" s="69">
        <f>L163+L165+L166</f>
        <v>1645.8799999999997</v>
      </c>
    </row>
    <row r="170" spans="1:101" ht="14.4" x14ac:dyDescent="0.25">
      <c r="A170" s="65"/>
      <c r="B170" s="65"/>
      <c r="C170" s="65" t="s">
        <v>865</v>
      </c>
      <c r="D170" s="66"/>
      <c r="E170" s="67"/>
      <c r="F170" s="67"/>
      <c r="G170" s="67"/>
      <c r="H170" s="69"/>
      <c r="I170" s="68"/>
      <c r="J170" s="69"/>
      <c r="K170" s="68"/>
      <c r="L170" s="69">
        <f>SUM(AR161:AR173)+SUM(AS161:AS173)+SUM(AT161:AT173)+SUM(AU161:AU173)+SUM(AV161:AV173)</f>
        <v>592.91999999999996</v>
      </c>
    </row>
    <row r="171" spans="1:101" ht="27.6" x14ac:dyDescent="0.25">
      <c r="A171" s="65"/>
      <c r="B171" s="65" t="s">
        <v>57</v>
      </c>
      <c r="C171" s="65" t="s">
        <v>878</v>
      </c>
      <c r="D171" s="66" t="s">
        <v>761</v>
      </c>
      <c r="E171" s="67">
        <f>Source!BZ46</f>
        <v>92</v>
      </c>
      <c r="F171" s="67"/>
      <c r="G171" s="67">
        <f>Source!AT46</f>
        <v>92</v>
      </c>
      <c r="H171" s="69"/>
      <c r="I171" s="68"/>
      <c r="J171" s="69"/>
      <c r="K171" s="68"/>
      <c r="L171" s="69">
        <f>SUM(AZ161:AZ173)</f>
        <v>545.49</v>
      </c>
    </row>
    <row r="172" spans="1:101" ht="27.6" x14ac:dyDescent="0.25">
      <c r="A172" s="75"/>
      <c r="B172" s="75" t="s">
        <v>58</v>
      </c>
      <c r="C172" s="75" t="s">
        <v>879</v>
      </c>
      <c r="D172" s="76" t="s">
        <v>761</v>
      </c>
      <c r="E172" s="77">
        <f>Source!CA46</f>
        <v>46</v>
      </c>
      <c r="F172" s="77"/>
      <c r="G172" s="77">
        <f>Source!AU46</f>
        <v>46</v>
      </c>
      <c r="H172" s="78"/>
      <c r="I172" s="79"/>
      <c r="J172" s="78"/>
      <c r="K172" s="79"/>
      <c r="L172" s="78">
        <f>SUM(BA161:BA173)</f>
        <v>272.74</v>
      </c>
    </row>
    <row r="173" spans="1:101" ht="13.8" x14ac:dyDescent="0.25">
      <c r="C173" s="127" t="s">
        <v>868</v>
      </c>
      <c r="D173" s="127"/>
      <c r="E173" s="127"/>
      <c r="F173" s="127"/>
      <c r="G173" s="127"/>
      <c r="H173" s="127"/>
      <c r="I173" s="128">
        <f>IF(E161&lt;&gt;0,K173/E161, 0)</f>
        <v>41068.499999999993</v>
      </c>
      <c r="J173" s="128"/>
      <c r="K173" s="128">
        <f>L163+L165+L171+L172+L166</f>
        <v>2464.1099999999997</v>
      </c>
      <c r="L173" s="128"/>
      <c r="AD173">
        <f>ROUND((Source!AT46/100)*((ROUND(SUMIF(SmtRes!AQ11:'SmtRes'!AQ13,"=1",SmtRes!AD11:'SmtRes'!AD13)*Source!I46, 2)+ROUND(SUMIF(SmtRes!AQ11:'SmtRes'!AQ13,"=1",SmtRes!AC11:'SmtRes'!AC13)*Source!I46, 2))), 2)</f>
        <v>39.869999999999997</v>
      </c>
      <c r="AE173">
        <f>ROUND((Source!AU46/100)*((ROUND(SUMIF(SmtRes!AQ11:'SmtRes'!AQ13,"=1",SmtRes!AD11:'SmtRes'!AD13)*Source!I46, 2)+ROUND(SUMIF(SmtRes!AQ11:'SmtRes'!AQ13,"=1",SmtRes!AC11:'SmtRes'!AC13)*Source!I46, 2))), 2)</f>
        <v>19.940000000000001</v>
      </c>
      <c r="AN173" s="80">
        <f>L163+L165+L171+L172+L166</f>
        <v>2464.1099999999997</v>
      </c>
      <c r="AO173" s="80">
        <f>L165</f>
        <v>1052.9599999999998</v>
      </c>
      <c r="AQ173" t="s">
        <v>869</v>
      </c>
      <c r="AR173" s="80">
        <f>L163</f>
        <v>73.739999999999995</v>
      </c>
      <c r="AT173" s="80">
        <f>L166</f>
        <v>519.17999999999995</v>
      </c>
      <c r="AV173" t="s">
        <v>869</v>
      </c>
      <c r="AW173">
        <f>0</f>
        <v>0</v>
      </c>
      <c r="AZ173">
        <f>Source!X46</f>
        <v>545.49</v>
      </c>
      <c r="BA173">
        <f>Source!Y46</f>
        <v>272.74</v>
      </c>
      <c r="CD173">
        <v>1</v>
      </c>
    </row>
    <row r="174" spans="1:101" ht="27.6" x14ac:dyDescent="0.25">
      <c r="A174" s="63" t="s">
        <v>82</v>
      </c>
      <c r="B174" s="65" t="s">
        <v>886</v>
      </c>
      <c r="C174" s="65" t="str">
        <f>Source!G47</f>
        <v>Уплотнение грунта пневматическими трамбовками, группа грунтов: 1-2</v>
      </c>
      <c r="D174" s="66" t="str">
        <f>Source!H47</f>
        <v>100 м3</v>
      </c>
      <c r="E174" s="67">
        <f>Source!K47</f>
        <v>0.6</v>
      </c>
      <c r="F174" s="67"/>
      <c r="G174" s="67">
        <f>Source!I47</f>
        <v>0.6</v>
      </c>
      <c r="H174" s="69"/>
      <c r="I174" s="68"/>
      <c r="J174" s="69"/>
      <c r="K174" s="68"/>
      <c r="L174" s="69"/>
    </row>
    <row r="175" spans="1:101" ht="39.6" x14ac:dyDescent="0.25">
      <c r="B175" s="70" t="s">
        <v>788</v>
      </c>
      <c r="C175" s="129" t="s">
        <v>871</v>
      </c>
      <c r="D175" s="129"/>
      <c r="E175" s="129"/>
      <c r="F175" s="129"/>
      <c r="G175" s="129"/>
      <c r="H175" s="129"/>
      <c r="I175" s="129"/>
      <c r="J175" s="129"/>
      <c r="K175" s="129"/>
      <c r="L175" s="129"/>
      <c r="CW175" s="71" t="s">
        <v>871</v>
      </c>
    </row>
    <row r="176" spans="1:101" ht="14.4" x14ac:dyDescent="0.25">
      <c r="A176" s="64"/>
      <c r="B176" s="67">
        <v>1</v>
      </c>
      <c r="C176" s="64" t="s">
        <v>863</v>
      </c>
      <c r="D176" s="66" t="s">
        <v>501</v>
      </c>
      <c r="E176" s="73"/>
      <c r="F176" s="67"/>
      <c r="G176" s="67">
        <f>Source!U47</f>
        <v>8.6456999999999997</v>
      </c>
      <c r="H176" s="67"/>
      <c r="I176" s="67"/>
      <c r="J176" s="67"/>
      <c r="K176" s="67"/>
      <c r="L176" s="74">
        <f>SUM(L177:L177)-SUMIF(CE177:CE177, 1, L177:L177)</f>
        <v>2825.59</v>
      </c>
    </row>
    <row r="177" spans="1:101" ht="14.4" x14ac:dyDescent="0.25">
      <c r="A177" s="65"/>
      <c r="B177" s="65" t="s">
        <v>514</v>
      </c>
      <c r="C177" s="65" t="s">
        <v>515</v>
      </c>
      <c r="D177" s="66" t="s">
        <v>501</v>
      </c>
      <c r="E177" s="67">
        <v>12.53</v>
      </c>
      <c r="F177" s="67">
        <f>ROUND((0.15+1),7)</f>
        <v>1.1499999999999999</v>
      </c>
      <c r="G177" s="67">
        <f>SmtRes!CX14</f>
        <v>8.6456999999999997</v>
      </c>
      <c r="H177" s="69"/>
      <c r="I177" s="68"/>
      <c r="J177" s="69">
        <f>SmtRes!CZ14</f>
        <v>326.82</v>
      </c>
      <c r="K177" s="68"/>
      <c r="L177" s="69">
        <f>SmtRes!DI14</f>
        <v>2825.59</v>
      </c>
    </row>
    <row r="178" spans="1:101" ht="14.4" x14ac:dyDescent="0.25">
      <c r="A178" s="64"/>
      <c r="B178" s="67">
        <v>2</v>
      </c>
      <c r="C178" s="64" t="s">
        <v>875</v>
      </c>
      <c r="D178" s="66"/>
      <c r="E178" s="73"/>
      <c r="F178" s="67"/>
      <c r="G178" s="67"/>
      <c r="H178" s="67"/>
      <c r="I178" s="67"/>
      <c r="J178" s="67"/>
      <c r="K178" s="67"/>
      <c r="L178" s="74">
        <f>SUM(L179:L182)-SUMIF(CE179:CE182, 1, L179:L182)</f>
        <v>715.80000000000018</v>
      </c>
    </row>
    <row r="179" spans="1:101" ht="14.4" x14ac:dyDescent="0.25">
      <c r="A179" s="64"/>
      <c r="B179" s="67"/>
      <c r="C179" s="64" t="s">
        <v>877</v>
      </c>
      <c r="D179" s="66" t="s">
        <v>501</v>
      </c>
      <c r="E179" s="73"/>
      <c r="F179" s="67"/>
      <c r="G179" s="67">
        <f>Source!V47</f>
        <v>1.8078000000000001</v>
      </c>
      <c r="H179" s="67"/>
      <c r="I179" s="67"/>
      <c r="J179" s="67"/>
      <c r="K179" s="67"/>
      <c r="L179" s="74">
        <f>SUMIF(CE180:CE182, 1, L180:L182)</f>
        <v>665.31</v>
      </c>
      <c r="CE179">
        <v>1</v>
      </c>
    </row>
    <row r="180" spans="1:101" ht="41.4" x14ac:dyDescent="0.25">
      <c r="A180" s="65"/>
      <c r="B180" s="65" t="s">
        <v>516</v>
      </c>
      <c r="C180" s="65" t="s">
        <v>518</v>
      </c>
      <c r="D180" s="66" t="s">
        <v>509</v>
      </c>
      <c r="E180" s="67">
        <v>10.5</v>
      </c>
      <c r="F180" s="67">
        <f>ROUND((0.15+1),7)</f>
        <v>1.1499999999999999</v>
      </c>
      <c r="G180" s="67">
        <f>SmtRes!CX16</f>
        <v>7.2450000000000001</v>
      </c>
      <c r="H180" s="69">
        <f>SmtRes!CZ16</f>
        <v>2.41</v>
      </c>
      <c r="I180" s="68">
        <f>SmtRes!AJ16</f>
        <v>1.07</v>
      </c>
      <c r="J180" s="69">
        <f>ROUND(H180*I180, 2)</f>
        <v>2.58</v>
      </c>
      <c r="K180" s="68"/>
      <c r="L180" s="69">
        <f>SmtRes!DG16</f>
        <v>18.690000000000001</v>
      </c>
    </row>
    <row r="181" spans="1:101" ht="55.2" x14ac:dyDescent="0.25">
      <c r="A181" s="65"/>
      <c r="B181" s="65" t="s">
        <v>519</v>
      </c>
      <c r="C181" s="65" t="s">
        <v>521</v>
      </c>
      <c r="D181" s="66" t="s">
        <v>509</v>
      </c>
      <c r="E181" s="67">
        <v>2.62</v>
      </c>
      <c r="F181" s="67">
        <f>ROUND((0.15+1),7)</f>
        <v>1.1499999999999999</v>
      </c>
      <c r="G181" s="67">
        <f>SmtRes!CX17</f>
        <v>1.8078000000000001</v>
      </c>
      <c r="H181" s="69"/>
      <c r="I181" s="68"/>
      <c r="J181" s="69">
        <f>SmtRes!CZ17</f>
        <v>385.61</v>
      </c>
      <c r="K181" s="68"/>
      <c r="L181" s="69">
        <f>SmtRes!DG17</f>
        <v>697.11</v>
      </c>
    </row>
    <row r="182" spans="1:101" ht="27.6" x14ac:dyDescent="0.25">
      <c r="A182" s="65"/>
      <c r="B182" s="65" t="s">
        <v>522</v>
      </c>
      <c r="C182" s="75" t="s">
        <v>887</v>
      </c>
      <c r="D182" s="76" t="s">
        <v>501</v>
      </c>
      <c r="E182" s="77">
        <f>SmtRes!DO17*SmtRes!AT17</f>
        <v>2.62</v>
      </c>
      <c r="F182" s="77">
        <f>ROUND((0.15+1),7)</f>
        <v>1.1499999999999999</v>
      </c>
      <c r="G182" s="77">
        <f>ROUND(E182*F182*G174, 7)</f>
        <v>1.8078000000000001</v>
      </c>
      <c r="H182" s="78"/>
      <c r="I182" s="79"/>
      <c r="J182" s="78">
        <f>ROUND(SmtRes!AG17/SmtRes!DO17, 2)</f>
        <v>368.02</v>
      </c>
      <c r="K182" s="79"/>
      <c r="L182" s="78">
        <f>SmtRes!DH17</f>
        <v>665.31</v>
      </c>
      <c r="CE182">
        <v>1</v>
      </c>
    </row>
    <row r="183" spans="1:101" ht="14.4" x14ac:dyDescent="0.25">
      <c r="A183" s="65"/>
      <c r="B183" s="65"/>
      <c r="C183" s="81" t="s">
        <v>864</v>
      </c>
      <c r="D183" s="66"/>
      <c r="E183" s="67"/>
      <c r="F183" s="67"/>
      <c r="G183" s="67"/>
      <c r="H183" s="69"/>
      <c r="I183" s="68"/>
      <c r="J183" s="69"/>
      <c r="K183" s="68"/>
      <c r="L183" s="69">
        <f>L176+L178+L179</f>
        <v>4206.7000000000007</v>
      </c>
    </row>
    <row r="184" spans="1:101" ht="14.4" x14ac:dyDescent="0.25">
      <c r="A184" s="65"/>
      <c r="B184" s="65"/>
      <c r="C184" s="65" t="s">
        <v>865</v>
      </c>
      <c r="D184" s="66"/>
      <c r="E184" s="67"/>
      <c r="F184" s="67"/>
      <c r="G184" s="67"/>
      <c r="H184" s="69"/>
      <c r="I184" s="68"/>
      <c r="J184" s="69"/>
      <c r="K184" s="68"/>
      <c r="L184" s="69">
        <f>SUM(AR174:AR187)+SUM(AS174:AS187)+SUM(AT174:AT187)+SUM(AU174:AU187)+SUM(AV174:AV187)</f>
        <v>3490.9</v>
      </c>
    </row>
    <row r="185" spans="1:101" ht="27.6" x14ac:dyDescent="0.25">
      <c r="A185" s="65"/>
      <c r="B185" s="65" t="s">
        <v>57</v>
      </c>
      <c r="C185" s="65" t="s">
        <v>878</v>
      </c>
      <c r="D185" s="66" t="s">
        <v>761</v>
      </c>
      <c r="E185" s="67">
        <f>Source!BZ47</f>
        <v>92</v>
      </c>
      <c r="F185" s="67"/>
      <c r="G185" s="67">
        <f>Source!AT47</f>
        <v>92</v>
      </c>
      <c r="H185" s="69"/>
      <c r="I185" s="68"/>
      <c r="J185" s="69"/>
      <c r="K185" s="68"/>
      <c r="L185" s="69">
        <f>SUM(AZ174:AZ187)</f>
        <v>3211.63</v>
      </c>
    </row>
    <row r="186" spans="1:101" ht="27.6" x14ac:dyDescent="0.25">
      <c r="A186" s="75"/>
      <c r="B186" s="75" t="s">
        <v>58</v>
      </c>
      <c r="C186" s="75" t="s">
        <v>879</v>
      </c>
      <c r="D186" s="76" t="s">
        <v>761</v>
      </c>
      <c r="E186" s="77">
        <f>Source!CA47</f>
        <v>46</v>
      </c>
      <c r="F186" s="77"/>
      <c r="G186" s="77">
        <f>Source!AU47</f>
        <v>46</v>
      </c>
      <c r="H186" s="78"/>
      <c r="I186" s="79"/>
      <c r="J186" s="78"/>
      <c r="K186" s="79"/>
      <c r="L186" s="78">
        <f>SUM(BA174:BA187)</f>
        <v>1605.81</v>
      </c>
    </row>
    <row r="187" spans="1:101" ht="13.8" x14ac:dyDescent="0.25">
      <c r="C187" s="127" t="s">
        <v>868</v>
      </c>
      <c r="D187" s="127"/>
      <c r="E187" s="127"/>
      <c r="F187" s="127"/>
      <c r="G187" s="127"/>
      <c r="H187" s="127"/>
      <c r="I187" s="128">
        <f>IF(E174&lt;&gt;0,K187/E174, 0)</f>
        <v>15040.233333333334</v>
      </c>
      <c r="J187" s="128"/>
      <c r="K187" s="128">
        <f>L176+L178+L185+L186+L179</f>
        <v>9024.14</v>
      </c>
      <c r="L187" s="128"/>
      <c r="AD187">
        <f>ROUND((Source!AT47/100)*((ROUND(SUMIF(SmtRes!AQ14:'SmtRes'!AQ17,"=1",SmtRes!AD14:'SmtRes'!AD17)*Source!I47, 2)+ROUND(SUMIF(SmtRes!AQ14:'SmtRes'!AQ17,"=1",SmtRes!AC14:'SmtRes'!AC17)*Source!I47, 2))), 2)</f>
        <v>383.55</v>
      </c>
      <c r="AE187">
        <f>ROUND((Source!AU47/100)*((ROUND(SUMIF(SmtRes!AQ14:'SmtRes'!AQ17,"=1",SmtRes!AD14:'SmtRes'!AD17)*Source!I47, 2)+ROUND(SUMIF(SmtRes!AQ14:'SmtRes'!AQ17,"=1",SmtRes!AC14:'SmtRes'!AC17)*Source!I47, 2))), 2)</f>
        <v>191.77</v>
      </c>
      <c r="AN187" s="80">
        <f>L176+L178+L185+L186+L179</f>
        <v>9024.14</v>
      </c>
      <c r="AO187" s="80">
        <f>L178</f>
        <v>715.80000000000018</v>
      </c>
      <c r="AQ187" t="s">
        <v>869</v>
      </c>
      <c r="AR187" s="80">
        <f>L176</f>
        <v>2825.59</v>
      </c>
      <c r="AT187" s="80">
        <f>L179</f>
        <v>665.31</v>
      </c>
      <c r="AV187" t="s">
        <v>869</v>
      </c>
      <c r="AW187">
        <f>0</f>
        <v>0</v>
      </c>
      <c r="AZ187">
        <f>Source!X47</f>
        <v>3211.63</v>
      </c>
      <c r="BA187">
        <f>Source!Y47</f>
        <v>1605.81</v>
      </c>
      <c r="CD187">
        <v>1</v>
      </c>
    </row>
    <row r="188" spans="1:101" ht="55.2" x14ac:dyDescent="0.25">
      <c r="A188" s="63" t="s">
        <v>86</v>
      </c>
      <c r="B188" s="65" t="s">
        <v>888</v>
      </c>
      <c r="C188" s="65" t="str">
        <f>Source!G48</f>
        <v>Планировка площадей: ручным способом, группа грунтов 1 (зоны производства работ, зеленая зона в черте города )</v>
      </c>
      <c r="D188" s="66" t="str">
        <f>Source!H48</f>
        <v>1000 м2</v>
      </c>
      <c r="E188" s="67">
        <f>Source!K48</f>
        <v>0.1</v>
      </c>
      <c r="F188" s="67"/>
      <c r="G188" s="67">
        <f>Source!I48</f>
        <v>0.1</v>
      </c>
      <c r="H188" s="69"/>
      <c r="I188" s="68"/>
      <c r="J188" s="69"/>
      <c r="K188" s="68"/>
      <c r="L188" s="69"/>
    </row>
    <row r="189" spans="1:101" ht="39.6" x14ac:dyDescent="0.25">
      <c r="B189" s="70" t="s">
        <v>788</v>
      </c>
      <c r="C189" s="129" t="s">
        <v>871</v>
      </c>
      <c r="D189" s="129"/>
      <c r="E189" s="129"/>
      <c r="F189" s="129"/>
      <c r="G189" s="129"/>
      <c r="H189" s="129"/>
      <c r="I189" s="129"/>
      <c r="J189" s="129"/>
      <c r="K189" s="129"/>
      <c r="L189" s="129"/>
      <c r="CW189" s="71" t="s">
        <v>871</v>
      </c>
    </row>
    <row r="190" spans="1:101" ht="14.4" x14ac:dyDescent="0.25">
      <c r="A190" s="64"/>
      <c r="B190" s="67">
        <v>1</v>
      </c>
      <c r="C190" s="64" t="s">
        <v>863</v>
      </c>
      <c r="D190" s="66" t="s">
        <v>501</v>
      </c>
      <c r="E190" s="73"/>
      <c r="F190" s="67"/>
      <c r="G190" s="67">
        <f>Source!U48</f>
        <v>11.5</v>
      </c>
      <c r="H190" s="67"/>
      <c r="I190" s="67"/>
      <c r="J190" s="67"/>
      <c r="K190" s="67"/>
      <c r="L190" s="74">
        <f>SUM(L191:L191)-SUMIF(CE191:CE191, 1, L191:L191)</f>
        <v>3758.43</v>
      </c>
    </row>
    <row r="191" spans="1:101" ht="14.4" x14ac:dyDescent="0.25">
      <c r="A191" s="65"/>
      <c r="B191" s="65" t="s">
        <v>514</v>
      </c>
      <c r="C191" s="75" t="s">
        <v>515</v>
      </c>
      <c r="D191" s="76" t="s">
        <v>501</v>
      </c>
      <c r="E191" s="77">
        <v>100</v>
      </c>
      <c r="F191" s="77">
        <f>ROUND((0.15+1),7)</f>
        <v>1.1499999999999999</v>
      </c>
      <c r="G191" s="77">
        <f>SmtRes!CX18</f>
        <v>11.5</v>
      </c>
      <c r="H191" s="78"/>
      <c r="I191" s="79"/>
      <c r="J191" s="78">
        <f>SmtRes!CZ18</f>
        <v>326.82</v>
      </c>
      <c r="K191" s="79"/>
      <c r="L191" s="78">
        <f>SmtRes!DI18</f>
        <v>3758.43</v>
      </c>
    </row>
    <row r="192" spans="1:101" ht="14.4" x14ac:dyDescent="0.25">
      <c r="A192" s="65"/>
      <c r="B192" s="65"/>
      <c r="C192" s="81" t="s">
        <v>864</v>
      </c>
      <c r="D192" s="66"/>
      <c r="E192" s="67"/>
      <c r="F192" s="67"/>
      <c r="G192" s="67"/>
      <c r="H192" s="69"/>
      <c r="I192" s="68"/>
      <c r="J192" s="69"/>
      <c r="K192" s="68"/>
      <c r="L192" s="69">
        <f>L190</f>
        <v>3758.43</v>
      </c>
    </row>
    <row r="193" spans="1:101" ht="14.4" x14ac:dyDescent="0.25">
      <c r="A193" s="65"/>
      <c r="B193" s="65"/>
      <c r="C193" s="65" t="s">
        <v>865</v>
      </c>
      <c r="D193" s="66"/>
      <c r="E193" s="67"/>
      <c r="F193" s="67"/>
      <c r="G193" s="67"/>
      <c r="H193" s="69"/>
      <c r="I193" s="68"/>
      <c r="J193" s="69"/>
      <c r="K193" s="68"/>
      <c r="L193" s="69">
        <f>SUM(AR188:AR196)+SUM(AS188:AS196)+SUM(AT188:AT196)+SUM(AU188:AU196)+SUM(AV188:AV196)</f>
        <v>3758.43</v>
      </c>
    </row>
    <row r="194" spans="1:101" ht="41.4" x14ac:dyDescent="0.25">
      <c r="A194" s="65"/>
      <c r="B194" s="65" t="s">
        <v>92</v>
      </c>
      <c r="C194" s="65" t="s">
        <v>889</v>
      </c>
      <c r="D194" s="66" t="s">
        <v>761</v>
      </c>
      <c r="E194" s="67">
        <f>Source!BZ48</f>
        <v>89</v>
      </c>
      <c r="F194" s="67"/>
      <c r="G194" s="67">
        <f>Source!AT48</f>
        <v>89</v>
      </c>
      <c r="H194" s="69"/>
      <c r="I194" s="68"/>
      <c r="J194" s="69"/>
      <c r="K194" s="68"/>
      <c r="L194" s="69">
        <f>SUM(AZ188:AZ196)</f>
        <v>3345</v>
      </c>
    </row>
    <row r="195" spans="1:101" ht="41.4" x14ac:dyDescent="0.25">
      <c r="A195" s="75"/>
      <c r="B195" s="75" t="s">
        <v>93</v>
      </c>
      <c r="C195" s="75" t="s">
        <v>890</v>
      </c>
      <c r="D195" s="76" t="s">
        <v>761</v>
      </c>
      <c r="E195" s="77">
        <f>Source!CA48</f>
        <v>41</v>
      </c>
      <c r="F195" s="77"/>
      <c r="G195" s="77">
        <f>Source!AU48</f>
        <v>41</v>
      </c>
      <c r="H195" s="78"/>
      <c r="I195" s="79"/>
      <c r="J195" s="78"/>
      <c r="K195" s="79"/>
      <c r="L195" s="78">
        <f>SUM(BA188:BA196)</f>
        <v>1540.96</v>
      </c>
    </row>
    <row r="196" spans="1:101" ht="13.8" x14ac:dyDescent="0.25">
      <c r="C196" s="127" t="s">
        <v>868</v>
      </c>
      <c r="D196" s="127"/>
      <c r="E196" s="127"/>
      <c r="F196" s="127"/>
      <c r="G196" s="127"/>
      <c r="H196" s="127"/>
      <c r="I196" s="128">
        <f>IF(E188&lt;&gt;0,K196/E188, 0)</f>
        <v>86443.9</v>
      </c>
      <c r="J196" s="128"/>
      <c r="K196" s="128">
        <f>L190+L194+L195</f>
        <v>8644.39</v>
      </c>
      <c r="L196" s="128"/>
      <c r="AD196">
        <f>ROUND((Source!AT48/100)*((ROUND(SUMIF(SmtRes!AQ18:'SmtRes'!AQ18,"=1",SmtRes!AD18:'SmtRes'!AD18)*Source!I48, 2)+ROUND(SUMIF(SmtRes!AQ18:'SmtRes'!AQ18,"=1",SmtRes!AC18:'SmtRes'!AC18)*Source!I48, 2))), 2)</f>
        <v>29.09</v>
      </c>
      <c r="AE196">
        <f>ROUND((Source!AU48/100)*((ROUND(SUMIF(SmtRes!AQ18:'SmtRes'!AQ18,"=1",SmtRes!AD18:'SmtRes'!AD18)*Source!I48, 2)+ROUND(SUMIF(SmtRes!AQ18:'SmtRes'!AQ18,"=1",SmtRes!AC18:'SmtRes'!AC18)*Source!I48, 2))), 2)</f>
        <v>13.4</v>
      </c>
      <c r="AN196" s="80">
        <f>L190+L194+L195</f>
        <v>8644.39</v>
      </c>
      <c r="AO196">
        <f>0</f>
        <v>0</v>
      </c>
      <c r="AQ196" t="s">
        <v>869</v>
      </c>
      <c r="AR196" s="80">
        <f>L190</f>
        <v>3758.43</v>
      </c>
      <c r="AT196">
        <f>0</f>
        <v>0</v>
      </c>
      <c r="AV196" t="s">
        <v>869</v>
      </c>
      <c r="AW196">
        <f>0</f>
        <v>0</v>
      </c>
      <c r="AZ196">
        <f>Source!X48</f>
        <v>3345</v>
      </c>
      <c r="BA196">
        <f>Source!Y48</f>
        <v>1540.96</v>
      </c>
      <c r="CD196">
        <v>1</v>
      </c>
    </row>
    <row r="197" spans="1:101" ht="55.2" x14ac:dyDescent="0.25">
      <c r="A197" s="63" t="s">
        <v>95</v>
      </c>
      <c r="B197" s="65" t="s">
        <v>891</v>
      </c>
      <c r="C197" s="65" t="str">
        <f>Source!G49</f>
        <v>Подвешивание коробов подземных коммуникаций при пересечении их трассой трубопровода, площадь сечения коробов: до 0,25 м2</v>
      </c>
      <c r="D197" s="66" t="str">
        <f>Source!H49</f>
        <v>м</v>
      </c>
      <c r="E197" s="67">
        <f>Source!K49</f>
        <v>5</v>
      </c>
      <c r="F197" s="67"/>
      <c r="G197" s="67">
        <f>Source!I49</f>
        <v>5</v>
      </c>
      <c r="H197" s="69"/>
      <c r="I197" s="68"/>
      <c r="J197" s="69"/>
      <c r="K197" s="68"/>
      <c r="L197" s="69"/>
    </row>
    <row r="198" spans="1:101" ht="39.6" x14ac:dyDescent="0.25">
      <c r="B198" s="70" t="s">
        <v>788</v>
      </c>
      <c r="C198" s="129" t="s">
        <v>871</v>
      </c>
      <c r="D198" s="129"/>
      <c r="E198" s="129"/>
      <c r="F198" s="129"/>
      <c r="G198" s="129"/>
      <c r="H198" s="129"/>
      <c r="I198" s="129"/>
      <c r="J198" s="129"/>
      <c r="K198" s="129"/>
      <c r="L198" s="129"/>
      <c r="CW198" s="71" t="s">
        <v>871</v>
      </c>
    </row>
    <row r="199" spans="1:101" ht="14.4" x14ac:dyDescent="0.25">
      <c r="A199" s="64"/>
      <c r="B199" s="67">
        <v>1</v>
      </c>
      <c r="C199" s="64" t="s">
        <v>863</v>
      </c>
      <c r="D199" s="66" t="s">
        <v>501</v>
      </c>
      <c r="E199" s="73"/>
      <c r="F199" s="67"/>
      <c r="G199" s="67">
        <f>Source!U49</f>
        <v>8.2799999999999994</v>
      </c>
      <c r="H199" s="67"/>
      <c r="I199" s="67"/>
      <c r="J199" s="67"/>
      <c r="K199" s="67"/>
      <c r="L199" s="74">
        <f>SUM(L200:L200)-SUMIF(CE200:CE200, 1, L200:L200)</f>
        <v>2706.07</v>
      </c>
    </row>
    <row r="200" spans="1:101" ht="14.4" x14ac:dyDescent="0.25">
      <c r="A200" s="65"/>
      <c r="B200" s="65" t="s">
        <v>514</v>
      </c>
      <c r="C200" s="65" t="s">
        <v>515</v>
      </c>
      <c r="D200" s="66" t="s">
        <v>501</v>
      </c>
      <c r="E200" s="67">
        <v>1.44</v>
      </c>
      <c r="F200" s="67">
        <f>ROUND((0.15+1),7)</f>
        <v>1.1499999999999999</v>
      </c>
      <c r="G200" s="67">
        <f>SmtRes!CX19</f>
        <v>8.2799999999999994</v>
      </c>
      <c r="H200" s="69"/>
      <c r="I200" s="68"/>
      <c r="J200" s="69">
        <f>SmtRes!CZ19</f>
        <v>326.82</v>
      </c>
      <c r="K200" s="68"/>
      <c r="L200" s="69">
        <f>SmtRes!DI19</f>
        <v>2706.07</v>
      </c>
    </row>
    <row r="201" spans="1:101" ht="14.4" x14ac:dyDescent="0.25">
      <c r="A201" s="64"/>
      <c r="B201" s="67">
        <v>2</v>
      </c>
      <c r="C201" s="64" t="s">
        <v>875</v>
      </c>
      <c r="D201" s="66"/>
      <c r="E201" s="73"/>
      <c r="F201" s="67"/>
      <c r="G201" s="67"/>
      <c r="H201" s="67"/>
      <c r="I201" s="67"/>
      <c r="J201" s="67"/>
      <c r="K201" s="67"/>
      <c r="L201" s="74">
        <f>SUM(L202:L206)-SUMIF(CE202:CE206, 1, L202:L206)</f>
        <v>2122</v>
      </c>
    </row>
    <row r="202" spans="1:101" ht="14.4" x14ac:dyDescent="0.25">
      <c r="A202" s="64"/>
      <c r="B202" s="67"/>
      <c r="C202" s="64" t="s">
        <v>877</v>
      </c>
      <c r="D202" s="66" t="s">
        <v>501</v>
      </c>
      <c r="E202" s="73"/>
      <c r="F202" s="67"/>
      <c r="G202" s="67">
        <f>Source!V49</f>
        <v>1.5525</v>
      </c>
      <c r="H202" s="67"/>
      <c r="I202" s="67"/>
      <c r="J202" s="67"/>
      <c r="K202" s="67"/>
      <c r="L202" s="74">
        <f>SUMIF(CE203:CE206, 1, L203:L206)</f>
        <v>672.09999999999991</v>
      </c>
      <c r="CE202">
        <v>1</v>
      </c>
    </row>
    <row r="203" spans="1:101" ht="27.6" x14ac:dyDescent="0.25">
      <c r="A203" s="65"/>
      <c r="B203" s="65" t="s">
        <v>523</v>
      </c>
      <c r="C203" s="65" t="s">
        <v>525</v>
      </c>
      <c r="D203" s="66" t="s">
        <v>509</v>
      </c>
      <c r="E203" s="67">
        <v>0.11</v>
      </c>
      <c r="F203" s="67">
        <f>ROUND((0.15+1),7)</f>
        <v>1.1499999999999999</v>
      </c>
      <c r="G203" s="67">
        <f>SmtRes!CX21</f>
        <v>0.63249999999999995</v>
      </c>
      <c r="H203" s="69">
        <f>SmtRes!CZ21</f>
        <v>2279.3200000000002</v>
      </c>
      <c r="I203" s="68">
        <f>SmtRes!AJ21</f>
        <v>1.1200000000000001</v>
      </c>
      <c r="J203" s="69">
        <f>ROUND(H203*I203, 2)</f>
        <v>2552.84</v>
      </c>
      <c r="K203" s="68"/>
      <c r="L203" s="69">
        <f>SmtRes!DG21</f>
        <v>1614.67</v>
      </c>
    </row>
    <row r="204" spans="1:101" ht="27.6" x14ac:dyDescent="0.25">
      <c r="A204" s="65"/>
      <c r="B204" s="65" t="s">
        <v>526</v>
      </c>
      <c r="C204" s="65" t="s">
        <v>892</v>
      </c>
      <c r="D204" s="66" t="s">
        <v>501</v>
      </c>
      <c r="E204" s="67">
        <f>SmtRes!DO21*SmtRes!AT21</f>
        <v>0.11</v>
      </c>
      <c r="F204" s="67">
        <f>ROUND((0.15+1),7)</f>
        <v>1.1499999999999999</v>
      </c>
      <c r="G204" s="67">
        <f>ROUND(E204*F204*G197, 7)</f>
        <v>0.63249999999999995</v>
      </c>
      <c r="H204" s="69"/>
      <c r="I204" s="68"/>
      <c r="J204" s="69">
        <f>ROUND(SmtRes!AG21/SmtRes!DO21, 2)</f>
        <v>527.30999999999995</v>
      </c>
      <c r="K204" s="68"/>
      <c r="L204" s="69">
        <f>SmtRes!DH21</f>
        <v>333.52</v>
      </c>
      <c r="CE204">
        <v>1</v>
      </c>
    </row>
    <row r="205" spans="1:101" ht="27.6" x14ac:dyDescent="0.25">
      <c r="A205" s="65"/>
      <c r="B205" s="65" t="s">
        <v>527</v>
      </c>
      <c r="C205" s="65" t="s">
        <v>529</v>
      </c>
      <c r="D205" s="66" t="s">
        <v>509</v>
      </c>
      <c r="E205" s="67">
        <v>0.16</v>
      </c>
      <c r="F205" s="67">
        <f>ROUND((0.15+1),7)</f>
        <v>1.1499999999999999</v>
      </c>
      <c r="G205" s="67">
        <f>SmtRes!CX22</f>
        <v>0.92</v>
      </c>
      <c r="H205" s="69"/>
      <c r="I205" s="68"/>
      <c r="J205" s="69">
        <f>SmtRes!CZ22</f>
        <v>551.45000000000005</v>
      </c>
      <c r="K205" s="68"/>
      <c r="L205" s="69">
        <f>SmtRes!DG22</f>
        <v>507.33</v>
      </c>
    </row>
    <row r="206" spans="1:101" ht="27.6" x14ac:dyDescent="0.25">
      <c r="A206" s="65"/>
      <c r="B206" s="65" t="s">
        <v>522</v>
      </c>
      <c r="C206" s="65" t="s">
        <v>887</v>
      </c>
      <c r="D206" s="66" t="s">
        <v>501</v>
      </c>
      <c r="E206" s="67">
        <f>SmtRes!DO22*SmtRes!AT22</f>
        <v>0.16</v>
      </c>
      <c r="F206" s="67">
        <f>ROUND((0.15+1),7)</f>
        <v>1.1499999999999999</v>
      </c>
      <c r="G206" s="67">
        <f>ROUND(E206*F206*G197, 7)</f>
        <v>0.92</v>
      </c>
      <c r="H206" s="69"/>
      <c r="I206" s="68"/>
      <c r="J206" s="69">
        <f>ROUND(SmtRes!AG22/SmtRes!DO22, 2)</f>
        <v>368.02</v>
      </c>
      <c r="K206" s="68"/>
      <c r="L206" s="69">
        <f>SmtRes!DH22</f>
        <v>338.58</v>
      </c>
      <c r="CE206">
        <v>1</v>
      </c>
    </row>
    <row r="207" spans="1:101" ht="14.4" x14ac:dyDescent="0.25">
      <c r="A207" s="64"/>
      <c r="B207" s="67">
        <v>4</v>
      </c>
      <c r="C207" s="64" t="s">
        <v>893</v>
      </c>
      <c r="D207" s="66"/>
      <c r="E207" s="73"/>
      <c r="F207" s="67"/>
      <c r="G207" s="67"/>
      <c r="H207" s="67"/>
      <c r="I207" s="67"/>
      <c r="J207" s="67"/>
      <c r="K207" s="67"/>
      <c r="L207" s="74">
        <f>SUM(L208:L212)-SUMIF(CE208:CE212, 1, L208:L212)</f>
        <v>4169.32</v>
      </c>
    </row>
    <row r="208" spans="1:101" ht="14.4" x14ac:dyDescent="0.25">
      <c r="A208" s="65"/>
      <c r="B208" s="65" t="s">
        <v>530</v>
      </c>
      <c r="C208" s="65" t="s">
        <v>532</v>
      </c>
      <c r="D208" s="66" t="s">
        <v>174</v>
      </c>
      <c r="E208" s="67">
        <v>2.7999999999999998E-4</v>
      </c>
      <c r="F208" s="67"/>
      <c r="G208" s="67">
        <f>SmtRes!CX23</f>
        <v>1.4E-3</v>
      </c>
      <c r="H208" s="69">
        <f>SmtRes!CZ23</f>
        <v>70296.2</v>
      </c>
      <c r="I208" s="68">
        <f>SmtRes!AI23</f>
        <v>1.32</v>
      </c>
      <c r="J208" s="69">
        <f>ROUND(H208*I208, 2)</f>
        <v>92790.98</v>
      </c>
      <c r="K208" s="68"/>
      <c r="L208" s="69">
        <f>SmtRes!DF23</f>
        <v>129.91</v>
      </c>
    </row>
    <row r="209" spans="1:82" ht="27.6" x14ac:dyDescent="0.25">
      <c r="A209" s="65"/>
      <c r="B209" s="65" t="s">
        <v>533</v>
      </c>
      <c r="C209" s="65" t="s">
        <v>535</v>
      </c>
      <c r="D209" s="66" t="s">
        <v>174</v>
      </c>
      <c r="E209" s="67">
        <v>2.0999999999999999E-3</v>
      </c>
      <c r="F209" s="67"/>
      <c r="G209" s="67">
        <f>SmtRes!CX24</f>
        <v>1.0500000000000001E-2</v>
      </c>
      <c r="H209" s="69">
        <f>SmtRes!CZ24</f>
        <v>60258.2</v>
      </c>
      <c r="I209" s="68">
        <f>SmtRes!AI24</f>
        <v>0.87</v>
      </c>
      <c r="J209" s="69">
        <f>ROUND(H209*I209, 2)</f>
        <v>52424.63</v>
      </c>
      <c r="K209" s="68"/>
      <c r="L209" s="69">
        <f>SmtRes!DF24</f>
        <v>550.46</v>
      </c>
    </row>
    <row r="210" spans="1:82" ht="41.4" x14ac:dyDescent="0.25">
      <c r="A210" s="65"/>
      <c r="B210" s="65" t="s">
        <v>536</v>
      </c>
      <c r="C210" s="65" t="s">
        <v>538</v>
      </c>
      <c r="D210" s="66" t="s">
        <v>205</v>
      </c>
      <c r="E210" s="67">
        <v>3.5999999999999997E-2</v>
      </c>
      <c r="F210" s="67"/>
      <c r="G210" s="67">
        <f>SmtRes!CX25</f>
        <v>0.18</v>
      </c>
      <c r="H210" s="69">
        <f>SmtRes!CZ25</f>
        <v>6442.06</v>
      </c>
      <c r="I210" s="68">
        <f>SmtRes!AI25</f>
        <v>0.83</v>
      </c>
      <c r="J210" s="69">
        <f>ROUND(H210*I210, 2)</f>
        <v>5346.91</v>
      </c>
      <c r="K210" s="68"/>
      <c r="L210" s="69">
        <f>SmtRes!DF25</f>
        <v>962.44</v>
      </c>
    </row>
    <row r="211" spans="1:82" ht="55.2" x14ac:dyDescent="0.25">
      <c r="A211" s="65"/>
      <c r="B211" s="65" t="s">
        <v>539</v>
      </c>
      <c r="C211" s="65" t="s">
        <v>541</v>
      </c>
      <c r="D211" s="66" t="s">
        <v>205</v>
      </c>
      <c r="E211" s="67">
        <v>2.5000000000000001E-3</v>
      </c>
      <c r="F211" s="67"/>
      <c r="G211" s="67">
        <f>SmtRes!CX26</f>
        <v>1.2500000000000001E-2</v>
      </c>
      <c r="H211" s="69">
        <f>SmtRes!CZ26</f>
        <v>16496.03</v>
      </c>
      <c r="I211" s="68">
        <f>SmtRes!AI26</f>
        <v>0.77</v>
      </c>
      <c r="J211" s="69">
        <f>ROUND(H211*I211, 2)</f>
        <v>12701.94</v>
      </c>
      <c r="K211" s="68"/>
      <c r="L211" s="69">
        <f>SmtRes!DF26</f>
        <v>158.77000000000001</v>
      </c>
    </row>
    <row r="212" spans="1:82" ht="55.2" x14ac:dyDescent="0.25">
      <c r="A212" s="65"/>
      <c r="B212" s="65" t="s">
        <v>542</v>
      </c>
      <c r="C212" s="75" t="s">
        <v>544</v>
      </c>
      <c r="D212" s="76" t="s">
        <v>205</v>
      </c>
      <c r="E212" s="77">
        <v>5.2999999999999999E-2</v>
      </c>
      <c r="F212" s="77"/>
      <c r="G212" s="77">
        <f>SmtRes!CX27</f>
        <v>0.26500000000000001</v>
      </c>
      <c r="H212" s="78">
        <f>SmtRes!CZ27</f>
        <v>5764.42</v>
      </c>
      <c r="I212" s="79">
        <f>SmtRes!AI27</f>
        <v>1.55</v>
      </c>
      <c r="J212" s="78">
        <f>ROUND(H212*I212, 2)</f>
        <v>8934.85</v>
      </c>
      <c r="K212" s="79"/>
      <c r="L212" s="78">
        <f>SmtRes!DF27</f>
        <v>2367.7399999999998</v>
      </c>
    </row>
    <row r="213" spans="1:82" ht="14.4" x14ac:dyDescent="0.25">
      <c r="A213" s="65"/>
      <c r="B213" s="65"/>
      <c r="C213" s="81" t="s">
        <v>864</v>
      </c>
      <c r="D213" s="66"/>
      <c r="E213" s="67"/>
      <c r="F213" s="67"/>
      <c r="G213" s="67"/>
      <c r="H213" s="69"/>
      <c r="I213" s="68"/>
      <c r="J213" s="69"/>
      <c r="K213" s="68"/>
      <c r="L213" s="69">
        <f>L199+L201+L202+L207</f>
        <v>9669.49</v>
      </c>
    </row>
    <row r="214" spans="1:82" ht="14.4" x14ac:dyDescent="0.25">
      <c r="A214" s="65"/>
      <c r="B214" s="65"/>
      <c r="C214" s="65" t="s">
        <v>865</v>
      </c>
      <c r="D214" s="66"/>
      <c r="E214" s="67"/>
      <c r="F214" s="67"/>
      <c r="G214" s="67"/>
      <c r="H214" s="69"/>
      <c r="I214" s="68"/>
      <c r="J214" s="69"/>
      <c r="K214" s="68"/>
      <c r="L214" s="69">
        <f>SUM(AR197:AR217)+SUM(AS197:AS217)+SUM(AT197:AT217)+SUM(AU197:AU217)+SUM(AV197:AV217)</f>
        <v>3378.17</v>
      </c>
    </row>
    <row r="215" spans="1:82" ht="41.4" x14ac:dyDescent="0.25">
      <c r="A215" s="65"/>
      <c r="B215" s="65" t="s">
        <v>102</v>
      </c>
      <c r="C215" s="65" t="s">
        <v>894</v>
      </c>
      <c r="D215" s="66" t="s">
        <v>761</v>
      </c>
      <c r="E215" s="67">
        <f>Source!BZ49</f>
        <v>117</v>
      </c>
      <c r="F215" s="67"/>
      <c r="G215" s="67">
        <f>Source!AT49</f>
        <v>117</v>
      </c>
      <c r="H215" s="69"/>
      <c r="I215" s="68"/>
      <c r="J215" s="69"/>
      <c r="K215" s="68"/>
      <c r="L215" s="69">
        <f>SUM(AZ197:AZ217)</f>
        <v>3952.46</v>
      </c>
    </row>
    <row r="216" spans="1:82" ht="41.4" x14ac:dyDescent="0.25">
      <c r="A216" s="75"/>
      <c r="B216" s="75" t="s">
        <v>103</v>
      </c>
      <c r="C216" s="75" t="s">
        <v>895</v>
      </c>
      <c r="D216" s="76" t="s">
        <v>761</v>
      </c>
      <c r="E216" s="77">
        <f>Source!CA49</f>
        <v>74</v>
      </c>
      <c r="F216" s="77"/>
      <c r="G216" s="77">
        <f>Source!AU49</f>
        <v>74</v>
      </c>
      <c r="H216" s="78"/>
      <c r="I216" s="79"/>
      <c r="J216" s="78"/>
      <c r="K216" s="79"/>
      <c r="L216" s="78">
        <f>SUM(BA197:BA217)</f>
        <v>2499.85</v>
      </c>
    </row>
    <row r="217" spans="1:82" ht="13.8" x14ac:dyDescent="0.25">
      <c r="C217" s="127" t="s">
        <v>868</v>
      </c>
      <c r="D217" s="127"/>
      <c r="E217" s="127"/>
      <c r="F217" s="127"/>
      <c r="G217" s="127"/>
      <c r="H217" s="127"/>
      <c r="I217" s="128">
        <f>IF(E197&lt;&gt;0,K217/E197, 0)</f>
        <v>3224.3599999999997</v>
      </c>
      <c r="J217" s="128"/>
      <c r="K217" s="128">
        <f>L199+L201+L207+L215+L216+L202</f>
        <v>16121.8</v>
      </c>
      <c r="L217" s="128"/>
      <c r="AD217">
        <f>ROUND((Source!AT49/100)*((ROUND(SUMIF(SmtRes!AQ19:'SmtRes'!AQ27,"=1",SmtRes!AD19:'SmtRes'!AD27)*Source!I49, 2)+ROUND(SUMIF(SmtRes!AQ19:'SmtRes'!AQ27,"=1",SmtRes!AC19:'SmtRes'!AC27)*Source!I49, 2))), 2)</f>
        <v>7149.58</v>
      </c>
      <c r="AE217">
        <f>ROUND((Source!AU49/100)*((ROUND(SUMIF(SmtRes!AQ19:'SmtRes'!AQ27,"=1",SmtRes!AD19:'SmtRes'!AD27)*Source!I49, 2)+ROUND(SUMIF(SmtRes!AQ19:'SmtRes'!AQ27,"=1",SmtRes!AC19:'SmtRes'!AC27)*Source!I49, 2))), 2)</f>
        <v>4521.96</v>
      </c>
      <c r="AN217" s="80">
        <f>L199+L201+L207+L215+L216+L202</f>
        <v>16121.8</v>
      </c>
      <c r="AO217" s="80">
        <f>L201</f>
        <v>2122</v>
      </c>
      <c r="AQ217" t="s">
        <v>869</v>
      </c>
      <c r="AR217" s="80">
        <f>L199</f>
        <v>2706.07</v>
      </c>
      <c r="AT217" s="80">
        <f>L202</f>
        <v>672.09999999999991</v>
      </c>
      <c r="AV217" t="s">
        <v>869</v>
      </c>
      <c r="AW217" s="80">
        <f>L207</f>
        <v>4169.32</v>
      </c>
      <c r="AZ217">
        <f>Source!X49</f>
        <v>3952.46</v>
      </c>
      <c r="BA217">
        <f>Source!Y49</f>
        <v>2499.85</v>
      </c>
      <c r="CD217">
        <v>1</v>
      </c>
    </row>
    <row r="219" spans="1:82" ht="13.8" x14ac:dyDescent="0.25">
      <c r="A219" s="83"/>
      <c r="B219" s="84"/>
      <c r="C219" s="141" t="s">
        <v>896</v>
      </c>
      <c r="D219" s="141"/>
      <c r="E219" s="141"/>
      <c r="F219" s="141"/>
      <c r="G219" s="141"/>
      <c r="H219" s="141"/>
      <c r="I219" s="74"/>
      <c r="J219" s="83"/>
      <c r="K219" s="85"/>
      <c r="L219" s="74">
        <f>L221+L222+L228+L232</f>
        <v>99354.31</v>
      </c>
    </row>
    <row r="220" spans="1:82" ht="13.8" x14ac:dyDescent="0.25">
      <c r="A220" s="61"/>
      <c r="B220" s="82"/>
      <c r="C220" s="142" t="s">
        <v>897</v>
      </c>
      <c r="D220" s="143"/>
      <c r="E220" s="143"/>
      <c r="F220" s="143"/>
      <c r="G220" s="143"/>
      <c r="H220" s="143"/>
      <c r="I220" s="69"/>
      <c r="J220" s="61"/>
      <c r="K220" s="67"/>
      <c r="L220" s="69"/>
    </row>
    <row r="221" spans="1:82" ht="13.8" x14ac:dyDescent="0.25">
      <c r="A221" s="61"/>
      <c r="B221" s="82"/>
      <c r="C221" s="143" t="s">
        <v>898</v>
      </c>
      <c r="D221" s="143"/>
      <c r="E221" s="143"/>
      <c r="F221" s="143"/>
      <c r="G221" s="143"/>
      <c r="H221" s="143"/>
      <c r="I221" s="69"/>
      <c r="J221" s="61"/>
      <c r="K221" s="67"/>
      <c r="L221" s="69">
        <f>SUM(AR60:AR217)</f>
        <v>19176.91</v>
      </c>
    </row>
    <row r="222" spans="1:82" ht="13.8" hidden="1" x14ac:dyDescent="0.25">
      <c r="A222" s="61"/>
      <c r="B222" s="82"/>
      <c r="C222" s="143" t="s">
        <v>899</v>
      </c>
      <c r="D222" s="143"/>
      <c r="E222" s="143"/>
      <c r="F222" s="143"/>
      <c r="G222" s="143"/>
      <c r="H222" s="143"/>
      <c r="I222" s="69"/>
      <c r="J222" s="61"/>
      <c r="K222" s="67"/>
      <c r="L222" s="69">
        <f>L224+L227+L226</f>
        <v>15307.059999999998</v>
      </c>
    </row>
    <row r="223" spans="1:82" ht="13.8" hidden="1" x14ac:dyDescent="0.25">
      <c r="A223" s="61"/>
      <c r="B223" s="82"/>
      <c r="C223" s="142" t="s">
        <v>900</v>
      </c>
      <c r="D223" s="143"/>
      <c r="E223" s="143"/>
      <c r="F223" s="143"/>
      <c r="G223" s="143"/>
      <c r="H223" s="143"/>
      <c r="I223" s="69"/>
      <c r="J223" s="61"/>
      <c r="K223" s="67"/>
      <c r="L223" s="69"/>
    </row>
    <row r="224" spans="1:82" ht="13.8" x14ac:dyDescent="0.25">
      <c r="A224" s="61"/>
      <c r="B224" s="82"/>
      <c r="C224" s="143" t="s">
        <v>899</v>
      </c>
      <c r="D224" s="143"/>
      <c r="E224" s="143"/>
      <c r="F224" s="143"/>
      <c r="G224" s="143"/>
      <c r="H224" s="143"/>
      <c r="I224" s="69"/>
      <c r="J224" s="61"/>
      <c r="K224" s="67"/>
      <c r="L224" s="69">
        <f>SUM(AO60:AO217)</f>
        <v>10527.739999999998</v>
      </c>
    </row>
    <row r="225" spans="1:12" ht="13.8" hidden="1" x14ac:dyDescent="0.25">
      <c r="A225" s="61"/>
      <c r="B225" s="82"/>
      <c r="C225" s="142" t="s">
        <v>901</v>
      </c>
      <c r="D225" s="143"/>
      <c r="E225" s="143"/>
      <c r="F225" s="143"/>
      <c r="G225" s="143"/>
      <c r="H225" s="143"/>
      <c r="I225" s="69"/>
      <c r="J225" s="61"/>
      <c r="K225" s="67"/>
      <c r="L225" s="69"/>
    </row>
    <row r="226" spans="1:12" ht="13.8" x14ac:dyDescent="0.25">
      <c r="A226" s="61"/>
      <c r="B226" s="82"/>
      <c r="C226" s="143" t="s">
        <v>921</v>
      </c>
      <c r="D226" s="143"/>
      <c r="E226" s="143"/>
      <c r="F226" s="143"/>
      <c r="G226" s="143"/>
      <c r="H226" s="143"/>
      <c r="I226" s="69"/>
      <c r="J226" s="61"/>
      <c r="K226" s="67"/>
      <c r="L226" s="69">
        <f>SUM(AT60:AT217)</f>
        <v>4779.32</v>
      </c>
    </row>
    <row r="227" spans="1:12" ht="13.8" hidden="1" x14ac:dyDescent="0.25">
      <c r="A227" s="61"/>
      <c r="B227" s="82"/>
      <c r="C227" s="143" t="s">
        <v>902</v>
      </c>
      <c r="D227" s="143"/>
      <c r="E227" s="143"/>
      <c r="F227" s="143"/>
      <c r="G227" s="143"/>
      <c r="H227" s="143"/>
      <c r="I227" s="69"/>
      <c r="J227" s="61"/>
      <c r="K227" s="67"/>
      <c r="L227" s="69">
        <f>SUM(AV60:AV217)</f>
        <v>0</v>
      </c>
    </row>
    <row r="228" spans="1:12" ht="13.8" x14ac:dyDescent="0.25">
      <c r="A228" s="61"/>
      <c r="B228" s="82"/>
      <c r="C228" s="143" t="s">
        <v>903</v>
      </c>
      <c r="D228" s="143"/>
      <c r="E228" s="143"/>
      <c r="F228" s="143"/>
      <c r="G228" s="143"/>
      <c r="H228" s="143"/>
      <c r="I228" s="69"/>
      <c r="J228" s="61"/>
      <c r="K228" s="67"/>
      <c r="L228" s="69">
        <f>L230+L231</f>
        <v>4169.32</v>
      </c>
    </row>
    <row r="229" spans="1:12" ht="13.8" x14ac:dyDescent="0.25">
      <c r="A229" s="61"/>
      <c r="B229" s="82"/>
      <c r="C229" s="142" t="s">
        <v>900</v>
      </c>
      <c r="D229" s="143"/>
      <c r="E229" s="143"/>
      <c r="F229" s="143"/>
      <c r="G229" s="143"/>
      <c r="H229" s="143"/>
      <c r="I229" s="69"/>
      <c r="J229" s="61"/>
      <c r="K229" s="67"/>
      <c r="L229" s="69"/>
    </row>
    <row r="230" spans="1:12" ht="13.8" x14ac:dyDescent="0.25">
      <c r="A230" s="61"/>
      <c r="B230" s="82"/>
      <c r="C230" s="143" t="s">
        <v>904</v>
      </c>
      <c r="D230" s="143"/>
      <c r="E230" s="143"/>
      <c r="F230" s="143"/>
      <c r="G230" s="143"/>
      <c r="H230" s="143"/>
      <c r="I230" s="69"/>
      <c r="J230" s="61"/>
      <c r="K230" s="67"/>
      <c r="L230" s="69">
        <f>SUM(AW60:AW217)-SUM(BK60:BK217)</f>
        <v>4169.32</v>
      </c>
    </row>
    <row r="231" spans="1:12" ht="13.8" hidden="1" x14ac:dyDescent="0.25">
      <c r="A231" s="61"/>
      <c r="B231" s="82"/>
      <c r="C231" s="143" t="s">
        <v>905</v>
      </c>
      <c r="D231" s="143"/>
      <c r="E231" s="143"/>
      <c r="F231" s="143"/>
      <c r="G231" s="143"/>
      <c r="H231" s="143"/>
      <c r="I231" s="69"/>
      <c r="J231" s="61"/>
      <c r="K231" s="67"/>
      <c r="L231" s="69">
        <f>SUM(BC60:BC217)</f>
        <v>0</v>
      </c>
    </row>
    <row r="232" spans="1:12" ht="13.8" x14ac:dyDescent="0.25">
      <c r="A232" s="61"/>
      <c r="B232" s="82"/>
      <c r="C232" s="143" t="s">
        <v>906</v>
      </c>
      <c r="D232" s="143"/>
      <c r="E232" s="143"/>
      <c r="F232" s="143"/>
      <c r="G232" s="143"/>
      <c r="H232" s="143"/>
      <c r="I232" s="69"/>
      <c r="J232" s="61"/>
      <c r="K232" s="67"/>
      <c r="L232" s="69">
        <f>SUM(BB60:BB217)</f>
        <v>60701.020000000004</v>
      </c>
    </row>
    <row r="233" spans="1:12" ht="13.8" x14ac:dyDescent="0.25">
      <c r="A233" s="61"/>
      <c r="B233" s="82"/>
      <c r="C233" s="143" t="s">
        <v>907</v>
      </c>
      <c r="D233" s="143"/>
      <c r="E233" s="143"/>
      <c r="F233" s="143"/>
      <c r="G233" s="143"/>
      <c r="H233" s="143"/>
      <c r="I233" s="69"/>
      <c r="J233" s="61"/>
      <c r="K233" s="67"/>
      <c r="L233" s="69">
        <f>SUM(AR60:AR217)+SUM(AT60:AT217)+SUM(AV60:AV217)</f>
        <v>23956.23</v>
      </c>
    </row>
    <row r="234" spans="1:12" ht="13.8" x14ac:dyDescent="0.25">
      <c r="A234" s="61"/>
      <c r="B234" s="82"/>
      <c r="C234" s="143" t="s">
        <v>908</v>
      </c>
      <c r="D234" s="143"/>
      <c r="E234" s="143"/>
      <c r="F234" s="143"/>
      <c r="G234" s="143"/>
      <c r="H234" s="143"/>
      <c r="I234" s="69"/>
      <c r="J234" s="61"/>
      <c r="K234" s="67"/>
      <c r="L234" s="69">
        <f>SUM(AZ60:AZ217)</f>
        <v>22477.129999999997</v>
      </c>
    </row>
    <row r="235" spans="1:12" ht="13.8" x14ac:dyDescent="0.25">
      <c r="A235" s="61"/>
      <c r="B235" s="82"/>
      <c r="C235" s="143" t="s">
        <v>909</v>
      </c>
      <c r="D235" s="143"/>
      <c r="E235" s="143"/>
      <c r="F235" s="143"/>
      <c r="G235" s="143"/>
      <c r="H235" s="143"/>
      <c r="I235" s="69"/>
      <c r="J235" s="61"/>
      <c r="K235" s="67"/>
      <c r="L235" s="69">
        <f>SUM(BA60:BA217)</f>
        <v>11189.050000000001</v>
      </c>
    </row>
    <row r="236" spans="1:12" ht="13.8" hidden="1" x14ac:dyDescent="0.25">
      <c r="A236" s="61"/>
      <c r="B236" s="82"/>
      <c r="C236" s="143" t="s">
        <v>910</v>
      </c>
      <c r="D236" s="143"/>
      <c r="E236" s="143"/>
      <c r="F236" s="143"/>
      <c r="G236" s="143"/>
      <c r="H236" s="143"/>
      <c r="I236" s="69"/>
      <c r="J236" s="61"/>
      <c r="K236" s="67"/>
      <c r="L236" s="69">
        <f>L238+L239</f>
        <v>0</v>
      </c>
    </row>
    <row r="237" spans="1:12" ht="13.8" hidden="1" x14ac:dyDescent="0.25">
      <c r="A237" s="61"/>
      <c r="B237" s="82"/>
      <c r="C237" s="142" t="s">
        <v>897</v>
      </c>
      <c r="D237" s="143"/>
      <c r="E237" s="143"/>
      <c r="F237" s="143"/>
      <c r="G237" s="143"/>
      <c r="H237" s="143"/>
      <c r="I237" s="69"/>
      <c r="J237" s="61"/>
      <c r="K237" s="67"/>
      <c r="L237" s="69"/>
    </row>
    <row r="238" spans="1:12" ht="13.8" hidden="1" x14ac:dyDescent="0.25">
      <c r="A238" s="61"/>
      <c r="B238" s="82"/>
      <c r="C238" s="143" t="s">
        <v>911</v>
      </c>
      <c r="D238" s="143"/>
      <c r="E238" s="143"/>
      <c r="F238" s="143"/>
      <c r="G238" s="143"/>
      <c r="H238" s="143"/>
      <c r="I238" s="69"/>
      <c r="J238" s="61"/>
      <c r="K238" s="67"/>
      <c r="L238" s="69">
        <f>SUM(BK60:BK217)</f>
        <v>0</v>
      </c>
    </row>
    <row r="239" spans="1:12" ht="13.8" hidden="1" x14ac:dyDescent="0.25">
      <c r="A239" s="61"/>
      <c r="B239" s="82"/>
      <c r="C239" s="143" t="s">
        <v>912</v>
      </c>
      <c r="D239" s="143"/>
      <c r="E239" s="143"/>
      <c r="F239" s="143"/>
      <c r="G239" s="143"/>
      <c r="H239" s="143"/>
      <c r="I239" s="69"/>
      <c r="J239" s="61"/>
      <c r="K239" s="67"/>
      <c r="L239" s="69">
        <f>SUM(BD60:BD217)</f>
        <v>0</v>
      </c>
    </row>
    <row r="240" spans="1:12" ht="13.8" hidden="1" x14ac:dyDescent="0.25">
      <c r="A240" s="61"/>
      <c r="B240" s="82"/>
      <c r="C240" s="143" t="s">
        <v>913</v>
      </c>
      <c r="D240" s="143"/>
      <c r="E240" s="143"/>
      <c r="F240" s="143"/>
      <c r="G240" s="143"/>
      <c r="H240" s="143"/>
      <c r="I240" s="69"/>
      <c r="J240" s="61"/>
      <c r="K240" s="67"/>
      <c r="L240" s="69"/>
    </row>
    <row r="241" spans="1:101" ht="13.8" hidden="1" x14ac:dyDescent="0.25">
      <c r="A241" s="61"/>
      <c r="B241" s="82"/>
      <c r="C241" s="143" t="s">
        <v>913</v>
      </c>
      <c r="D241" s="143"/>
      <c r="E241" s="143"/>
      <c r="F241" s="143"/>
      <c r="G241" s="143"/>
      <c r="H241" s="143"/>
      <c r="I241" s="69"/>
      <c r="J241" s="61"/>
      <c r="K241" s="67"/>
      <c r="L241" s="69">
        <f>SUM(BQ60:BQ217)</f>
        <v>0</v>
      </c>
    </row>
    <row r="242" spans="1:101" ht="13.8" hidden="1" x14ac:dyDescent="0.25">
      <c r="A242" s="61"/>
      <c r="B242" s="82"/>
      <c r="C242" s="143" t="s">
        <v>914</v>
      </c>
      <c r="D242" s="143"/>
      <c r="E242" s="143"/>
      <c r="F242" s="143"/>
      <c r="G242" s="143"/>
      <c r="H242" s="143"/>
      <c r="I242" s="69"/>
      <c r="J242" s="61"/>
      <c r="K242" s="67"/>
      <c r="L242" s="69">
        <f>SUM(BO60:BO217)</f>
        <v>0</v>
      </c>
    </row>
    <row r="243" spans="1:101" ht="13.8" x14ac:dyDescent="0.25">
      <c r="A243" s="83"/>
      <c r="B243" s="84"/>
      <c r="C243" s="141" t="s">
        <v>915</v>
      </c>
      <c r="D243" s="141"/>
      <c r="E243" s="141"/>
      <c r="F243" s="141"/>
      <c r="G243" s="141"/>
      <c r="H243" s="141"/>
      <c r="I243" s="74"/>
      <c r="J243" s="83"/>
      <c r="K243" s="85"/>
      <c r="L243" s="74">
        <f>L219+L234+L235+L236+L241+L242</f>
        <v>133020.49</v>
      </c>
    </row>
    <row r="244" spans="1:101" ht="13.8" x14ac:dyDescent="0.25">
      <c r="A244" s="61"/>
      <c r="B244" s="82"/>
      <c r="C244" s="142" t="s">
        <v>916</v>
      </c>
      <c r="D244" s="143"/>
      <c r="E244" s="143"/>
      <c r="F244" s="143"/>
      <c r="G244" s="143"/>
      <c r="H244" s="143"/>
      <c r="I244" s="69"/>
      <c r="J244" s="61"/>
      <c r="K244" s="67"/>
      <c r="L244" s="69"/>
    </row>
    <row r="245" spans="1:101" ht="13.8" hidden="1" x14ac:dyDescent="0.25">
      <c r="A245" s="61"/>
      <c r="B245" s="82"/>
      <c r="C245" s="143" t="s">
        <v>917</v>
      </c>
      <c r="D245" s="143"/>
      <c r="E245" s="143"/>
      <c r="F245" s="143"/>
      <c r="G245" s="143"/>
      <c r="H245" s="143"/>
      <c r="I245" s="69"/>
      <c r="J245" s="61"/>
      <c r="K245" s="67"/>
      <c r="L245" s="69">
        <f>SUM(AX60:AX217)</f>
        <v>0</v>
      </c>
    </row>
    <row r="246" spans="1:101" ht="13.8" hidden="1" x14ac:dyDescent="0.25">
      <c r="A246" s="61"/>
      <c r="B246" s="82"/>
      <c r="C246" s="143" t="s">
        <v>918</v>
      </c>
      <c r="D246" s="143"/>
      <c r="E246" s="143"/>
      <c r="F246" s="143"/>
      <c r="G246" s="143"/>
      <c r="H246" s="143"/>
      <c r="I246" s="69"/>
      <c r="J246" s="61"/>
      <c r="K246" s="67"/>
      <c r="L246" s="69">
        <f>SUM(AY60:AY217)</f>
        <v>0</v>
      </c>
    </row>
    <row r="247" spans="1:101" ht="13.8" x14ac:dyDescent="0.25">
      <c r="A247" s="61"/>
      <c r="B247" s="82"/>
      <c r="C247" s="143" t="s">
        <v>919</v>
      </c>
      <c r="D247" s="143"/>
      <c r="E247" s="143"/>
      <c r="F247" s="144"/>
      <c r="G247" s="73">
        <f>Source!F73</f>
        <v>62.059289999999997</v>
      </c>
      <c r="H247" s="61"/>
      <c r="I247" s="61"/>
      <c r="J247" s="61"/>
      <c r="K247" s="61"/>
      <c r="L247" s="61"/>
    </row>
    <row r="248" spans="1:101" ht="13.8" x14ac:dyDescent="0.25">
      <c r="A248" s="61"/>
      <c r="B248" s="82"/>
      <c r="C248" s="143" t="s">
        <v>920</v>
      </c>
      <c r="D248" s="143"/>
      <c r="E248" s="143"/>
      <c r="F248" s="144"/>
      <c r="G248" s="73">
        <f>Source!F74</f>
        <v>11.49816</v>
      </c>
      <c r="H248" s="61"/>
      <c r="I248" s="61"/>
      <c r="J248" s="61"/>
      <c r="K248" s="61"/>
      <c r="L248" s="61"/>
    </row>
    <row r="251" spans="1:101" ht="16.8" x14ac:dyDescent="0.25">
      <c r="A251" s="139" t="s">
        <v>922</v>
      </c>
      <c r="B251" s="139"/>
      <c r="C251" s="139"/>
      <c r="D251" s="139"/>
      <c r="E251" s="139"/>
      <c r="F251" s="139"/>
      <c r="G251" s="139"/>
      <c r="H251" s="139"/>
      <c r="I251" s="139"/>
      <c r="J251" s="139"/>
      <c r="K251" s="139"/>
      <c r="L251" s="139"/>
    </row>
    <row r="252" spans="1:101" ht="27.6" x14ac:dyDescent="0.25">
      <c r="A252" s="63" t="s">
        <v>161</v>
      </c>
      <c r="B252" s="65" t="s">
        <v>923</v>
      </c>
      <c r="C252" s="65" t="str">
        <f>Source!G87</f>
        <v>Водоотлив: из траншей (многократная откачка воды)</v>
      </c>
      <c r="D252" s="66" t="str">
        <f>Source!H87</f>
        <v>100 м3</v>
      </c>
      <c r="E252" s="67">
        <f>Source!K87</f>
        <v>0.36</v>
      </c>
      <c r="F252" s="67"/>
      <c r="G252" s="67">
        <f>Source!I87</f>
        <v>0.36</v>
      </c>
      <c r="H252" s="69"/>
      <c r="I252" s="68"/>
      <c r="J252" s="69"/>
      <c r="K252" s="68"/>
      <c r="L252" s="69"/>
    </row>
    <row r="253" spans="1:101" ht="39.6" x14ac:dyDescent="0.25">
      <c r="B253" s="70" t="s">
        <v>788</v>
      </c>
      <c r="C253" s="129" t="s">
        <v>871</v>
      </c>
      <c r="D253" s="129"/>
      <c r="E253" s="129"/>
      <c r="F253" s="129"/>
      <c r="G253" s="129"/>
      <c r="H253" s="129"/>
      <c r="I253" s="129"/>
      <c r="J253" s="129"/>
      <c r="K253" s="129"/>
      <c r="L253" s="129"/>
      <c r="CW253" s="71" t="s">
        <v>871</v>
      </c>
    </row>
    <row r="254" spans="1:101" ht="14.4" x14ac:dyDescent="0.25">
      <c r="A254" s="64"/>
      <c r="B254" s="67">
        <v>1</v>
      </c>
      <c r="C254" s="64" t="s">
        <v>863</v>
      </c>
      <c r="D254" s="66" t="s">
        <v>501</v>
      </c>
      <c r="E254" s="73"/>
      <c r="F254" s="67"/>
      <c r="G254" s="67">
        <f>Source!U87</f>
        <v>35.5212</v>
      </c>
      <c r="H254" s="67"/>
      <c r="I254" s="67"/>
      <c r="J254" s="67"/>
      <c r="K254" s="67"/>
      <c r="L254" s="74">
        <f>SUM(L255:L255)-SUMIF(CE255:CE255, 1, L255:L255)</f>
        <v>10633.63</v>
      </c>
    </row>
    <row r="255" spans="1:101" ht="14.4" x14ac:dyDescent="0.25">
      <c r="A255" s="65"/>
      <c r="B255" s="65" t="s">
        <v>499</v>
      </c>
      <c r="C255" s="65" t="s">
        <v>500</v>
      </c>
      <c r="D255" s="66" t="s">
        <v>501</v>
      </c>
      <c r="E255" s="67">
        <v>85.8</v>
      </c>
      <c r="F255" s="67">
        <f>ROUND((0.15+1),7)</f>
        <v>1.1499999999999999</v>
      </c>
      <c r="G255" s="67">
        <f>SmtRes!CX28</f>
        <v>35.5212</v>
      </c>
      <c r="H255" s="69"/>
      <c r="I255" s="68"/>
      <c r="J255" s="69">
        <f>SmtRes!CZ28</f>
        <v>299.36</v>
      </c>
      <c r="K255" s="68"/>
      <c r="L255" s="69">
        <f>SmtRes!DI28</f>
        <v>10633.63</v>
      </c>
    </row>
    <row r="256" spans="1:101" ht="14.4" x14ac:dyDescent="0.25">
      <c r="A256" s="64"/>
      <c r="B256" s="67">
        <v>2</v>
      </c>
      <c r="C256" s="64" t="s">
        <v>875</v>
      </c>
      <c r="D256" s="66"/>
      <c r="E256" s="73"/>
      <c r="F256" s="67"/>
      <c r="G256" s="67"/>
      <c r="H256" s="67"/>
      <c r="I256" s="67"/>
      <c r="J256" s="67"/>
      <c r="K256" s="67"/>
      <c r="L256" s="74">
        <f>SUM(L257:L258)-SUMIF(CE257:CE258, 1, L257:L258)</f>
        <v>2625.02</v>
      </c>
    </row>
    <row r="257" spans="1:101" ht="14.4" x14ac:dyDescent="0.25">
      <c r="A257" s="64"/>
      <c r="B257" s="67"/>
      <c r="C257" s="64" t="s">
        <v>877</v>
      </c>
      <c r="D257" s="66" t="s">
        <v>501</v>
      </c>
      <c r="E257" s="73"/>
      <c r="F257" s="67"/>
      <c r="G257" s="67">
        <f>Source!V87</f>
        <v>0</v>
      </c>
      <c r="H257" s="67"/>
      <c r="I257" s="67"/>
      <c r="J257" s="67"/>
      <c r="K257" s="67"/>
      <c r="L257" s="74">
        <f>SUMIF(CE258:CE258, 1, L258:L258)</f>
        <v>0</v>
      </c>
      <c r="CE257">
        <v>1</v>
      </c>
    </row>
    <row r="258" spans="1:101" ht="27.6" x14ac:dyDescent="0.25">
      <c r="A258" s="65"/>
      <c r="B258" s="65" t="s">
        <v>545</v>
      </c>
      <c r="C258" s="75" t="s">
        <v>547</v>
      </c>
      <c r="D258" s="76" t="s">
        <v>509</v>
      </c>
      <c r="E258" s="77">
        <v>286</v>
      </c>
      <c r="F258" s="77">
        <f>ROUND((0.15+1),7)</f>
        <v>1.1499999999999999</v>
      </c>
      <c r="G258" s="77">
        <f>SmtRes!CX29</f>
        <v>118.404</v>
      </c>
      <c r="H258" s="78">
        <f>SmtRes!CZ29</f>
        <v>13.04</v>
      </c>
      <c r="I258" s="79">
        <f>SmtRes!AJ29</f>
        <v>1.7</v>
      </c>
      <c r="J258" s="78">
        <f>ROUND(H258*I258, 2)</f>
        <v>22.17</v>
      </c>
      <c r="K258" s="79"/>
      <c r="L258" s="78">
        <f>SmtRes!DG29</f>
        <v>2625.02</v>
      </c>
    </row>
    <row r="259" spans="1:101" ht="14.4" x14ac:dyDescent="0.25">
      <c r="A259" s="65"/>
      <c r="B259" s="65"/>
      <c r="C259" s="81" t="s">
        <v>864</v>
      </c>
      <c r="D259" s="66"/>
      <c r="E259" s="67"/>
      <c r="F259" s="67"/>
      <c r="G259" s="67"/>
      <c r="H259" s="69"/>
      <c r="I259" s="68"/>
      <c r="J259" s="69"/>
      <c r="K259" s="68"/>
      <c r="L259" s="69">
        <f>L254+L256+L257</f>
        <v>13258.65</v>
      </c>
    </row>
    <row r="260" spans="1:101" ht="14.4" x14ac:dyDescent="0.25">
      <c r="A260" s="65"/>
      <c r="B260" s="65"/>
      <c r="C260" s="65" t="s">
        <v>865</v>
      </c>
      <c r="D260" s="66"/>
      <c r="E260" s="67"/>
      <c r="F260" s="67"/>
      <c r="G260" s="67"/>
      <c r="H260" s="69"/>
      <c r="I260" s="68"/>
      <c r="J260" s="69"/>
      <c r="K260" s="68"/>
      <c r="L260" s="69">
        <f>SUM(AR252:AR263)+SUM(AS252:AS263)+SUM(AT252:AT263)+SUM(AU252:AU263)+SUM(AV252:AV263)</f>
        <v>10633.63</v>
      </c>
    </row>
    <row r="261" spans="1:101" ht="41.4" x14ac:dyDescent="0.25">
      <c r="A261" s="65"/>
      <c r="B261" s="65" t="s">
        <v>92</v>
      </c>
      <c r="C261" s="65" t="s">
        <v>889</v>
      </c>
      <c r="D261" s="66" t="s">
        <v>761</v>
      </c>
      <c r="E261" s="67">
        <f>Source!BZ87</f>
        <v>89</v>
      </c>
      <c r="F261" s="67"/>
      <c r="G261" s="67">
        <f>Source!AT87</f>
        <v>89</v>
      </c>
      <c r="H261" s="69"/>
      <c r="I261" s="68"/>
      <c r="J261" s="69"/>
      <c r="K261" s="68"/>
      <c r="L261" s="69">
        <f>SUM(AZ252:AZ263)</f>
        <v>9463.93</v>
      </c>
    </row>
    <row r="262" spans="1:101" ht="41.4" x14ac:dyDescent="0.25">
      <c r="A262" s="75"/>
      <c r="B262" s="75" t="s">
        <v>93</v>
      </c>
      <c r="C262" s="75" t="s">
        <v>890</v>
      </c>
      <c r="D262" s="76" t="s">
        <v>761</v>
      </c>
      <c r="E262" s="77">
        <f>Source!CA87</f>
        <v>41</v>
      </c>
      <c r="F262" s="77"/>
      <c r="G262" s="77">
        <f>Source!AU87</f>
        <v>41</v>
      </c>
      <c r="H262" s="78"/>
      <c r="I262" s="79"/>
      <c r="J262" s="78"/>
      <c r="K262" s="79"/>
      <c r="L262" s="78">
        <f>SUM(BA252:BA263)</f>
        <v>4359.79</v>
      </c>
    </row>
    <row r="263" spans="1:101" ht="13.8" x14ac:dyDescent="0.25">
      <c r="C263" s="127" t="s">
        <v>868</v>
      </c>
      <c r="D263" s="127"/>
      <c r="E263" s="127"/>
      <c r="F263" s="127"/>
      <c r="G263" s="127"/>
      <c r="H263" s="127"/>
      <c r="I263" s="128">
        <f>IF(E252&lt;&gt;0,K263/E252, 0)</f>
        <v>75228.805555555562</v>
      </c>
      <c r="J263" s="128"/>
      <c r="K263" s="128">
        <f>L254+L256+L261+L262+L257</f>
        <v>27082.370000000003</v>
      </c>
      <c r="L263" s="128"/>
      <c r="AD263">
        <f>ROUND((Source!AT87/100)*((ROUND(SUMIF(SmtRes!AQ28:'SmtRes'!AQ29,"=1",SmtRes!AD28:'SmtRes'!AD29)*Source!I87, 2)+ROUND(SUMIF(SmtRes!AQ28:'SmtRes'!AQ29,"=1",SmtRes!AC28:'SmtRes'!AC29)*Source!I87, 2))), 2)</f>
        <v>95.92</v>
      </c>
      <c r="AE263">
        <f>ROUND((Source!AU87/100)*((ROUND(SUMIF(SmtRes!AQ28:'SmtRes'!AQ29,"=1",SmtRes!AD28:'SmtRes'!AD29)*Source!I87, 2)+ROUND(SUMIF(SmtRes!AQ28:'SmtRes'!AQ29,"=1",SmtRes!AC28:'SmtRes'!AC29)*Source!I87, 2))), 2)</f>
        <v>44.19</v>
      </c>
      <c r="AN263" s="80">
        <f>L254+L256+L261+L262+L257</f>
        <v>27082.370000000003</v>
      </c>
      <c r="AO263" s="80">
        <f>L256</f>
        <v>2625.02</v>
      </c>
      <c r="AQ263" t="s">
        <v>869</v>
      </c>
      <c r="AR263" s="80">
        <f>L254</f>
        <v>10633.63</v>
      </c>
      <c r="AT263" s="80">
        <f>L257</f>
        <v>0</v>
      </c>
      <c r="AV263" t="s">
        <v>869</v>
      </c>
      <c r="AW263">
        <f>0</f>
        <v>0</v>
      </c>
      <c r="AZ263">
        <f>Source!X87</f>
        <v>9463.93</v>
      </c>
      <c r="BA263">
        <f>Source!Y87</f>
        <v>4359.79</v>
      </c>
      <c r="CD263">
        <v>1</v>
      </c>
    </row>
    <row r="264" spans="1:101" ht="13.8" x14ac:dyDescent="0.25">
      <c r="C264" s="62" t="str">
        <f>Source!G88</f>
        <v>Заглушки д76мм-3шт, д57-1шт</v>
      </c>
    </row>
    <row r="265" spans="1:101" ht="55.2" x14ac:dyDescent="0.25">
      <c r="A265" s="63" t="s">
        <v>166</v>
      </c>
      <c r="B265" s="65" t="s">
        <v>924</v>
      </c>
      <c r="C265" s="65" t="str">
        <f>Source!G89</f>
        <v>Установка фасонных частей стальных сварным соединением с трубопроводом отводы, колена, патрубки и переходы диаметром: до 100 мм (заглушки)</v>
      </c>
      <c r="D265" s="66" t="str">
        <f>Source!H89</f>
        <v>10 ШТ</v>
      </c>
      <c r="E265" s="67">
        <f>Source!K89</f>
        <v>0.4</v>
      </c>
      <c r="F265" s="67"/>
      <c r="G265" s="67">
        <f>Source!I89</f>
        <v>0.4</v>
      </c>
      <c r="H265" s="69"/>
      <c r="I265" s="68"/>
      <c r="J265" s="69"/>
      <c r="K265" s="68"/>
      <c r="L265" s="69"/>
    </row>
    <row r="266" spans="1:101" ht="39.6" x14ac:dyDescent="0.25">
      <c r="B266" s="70" t="s">
        <v>788</v>
      </c>
      <c r="C266" s="129" t="s">
        <v>871</v>
      </c>
      <c r="D266" s="129"/>
      <c r="E266" s="129"/>
      <c r="F266" s="129"/>
      <c r="G266" s="129"/>
      <c r="H266" s="129"/>
      <c r="I266" s="129"/>
      <c r="J266" s="129"/>
      <c r="K266" s="129"/>
      <c r="L266" s="129"/>
      <c r="CW266" s="71" t="s">
        <v>871</v>
      </c>
    </row>
    <row r="267" spans="1:101" ht="14.4" x14ac:dyDescent="0.25">
      <c r="A267" s="64"/>
      <c r="B267" s="67">
        <v>1</v>
      </c>
      <c r="C267" s="64" t="s">
        <v>863</v>
      </c>
      <c r="D267" s="66" t="s">
        <v>501</v>
      </c>
      <c r="E267" s="73"/>
      <c r="F267" s="67"/>
      <c r="G267" s="67">
        <f>Source!U89</f>
        <v>7.0011999999999999</v>
      </c>
      <c r="H267" s="67"/>
      <c r="I267" s="67"/>
      <c r="J267" s="67"/>
      <c r="K267" s="67"/>
      <c r="L267" s="74">
        <f>SUM(L268:L271)-SUMIF(CE268:CE271, 1, L268:L271)</f>
        <v>2650.13</v>
      </c>
    </row>
    <row r="268" spans="1:101" ht="14.4" x14ac:dyDescent="0.25">
      <c r="A268" s="65"/>
      <c r="B268" s="65" t="s">
        <v>548</v>
      </c>
      <c r="C268" s="65" t="s">
        <v>549</v>
      </c>
      <c r="D268" s="66" t="s">
        <v>550</v>
      </c>
      <c r="E268" s="67">
        <v>0.02</v>
      </c>
      <c r="F268" s="67">
        <f>ROUND((0.15+1),7)</f>
        <v>1.1499999999999999</v>
      </c>
      <c r="G268" s="67">
        <f>SmtRes!CX30</f>
        <v>9.1999999999999998E-3</v>
      </c>
      <c r="H268" s="69"/>
      <c r="I268" s="68"/>
      <c r="J268" s="69">
        <f>SmtRes!CZ30</f>
        <v>274.64</v>
      </c>
      <c r="K268" s="68"/>
      <c r="L268" s="69">
        <f>SmtRes!DI30</f>
        <v>2.5299999999999998</v>
      </c>
    </row>
    <row r="269" spans="1:101" ht="14.4" x14ac:dyDescent="0.25">
      <c r="A269" s="65"/>
      <c r="B269" s="65" t="s">
        <v>551</v>
      </c>
      <c r="C269" s="65" t="s">
        <v>552</v>
      </c>
      <c r="D269" s="66" t="s">
        <v>550</v>
      </c>
      <c r="E269" s="67">
        <v>6.18</v>
      </c>
      <c r="F269" s="67">
        <f>ROUND((0.15+1),7)</f>
        <v>1.1499999999999999</v>
      </c>
      <c r="G269" s="67">
        <f>SmtRes!CX31</f>
        <v>2.8428</v>
      </c>
      <c r="H269" s="69"/>
      <c r="I269" s="68"/>
      <c r="J269" s="69">
        <f>SmtRes!CZ31</f>
        <v>326.82</v>
      </c>
      <c r="K269" s="68"/>
      <c r="L269" s="69">
        <f>SmtRes!DI31</f>
        <v>929.08</v>
      </c>
    </row>
    <row r="270" spans="1:101" ht="14.4" x14ac:dyDescent="0.25">
      <c r="A270" s="65"/>
      <c r="B270" s="65" t="s">
        <v>553</v>
      </c>
      <c r="C270" s="65" t="s">
        <v>554</v>
      </c>
      <c r="D270" s="66" t="s">
        <v>550</v>
      </c>
      <c r="E270" s="67">
        <v>1.44</v>
      </c>
      <c r="F270" s="67">
        <f>ROUND((0.15+1),7)</f>
        <v>1.1499999999999999</v>
      </c>
      <c r="G270" s="67">
        <f>SmtRes!CX32</f>
        <v>0.66239999999999999</v>
      </c>
      <c r="H270" s="69"/>
      <c r="I270" s="68"/>
      <c r="J270" s="69">
        <f>SmtRes!CZ32</f>
        <v>368.02</v>
      </c>
      <c r="K270" s="68"/>
      <c r="L270" s="69">
        <f>SmtRes!DI32</f>
        <v>243.78</v>
      </c>
    </row>
    <row r="271" spans="1:101" ht="14.4" x14ac:dyDescent="0.25">
      <c r="A271" s="65"/>
      <c r="B271" s="65" t="s">
        <v>555</v>
      </c>
      <c r="C271" s="65" t="s">
        <v>556</v>
      </c>
      <c r="D271" s="66" t="s">
        <v>550</v>
      </c>
      <c r="E271" s="67">
        <v>7.58</v>
      </c>
      <c r="F271" s="67">
        <f>ROUND((0.15+1),7)</f>
        <v>1.1499999999999999</v>
      </c>
      <c r="G271" s="67">
        <f>SmtRes!CX33</f>
        <v>3.4868000000000001</v>
      </c>
      <c r="H271" s="69"/>
      <c r="I271" s="68"/>
      <c r="J271" s="69">
        <f>SmtRes!CZ33</f>
        <v>422.95</v>
      </c>
      <c r="K271" s="68"/>
      <c r="L271" s="69">
        <f>SmtRes!DI33</f>
        <v>1474.74</v>
      </c>
    </row>
    <row r="272" spans="1:101" ht="14.4" x14ac:dyDescent="0.25">
      <c r="A272" s="64"/>
      <c r="B272" s="67">
        <v>2</v>
      </c>
      <c r="C272" s="64" t="s">
        <v>875</v>
      </c>
      <c r="D272" s="66"/>
      <c r="E272" s="73"/>
      <c r="F272" s="67"/>
      <c r="G272" s="67"/>
      <c r="H272" s="67"/>
      <c r="I272" s="67"/>
      <c r="J272" s="67"/>
      <c r="K272" s="67"/>
      <c r="L272" s="74">
        <f>SUM(L273:L277)-SUMIF(CE273:CE277, 1, L273:L277)</f>
        <v>4671.6499999999996</v>
      </c>
    </row>
    <row r="273" spans="1:83" ht="14.4" x14ac:dyDescent="0.25">
      <c r="A273" s="64"/>
      <c r="B273" s="67"/>
      <c r="C273" s="64" t="s">
        <v>877</v>
      </c>
      <c r="D273" s="66" t="s">
        <v>501</v>
      </c>
      <c r="E273" s="73"/>
      <c r="F273" s="67"/>
      <c r="G273" s="67">
        <f>Source!V89</f>
        <v>3.3902000000000001</v>
      </c>
      <c r="H273" s="67"/>
      <c r="I273" s="67"/>
      <c r="J273" s="67"/>
      <c r="K273" s="67"/>
      <c r="L273" s="74">
        <f>SUMIF(CE274:CE277, 1, L274:L277)</f>
        <v>1433.63</v>
      </c>
      <c r="CE273">
        <v>1</v>
      </c>
    </row>
    <row r="274" spans="1:83" ht="27.6" x14ac:dyDescent="0.25">
      <c r="A274" s="65"/>
      <c r="B274" s="65" t="s">
        <v>527</v>
      </c>
      <c r="C274" s="65" t="s">
        <v>529</v>
      </c>
      <c r="D274" s="66" t="s">
        <v>509</v>
      </c>
      <c r="E274" s="67">
        <v>0.01</v>
      </c>
      <c r="F274" s="67">
        <f>ROUND((0.15+1),7)</f>
        <v>1.1499999999999999</v>
      </c>
      <c r="G274" s="67">
        <f>SmtRes!CX35</f>
        <v>4.5999999999999999E-3</v>
      </c>
      <c r="H274" s="69"/>
      <c r="I274" s="68"/>
      <c r="J274" s="69">
        <f>SmtRes!CZ35</f>
        <v>551.45000000000005</v>
      </c>
      <c r="K274" s="68"/>
      <c r="L274" s="69">
        <f>SmtRes!DG35</f>
        <v>2.54</v>
      </c>
    </row>
    <row r="275" spans="1:83" ht="27.6" x14ac:dyDescent="0.25">
      <c r="A275" s="65"/>
      <c r="B275" s="65" t="s">
        <v>522</v>
      </c>
      <c r="C275" s="65" t="s">
        <v>887</v>
      </c>
      <c r="D275" s="66" t="s">
        <v>501</v>
      </c>
      <c r="E275" s="67">
        <f>SmtRes!DO35*SmtRes!AT35</f>
        <v>0.01</v>
      </c>
      <c r="F275" s="67">
        <f>ROUND((0.15+1),7)</f>
        <v>1.1499999999999999</v>
      </c>
      <c r="G275" s="67">
        <f>ROUND(E275*F275*G265, 7)</f>
        <v>4.5999999999999999E-3</v>
      </c>
      <c r="H275" s="69"/>
      <c r="I275" s="68"/>
      <c r="J275" s="69">
        <f>ROUND(SmtRes!AG35/SmtRes!DO35, 2)</f>
        <v>368.02</v>
      </c>
      <c r="K275" s="68"/>
      <c r="L275" s="69">
        <f>SmtRes!DH35</f>
        <v>1.69</v>
      </c>
      <c r="CE275">
        <v>1</v>
      </c>
    </row>
    <row r="276" spans="1:83" ht="55.2" x14ac:dyDescent="0.25">
      <c r="A276" s="65"/>
      <c r="B276" s="65" t="s">
        <v>557</v>
      </c>
      <c r="C276" s="65" t="s">
        <v>559</v>
      </c>
      <c r="D276" s="66" t="s">
        <v>509</v>
      </c>
      <c r="E276" s="67">
        <v>7.36</v>
      </c>
      <c r="F276" s="67">
        <f>ROUND((0.15+1),7)</f>
        <v>1.1499999999999999</v>
      </c>
      <c r="G276" s="67">
        <f>SmtRes!CX36</f>
        <v>3.3856000000000002</v>
      </c>
      <c r="H276" s="69">
        <f>SmtRes!CZ36</f>
        <v>1069.08</v>
      </c>
      <c r="I276" s="68">
        <f>SmtRes!AJ36</f>
        <v>1.29</v>
      </c>
      <c r="J276" s="69">
        <f>ROUND(H276*I276, 2)</f>
        <v>1379.11</v>
      </c>
      <c r="K276" s="68"/>
      <c r="L276" s="69">
        <f>SmtRes!DG36</f>
        <v>4669.1099999999997</v>
      </c>
    </row>
    <row r="277" spans="1:83" ht="27.6" x14ac:dyDescent="0.25">
      <c r="A277" s="65"/>
      <c r="B277" s="65" t="s">
        <v>510</v>
      </c>
      <c r="C277" s="65" t="s">
        <v>876</v>
      </c>
      <c r="D277" s="66" t="s">
        <v>501</v>
      </c>
      <c r="E277" s="67">
        <f>SmtRes!DO36*SmtRes!AT36</f>
        <v>7.36</v>
      </c>
      <c r="F277" s="67">
        <f>ROUND((0.15+1),7)</f>
        <v>1.1499999999999999</v>
      </c>
      <c r="G277" s="67">
        <f>ROUND(E277*F277*G265, 7)</f>
        <v>3.3856000000000002</v>
      </c>
      <c r="H277" s="69"/>
      <c r="I277" s="68"/>
      <c r="J277" s="69">
        <f>ROUND(SmtRes!AG36/SmtRes!DO36, 2)</f>
        <v>422.95</v>
      </c>
      <c r="K277" s="68"/>
      <c r="L277" s="69">
        <f>SmtRes!DH36</f>
        <v>1431.94</v>
      </c>
      <c r="CE277">
        <v>1</v>
      </c>
    </row>
    <row r="278" spans="1:83" ht="14.4" x14ac:dyDescent="0.25">
      <c r="A278" s="64"/>
      <c r="B278" s="67">
        <v>4</v>
      </c>
      <c r="C278" s="64" t="s">
        <v>893</v>
      </c>
      <c r="D278" s="66"/>
      <c r="E278" s="73"/>
      <c r="F278" s="67"/>
      <c r="G278" s="67"/>
      <c r="H278" s="67"/>
      <c r="I278" s="67"/>
      <c r="J278" s="67"/>
      <c r="K278" s="67"/>
      <c r="L278" s="74">
        <f>SUM(L279:L281)-SUMIF(CE279:CE281, 1, L279:L281)</f>
        <v>164.13</v>
      </c>
    </row>
    <row r="279" spans="1:83" ht="14.4" x14ac:dyDescent="0.25">
      <c r="A279" s="65"/>
      <c r="B279" s="65" t="s">
        <v>560</v>
      </c>
      <c r="C279" s="65" t="s">
        <v>562</v>
      </c>
      <c r="D279" s="66" t="s">
        <v>563</v>
      </c>
      <c r="E279" s="67">
        <v>3.4319999999999999</v>
      </c>
      <c r="F279" s="67"/>
      <c r="G279" s="67">
        <f>SmtRes!CX37</f>
        <v>1.3728</v>
      </c>
      <c r="H279" s="69"/>
      <c r="I279" s="68"/>
      <c r="J279" s="69">
        <f>SmtRes!CZ37</f>
        <v>9.0399999999999991</v>
      </c>
      <c r="K279" s="68"/>
      <c r="L279" s="69">
        <f>SmtRes!DF37</f>
        <v>12.41</v>
      </c>
    </row>
    <row r="280" spans="1:83" ht="41.4" x14ac:dyDescent="0.25">
      <c r="A280" s="65"/>
      <c r="B280" s="65" t="s">
        <v>564</v>
      </c>
      <c r="C280" s="65" t="s">
        <v>566</v>
      </c>
      <c r="D280" s="66" t="s">
        <v>240</v>
      </c>
      <c r="E280" s="67">
        <v>2.2000000000000002</v>
      </c>
      <c r="F280" s="67"/>
      <c r="G280" s="67">
        <f>SmtRes!CX38</f>
        <v>0.88</v>
      </c>
      <c r="H280" s="69">
        <f>SmtRes!CZ38</f>
        <v>187.01</v>
      </c>
      <c r="I280" s="68">
        <f>SmtRes!AI38</f>
        <v>0.85</v>
      </c>
      <c r="J280" s="69">
        <f>ROUND(H280*I280, 2)</f>
        <v>158.96</v>
      </c>
      <c r="K280" s="68"/>
      <c r="L280" s="69">
        <f>SmtRes!DF38</f>
        <v>139.88</v>
      </c>
    </row>
    <row r="281" spans="1:83" ht="27.6" x14ac:dyDescent="0.25">
      <c r="A281" s="65"/>
      <c r="B281" s="65" t="s">
        <v>567</v>
      </c>
      <c r="C281" s="65" t="s">
        <v>569</v>
      </c>
      <c r="D281" s="66" t="s">
        <v>222</v>
      </c>
      <c r="E281" s="67">
        <v>0.24</v>
      </c>
      <c r="F281" s="67"/>
      <c r="G281" s="67">
        <f>SmtRes!CX39</f>
        <v>9.6000000000000002E-2</v>
      </c>
      <c r="H281" s="69">
        <f>SmtRes!CZ39</f>
        <v>101.12</v>
      </c>
      <c r="I281" s="68">
        <f>SmtRes!AI39</f>
        <v>1.22</v>
      </c>
      <c r="J281" s="69">
        <f>ROUND(H281*I281, 2)</f>
        <v>123.37</v>
      </c>
      <c r="K281" s="68"/>
      <c r="L281" s="69">
        <f>SmtRes!DF39</f>
        <v>11.84</v>
      </c>
    </row>
    <row r="282" spans="1:83" ht="14.4" x14ac:dyDescent="0.25">
      <c r="A282" s="65"/>
      <c r="B282" s="65" t="str">
        <f>EtalonRes!I40</f>
        <v>23.8.04.06</v>
      </c>
      <c r="C282" s="75" t="str">
        <f>EtalonRes!K40</f>
        <v>Фасонные части стальные сварные</v>
      </c>
      <c r="D282" s="76" t="str">
        <f>EtalonRes!O40</f>
        <v>ШТ</v>
      </c>
      <c r="E282" s="77">
        <f>EtalonRes!X40</f>
        <v>10</v>
      </c>
      <c r="F282" s="77"/>
      <c r="G282" s="77">
        <f>ROUND(EtalonRes!AG40*Source!I89, 7)</f>
        <v>4</v>
      </c>
      <c r="H282" s="78"/>
      <c r="I282" s="79"/>
      <c r="J282" s="78"/>
      <c r="K282" s="79"/>
      <c r="L282" s="78"/>
    </row>
    <row r="283" spans="1:83" ht="14.4" x14ac:dyDescent="0.25">
      <c r="A283" s="65"/>
      <c r="B283" s="65"/>
      <c r="C283" s="81" t="s">
        <v>864</v>
      </c>
      <c r="D283" s="66"/>
      <c r="E283" s="67"/>
      <c r="F283" s="67"/>
      <c r="G283" s="67"/>
      <c r="H283" s="69"/>
      <c r="I283" s="68"/>
      <c r="J283" s="69"/>
      <c r="K283" s="68"/>
      <c r="L283" s="69">
        <f>L267+L272+L273+L278</f>
        <v>8919.5399999999991</v>
      </c>
    </row>
    <row r="284" spans="1:83" ht="41.4" x14ac:dyDescent="0.25">
      <c r="A284" s="63" t="s">
        <v>925</v>
      </c>
      <c r="B284" s="65" t="str">
        <f>Source!F90</f>
        <v>08.3.05.02-0081</v>
      </c>
      <c r="C284" s="65" t="str">
        <f>Source!G90</f>
        <v>Прокат листовой горячекатаный, марка стали 09Г2С, 12Г2С, ширина 1200-3000 мм, толщина 1-8 мм</v>
      </c>
      <c r="D284" s="66" t="str">
        <f>Source!H90</f>
        <v>т</v>
      </c>
      <c r="E284" s="67">
        <f>SmtRes!AT40</f>
        <v>1.2500000000000001E-2</v>
      </c>
      <c r="F284" s="67"/>
      <c r="G284" s="67">
        <f>Source!I90</f>
        <v>5.0000000000000001E-3</v>
      </c>
      <c r="H284" s="69"/>
      <c r="I284" s="68"/>
      <c r="J284" s="69">
        <f>Source!AK90</f>
        <v>53058.17</v>
      </c>
      <c r="K284" s="68"/>
      <c r="L284" s="69">
        <f>Source!P90</f>
        <v>265.29000000000002</v>
      </c>
      <c r="AD284">
        <f>ROUND((Source!AT90/100)*((ROUND(ROUND(Source!AO90,2)*Source!I90, 2)+ROUND(ROUND(Source!AN90,2)*Source!I90, 2))), 2)</f>
        <v>0</v>
      </c>
      <c r="AE284">
        <f>ROUND((Source!AU90/100)*((ROUND(ROUND(Source!AO90,2)*Source!I90, 2)+ROUND(ROUND(Source!AN90,2)*Source!I90, 2))), 2)</f>
        <v>0</v>
      </c>
      <c r="AN284">
        <f>L284</f>
        <v>265.29000000000002</v>
      </c>
      <c r="AW284">
        <f>L284</f>
        <v>265.29000000000002</v>
      </c>
      <c r="AZ284">
        <f>Source!X90</f>
        <v>0</v>
      </c>
      <c r="BA284">
        <f>Source!Y90</f>
        <v>0</v>
      </c>
      <c r="CD284">
        <v>1</v>
      </c>
    </row>
    <row r="285" spans="1:83" ht="14.4" x14ac:dyDescent="0.25">
      <c r="A285" s="65"/>
      <c r="B285" s="65"/>
      <c r="C285" s="65" t="s">
        <v>865</v>
      </c>
      <c r="D285" s="66"/>
      <c r="E285" s="67"/>
      <c r="F285" s="67"/>
      <c r="G285" s="67"/>
      <c r="H285" s="69"/>
      <c r="I285" s="68"/>
      <c r="J285" s="69"/>
      <c r="K285" s="68"/>
      <c r="L285" s="69">
        <f>SUM(AR265:AR288)+SUM(AS265:AS288)+SUM(AT265:AT288)+SUM(AU265:AU288)+SUM(AV265:AV288)</f>
        <v>4083.76</v>
      </c>
    </row>
    <row r="286" spans="1:83" ht="41.4" x14ac:dyDescent="0.25">
      <c r="A286" s="65"/>
      <c r="B286" s="65" t="s">
        <v>102</v>
      </c>
      <c r="C286" s="65" t="s">
        <v>894</v>
      </c>
      <c r="D286" s="66" t="s">
        <v>761</v>
      </c>
      <c r="E286" s="67">
        <f>Source!BZ89</f>
        <v>117</v>
      </c>
      <c r="F286" s="67"/>
      <c r="G286" s="67">
        <f>Source!AT89</f>
        <v>117</v>
      </c>
      <c r="H286" s="69"/>
      <c r="I286" s="68"/>
      <c r="J286" s="69"/>
      <c r="K286" s="68"/>
      <c r="L286" s="69">
        <f>SUM(AZ265:AZ288)</f>
        <v>4778</v>
      </c>
    </row>
    <row r="287" spans="1:83" ht="41.4" x14ac:dyDescent="0.25">
      <c r="A287" s="75"/>
      <c r="B287" s="75" t="s">
        <v>103</v>
      </c>
      <c r="C287" s="75" t="s">
        <v>895</v>
      </c>
      <c r="D287" s="76" t="s">
        <v>761</v>
      </c>
      <c r="E287" s="77">
        <f>Source!CA89</f>
        <v>74</v>
      </c>
      <c r="F287" s="77"/>
      <c r="G287" s="77">
        <f>Source!AU89</f>
        <v>74</v>
      </c>
      <c r="H287" s="78"/>
      <c r="I287" s="79"/>
      <c r="J287" s="78"/>
      <c r="K287" s="79"/>
      <c r="L287" s="78">
        <f>SUM(BA265:BA288)</f>
        <v>3021.98</v>
      </c>
    </row>
    <row r="288" spans="1:83" ht="13.8" x14ac:dyDescent="0.25">
      <c r="C288" s="127" t="s">
        <v>868</v>
      </c>
      <c r="D288" s="127"/>
      <c r="E288" s="127"/>
      <c r="F288" s="127"/>
      <c r="G288" s="127"/>
      <c r="H288" s="127"/>
      <c r="I288" s="128">
        <f>IF(E265&lt;&gt;0,K288/E265, 0)</f>
        <v>42462.025000000001</v>
      </c>
      <c r="J288" s="128"/>
      <c r="K288" s="128">
        <f>L267+L272+L278+L286+L287+L273+SUM(L284:L284)</f>
        <v>16984.810000000001</v>
      </c>
      <c r="L288" s="128"/>
      <c r="AD288">
        <f>ROUND((Source!AT89/100)*((ROUND(SUMIF(SmtRes!AQ30:'SmtRes'!AQ40,"=1",SmtRes!AD30:'SmtRes'!AD40)*Source!I89, 2)+ROUND(SUMIF(SmtRes!AQ30:'SmtRes'!AQ40,"=1",SmtRes!AC30:'SmtRes'!AC40)*Source!I89, 2))), 2)</f>
        <v>1021.83</v>
      </c>
      <c r="AE288">
        <f>ROUND((Source!AU89/100)*((ROUND(SUMIF(SmtRes!AQ30:'SmtRes'!AQ40,"=1",SmtRes!AD30:'SmtRes'!AD40)*Source!I89, 2)+ROUND(SUMIF(SmtRes!AQ30:'SmtRes'!AQ40,"=1",SmtRes!AC30:'SmtRes'!AC40)*Source!I89, 2))), 2)</f>
        <v>646.29</v>
      </c>
      <c r="AN288" s="80">
        <f>L267+L272+L278+L286+L287+L273</f>
        <v>16719.52</v>
      </c>
      <c r="AO288" s="80">
        <f>L272</f>
        <v>4671.6499999999996</v>
      </c>
      <c r="AQ288" t="s">
        <v>869</v>
      </c>
      <c r="AR288" s="80">
        <f>L267</f>
        <v>2650.13</v>
      </c>
      <c r="AT288" s="80">
        <f>L273</f>
        <v>1433.63</v>
      </c>
      <c r="AV288" t="s">
        <v>869</v>
      </c>
      <c r="AW288" s="80">
        <f>L278</f>
        <v>164.13</v>
      </c>
      <c r="AZ288">
        <f>Source!X89</f>
        <v>4778</v>
      </c>
      <c r="BA288">
        <f>Source!Y89</f>
        <v>3021.98</v>
      </c>
      <c r="CD288">
        <v>1</v>
      </c>
    </row>
    <row r="289" spans="1:101" ht="69" x14ac:dyDescent="0.25">
      <c r="A289" s="63" t="s">
        <v>176</v>
      </c>
      <c r="B289" s="65" t="s">
        <v>924</v>
      </c>
      <c r="C289" s="65" t="str">
        <f>Source!G91</f>
        <v>Установка фасонных частей стальных сварным соединением с трубопроводом отводы, колена, патрубки и переходы диаметром: до 100 мм (Демонтаж заглушек)</v>
      </c>
      <c r="D289" s="66" t="str">
        <f>Source!H91</f>
        <v>10 ШТ</v>
      </c>
      <c r="E289" s="67">
        <f>Source!K91</f>
        <v>0.4</v>
      </c>
      <c r="F289" s="67"/>
      <c r="G289" s="67">
        <f>Source!I91</f>
        <v>0.4</v>
      </c>
      <c r="H289" s="69"/>
      <c r="I289" s="68"/>
      <c r="J289" s="69"/>
      <c r="K289" s="68"/>
      <c r="L289" s="69"/>
    </row>
    <row r="290" spans="1:101" ht="39.6" x14ac:dyDescent="0.25">
      <c r="B290" s="70" t="s">
        <v>788</v>
      </c>
      <c r="C290" s="129" t="s">
        <v>871</v>
      </c>
      <c r="D290" s="129"/>
      <c r="E290" s="129"/>
      <c r="F290" s="129"/>
      <c r="G290" s="129"/>
      <c r="H290" s="129"/>
      <c r="I290" s="129"/>
      <c r="J290" s="129"/>
      <c r="K290" s="129"/>
      <c r="L290" s="129"/>
      <c r="CW290" s="71" t="s">
        <v>871</v>
      </c>
    </row>
    <row r="291" spans="1:101" ht="26.4" x14ac:dyDescent="0.25">
      <c r="B291" s="70" t="s">
        <v>795</v>
      </c>
      <c r="C291" s="129" t="s">
        <v>926</v>
      </c>
      <c r="D291" s="129"/>
      <c r="E291" s="129"/>
      <c r="F291" s="129"/>
      <c r="G291" s="129"/>
      <c r="H291" s="129"/>
      <c r="I291" s="129"/>
      <c r="J291" s="129"/>
      <c r="K291" s="129"/>
      <c r="L291" s="129"/>
      <c r="CW291" s="71" t="s">
        <v>926</v>
      </c>
    </row>
    <row r="292" spans="1:101" ht="66" x14ac:dyDescent="0.25">
      <c r="C292" s="140" t="s">
        <v>927</v>
      </c>
      <c r="D292" s="140"/>
      <c r="E292" s="140"/>
      <c r="F292" s="140"/>
      <c r="CW292" s="72" t="s">
        <v>927</v>
      </c>
    </row>
    <row r="293" spans="1:101" ht="14.4" x14ac:dyDescent="0.25">
      <c r="A293" s="64"/>
      <c r="B293" s="67">
        <v>1</v>
      </c>
      <c r="C293" s="64" t="s">
        <v>863</v>
      </c>
      <c r="D293" s="66" t="s">
        <v>501</v>
      </c>
      <c r="E293" s="73"/>
      <c r="F293" s="67"/>
      <c r="G293" s="67">
        <f>Source!U91</f>
        <v>4.2007200000000005</v>
      </c>
      <c r="H293" s="67"/>
      <c r="I293" s="67"/>
      <c r="J293" s="67"/>
      <c r="K293" s="67"/>
      <c r="L293" s="74">
        <f>SUM(L294:L297)-SUMIF(CE294:CE297, 1, L294:L297)</f>
        <v>1590.0900000000001</v>
      </c>
    </row>
    <row r="294" spans="1:101" ht="14.4" x14ac:dyDescent="0.25">
      <c r="A294" s="65"/>
      <c r="B294" s="65" t="s">
        <v>548</v>
      </c>
      <c r="C294" s="65" t="s">
        <v>549</v>
      </c>
      <c r="D294" s="66" t="s">
        <v>550</v>
      </c>
      <c r="E294" s="67">
        <v>0.02</v>
      </c>
      <c r="F294" s="67">
        <f>ROUND((0.15+1)*0.6,7)</f>
        <v>0.69</v>
      </c>
      <c r="G294" s="67">
        <f>SmtRes!CX41</f>
        <v>5.5199999999999997E-3</v>
      </c>
      <c r="H294" s="69"/>
      <c r="I294" s="68"/>
      <c r="J294" s="69">
        <f>SmtRes!CZ41</f>
        <v>274.64</v>
      </c>
      <c r="K294" s="68"/>
      <c r="L294" s="69">
        <f>SmtRes!DI41</f>
        <v>1.52</v>
      </c>
    </row>
    <row r="295" spans="1:101" ht="14.4" x14ac:dyDescent="0.25">
      <c r="A295" s="65"/>
      <c r="B295" s="65" t="s">
        <v>551</v>
      </c>
      <c r="C295" s="65" t="s">
        <v>552</v>
      </c>
      <c r="D295" s="66" t="s">
        <v>550</v>
      </c>
      <c r="E295" s="67">
        <v>6.18</v>
      </c>
      <c r="F295" s="67">
        <f>ROUND((0.15+1)*0.6,7)</f>
        <v>0.69</v>
      </c>
      <c r="G295" s="67">
        <f>SmtRes!CX42</f>
        <v>1.7056800000000001</v>
      </c>
      <c r="H295" s="69"/>
      <c r="I295" s="68"/>
      <c r="J295" s="69">
        <f>SmtRes!CZ42</f>
        <v>326.82</v>
      </c>
      <c r="K295" s="68"/>
      <c r="L295" s="69">
        <f>SmtRes!DI42</f>
        <v>557.45000000000005</v>
      </c>
    </row>
    <row r="296" spans="1:101" ht="14.4" x14ac:dyDescent="0.25">
      <c r="A296" s="65"/>
      <c r="B296" s="65" t="s">
        <v>553</v>
      </c>
      <c r="C296" s="65" t="s">
        <v>554</v>
      </c>
      <c r="D296" s="66" t="s">
        <v>550</v>
      </c>
      <c r="E296" s="67">
        <v>1.44</v>
      </c>
      <c r="F296" s="67">
        <f>ROUND((0.15+1)*0.6,7)</f>
        <v>0.69</v>
      </c>
      <c r="G296" s="67">
        <f>SmtRes!CX43</f>
        <v>0.39744000000000002</v>
      </c>
      <c r="H296" s="69"/>
      <c r="I296" s="68"/>
      <c r="J296" s="69">
        <f>SmtRes!CZ43</f>
        <v>368.02</v>
      </c>
      <c r="K296" s="68"/>
      <c r="L296" s="69">
        <f>SmtRes!DI43</f>
        <v>146.27000000000001</v>
      </c>
    </row>
    <row r="297" spans="1:101" ht="14.4" x14ac:dyDescent="0.25">
      <c r="A297" s="65"/>
      <c r="B297" s="65" t="s">
        <v>555</v>
      </c>
      <c r="C297" s="65" t="s">
        <v>556</v>
      </c>
      <c r="D297" s="66" t="s">
        <v>550</v>
      </c>
      <c r="E297" s="67">
        <v>7.58</v>
      </c>
      <c r="F297" s="67">
        <f>ROUND((0.15+1)*0.6,7)</f>
        <v>0.69</v>
      </c>
      <c r="G297" s="67">
        <f>SmtRes!CX44</f>
        <v>2.0920800000000002</v>
      </c>
      <c r="H297" s="69"/>
      <c r="I297" s="68"/>
      <c r="J297" s="69">
        <f>SmtRes!CZ44</f>
        <v>422.95</v>
      </c>
      <c r="K297" s="68"/>
      <c r="L297" s="69">
        <f>SmtRes!DI44</f>
        <v>884.85</v>
      </c>
    </row>
    <row r="298" spans="1:101" ht="14.4" x14ac:dyDescent="0.25">
      <c r="A298" s="64"/>
      <c r="B298" s="67">
        <v>2</v>
      </c>
      <c r="C298" s="64" t="s">
        <v>875</v>
      </c>
      <c r="D298" s="66"/>
      <c r="E298" s="73"/>
      <c r="F298" s="67"/>
      <c r="G298" s="67"/>
      <c r="H298" s="67"/>
      <c r="I298" s="67"/>
      <c r="J298" s="67"/>
      <c r="K298" s="67"/>
      <c r="L298" s="74">
        <f>SUM(L299:L303)-SUMIF(CE299:CE303, 1, L299:L303)</f>
        <v>2802.99</v>
      </c>
    </row>
    <row r="299" spans="1:101" ht="14.4" x14ac:dyDescent="0.25">
      <c r="A299" s="64"/>
      <c r="B299" s="67"/>
      <c r="C299" s="64" t="s">
        <v>877</v>
      </c>
      <c r="D299" s="66" t="s">
        <v>501</v>
      </c>
      <c r="E299" s="73"/>
      <c r="F299" s="67"/>
      <c r="G299" s="67">
        <f>Source!V91</f>
        <v>2.0341199999999997</v>
      </c>
      <c r="H299" s="67"/>
      <c r="I299" s="67"/>
      <c r="J299" s="67"/>
      <c r="K299" s="67"/>
      <c r="L299" s="74">
        <f>SUMIF(CE300:CE303, 1, L300:L303)</f>
        <v>860.18</v>
      </c>
      <c r="CE299">
        <v>1</v>
      </c>
    </row>
    <row r="300" spans="1:101" ht="27.6" x14ac:dyDescent="0.25">
      <c r="A300" s="65"/>
      <c r="B300" s="65" t="s">
        <v>527</v>
      </c>
      <c r="C300" s="65" t="s">
        <v>529</v>
      </c>
      <c r="D300" s="66" t="s">
        <v>509</v>
      </c>
      <c r="E300" s="67">
        <v>0.01</v>
      </c>
      <c r="F300" s="67">
        <f>ROUND((0.15+1)*0.6,7)</f>
        <v>0.69</v>
      </c>
      <c r="G300" s="67">
        <f>SmtRes!CX46</f>
        <v>2.7599999999999999E-3</v>
      </c>
      <c r="H300" s="69"/>
      <c r="I300" s="68"/>
      <c r="J300" s="69">
        <f>SmtRes!CZ46</f>
        <v>551.45000000000005</v>
      </c>
      <c r="K300" s="68"/>
      <c r="L300" s="69">
        <f>SmtRes!DG46</f>
        <v>1.52</v>
      </c>
    </row>
    <row r="301" spans="1:101" ht="27.6" x14ac:dyDescent="0.25">
      <c r="A301" s="65"/>
      <c r="B301" s="65" t="s">
        <v>522</v>
      </c>
      <c r="C301" s="65" t="s">
        <v>887</v>
      </c>
      <c r="D301" s="66" t="s">
        <v>501</v>
      </c>
      <c r="E301" s="67">
        <f>SmtRes!DO46*SmtRes!AT46</f>
        <v>0.01</v>
      </c>
      <c r="F301" s="67">
        <f>ROUND((0.15+1)*0.6,7)</f>
        <v>0.69</v>
      </c>
      <c r="G301" s="67">
        <f>ROUND(E301*F301*G289, 7)</f>
        <v>2.7599999999999999E-3</v>
      </c>
      <c r="H301" s="69"/>
      <c r="I301" s="68"/>
      <c r="J301" s="69">
        <f>ROUND(SmtRes!AG46/SmtRes!DO46, 2)</f>
        <v>368.02</v>
      </c>
      <c r="K301" s="68"/>
      <c r="L301" s="69">
        <f>SmtRes!DH46</f>
        <v>1.02</v>
      </c>
      <c r="CE301">
        <v>1</v>
      </c>
    </row>
    <row r="302" spans="1:101" ht="55.2" x14ac:dyDescent="0.25">
      <c r="A302" s="65"/>
      <c r="B302" s="65" t="s">
        <v>557</v>
      </c>
      <c r="C302" s="65" t="s">
        <v>559</v>
      </c>
      <c r="D302" s="66" t="s">
        <v>509</v>
      </c>
      <c r="E302" s="67">
        <v>7.36</v>
      </c>
      <c r="F302" s="67">
        <f>ROUND((0.15+1)*0.6,7)</f>
        <v>0.69</v>
      </c>
      <c r="G302" s="67">
        <f>SmtRes!CX47</f>
        <v>2.0313599999999998</v>
      </c>
      <c r="H302" s="69">
        <f>SmtRes!CZ47</f>
        <v>1069.08</v>
      </c>
      <c r="I302" s="68">
        <f>SmtRes!AJ47</f>
        <v>1.29</v>
      </c>
      <c r="J302" s="69">
        <f>ROUND(H302*I302, 2)</f>
        <v>1379.11</v>
      </c>
      <c r="K302" s="68"/>
      <c r="L302" s="69">
        <f>SmtRes!DG47</f>
        <v>2801.47</v>
      </c>
    </row>
    <row r="303" spans="1:101" ht="27.6" x14ac:dyDescent="0.25">
      <c r="A303" s="65"/>
      <c r="B303" s="65" t="s">
        <v>510</v>
      </c>
      <c r="C303" s="65" t="s">
        <v>876</v>
      </c>
      <c r="D303" s="66" t="s">
        <v>501</v>
      </c>
      <c r="E303" s="67">
        <f>SmtRes!DO47*SmtRes!AT47</f>
        <v>7.36</v>
      </c>
      <c r="F303" s="67">
        <f>ROUND((0.15+1)*0.6,7)</f>
        <v>0.69</v>
      </c>
      <c r="G303" s="67">
        <f>ROUND(E303*F303*G289, 7)</f>
        <v>2.0313599999999998</v>
      </c>
      <c r="H303" s="69"/>
      <c r="I303" s="68"/>
      <c r="J303" s="69">
        <f>ROUND(SmtRes!AG47/SmtRes!DO47, 2)</f>
        <v>422.95</v>
      </c>
      <c r="K303" s="68"/>
      <c r="L303" s="69">
        <f>SmtRes!DH47</f>
        <v>859.16</v>
      </c>
      <c r="CE303">
        <v>1</v>
      </c>
    </row>
    <row r="304" spans="1:101" ht="14.4" x14ac:dyDescent="0.25">
      <c r="A304" s="64"/>
      <c r="B304" s="67">
        <v>4</v>
      </c>
      <c r="C304" s="64" t="s">
        <v>893</v>
      </c>
      <c r="D304" s="66"/>
      <c r="E304" s="73"/>
      <c r="F304" s="67"/>
      <c r="G304" s="67"/>
      <c r="H304" s="67"/>
      <c r="I304" s="67"/>
      <c r="J304" s="67"/>
      <c r="K304" s="67"/>
      <c r="L304" s="74">
        <f>SUM(L305:L307)-SUMIF(CE305:CE307, 1, L305:L307)</f>
        <v>0</v>
      </c>
    </row>
    <row r="305" spans="1:101" ht="14.4" x14ac:dyDescent="0.25">
      <c r="A305" s="65"/>
      <c r="B305" s="65" t="s">
        <v>560</v>
      </c>
      <c r="C305" s="65" t="s">
        <v>562</v>
      </c>
      <c r="D305" s="66" t="s">
        <v>563</v>
      </c>
      <c r="E305" s="67">
        <v>3.4319999999999999</v>
      </c>
      <c r="F305" s="67">
        <f>ROUND(0,7)</f>
        <v>0</v>
      </c>
      <c r="G305" s="67">
        <f>SmtRes!CX48</f>
        <v>0</v>
      </c>
      <c r="H305" s="69"/>
      <c r="I305" s="68"/>
      <c r="J305" s="69">
        <f>SmtRes!CZ48</f>
        <v>9.0399999999999991</v>
      </c>
      <c r="K305" s="68"/>
      <c r="L305" s="69">
        <f>SmtRes!DF48</f>
        <v>0</v>
      </c>
    </row>
    <row r="306" spans="1:101" ht="41.4" x14ac:dyDescent="0.25">
      <c r="A306" s="65"/>
      <c r="B306" s="65" t="s">
        <v>564</v>
      </c>
      <c r="C306" s="65" t="s">
        <v>566</v>
      </c>
      <c r="D306" s="66" t="s">
        <v>240</v>
      </c>
      <c r="E306" s="67">
        <v>2.2000000000000002</v>
      </c>
      <c r="F306" s="67">
        <f>ROUND(0,7)</f>
        <v>0</v>
      </c>
      <c r="G306" s="67">
        <f>SmtRes!CX49</f>
        <v>0</v>
      </c>
      <c r="H306" s="69">
        <f>SmtRes!CZ49</f>
        <v>187.01</v>
      </c>
      <c r="I306" s="68">
        <f>SmtRes!AI49</f>
        <v>0.85</v>
      </c>
      <c r="J306" s="69">
        <f>ROUND(H306*I306, 2)</f>
        <v>158.96</v>
      </c>
      <c r="K306" s="68"/>
      <c r="L306" s="69">
        <f>SmtRes!DF49</f>
        <v>0</v>
      </c>
    </row>
    <row r="307" spans="1:101" ht="27.6" x14ac:dyDescent="0.25">
      <c r="A307" s="65"/>
      <c r="B307" s="65" t="s">
        <v>567</v>
      </c>
      <c r="C307" s="65" t="s">
        <v>569</v>
      </c>
      <c r="D307" s="66" t="s">
        <v>222</v>
      </c>
      <c r="E307" s="67">
        <v>0.24</v>
      </c>
      <c r="F307" s="67">
        <f>ROUND(0,7)</f>
        <v>0</v>
      </c>
      <c r="G307" s="67">
        <f>SmtRes!CX50</f>
        <v>0</v>
      </c>
      <c r="H307" s="69">
        <f>SmtRes!CZ50</f>
        <v>101.12</v>
      </c>
      <c r="I307" s="68">
        <f>SmtRes!AI50</f>
        <v>1.22</v>
      </c>
      <c r="J307" s="69">
        <f>ROUND(H307*I307, 2)</f>
        <v>123.37</v>
      </c>
      <c r="K307" s="68"/>
      <c r="L307" s="69">
        <f>SmtRes!DF50</f>
        <v>0</v>
      </c>
    </row>
    <row r="308" spans="1:101" ht="14.4" x14ac:dyDescent="0.25">
      <c r="A308" s="65"/>
      <c r="B308" s="65" t="str">
        <f>EtalonRes!I51</f>
        <v>23.8.04.06</v>
      </c>
      <c r="C308" s="75" t="str">
        <f>EtalonRes!K51</f>
        <v>Фасонные части стальные сварные</v>
      </c>
      <c r="D308" s="76" t="str">
        <f>EtalonRes!O51</f>
        <v>ШТ</v>
      </c>
      <c r="E308" s="77">
        <f>EtalonRes!X51</f>
        <v>10</v>
      </c>
      <c r="F308" s="77">
        <f>ROUND(0,7)</f>
        <v>0</v>
      </c>
      <c r="G308" s="77">
        <f>ROUND(EtalonRes!AG51*Source!I91, 7)</f>
        <v>0</v>
      </c>
      <c r="H308" s="78"/>
      <c r="I308" s="79"/>
      <c r="J308" s="78"/>
      <c r="K308" s="79"/>
      <c r="L308" s="78"/>
    </row>
    <row r="309" spans="1:101" ht="14.4" x14ac:dyDescent="0.25">
      <c r="A309" s="65"/>
      <c r="B309" s="65"/>
      <c r="C309" s="81" t="s">
        <v>864</v>
      </c>
      <c r="D309" s="66"/>
      <c r="E309" s="67"/>
      <c r="F309" s="67"/>
      <c r="G309" s="67"/>
      <c r="H309" s="69"/>
      <c r="I309" s="68"/>
      <c r="J309" s="69"/>
      <c r="K309" s="68"/>
      <c r="L309" s="69">
        <f>L293+L298+L299+L304</f>
        <v>5253.26</v>
      </c>
    </row>
    <row r="310" spans="1:101" ht="14.4" x14ac:dyDescent="0.25">
      <c r="A310" s="65"/>
      <c r="B310" s="65"/>
      <c r="C310" s="65" t="s">
        <v>865</v>
      </c>
      <c r="D310" s="66"/>
      <c r="E310" s="67"/>
      <c r="F310" s="67"/>
      <c r="G310" s="67"/>
      <c r="H310" s="69"/>
      <c r="I310" s="68"/>
      <c r="J310" s="69"/>
      <c r="K310" s="68"/>
      <c r="L310" s="69">
        <f>SUM(AR289:AR313)+SUM(AS289:AS313)+SUM(AT289:AT313)+SUM(AU289:AU313)+SUM(AV289:AV313)</f>
        <v>2450.27</v>
      </c>
    </row>
    <row r="311" spans="1:101" ht="41.4" x14ac:dyDescent="0.25">
      <c r="A311" s="65"/>
      <c r="B311" s="65" t="s">
        <v>102</v>
      </c>
      <c r="C311" s="65" t="s">
        <v>894</v>
      </c>
      <c r="D311" s="66" t="s">
        <v>761</v>
      </c>
      <c r="E311" s="67">
        <f>Source!BZ91</f>
        <v>117</v>
      </c>
      <c r="F311" s="67"/>
      <c r="G311" s="67">
        <f>Source!AT91</f>
        <v>117</v>
      </c>
      <c r="H311" s="69"/>
      <c r="I311" s="68"/>
      <c r="J311" s="69"/>
      <c r="K311" s="68"/>
      <c r="L311" s="69">
        <f>SUM(AZ289:AZ313)</f>
        <v>2866.82</v>
      </c>
    </row>
    <row r="312" spans="1:101" ht="41.4" x14ac:dyDescent="0.25">
      <c r="A312" s="75"/>
      <c r="B312" s="75" t="s">
        <v>103</v>
      </c>
      <c r="C312" s="75" t="s">
        <v>895</v>
      </c>
      <c r="D312" s="76" t="s">
        <v>761</v>
      </c>
      <c r="E312" s="77">
        <f>Source!CA91</f>
        <v>74</v>
      </c>
      <c r="F312" s="77"/>
      <c r="G312" s="77">
        <f>Source!AU91</f>
        <v>74</v>
      </c>
      <c r="H312" s="78"/>
      <c r="I312" s="79"/>
      <c r="J312" s="78"/>
      <c r="K312" s="79"/>
      <c r="L312" s="78">
        <f>SUM(BA289:BA313)</f>
        <v>1813.2</v>
      </c>
    </row>
    <row r="313" spans="1:101" ht="13.8" x14ac:dyDescent="0.25">
      <c r="C313" s="127" t="s">
        <v>868</v>
      </c>
      <c r="D313" s="127"/>
      <c r="E313" s="127"/>
      <c r="F313" s="127"/>
      <c r="G313" s="127"/>
      <c r="H313" s="127"/>
      <c r="I313" s="128">
        <f>IF(E289&lt;&gt;0,K313/E289, 0)</f>
        <v>24833.200000000001</v>
      </c>
      <c r="J313" s="128"/>
      <c r="K313" s="128">
        <f>L293+L298+L304+L311+L312+L299</f>
        <v>9933.2800000000007</v>
      </c>
      <c r="L313" s="128"/>
      <c r="AD313">
        <f>ROUND((Source!AT91/100)*((ROUND(SUMIF(SmtRes!AQ41:'SmtRes'!AQ50,"=1",SmtRes!AD41:'SmtRes'!AD50)*Source!I91, 2)+ROUND(SUMIF(SmtRes!AQ41:'SmtRes'!AQ50,"=1",SmtRes!AC41:'SmtRes'!AC50)*Source!I91, 2))), 2)</f>
        <v>1021.83</v>
      </c>
      <c r="AE313">
        <f>ROUND((Source!AU91/100)*((ROUND(SUMIF(SmtRes!AQ41:'SmtRes'!AQ50,"=1",SmtRes!AD41:'SmtRes'!AD50)*Source!I91, 2)+ROUND(SUMIF(SmtRes!AQ41:'SmtRes'!AQ50,"=1",SmtRes!AC41:'SmtRes'!AC50)*Source!I91, 2))), 2)</f>
        <v>646.29</v>
      </c>
      <c r="AN313" s="80">
        <f>L293+L298+L304+L311+L312+L299</f>
        <v>9933.2800000000007</v>
      </c>
      <c r="AO313" s="80">
        <f>L298</f>
        <v>2802.99</v>
      </c>
      <c r="AQ313" t="s">
        <v>869</v>
      </c>
      <c r="AR313" s="80">
        <f>L293</f>
        <v>1590.0900000000001</v>
      </c>
      <c r="AT313" s="80">
        <f>L299</f>
        <v>860.18</v>
      </c>
      <c r="AV313" t="s">
        <v>869</v>
      </c>
      <c r="AW313" s="80">
        <f>L304</f>
        <v>0</v>
      </c>
      <c r="AZ313">
        <f>Source!X91</f>
        <v>2866.82</v>
      </c>
      <c r="BA313">
        <f>Source!Y91</f>
        <v>1813.2</v>
      </c>
      <c r="CD313">
        <v>1</v>
      </c>
    </row>
    <row r="314" spans="1:101" ht="13.8" x14ac:dyDescent="0.25">
      <c r="C314" s="62" t="str">
        <f>Source!G92</f>
        <v>разборка изоляции</v>
      </c>
    </row>
    <row r="315" spans="1:101" ht="27.6" x14ac:dyDescent="0.25">
      <c r="A315" s="63" t="s">
        <v>182</v>
      </c>
      <c r="B315" s="65" t="s">
        <v>928</v>
      </c>
      <c r="C315" s="65" t="str">
        <f>Source!G93</f>
        <v>Разборка тепловой изоляции: из плит, сегментов и скорлуп</v>
      </c>
      <c r="D315" s="66" t="str">
        <f>Source!H93</f>
        <v>100 м2</v>
      </c>
      <c r="E315" s="67">
        <f>Source!K93</f>
        <v>0.36</v>
      </c>
      <c r="F315" s="67"/>
      <c r="G315" s="67">
        <f>Source!I93</f>
        <v>0.36</v>
      </c>
      <c r="H315" s="69"/>
      <c r="I315" s="68"/>
      <c r="J315" s="69"/>
      <c r="K315" s="68"/>
      <c r="L315" s="69"/>
    </row>
    <row r="316" spans="1:101" ht="39.6" x14ac:dyDescent="0.25">
      <c r="B316" s="70" t="s">
        <v>798</v>
      </c>
      <c r="C316" s="129" t="s">
        <v>871</v>
      </c>
      <c r="D316" s="129"/>
      <c r="E316" s="129"/>
      <c r="F316" s="129"/>
      <c r="G316" s="129"/>
      <c r="H316" s="129"/>
      <c r="I316" s="129"/>
      <c r="J316" s="129"/>
      <c r="K316" s="129"/>
      <c r="L316" s="129"/>
      <c r="CW316" s="71" t="s">
        <v>871</v>
      </c>
    </row>
    <row r="317" spans="1:101" ht="14.4" x14ac:dyDescent="0.25">
      <c r="A317" s="64"/>
      <c r="B317" s="67">
        <v>1</v>
      </c>
      <c r="C317" s="64" t="s">
        <v>863</v>
      </c>
      <c r="D317" s="66" t="s">
        <v>501</v>
      </c>
      <c r="E317" s="73"/>
      <c r="F317" s="67"/>
      <c r="G317" s="67">
        <f>Source!U93</f>
        <v>5.5061999999999998</v>
      </c>
      <c r="H317" s="67"/>
      <c r="I317" s="67"/>
      <c r="J317" s="67"/>
      <c r="K317" s="67"/>
      <c r="L317" s="74">
        <f>SUM(L318:L318)-SUMIF(CE318:CE318, 1, L318:L318)</f>
        <v>1754.17</v>
      </c>
    </row>
    <row r="318" spans="1:101" ht="14.4" x14ac:dyDescent="0.25">
      <c r="A318" s="65"/>
      <c r="B318" s="65" t="s">
        <v>570</v>
      </c>
      <c r="C318" s="75" t="s">
        <v>571</v>
      </c>
      <c r="D318" s="76" t="s">
        <v>501</v>
      </c>
      <c r="E318" s="77">
        <v>13.3</v>
      </c>
      <c r="F318" s="77">
        <f>ROUND((0.15+1),7)</f>
        <v>1.1499999999999999</v>
      </c>
      <c r="G318" s="77">
        <f>SmtRes!CX51</f>
        <v>5.5061999999999998</v>
      </c>
      <c r="H318" s="78"/>
      <c r="I318" s="79"/>
      <c r="J318" s="78">
        <f>SmtRes!CZ51</f>
        <v>318.58</v>
      </c>
      <c r="K318" s="79"/>
      <c r="L318" s="78">
        <f>SmtRes!DI51</f>
        <v>1754.17</v>
      </c>
    </row>
    <row r="319" spans="1:101" ht="14.4" x14ac:dyDescent="0.25">
      <c r="A319" s="65"/>
      <c r="B319" s="65"/>
      <c r="C319" s="81" t="s">
        <v>864</v>
      </c>
      <c r="D319" s="66"/>
      <c r="E319" s="67"/>
      <c r="F319" s="67"/>
      <c r="G319" s="67"/>
      <c r="H319" s="69"/>
      <c r="I319" s="68"/>
      <c r="J319" s="69"/>
      <c r="K319" s="68"/>
      <c r="L319" s="69">
        <f>L317</f>
        <v>1754.17</v>
      </c>
    </row>
    <row r="320" spans="1:101" ht="14.4" x14ac:dyDescent="0.25">
      <c r="A320" s="65"/>
      <c r="B320" s="65"/>
      <c r="C320" s="65" t="s">
        <v>865</v>
      </c>
      <c r="D320" s="66"/>
      <c r="E320" s="67"/>
      <c r="F320" s="67"/>
      <c r="G320" s="67"/>
      <c r="H320" s="69"/>
      <c r="I320" s="68"/>
      <c r="J320" s="69"/>
      <c r="K320" s="68"/>
      <c r="L320" s="69">
        <f>SUM(AR315:AR323)+SUM(AS315:AS323)+SUM(AT315:AT323)+SUM(AU315:AU323)+SUM(AV315:AV323)</f>
        <v>1754.17</v>
      </c>
    </row>
    <row r="321" spans="1:101" ht="27.6" x14ac:dyDescent="0.25">
      <c r="A321" s="65"/>
      <c r="B321" s="65" t="s">
        <v>192</v>
      </c>
      <c r="C321" s="65" t="s">
        <v>929</v>
      </c>
      <c r="D321" s="66" t="s">
        <v>761</v>
      </c>
      <c r="E321" s="67">
        <f>Source!BZ93</f>
        <v>89</v>
      </c>
      <c r="F321" s="67"/>
      <c r="G321" s="67">
        <f>Source!AT93</f>
        <v>89</v>
      </c>
      <c r="H321" s="69"/>
      <c r="I321" s="68"/>
      <c r="J321" s="69"/>
      <c r="K321" s="68"/>
      <c r="L321" s="69">
        <f>SUM(AZ315:AZ323)</f>
        <v>1561.21</v>
      </c>
    </row>
    <row r="322" spans="1:101" ht="27.6" x14ac:dyDescent="0.25">
      <c r="A322" s="75"/>
      <c r="B322" s="75" t="s">
        <v>193</v>
      </c>
      <c r="C322" s="75" t="s">
        <v>930</v>
      </c>
      <c r="D322" s="76" t="s">
        <v>761</v>
      </c>
      <c r="E322" s="77">
        <f>Source!CA93</f>
        <v>44</v>
      </c>
      <c r="F322" s="77"/>
      <c r="G322" s="77">
        <f>Source!AU93</f>
        <v>44</v>
      </c>
      <c r="H322" s="78"/>
      <c r="I322" s="79"/>
      <c r="J322" s="78"/>
      <c r="K322" s="79"/>
      <c r="L322" s="78">
        <f>SUM(BA315:BA323)</f>
        <v>771.83</v>
      </c>
    </row>
    <row r="323" spans="1:101" ht="13.8" x14ac:dyDescent="0.25">
      <c r="C323" s="127" t="s">
        <v>868</v>
      </c>
      <c r="D323" s="127"/>
      <c r="E323" s="127"/>
      <c r="F323" s="127"/>
      <c r="G323" s="127"/>
      <c r="H323" s="127"/>
      <c r="I323" s="128">
        <f>IF(E315&lt;&gt;0,K323/E315, 0)</f>
        <v>11353.361111111111</v>
      </c>
      <c r="J323" s="128"/>
      <c r="K323" s="128">
        <f>L317+L321+L322</f>
        <v>4087.21</v>
      </c>
      <c r="L323" s="128"/>
      <c r="AD323">
        <f>ROUND((Source!AT93/100)*((ROUND(SUMIF(SmtRes!AQ51:'SmtRes'!AQ51,"=1",SmtRes!AD51:'SmtRes'!AD51)*Source!I93, 2)+ROUND(SUMIF(SmtRes!AQ51:'SmtRes'!AQ51,"=1",SmtRes!AC51:'SmtRes'!AC51)*Source!I93, 2))), 2)</f>
        <v>102.07</v>
      </c>
      <c r="AE323">
        <f>ROUND((Source!AU93/100)*((ROUND(SUMIF(SmtRes!AQ51:'SmtRes'!AQ51,"=1",SmtRes!AD51:'SmtRes'!AD51)*Source!I93, 2)+ROUND(SUMIF(SmtRes!AQ51:'SmtRes'!AQ51,"=1",SmtRes!AC51:'SmtRes'!AC51)*Source!I93, 2))), 2)</f>
        <v>50.46</v>
      </c>
      <c r="AN323" s="80">
        <f>L317+L321+L322</f>
        <v>4087.21</v>
      </c>
      <c r="AO323">
        <f>0</f>
        <v>0</v>
      </c>
      <c r="AQ323" t="s">
        <v>869</v>
      </c>
      <c r="AR323" s="80">
        <f>L317</f>
        <v>1754.17</v>
      </c>
      <c r="AT323">
        <f>0</f>
        <v>0</v>
      </c>
      <c r="AV323" t="s">
        <v>869</v>
      </c>
      <c r="AW323">
        <f>0</f>
        <v>0</v>
      </c>
      <c r="AZ323">
        <f>Source!X93</f>
        <v>1561.21</v>
      </c>
      <c r="BA323">
        <f>Source!Y93</f>
        <v>771.83</v>
      </c>
      <c r="CD323">
        <v>1</v>
      </c>
    </row>
    <row r="324" spans="1:101" ht="41.4" x14ac:dyDescent="0.25">
      <c r="A324" s="63" t="s">
        <v>194</v>
      </c>
      <c r="B324" s="65" t="s">
        <v>195</v>
      </c>
      <c r="C324" s="65" t="str">
        <f>Source!G94</f>
        <v>Погрузка в автотранспортное средство: мусор строительный с погрузкой вручную</v>
      </c>
      <c r="D324" s="66" t="str">
        <f>Source!H94</f>
        <v>1т груза</v>
      </c>
      <c r="E324" s="67">
        <f>Source!K94</f>
        <v>3.5999999999999997E-2</v>
      </c>
      <c r="F324" s="67"/>
      <c r="G324" s="67">
        <f>Source!I94</f>
        <v>3.5999999999999997E-2</v>
      </c>
      <c r="H324" s="69"/>
      <c r="I324" s="68"/>
      <c r="J324" s="69">
        <f>Source!AK94</f>
        <v>884.84</v>
      </c>
      <c r="K324" s="68"/>
      <c r="L324" s="69">
        <f>Source!HD94</f>
        <v>31.85</v>
      </c>
    </row>
    <row r="325" spans="1:101" ht="14.4" x14ac:dyDescent="0.25">
      <c r="A325" s="65"/>
      <c r="B325" s="65"/>
      <c r="C325" s="65" t="s">
        <v>865</v>
      </c>
      <c r="D325" s="66"/>
      <c r="E325" s="67"/>
      <c r="F325" s="67"/>
      <c r="G325" s="67"/>
      <c r="H325" s="69"/>
      <c r="I325" s="68"/>
      <c r="J325" s="69"/>
      <c r="K325" s="68"/>
      <c r="L325" s="69">
        <f>SUM(AR324:AR328)+SUM(AS324:AS328)+SUM(AT324:AT328)+SUM(AU324:AU328)+SUM(AV324:AV328)</f>
        <v>0</v>
      </c>
    </row>
    <row r="326" spans="1:101" ht="14.4" x14ac:dyDescent="0.25">
      <c r="A326" s="65"/>
      <c r="B326" s="65" t="s">
        <v>199</v>
      </c>
      <c r="C326" s="65" t="s">
        <v>931</v>
      </c>
      <c r="D326" s="66" t="s">
        <v>761</v>
      </c>
      <c r="E326" s="67">
        <f>Source!BZ94</f>
        <v>90</v>
      </c>
      <c r="F326" s="67"/>
      <c r="G326" s="67">
        <f>Source!AT94</f>
        <v>0</v>
      </c>
      <c r="H326" s="69"/>
      <c r="I326" s="68"/>
      <c r="J326" s="69"/>
      <c r="K326" s="68"/>
      <c r="L326" s="69">
        <f>SUM(AZ324:AZ328)</f>
        <v>0</v>
      </c>
    </row>
    <row r="327" spans="1:101" ht="14.4" x14ac:dyDescent="0.25">
      <c r="A327" s="75"/>
      <c r="B327" s="75" t="s">
        <v>200</v>
      </c>
      <c r="C327" s="75" t="s">
        <v>932</v>
      </c>
      <c r="D327" s="76" t="s">
        <v>761</v>
      </c>
      <c r="E327" s="77">
        <f>Source!CA94</f>
        <v>42</v>
      </c>
      <c r="F327" s="77"/>
      <c r="G327" s="77">
        <f>Source!AU94</f>
        <v>0</v>
      </c>
      <c r="H327" s="78"/>
      <c r="I327" s="79"/>
      <c r="J327" s="78"/>
      <c r="K327" s="79"/>
      <c r="L327" s="78">
        <f>SUM(BA324:BA328)</f>
        <v>0</v>
      </c>
    </row>
    <row r="328" spans="1:101" ht="13.8" x14ac:dyDescent="0.25">
      <c r="C328" s="127" t="s">
        <v>868</v>
      </c>
      <c r="D328" s="127"/>
      <c r="E328" s="127"/>
      <c r="F328" s="127"/>
      <c r="G328" s="127"/>
      <c r="H328" s="127"/>
      <c r="I328" s="128">
        <f>IF(E324&lt;&gt;0,K328/E324, 0)</f>
        <v>884.72222222222229</v>
      </c>
      <c r="J328" s="128"/>
      <c r="K328" s="128">
        <f>L324</f>
        <v>31.85</v>
      </c>
      <c r="L328" s="128"/>
      <c r="AD328">
        <f>ROUND((Source!AT94/100)*((ROUND(0*Source!I94, 2)+ROUND(0*Source!I94, 2))), 2)</f>
        <v>0</v>
      </c>
      <c r="AE328">
        <f>ROUND((Source!AU94/100)*((ROUND(0*Source!I94, 2)+ROUND(0*Source!I94, 2))), 2)</f>
        <v>0</v>
      </c>
      <c r="AN328" s="80">
        <f>L324</f>
        <v>31.85</v>
      </c>
      <c r="AP328">
        <f>0</f>
        <v>0</v>
      </c>
      <c r="AQ328" t="s">
        <v>869</v>
      </c>
      <c r="AS328">
        <f>0</f>
        <v>0</v>
      </c>
      <c r="AU328">
        <f>0</f>
        <v>0</v>
      </c>
      <c r="AV328" t="s">
        <v>869</v>
      </c>
      <c r="AZ328">
        <f>Source!X94</f>
        <v>0</v>
      </c>
      <c r="BA328">
        <f>Source!Y94</f>
        <v>0</v>
      </c>
      <c r="BB328" s="80">
        <f>L324</f>
        <v>31.85</v>
      </c>
      <c r="CD328">
        <v>1</v>
      </c>
    </row>
    <row r="329" spans="1:101" ht="96.6" x14ac:dyDescent="0.25">
      <c r="A329" s="63" t="s">
        <v>201</v>
      </c>
      <c r="B329" s="65" t="s">
        <v>41</v>
      </c>
      <c r="C329" s="65" t="str">
        <f>Source!G95</f>
        <v>Перевозка грузов I класса автомобилями-самосвалами грузоподъемностью до 15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 14 км</v>
      </c>
      <c r="D329" s="66" t="str">
        <f>Source!H95</f>
        <v>1т груза</v>
      </c>
      <c r="E329" s="67">
        <f>Source!K95</f>
        <v>3.5999999999999997E-2</v>
      </c>
      <c r="F329" s="67"/>
      <c r="G329" s="67">
        <f>Source!I95</f>
        <v>3.5999999999999997E-2</v>
      </c>
      <c r="H329" s="69"/>
      <c r="I329" s="68"/>
      <c r="J329" s="69">
        <f>Source!AK95</f>
        <v>251.35</v>
      </c>
      <c r="K329" s="68"/>
      <c r="L329" s="69">
        <f>Source!HD95</f>
        <v>9.0500000000000007</v>
      </c>
    </row>
    <row r="330" spans="1:101" ht="14.4" x14ac:dyDescent="0.25">
      <c r="A330" s="65"/>
      <c r="B330" s="65"/>
      <c r="C330" s="65" t="s">
        <v>865</v>
      </c>
      <c r="D330" s="66"/>
      <c r="E330" s="67"/>
      <c r="F330" s="67"/>
      <c r="G330" s="67"/>
      <c r="H330" s="69"/>
      <c r="I330" s="68"/>
      <c r="J330" s="69"/>
      <c r="K330" s="68"/>
      <c r="L330" s="69">
        <f>SUM(AR329:AR333)+SUM(AS329:AS333)+SUM(AT329:AT333)+SUM(AU329:AU333)+SUM(AV329:AV333)</f>
        <v>0</v>
      </c>
    </row>
    <row r="331" spans="1:101" ht="27.6" x14ac:dyDescent="0.25">
      <c r="A331" s="65"/>
      <c r="B331" s="65" t="s">
        <v>48</v>
      </c>
      <c r="C331" s="65" t="s">
        <v>872</v>
      </c>
      <c r="D331" s="66" t="s">
        <v>761</v>
      </c>
      <c r="E331" s="67">
        <f>Source!BZ95</f>
        <v>94</v>
      </c>
      <c r="F331" s="67"/>
      <c r="G331" s="67">
        <f>Source!AT95</f>
        <v>0</v>
      </c>
      <c r="H331" s="69"/>
      <c r="I331" s="68"/>
      <c r="J331" s="69"/>
      <c r="K331" s="68"/>
      <c r="L331" s="69">
        <f>SUM(AZ329:AZ333)</f>
        <v>0</v>
      </c>
    </row>
    <row r="332" spans="1:101" ht="27.6" x14ac:dyDescent="0.25">
      <c r="A332" s="75"/>
      <c r="B332" s="75" t="s">
        <v>49</v>
      </c>
      <c r="C332" s="75" t="s">
        <v>873</v>
      </c>
      <c r="D332" s="76" t="s">
        <v>761</v>
      </c>
      <c r="E332" s="77">
        <f>Source!CA95</f>
        <v>61</v>
      </c>
      <c r="F332" s="77"/>
      <c r="G332" s="77">
        <f>Source!AU95</f>
        <v>0</v>
      </c>
      <c r="H332" s="78"/>
      <c r="I332" s="79"/>
      <c r="J332" s="78"/>
      <c r="K332" s="79"/>
      <c r="L332" s="78">
        <f>SUM(BA329:BA333)</f>
        <v>0</v>
      </c>
    </row>
    <row r="333" spans="1:101" ht="13.8" x14ac:dyDescent="0.25">
      <c r="C333" s="127" t="s">
        <v>868</v>
      </c>
      <c r="D333" s="127"/>
      <c r="E333" s="127"/>
      <c r="F333" s="127"/>
      <c r="G333" s="127"/>
      <c r="H333" s="127"/>
      <c r="I333" s="128">
        <f>IF(E329&lt;&gt;0,K333/E329, 0)</f>
        <v>251.38888888888891</v>
      </c>
      <c r="J333" s="128"/>
      <c r="K333" s="128">
        <f>L329</f>
        <v>9.0500000000000007</v>
      </c>
      <c r="L333" s="128"/>
      <c r="AD333">
        <f>ROUND((Source!AT95/100)*((ROUND(0*Source!I95, 2)+ROUND(0*Source!I95, 2))), 2)</f>
        <v>0</v>
      </c>
      <c r="AE333">
        <f>ROUND((Source!AU95/100)*((ROUND(0*Source!I95, 2)+ROUND(0*Source!I95, 2))), 2)</f>
        <v>0</v>
      </c>
      <c r="AN333" s="80">
        <f>L329</f>
        <v>9.0500000000000007</v>
      </c>
      <c r="AP333">
        <f>0</f>
        <v>0</v>
      </c>
      <c r="AQ333" t="s">
        <v>869</v>
      </c>
      <c r="AS333">
        <f>0</f>
        <v>0</v>
      </c>
      <c r="AU333">
        <f>0</f>
        <v>0</v>
      </c>
      <c r="AV333" t="s">
        <v>869</v>
      </c>
      <c r="AZ333">
        <f>Source!X95</f>
        <v>0</v>
      </c>
      <c r="BA333">
        <f>Source!Y95</f>
        <v>0</v>
      </c>
      <c r="BB333" s="80">
        <f>L329</f>
        <v>9.0500000000000007</v>
      </c>
      <c r="CD333">
        <v>1</v>
      </c>
    </row>
    <row r="334" spans="1:101" ht="41.4" x14ac:dyDescent="0.25">
      <c r="A334" s="63" t="s">
        <v>202</v>
      </c>
      <c r="B334" s="65" t="s">
        <v>933</v>
      </c>
      <c r="C334" s="65" t="str">
        <f>Source!G96</f>
        <v>Очистка непроходных каналов: от мокрого ила и грязи при снятых трубах, глубина очистки до 2 м</v>
      </c>
      <c r="D334" s="66" t="str">
        <f>Source!H96</f>
        <v>м3</v>
      </c>
      <c r="E334" s="67">
        <f>Source!K96</f>
        <v>4.8</v>
      </c>
      <c r="F334" s="67"/>
      <c r="G334" s="67">
        <f>Source!I96</f>
        <v>4.8</v>
      </c>
      <c r="H334" s="69"/>
      <c r="I334" s="68"/>
      <c r="J334" s="69"/>
      <c r="K334" s="68"/>
      <c r="L334" s="69"/>
    </row>
    <row r="335" spans="1:101" ht="39.6" x14ac:dyDescent="0.25">
      <c r="B335" s="70" t="s">
        <v>798</v>
      </c>
      <c r="C335" s="129" t="s">
        <v>871</v>
      </c>
      <c r="D335" s="129"/>
      <c r="E335" s="129"/>
      <c r="F335" s="129"/>
      <c r="G335" s="129"/>
      <c r="H335" s="129"/>
      <c r="I335" s="129"/>
      <c r="J335" s="129"/>
      <c r="K335" s="129"/>
      <c r="L335" s="129"/>
      <c r="CW335" s="71" t="s">
        <v>871</v>
      </c>
    </row>
    <row r="336" spans="1:101" ht="14.4" x14ac:dyDescent="0.25">
      <c r="A336" s="64"/>
      <c r="B336" s="67">
        <v>1</v>
      </c>
      <c r="C336" s="64" t="s">
        <v>863</v>
      </c>
      <c r="D336" s="66" t="s">
        <v>501</v>
      </c>
      <c r="E336" s="73"/>
      <c r="F336" s="67"/>
      <c r="G336" s="67">
        <f>Source!U96</f>
        <v>23.846399999999999</v>
      </c>
      <c r="H336" s="67"/>
      <c r="I336" s="67"/>
      <c r="J336" s="67"/>
      <c r="K336" s="67"/>
      <c r="L336" s="74">
        <f>SUM(L337:L337)-SUMIF(CE337:CE337, 1, L337:L337)</f>
        <v>7079.76</v>
      </c>
    </row>
    <row r="337" spans="1:101" ht="14.4" x14ac:dyDescent="0.25">
      <c r="A337" s="65"/>
      <c r="B337" s="65" t="s">
        <v>572</v>
      </c>
      <c r="C337" s="75" t="s">
        <v>573</v>
      </c>
      <c r="D337" s="76" t="s">
        <v>501</v>
      </c>
      <c r="E337" s="77">
        <v>4.32</v>
      </c>
      <c r="F337" s="77">
        <f>ROUND((0.15+1),7)</f>
        <v>1.1499999999999999</v>
      </c>
      <c r="G337" s="77">
        <f>SmtRes!CX52</f>
        <v>23.846399999999999</v>
      </c>
      <c r="H337" s="78"/>
      <c r="I337" s="79"/>
      <c r="J337" s="78">
        <f>SmtRes!CZ52</f>
        <v>296.89</v>
      </c>
      <c r="K337" s="79"/>
      <c r="L337" s="78">
        <f>SmtRes!DI52</f>
        <v>7079.76</v>
      </c>
    </row>
    <row r="338" spans="1:101" ht="14.4" x14ac:dyDescent="0.25">
      <c r="A338" s="65"/>
      <c r="B338" s="65"/>
      <c r="C338" s="81" t="s">
        <v>864</v>
      </c>
      <c r="D338" s="66"/>
      <c r="E338" s="67"/>
      <c r="F338" s="67"/>
      <c r="G338" s="67"/>
      <c r="H338" s="69"/>
      <c r="I338" s="68"/>
      <c r="J338" s="69"/>
      <c r="K338" s="68"/>
      <c r="L338" s="69">
        <f>L336</f>
        <v>7079.76</v>
      </c>
    </row>
    <row r="339" spans="1:101" ht="14.4" x14ac:dyDescent="0.25">
      <c r="A339" s="65"/>
      <c r="B339" s="65"/>
      <c r="C339" s="65" t="s">
        <v>865</v>
      </c>
      <c r="D339" s="66"/>
      <c r="E339" s="67"/>
      <c r="F339" s="67"/>
      <c r="G339" s="67"/>
      <c r="H339" s="69"/>
      <c r="I339" s="68"/>
      <c r="J339" s="69"/>
      <c r="K339" s="68"/>
      <c r="L339" s="69">
        <f>SUM(AR334:AR342)+SUM(AS334:AS342)+SUM(AT334:AT342)+SUM(AU334:AU342)+SUM(AV334:AV342)</f>
        <v>7079.76</v>
      </c>
    </row>
    <row r="340" spans="1:101" ht="27.6" x14ac:dyDescent="0.25">
      <c r="A340" s="65"/>
      <c r="B340" s="65" t="s">
        <v>192</v>
      </c>
      <c r="C340" s="65" t="s">
        <v>929</v>
      </c>
      <c r="D340" s="66" t="s">
        <v>761</v>
      </c>
      <c r="E340" s="67">
        <f>Source!BZ96</f>
        <v>89</v>
      </c>
      <c r="F340" s="67"/>
      <c r="G340" s="67">
        <f>Source!AT96</f>
        <v>89</v>
      </c>
      <c r="H340" s="69"/>
      <c r="I340" s="68"/>
      <c r="J340" s="69"/>
      <c r="K340" s="68"/>
      <c r="L340" s="69">
        <f>SUM(AZ334:AZ342)</f>
        <v>6300.99</v>
      </c>
    </row>
    <row r="341" spans="1:101" ht="27.6" x14ac:dyDescent="0.25">
      <c r="A341" s="75"/>
      <c r="B341" s="75" t="s">
        <v>193</v>
      </c>
      <c r="C341" s="75" t="s">
        <v>930</v>
      </c>
      <c r="D341" s="76" t="s">
        <v>761</v>
      </c>
      <c r="E341" s="77">
        <f>Source!CA96</f>
        <v>44</v>
      </c>
      <c r="F341" s="77"/>
      <c r="G341" s="77">
        <f>Source!AU96</f>
        <v>44</v>
      </c>
      <c r="H341" s="78"/>
      <c r="I341" s="79"/>
      <c r="J341" s="78"/>
      <c r="K341" s="79"/>
      <c r="L341" s="78">
        <f>SUM(BA334:BA342)</f>
        <v>3115.09</v>
      </c>
    </row>
    <row r="342" spans="1:101" ht="13.8" x14ac:dyDescent="0.25">
      <c r="C342" s="127" t="s">
        <v>868</v>
      </c>
      <c r="D342" s="127"/>
      <c r="E342" s="127"/>
      <c r="F342" s="127"/>
      <c r="G342" s="127"/>
      <c r="H342" s="127"/>
      <c r="I342" s="128">
        <f>IF(E334&lt;&gt;0,K342/E334, 0)</f>
        <v>3436.6333333333337</v>
      </c>
      <c r="J342" s="128"/>
      <c r="K342" s="128">
        <f>L336+L340+L341</f>
        <v>16495.84</v>
      </c>
      <c r="L342" s="128"/>
      <c r="AD342">
        <f>ROUND((Source!AT96/100)*((ROUND(SUMIF(SmtRes!AQ52:'SmtRes'!AQ52,"=1",SmtRes!AD52:'SmtRes'!AD52)*Source!I96, 2)+ROUND(SUMIF(SmtRes!AQ52:'SmtRes'!AQ52,"=1",SmtRes!AC52:'SmtRes'!AC52)*Source!I96, 2))), 2)</f>
        <v>1268.31</v>
      </c>
      <c r="AE342">
        <f>ROUND((Source!AU96/100)*((ROUND(SUMIF(SmtRes!AQ52:'SmtRes'!AQ52,"=1",SmtRes!AD52:'SmtRes'!AD52)*Source!I96, 2)+ROUND(SUMIF(SmtRes!AQ52:'SmtRes'!AQ52,"=1",SmtRes!AC52:'SmtRes'!AC52)*Source!I96, 2))), 2)</f>
        <v>627.03</v>
      </c>
      <c r="AN342" s="80">
        <f>L336+L340+L341</f>
        <v>16495.84</v>
      </c>
      <c r="AO342">
        <f>0</f>
        <v>0</v>
      </c>
      <c r="AQ342" t="s">
        <v>869</v>
      </c>
      <c r="AR342" s="80">
        <f>L336</f>
        <v>7079.76</v>
      </c>
      <c r="AT342">
        <f>0</f>
        <v>0</v>
      </c>
      <c r="AV342" t="s">
        <v>869</v>
      </c>
      <c r="AW342">
        <f>0</f>
        <v>0</v>
      </c>
      <c r="AZ342">
        <f>Source!X96</f>
        <v>6300.99</v>
      </c>
      <c r="BA342">
        <f>Source!Y96</f>
        <v>3115.09</v>
      </c>
      <c r="CD342">
        <v>1</v>
      </c>
    </row>
    <row r="343" spans="1:101" ht="41.4" x14ac:dyDescent="0.25">
      <c r="A343" s="63" t="s">
        <v>207</v>
      </c>
      <c r="B343" s="65" t="s">
        <v>870</v>
      </c>
      <c r="C343" s="65" t="str">
        <f>Source!G97</f>
        <v>Погрузка вручную неуплотненного грунта из штабелей и отвалов в транспортные средства, группа грунтов: 1</v>
      </c>
      <c r="D343" s="66" t="str">
        <f>Source!H97</f>
        <v>100 м3</v>
      </c>
      <c r="E343" s="67">
        <f>Source!K97</f>
        <v>4.8000000000000001E-2</v>
      </c>
      <c r="F343" s="67"/>
      <c r="G343" s="67">
        <f>Source!I97</f>
        <v>4.8000000000000001E-2</v>
      </c>
      <c r="H343" s="69"/>
      <c r="I343" s="68"/>
      <c r="J343" s="69"/>
      <c r="K343" s="68"/>
      <c r="L343" s="69"/>
    </row>
    <row r="344" spans="1:101" ht="39.6" x14ac:dyDescent="0.25">
      <c r="B344" s="70" t="s">
        <v>788</v>
      </c>
      <c r="C344" s="129" t="s">
        <v>871</v>
      </c>
      <c r="D344" s="129"/>
      <c r="E344" s="129"/>
      <c r="F344" s="129"/>
      <c r="G344" s="129"/>
      <c r="H344" s="129"/>
      <c r="I344" s="129"/>
      <c r="J344" s="129"/>
      <c r="K344" s="129"/>
      <c r="L344" s="129"/>
      <c r="CW344" s="71" t="s">
        <v>871</v>
      </c>
    </row>
    <row r="345" spans="1:101" ht="14.4" x14ac:dyDescent="0.25">
      <c r="A345" s="64"/>
      <c r="B345" s="67">
        <v>1</v>
      </c>
      <c r="C345" s="64" t="s">
        <v>863</v>
      </c>
      <c r="D345" s="66" t="s">
        <v>501</v>
      </c>
      <c r="E345" s="73"/>
      <c r="F345" s="67"/>
      <c r="G345" s="67">
        <f>Source!U97</f>
        <v>2.956512</v>
      </c>
      <c r="H345" s="67"/>
      <c r="I345" s="67"/>
      <c r="J345" s="67"/>
      <c r="K345" s="67"/>
      <c r="L345" s="74">
        <f>SUM(L346:L346)-SUMIF(CE346:CE346, 1, L346:L346)</f>
        <v>848.52</v>
      </c>
    </row>
    <row r="346" spans="1:101" ht="14.4" x14ac:dyDescent="0.25">
      <c r="A346" s="65"/>
      <c r="B346" s="65" t="s">
        <v>502</v>
      </c>
      <c r="C346" s="75" t="s">
        <v>503</v>
      </c>
      <c r="D346" s="76" t="s">
        <v>501</v>
      </c>
      <c r="E346" s="77">
        <v>53.56</v>
      </c>
      <c r="F346" s="77">
        <f>ROUND((0.15+1),7)</f>
        <v>1.1499999999999999</v>
      </c>
      <c r="G346" s="77">
        <f>SmtRes!CX53</f>
        <v>2.956512</v>
      </c>
      <c r="H346" s="78"/>
      <c r="I346" s="79"/>
      <c r="J346" s="78">
        <f>SmtRes!CZ53</f>
        <v>287</v>
      </c>
      <c r="K346" s="79"/>
      <c r="L346" s="78">
        <f>SmtRes!DI53</f>
        <v>848.52</v>
      </c>
    </row>
    <row r="347" spans="1:101" ht="14.4" x14ac:dyDescent="0.25">
      <c r="A347" s="65"/>
      <c r="B347" s="65"/>
      <c r="C347" s="81" t="s">
        <v>864</v>
      </c>
      <c r="D347" s="66"/>
      <c r="E347" s="67"/>
      <c r="F347" s="67"/>
      <c r="G347" s="67"/>
      <c r="H347" s="69"/>
      <c r="I347" s="68"/>
      <c r="J347" s="69"/>
      <c r="K347" s="68"/>
      <c r="L347" s="69">
        <f>L345</f>
        <v>848.52</v>
      </c>
    </row>
    <row r="348" spans="1:101" ht="14.4" x14ac:dyDescent="0.25">
      <c r="A348" s="65"/>
      <c r="B348" s="65"/>
      <c r="C348" s="65" t="s">
        <v>865</v>
      </c>
      <c r="D348" s="66"/>
      <c r="E348" s="67"/>
      <c r="F348" s="67"/>
      <c r="G348" s="67"/>
      <c r="H348" s="69"/>
      <c r="I348" s="68"/>
      <c r="J348" s="69"/>
      <c r="K348" s="68"/>
      <c r="L348" s="69">
        <f>SUM(AR343:AR351)+SUM(AS343:AS351)+SUM(AT343:AT351)+SUM(AU343:AU351)+SUM(AV343:AV351)</f>
        <v>848.52</v>
      </c>
    </row>
    <row r="349" spans="1:101" ht="27.6" x14ac:dyDescent="0.25">
      <c r="A349" s="65"/>
      <c r="B349" s="65" t="s">
        <v>33</v>
      </c>
      <c r="C349" s="65" t="s">
        <v>866</v>
      </c>
      <c r="D349" s="66" t="s">
        <v>761</v>
      </c>
      <c r="E349" s="67">
        <f>Source!BZ97</f>
        <v>89</v>
      </c>
      <c r="F349" s="67"/>
      <c r="G349" s="67">
        <f>Source!AT97</f>
        <v>89</v>
      </c>
      <c r="H349" s="69"/>
      <c r="I349" s="68"/>
      <c r="J349" s="69"/>
      <c r="K349" s="68"/>
      <c r="L349" s="69">
        <f>SUM(AZ343:AZ351)</f>
        <v>755.18</v>
      </c>
    </row>
    <row r="350" spans="1:101" ht="27.6" x14ac:dyDescent="0.25">
      <c r="A350" s="75"/>
      <c r="B350" s="75" t="s">
        <v>34</v>
      </c>
      <c r="C350" s="75" t="s">
        <v>867</v>
      </c>
      <c r="D350" s="76" t="s">
        <v>761</v>
      </c>
      <c r="E350" s="77">
        <f>Source!CA97</f>
        <v>40</v>
      </c>
      <c r="F350" s="77"/>
      <c r="G350" s="77">
        <f>Source!AU97</f>
        <v>40</v>
      </c>
      <c r="H350" s="78"/>
      <c r="I350" s="79"/>
      <c r="J350" s="78"/>
      <c r="K350" s="79"/>
      <c r="L350" s="78">
        <f>SUM(BA343:BA351)</f>
        <v>339.41</v>
      </c>
    </row>
    <row r="351" spans="1:101" ht="13.8" x14ac:dyDescent="0.25">
      <c r="C351" s="127" t="s">
        <v>868</v>
      </c>
      <c r="D351" s="127"/>
      <c r="E351" s="127"/>
      <c r="F351" s="127"/>
      <c r="G351" s="127"/>
      <c r="H351" s="127"/>
      <c r="I351" s="128">
        <f>IF(E343&lt;&gt;0,K351/E343, 0)</f>
        <v>40481.458333333328</v>
      </c>
      <c r="J351" s="128"/>
      <c r="K351" s="128">
        <f>L345+L349+L350</f>
        <v>1943.11</v>
      </c>
      <c r="L351" s="128"/>
      <c r="AD351">
        <f>ROUND((Source!AT97/100)*((ROUND(SUMIF(SmtRes!AQ53:'SmtRes'!AQ53,"=1",SmtRes!AD53:'SmtRes'!AD53)*Source!I97, 2)+ROUND(SUMIF(SmtRes!AQ53:'SmtRes'!AQ53,"=1",SmtRes!AC53:'SmtRes'!AC53)*Source!I97, 2))), 2)</f>
        <v>12.26</v>
      </c>
      <c r="AE351">
        <f>ROUND((Source!AU97/100)*((ROUND(SUMIF(SmtRes!AQ53:'SmtRes'!AQ53,"=1",SmtRes!AD53:'SmtRes'!AD53)*Source!I97, 2)+ROUND(SUMIF(SmtRes!AQ53:'SmtRes'!AQ53,"=1",SmtRes!AC53:'SmtRes'!AC53)*Source!I97, 2))), 2)</f>
        <v>5.51</v>
      </c>
      <c r="AN351" s="80">
        <f>L345+L349+L350</f>
        <v>1943.11</v>
      </c>
      <c r="AO351">
        <f>0</f>
        <v>0</v>
      </c>
      <c r="AQ351" t="s">
        <v>869</v>
      </c>
      <c r="AR351" s="80">
        <f>L345</f>
        <v>848.52</v>
      </c>
      <c r="AT351">
        <f>0</f>
        <v>0</v>
      </c>
      <c r="AV351" t="s">
        <v>869</v>
      </c>
      <c r="AW351">
        <f>0</f>
        <v>0</v>
      </c>
      <c r="AZ351">
        <f>Source!X97</f>
        <v>755.18</v>
      </c>
      <c r="BA351">
        <f>Source!Y97</f>
        <v>339.41</v>
      </c>
      <c r="CD351">
        <v>1</v>
      </c>
    </row>
    <row r="352" spans="1:101" ht="96.6" x14ac:dyDescent="0.25">
      <c r="A352" s="63" t="s">
        <v>208</v>
      </c>
      <c r="B352" s="65" t="s">
        <v>41</v>
      </c>
      <c r="C352" s="65" t="str">
        <f>Source!G98</f>
        <v>Перевозка грузов I класса автомобилями-самосвалами грузоподъемностью до 15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 14 км</v>
      </c>
      <c r="D352" s="66" t="str">
        <f>Source!H98</f>
        <v>1т груза</v>
      </c>
      <c r="E352" s="67">
        <f>Source!K98</f>
        <v>8.4</v>
      </c>
      <c r="F352" s="67"/>
      <c r="G352" s="67">
        <f>Source!I98</f>
        <v>8.4</v>
      </c>
      <c r="H352" s="69"/>
      <c r="I352" s="68"/>
      <c r="J352" s="69">
        <f>Source!AK98</f>
        <v>251.35</v>
      </c>
      <c r="K352" s="68"/>
      <c r="L352" s="69">
        <f>Source!HD98</f>
        <v>2111.34</v>
      </c>
    </row>
    <row r="353" spans="1:101" ht="14.4" x14ac:dyDescent="0.25">
      <c r="A353" s="65"/>
      <c r="B353" s="65"/>
      <c r="C353" s="65" t="s">
        <v>865</v>
      </c>
      <c r="D353" s="66"/>
      <c r="E353" s="67"/>
      <c r="F353" s="67"/>
      <c r="G353" s="67"/>
      <c r="H353" s="69"/>
      <c r="I353" s="68"/>
      <c r="J353" s="69"/>
      <c r="K353" s="68"/>
      <c r="L353" s="69">
        <f>SUM(AR352:AR356)+SUM(AS352:AS356)+SUM(AT352:AT356)+SUM(AU352:AU356)+SUM(AV352:AV356)</f>
        <v>0</v>
      </c>
    </row>
    <row r="354" spans="1:101" ht="27.6" x14ac:dyDescent="0.25">
      <c r="A354" s="65"/>
      <c r="B354" s="65" t="s">
        <v>48</v>
      </c>
      <c r="C354" s="65" t="s">
        <v>872</v>
      </c>
      <c r="D354" s="66" t="s">
        <v>761</v>
      </c>
      <c r="E354" s="67">
        <f>Source!BZ98</f>
        <v>94</v>
      </c>
      <c r="F354" s="67"/>
      <c r="G354" s="67">
        <f>Source!AT98</f>
        <v>0</v>
      </c>
      <c r="H354" s="69"/>
      <c r="I354" s="68"/>
      <c r="J354" s="69"/>
      <c r="K354" s="68"/>
      <c r="L354" s="69">
        <f>SUM(AZ352:AZ356)</f>
        <v>0</v>
      </c>
    </row>
    <row r="355" spans="1:101" ht="27.6" x14ac:dyDescent="0.25">
      <c r="A355" s="75"/>
      <c r="B355" s="75" t="s">
        <v>49</v>
      </c>
      <c r="C355" s="75" t="s">
        <v>873</v>
      </c>
      <c r="D355" s="76" t="s">
        <v>761</v>
      </c>
      <c r="E355" s="77">
        <f>Source!CA98</f>
        <v>61</v>
      </c>
      <c r="F355" s="77"/>
      <c r="G355" s="77">
        <f>Source!AU98</f>
        <v>0</v>
      </c>
      <c r="H355" s="78"/>
      <c r="I355" s="79"/>
      <c r="J355" s="78"/>
      <c r="K355" s="79"/>
      <c r="L355" s="78">
        <f>SUM(BA352:BA356)</f>
        <v>0</v>
      </c>
    </row>
    <row r="356" spans="1:101" ht="13.8" x14ac:dyDescent="0.25">
      <c r="C356" s="127" t="s">
        <v>868</v>
      </c>
      <c r="D356" s="127"/>
      <c r="E356" s="127"/>
      <c r="F356" s="127"/>
      <c r="G356" s="127"/>
      <c r="H356" s="127"/>
      <c r="I356" s="128">
        <f>IF(E352&lt;&gt;0,K356/E352, 0)</f>
        <v>251.35</v>
      </c>
      <c r="J356" s="128"/>
      <c r="K356" s="128">
        <f>L352</f>
        <v>2111.34</v>
      </c>
      <c r="L356" s="128"/>
      <c r="AD356">
        <f>ROUND((Source!AT98/100)*((ROUND(0*Source!I98, 2)+ROUND(0*Source!I98, 2))), 2)</f>
        <v>0</v>
      </c>
      <c r="AE356">
        <f>ROUND((Source!AU98/100)*((ROUND(0*Source!I98, 2)+ROUND(0*Source!I98, 2))), 2)</f>
        <v>0</v>
      </c>
      <c r="AN356" s="80">
        <f>L352</f>
        <v>2111.34</v>
      </c>
      <c r="AP356">
        <f>0</f>
        <v>0</v>
      </c>
      <c r="AQ356" t="s">
        <v>869</v>
      </c>
      <c r="AS356">
        <f>0</f>
        <v>0</v>
      </c>
      <c r="AU356">
        <f>0</f>
        <v>0</v>
      </c>
      <c r="AV356" t="s">
        <v>869</v>
      </c>
      <c r="AZ356">
        <f>Source!X98</f>
        <v>0</v>
      </c>
      <c r="BA356">
        <f>Source!Y98</f>
        <v>0</v>
      </c>
      <c r="BB356" s="80">
        <f>L352</f>
        <v>2111.34</v>
      </c>
      <c r="CD356">
        <v>1</v>
      </c>
    </row>
    <row r="357" spans="1:101" ht="13.8" x14ac:dyDescent="0.25">
      <c r="C357" s="62" t="str">
        <f>Source!G99</f>
        <v>демонтаж трубопроводов</v>
      </c>
    </row>
    <row r="358" spans="1:101" ht="41.4" x14ac:dyDescent="0.25">
      <c r="A358" s="63" t="s">
        <v>210</v>
      </c>
      <c r="B358" s="65" t="s">
        <v>934</v>
      </c>
      <c r="C358" s="65" t="str">
        <f>Source!G100</f>
        <v>Демонтаж трубопроводов в непроходных каналах краном диаметром труб: до 50 мм</v>
      </c>
      <c r="D358" s="66" t="str">
        <f>Source!H100</f>
        <v>100 м</v>
      </c>
      <c r="E358" s="67">
        <f>Source!K100</f>
        <v>0.15</v>
      </c>
      <c r="F358" s="67"/>
      <c r="G358" s="67">
        <f>Source!I100</f>
        <v>0.15</v>
      </c>
      <c r="H358" s="69"/>
      <c r="I358" s="68"/>
      <c r="J358" s="69"/>
      <c r="K358" s="68"/>
      <c r="L358" s="69"/>
    </row>
    <row r="359" spans="1:101" ht="39.6" x14ac:dyDescent="0.25">
      <c r="B359" s="70" t="s">
        <v>798</v>
      </c>
      <c r="C359" s="129" t="s">
        <v>871</v>
      </c>
      <c r="D359" s="129"/>
      <c r="E359" s="129"/>
      <c r="F359" s="129"/>
      <c r="G359" s="129"/>
      <c r="H359" s="129"/>
      <c r="I359" s="129"/>
      <c r="J359" s="129"/>
      <c r="K359" s="129"/>
      <c r="L359" s="129"/>
      <c r="CW359" s="71" t="s">
        <v>871</v>
      </c>
    </row>
    <row r="360" spans="1:101" ht="14.4" x14ac:dyDescent="0.25">
      <c r="A360" s="64"/>
      <c r="B360" s="67">
        <v>1</v>
      </c>
      <c r="C360" s="64" t="s">
        <v>863</v>
      </c>
      <c r="D360" s="66" t="s">
        <v>501</v>
      </c>
      <c r="E360" s="73"/>
      <c r="F360" s="67"/>
      <c r="G360" s="67">
        <f>Source!U100</f>
        <v>3.8639999999999999</v>
      </c>
      <c r="H360" s="67"/>
      <c r="I360" s="67"/>
      <c r="J360" s="67"/>
      <c r="K360" s="67"/>
      <c r="L360" s="74">
        <f>SUM(L361:L361)-SUMIF(CE361:CE361, 1, L361:L361)</f>
        <v>1262.83</v>
      </c>
    </row>
    <row r="361" spans="1:101" ht="14.4" x14ac:dyDescent="0.25">
      <c r="A361" s="65"/>
      <c r="B361" s="65" t="s">
        <v>514</v>
      </c>
      <c r="C361" s="65" t="s">
        <v>515</v>
      </c>
      <c r="D361" s="66" t="s">
        <v>501</v>
      </c>
      <c r="E361" s="67">
        <v>22.4</v>
      </c>
      <c r="F361" s="67">
        <f>ROUND((0.15+1),7)</f>
        <v>1.1499999999999999</v>
      </c>
      <c r="G361" s="67">
        <f>SmtRes!CX54</f>
        <v>3.8639999999999999</v>
      </c>
      <c r="H361" s="69"/>
      <c r="I361" s="68"/>
      <c r="J361" s="69">
        <f>SmtRes!CZ54</f>
        <v>326.82</v>
      </c>
      <c r="K361" s="68"/>
      <c r="L361" s="69">
        <f>SmtRes!DI54</f>
        <v>1262.83</v>
      </c>
    </row>
    <row r="362" spans="1:101" ht="14.4" x14ac:dyDescent="0.25">
      <c r="A362" s="64"/>
      <c r="B362" s="67">
        <v>2</v>
      </c>
      <c r="C362" s="64" t="s">
        <v>875</v>
      </c>
      <c r="D362" s="66"/>
      <c r="E362" s="73"/>
      <c r="F362" s="67"/>
      <c r="G362" s="67"/>
      <c r="H362" s="67"/>
      <c r="I362" s="67"/>
      <c r="J362" s="67"/>
      <c r="K362" s="67"/>
      <c r="L362" s="74">
        <f>SUM(L363:L368)-SUMIF(CE363:CE368, 1, L363:L368)</f>
        <v>481.06</v>
      </c>
    </row>
    <row r="363" spans="1:101" ht="14.4" x14ac:dyDescent="0.25">
      <c r="A363" s="64"/>
      <c r="B363" s="67"/>
      <c r="C363" s="64" t="s">
        <v>877</v>
      </c>
      <c r="D363" s="66" t="s">
        <v>501</v>
      </c>
      <c r="E363" s="73"/>
      <c r="F363" s="67"/>
      <c r="G363" s="67">
        <f>Source!V100</f>
        <v>0.32257500000000006</v>
      </c>
      <c r="H363" s="67"/>
      <c r="I363" s="67"/>
      <c r="J363" s="67"/>
      <c r="K363" s="67"/>
      <c r="L363" s="74">
        <f>SUMIF(CE364:CE368, 1, L364:L368)</f>
        <v>155.10999999999999</v>
      </c>
      <c r="CE363">
        <v>1</v>
      </c>
    </row>
    <row r="364" spans="1:101" ht="27.6" x14ac:dyDescent="0.25">
      <c r="A364" s="65"/>
      <c r="B364" s="65" t="s">
        <v>574</v>
      </c>
      <c r="C364" s="65" t="s">
        <v>576</v>
      </c>
      <c r="D364" s="66" t="s">
        <v>509</v>
      </c>
      <c r="E364" s="67">
        <v>1.67</v>
      </c>
      <c r="F364" s="67">
        <f>ROUND((0.15+1),7)</f>
        <v>1.1499999999999999</v>
      </c>
      <c r="G364" s="67">
        <f>SmtRes!CX56</f>
        <v>0.28807500000000003</v>
      </c>
      <c r="H364" s="69"/>
      <c r="I364" s="68"/>
      <c r="J364" s="69">
        <f>SmtRes!CZ56</f>
        <v>1598.95</v>
      </c>
      <c r="K364" s="68"/>
      <c r="L364" s="69">
        <f>SmtRes!DG56</f>
        <v>460.62</v>
      </c>
    </row>
    <row r="365" spans="1:101" ht="27.6" x14ac:dyDescent="0.25">
      <c r="A365" s="65"/>
      <c r="B365" s="65" t="s">
        <v>577</v>
      </c>
      <c r="C365" s="65" t="s">
        <v>935</v>
      </c>
      <c r="D365" s="66" t="s">
        <v>501</v>
      </c>
      <c r="E365" s="67">
        <f>SmtRes!DO56*SmtRes!AT56</f>
        <v>1.67</v>
      </c>
      <c r="F365" s="67">
        <f>ROUND((0.15+1),7)</f>
        <v>1.1499999999999999</v>
      </c>
      <c r="G365" s="67">
        <f>ROUND(E365*F365*G358, 7)</f>
        <v>0.28807500000000003</v>
      </c>
      <c r="H365" s="69"/>
      <c r="I365" s="68"/>
      <c r="J365" s="69">
        <f>ROUND(SmtRes!AG56/SmtRes!DO56, 2)</f>
        <v>494.35</v>
      </c>
      <c r="K365" s="68"/>
      <c r="L365" s="69">
        <f>SmtRes!DH56</f>
        <v>142.41</v>
      </c>
      <c r="CE365">
        <v>1</v>
      </c>
    </row>
    <row r="366" spans="1:101" ht="27.6" x14ac:dyDescent="0.25">
      <c r="A366" s="65"/>
      <c r="B366" s="65" t="s">
        <v>527</v>
      </c>
      <c r="C366" s="65" t="s">
        <v>529</v>
      </c>
      <c r="D366" s="66" t="s">
        <v>509</v>
      </c>
      <c r="E366" s="67">
        <v>0.2</v>
      </c>
      <c r="F366" s="67">
        <f>ROUND((0.15+1),7)</f>
        <v>1.1499999999999999</v>
      </c>
      <c r="G366" s="67">
        <f>SmtRes!CX57</f>
        <v>3.4500000000000003E-2</v>
      </c>
      <c r="H366" s="69"/>
      <c r="I366" s="68"/>
      <c r="J366" s="69">
        <f>SmtRes!CZ57</f>
        <v>551.45000000000005</v>
      </c>
      <c r="K366" s="68"/>
      <c r="L366" s="69">
        <f>SmtRes!DG57</f>
        <v>19.03</v>
      </c>
    </row>
    <row r="367" spans="1:101" ht="27.6" x14ac:dyDescent="0.25">
      <c r="A367" s="65"/>
      <c r="B367" s="65" t="s">
        <v>522</v>
      </c>
      <c r="C367" s="65" t="s">
        <v>887</v>
      </c>
      <c r="D367" s="66" t="s">
        <v>501</v>
      </c>
      <c r="E367" s="67">
        <f>SmtRes!DO57*SmtRes!AT57</f>
        <v>0.2</v>
      </c>
      <c r="F367" s="67">
        <f>ROUND((0.15+1),7)</f>
        <v>1.1499999999999999</v>
      </c>
      <c r="G367" s="67">
        <f>ROUND(E367*F367*G358, 7)</f>
        <v>3.4500000000000003E-2</v>
      </c>
      <c r="H367" s="69"/>
      <c r="I367" s="68"/>
      <c r="J367" s="69">
        <f>ROUND(SmtRes!AG57/SmtRes!DO57, 2)</f>
        <v>368.02</v>
      </c>
      <c r="K367" s="68"/>
      <c r="L367" s="69">
        <f>SmtRes!DH57</f>
        <v>12.7</v>
      </c>
      <c r="CE367">
        <v>1</v>
      </c>
    </row>
    <row r="368" spans="1:101" ht="14.4" x14ac:dyDescent="0.25">
      <c r="A368" s="65"/>
      <c r="B368" s="65" t="s">
        <v>578</v>
      </c>
      <c r="C368" s="65" t="s">
        <v>580</v>
      </c>
      <c r="D368" s="66" t="s">
        <v>509</v>
      </c>
      <c r="E368" s="67">
        <v>1.53</v>
      </c>
      <c r="F368" s="67">
        <f>ROUND((0.15+1),7)</f>
        <v>1.1499999999999999</v>
      </c>
      <c r="G368" s="67">
        <f>SmtRes!CX58</f>
        <v>0.26392500000000002</v>
      </c>
      <c r="H368" s="69">
        <f>SmtRes!CZ58</f>
        <v>4.3499999999999996</v>
      </c>
      <c r="I368" s="68">
        <f>SmtRes!AJ58</f>
        <v>1.23</v>
      </c>
      <c r="J368" s="69">
        <f>ROUND(H368*I368, 2)</f>
        <v>5.35</v>
      </c>
      <c r="K368" s="68"/>
      <c r="L368" s="69">
        <f>SmtRes!DG58</f>
        <v>1.41</v>
      </c>
    </row>
    <row r="369" spans="1:101" ht="14.4" x14ac:dyDescent="0.25">
      <c r="A369" s="64"/>
      <c r="B369" s="67">
        <v>4</v>
      </c>
      <c r="C369" s="64" t="s">
        <v>893</v>
      </c>
      <c r="D369" s="66"/>
      <c r="E369" s="73"/>
      <c r="F369" s="67"/>
      <c r="G369" s="67"/>
      <c r="H369" s="67"/>
      <c r="I369" s="67"/>
      <c r="J369" s="67"/>
      <c r="K369" s="67"/>
      <c r="L369" s="74">
        <f>SUM(L370:L371)-SUMIF(CE370:CE371, 1, L370:L371)</f>
        <v>18.709999999999997</v>
      </c>
    </row>
    <row r="370" spans="1:101" ht="14.4" x14ac:dyDescent="0.25">
      <c r="A370" s="65"/>
      <c r="B370" s="65" t="s">
        <v>581</v>
      </c>
      <c r="C370" s="65" t="s">
        <v>583</v>
      </c>
      <c r="D370" s="66" t="s">
        <v>205</v>
      </c>
      <c r="E370" s="67">
        <v>0.88</v>
      </c>
      <c r="F370" s="67"/>
      <c r="G370" s="67">
        <f>SmtRes!CX59</f>
        <v>0.13200000000000001</v>
      </c>
      <c r="H370" s="69">
        <f>SmtRes!CZ59</f>
        <v>114.64</v>
      </c>
      <c r="I370" s="68">
        <f>SmtRes!AI59</f>
        <v>1.1000000000000001</v>
      </c>
      <c r="J370" s="69">
        <f>ROUND(H370*I370, 2)</f>
        <v>126.1</v>
      </c>
      <c r="K370" s="68"/>
      <c r="L370" s="69">
        <f>SmtRes!DF59</f>
        <v>16.649999999999999</v>
      </c>
    </row>
    <row r="371" spans="1:101" ht="14.4" x14ac:dyDescent="0.25">
      <c r="A371" s="65"/>
      <c r="B371" s="65" t="s">
        <v>584</v>
      </c>
      <c r="C371" s="75" t="s">
        <v>586</v>
      </c>
      <c r="D371" s="76" t="s">
        <v>240</v>
      </c>
      <c r="E371" s="77">
        <v>0.22</v>
      </c>
      <c r="F371" s="77"/>
      <c r="G371" s="77">
        <f>SmtRes!CX60</f>
        <v>3.3000000000000002E-2</v>
      </c>
      <c r="H371" s="78">
        <f>SmtRes!CZ60</f>
        <v>41.38</v>
      </c>
      <c r="I371" s="79">
        <f>SmtRes!AI60</f>
        <v>1.51</v>
      </c>
      <c r="J371" s="78">
        <f>ROUND(H371*I371, 2)</f>
        <v>62.48</v>
      </c>
      <c r="K371" s="79"/>
      <c r="L371" s="78">
        <f>SmtRes!DF60</f>
        <v>2.06</v>
      </c>
    </row>
    <row r="372" spans="1:101" ht="14.4" x14ac:dyDescent="0.25">
      <c r="A372" s="65"/>
      <c r="B372" s="65"/>
      <c r="C372" s="81" t="s">
        <v>864</v>
      </c>
      <c r="D372" s="66"/>
      <c r="E372" s="67"/>
      <c r="F372" s="67"/>
      <c r="G372" s="67"/>
      <c r="H372" s="69"/>
      <c r="I372" s="68"/>
      <c r="J372" s="69"/>
      <c r="K372" s="68"/>
      <c r="L372" s="69">
        <f>L360+L362+L363+L369</f>
        <v>1917.7099999999998</v>
      </c>
    </row>
    <row r="373" spans="1:101" ht="14.4" x14ac:dyDescent="0.25">
      <c r="A373" s="65"/>
      <c r="B373" s="65"/>
      <c r="C373" s="65" t="s">
        <v>865</v>
      </c>
      <c r="D373" s="66"/>
      <c r="E373" s="67"/>
      <c r="F373" s="67"/>
      <c r="G373" s="67"/>
      <c r="H373" s="69"/>
      <c r="I373" s="68"/>
      <c r="J373" s="69"/>
      <c r="K373" s="68"/>
      <c r="L373" s="69">
        <f>SUM(AR358:AR376)+SUM(AS358:AS376)+SUM(AT358:AT376)+SUM(AU358:AU376)+SUM(AV358:AV376)</f>
        <v>1417.9399999999998</v>
      </c>
    </row>
    <row r="374" spans="1:101" ht="27.6" x14ac:dyDescent="0.25">
      <c r="A374" s="65"/>
      <c r="B374" s="65" t="s">
        <v>192</v>
      </c>
      <c r="C374" s="65" t="s">
        <v>929</v>
      </c>
      <c r="D374" s="66" t="s">
        <v>761</v>
      </c>
      <c r="E374" s="67">
        <f>Source!BZ100</f>
        <v>89</v>
      </c>
      <c r="F374" s="67"/>
      <c r="G374" s="67">
        <f>Source!AT100</f>
        <v>89</v>
      </c>
      <c r="H374" s="69"/>
      <c r="I374" s="68"/>
      <c r="J374" s="69"/>
      <c r="K374" s="68"/>
      <c r="L374" s="69">
        <f>SUM(AZ358:AZ376)</f>
        <v>1261.97</v>
      </c>
    </row>
    <row r="375" spans="1:101" ht="27.6" x14ac:dyDescent="0.25">
      <c r="A375" s="75"/>
      <c r="B375" s="75" t="s">
        <v>193</v>
      </c>
      <c r="C375" s="75" t="s">
        <v>930</v>
      </c>
      <c r="D375" s="76" t="s">
        <v>761</v>
      </c>
      <c r="E375" s="77">
        <f>Source!CA100</f>
        <v>44</v>
      </c>
      <c r="F375" s="77"/>
      <c r="G375" s="77">
        <f>Source!AU100</f>
        <v>44</v>
      </c>
      <c r="H375" s="78"/>
      <c r="I375" s="79"/>
      <c r="J375" s="78"/>
      <c r="K375" s="79"/>
      <c r="L375" s="78">
        <f>SUM(BA358:BA376)</f>
        <v>623.89</v>
      </c>
    </row>
    <row r="376" spans="1:101" ht="13.8" x14ac:dyDescent="0.25">
      <c r="C376" s="127" t="s">
        <v>868</v>
      </c>
      <c r="D376" s="127"/>
      <c r="E376" s="127"/>
      <c r="F376" s="127"/>
      <c r="G376" s="127"/>
      <c r="H376" s="127"/>
      <c r="I376" s="128">
        <f>IF(E358&lt;&gt;0,K376/E358, 0)</f>
        <v>25357.133333333331</v>
      </c>
      <c r="J376" s="128"/>
      <c r="K376" s="128">
        <f>L360+L362+L369+L374+L375+L363</f>
        <v>3803.5699999999997</v>
      </c>
      <c r="L376" s="128"/>
      <c r="AD376">
        <f>ROUND((Source!AT100/100)*((ROUND(SUMIF(SmtRes!AQ54:'SmtRes'!AQ60,"=1",SmtRes!AD54:'SmtRes'!AD60)*Source!I100, 2)+ROUND(SUMIF(SmtRes!AQ54:'SmtRes'!AQ60,"=1",SmtRes!AC54:'SmtRes'!AC60)*Source!I100, 2))), 2)</f>
        <v>158.76</v>
      </c>
      <c r="AE376">
        <f>ROUND((Source!AU100/100)*((ROUND(SUMIF(SmtRes!AQ54:'SmtRes'!AQ60,"=1",SmtRes!AD54:'SmtRes'!AD60)*Source!I100, 2)+ROUND(SUMIF(SmtRes!AQ54:'SmtRes'!AQ60,"=1",SmtRes!AC54:'SmtRes'!AC60)*Source!I100, 2))), 2)</f>
        <v>78.489999999999995</v>
      </c>
      <c r="AN376" s="80">
        <f>L360+L362+L369+L374+L375+L363</f>
        <v>3803.5699999999997</v>
      </c>
      <c r="AO376" s="80">
        <f>L362</f>
        <v>481.06</v>
      </c>
      <c r="AQ376" t="s">
        <v>869</v>
      </c>
      <c r="AR376" s="80">
        <f>L360</f>
        <v>1262.83</v>
      </c>
      <c r="AT376" s="80">
        <f>L363</f>
        <v>155.10999999999999</v>
      </c>
      <c r="AV376" t="s">
        <v>869</v>
      </c>
      <c r="AW376" s="80">
        <f>L369</f>
        <v>18.709999999999997</v>
      </c>
      <c r="AZ376">
        <f>Source!X100</f>
        <v>1261.97</v>
      </c>
      <c r="BA376">
        <f>Source!Y100</f>
        <v>623.89</v>
      </c>
      <c r="CD376">
        <v>1</v>
      </c>
    </row>
    <row r="377" spans="1:101" ht="41.4" x14ac:dyDescent="0.25">
      <c r="A377" s="63" t="s">
        <v>215</v>
      </c>
      <c r="B377" s="65" t="s">
        <v>936</v>
      </c>
      <c r="C377" s="65" t="str">
        <f>Source!G101</f>
        <v>Демонтаж трубопроводов в непроходных каналах краном диаметром труб: до 80 мм</v>
      </c>
      <c r="D377" s="66" t="str">
        <f>Source!H101</f>
        <v>100 м</v>
      </c>
      <c r="E377" s="67">
        <f>Source!K101</f>
        <v>0.45</v>
      </c>
      <c r="F377" s="67"/>
      <c r="G377" s="67">
        <f>Source!I101</f>
        <v>0.45</v>
      </c>
      <c r="H377" s="69"/>
      <c r="I377" s="68"/>
      <c r="J377" s="69"/>
      <c r="K377" s="68"/>
      <c r="L377" s="69"/>
    </row>
    <row r="378" spans="1:101" ht="39.6" x14ac:dyDescent="0.25">
      <c r="B378" s="70" t="s">
        <v>798</v>
      </c>
      <c r="C378" s="129" t="s">
        <v>871</v>
      </c>
      <c r="D378" s="129"/>
      <c r="E378" s="129"/>
      <c r="F378" s="129"/>
      <c r="G378" s="129"/>
      <c r="H378" s="129"/>
      <c r="I378" s="129"/>
      <c r="J378" s="129"/>
      <c r="K378" s="129"/>
      <c r="L378" s="129"/>
      <c r="CW378" s="71" t="s">
        <v>871</v>
      </c>
    </row>
    <row r="379" spans="1:101" ht="14.4" x14ac:dyDescent="0.25">
      <c r="A379" s="64"/>
      <c r="B379" s="67">
        <v>1</v>
      </c>
      <c r="C379" s="64" t="s">
        <v>863</v>
      </c>
      <c r="D379" s="66" t="s">
        <v>501</v>
      </c>
      <c r="E379" s="73"/>
      <c r="F379" s="67"/>
      <c r="G379" s="67">
        <f>Source!U101</f>
        <v>17.491499999999998</v>
      </c>
      <c r="H379" s="67"/>
      <c r="I379" s="67"/>
      <c r="J379" s="67"/>
      <c r="K379" s="67"/>
      <c r="L379" s="74">
        <f>SUM(L380:L380)-SUMIF(CE380:CE380, 1, L380:L380)</f>
        <v>5716.57</v>
      </c>
    </row>
    <row r="380" spans="1:101" ht="14.4" x14ac:dyDescent="0.25">
      <c r="A380" s="65"/>
      <c r="B380" s="65" t="s">
        <v>514</v>
      </c>
      <c r="C380" s="65" t="s">
        <v>515</v>
      </c>
      <c r="D380" s="66" t="s">
        <v>501</v>
      </c>
      <c r="E380" s="67">
        <v>33.799999999999997</v>
      </c>
      <c r="F380" s="67">
        <f>ROUND((0.15+1),7)</f>
        <v>1.1499999999999999</v>
      </c>
      <c r="G380" s="67">
        <f>SmtRes!CX61</f>
        <v>17.491499999999998</v>
      </c>
      <c r="H380" s="69"/>
      <c r="I380" s="68"/>
      <c r="J380" s="69">
        <f>SmtRes!CZ61</f>
        <v>326.82</v>
      </c>
      <c r="K380" s="68"/>
      <c r="L380" s="69">
        <f>SmtRes!DI61</f>
        <v>5716.57</v>
      </c>
    </row>
    <row r="381" spans="1:101" ht="14.4" x14ac:dyDescent="0.25">
      <c r="A381" s="64"/>
      <c r="B381" s="67">
        <v>2</v>
      </c>
      <c r="C381" s="64" t="s">
        <v>875</v>
      </c>
      <c r="D381" s="66"/>
      <c r="E381" s="73"/>
      <c r="F381" s="67"/>
      <c r="G381" s="67"/>
      <c r="H381" s="67"/>
      <c r="I381" s="67"/>
      <c r="J381" s="67"/>
      <c r="K381" s="67"/>
      <c r="L381" s="74">
        <f>SUM(L382:L387)-SUMIF(CE382:CE387, 1, L382:L387)</f>
        <v>1667.28</v>
      </c>
    </row>
    <row r="382" spans="1:101" ht="14.4" x14ac:dyDescent="0.25">
      <c r="A382" s="64"/>
      <c r="B382" s="67"/>
      <c r="C382" s="64" t="s">
        <v>877</v>
      </c>
      <c r="D382" s="66" t="s">
        <v>501</v>
      </c>
      <c r="E382" s="73"/>
      <c r="F382" s="67"/>
      <c r="G382" s="67">
        <f>Source!V101</f>
        <v>1.1074499999999998</v>
      </c>
      <c r="H382" s="67"/>
      <c r="I382" s="67"/>
      <c r="J382" s="67"/>
      <c r="K382" s="67"/>
      <c r="L382" s="74">
        <f>SUMIF(CE383:CE387, 1, L383:L387)</f>
        <v>534.39</v>
      </c>
      <c r="CE382">
        <v>1</v>
      </c>
    </row>
    <row r="383" spans="1:101" ht="27.6" x14ac:dyDescent="0.25">
      <c r="A383" s="65"/>
      <c r="B383" s="65" t="s">
        <v>574</v>
      </c>
      <c r="C383" s="65" t="s">
        <v>576</v>
      </c>
      <c r="D383" s="66" t="s">
        <v>509</v>
      </c>
      <c r="E383" s="67">
        <v>1.94</v>
      </c>
      <c r="F383" s="67">
        <f>ROUND((0.15+1),7)</f>
        <v>1.1499999999999999</v>
      </c>
      <c r="G383" s="67">
        <f>SmtRes!CX63</f>
        <v>1.0039499999999999</v>
      </c>
      <c r="H383" s="69"/>
      <c r="I383" s="68"/>
      <c r="J383" s="69">
        <f>SmtRes!CZ63</f>
        <v>1598.95</v>
      </c>
      <c r="K383" s="68"/>
      <c r="L383" s="69">
        <f>SmtRes!DG63</f>
        <v>1605.27</v>
      </c>
    </row>
    <row r="384" spans="1:101" ht="27.6" x14ac:dyDescent="0.25">
      <c r="A384" s="65"/>
      <c r="B384" s="65" t="s">
        <v>577</v>
      </c>
      <c r="C384" s="65" t="s">
        <v>935</v>
      </c>
      <c r="D384" s="66" t="s">
        <v>501</v>
      </c>
      <c r="E384" s="67">
        <f>SmtRes!DO63*SmtRes!AT63</f>
        <v>1.94</v>
      </c>
      <c r="F384" s="67">
        <f>ROUND((0.15+1),7)</f>
        <v>1.1499999999999999</v>
      </c>
      <c r="G384" s="67">
        <f>ROUND(E384*F384*G377, 7)</f>
        <v>1.0039499999999999</v>
      </c>
      <c r="H384" s="69"/>
      <c r="I384" s="68"/>
      <c r="J384" s="69">
        <f>ROUND(SmtRes!AG63/SmtRes!DO63, 2)</f>
        <v>494.35</v>
      </c>
      <c r="K384" s="68"/>
      <c r="L384" s="69">
        <f>SmtRes!DH63</f>
        <v>496.3</v>
      </c>
      <c r="CE384">
        <v>1</v>
      </c>
    </row>
    <row r="385" spans="1:101" ht="27.6" x14ac:dyDescent="0.25">
      <c r="A385" s="65"/>
      <c r="B385" s="65" t="s">
        <v>527</v>
      </c>
      <c r="C385" s="65" t="s">
        <v>529</v>
      </c>
      <c r="D385" s="66" t="s">
        <v>509</v>
      </c>
      <c r="E385" s="67">
        <v>0.2</v>
      </c>
      <c r="F385" s="67">
        <f>ROUND((0.15+1),7)</f>
        <v>1.1499999999999999</v>
      </c>
      <c r="G385" s="67">
        <f>SmtRes!CX64</f>
        <v>0.10349999999999999</v>
      </c>
      <c r="H385" s="69"/>
      <c r="I385" s="68"/>
      <c r="J385" s="69">
        <f>SmtRes!CZ64</f>
        <v>551.45000000000005</v>
      </c>
      <c r="K385" s="68"/>
      <c r="L385" s="69">
        <f>SmtRes!DG64</f>
        <v>57.08</v>
      </c>
    </row>
    <row r="386" spans="1:101" ht="27.6" x14ac:dyDescent="0.25">
      <c r="A386" s="65"/>
      <c r="B386" s="65" t="s">
        <v>522</v>
      </c>
      <c r="C386" s="65" t="s">
        <v>887</v>
      </c>
      <c r="D386" s="66" t="s">
        <v>501</v>
      </c>
      <c r="E386" s="67">
        <f>SmtRes!DO64*SmtRes!AT64</f>
        <v>0.2</v>
      </c>
      <c r="F386" s="67">
        <f>ROUND((0.15+1),7)</f>
        <v>1.1499999999999999</v>
      </c>
      <c r="G386" s="67">
        <f>ROUND(E386*F386*G377, 7)</f>
        <v>0.10349999999999999</v>
      </c>
      <c r="H386" s="69"/>
      <c r="I386" s="68"/>
      <c r="J386" s="69">
        <f>ROUND(SmtRes!AG64/SmtRes!DO64, 2)</f>
        <v>368.02</v>
      </c>
      <c r="K386" s="68"/>
      <c r="L386" s="69">
        <f>SmtRes!DH64</f>
        <v>38.090000000000003</v>
      </c>
      <c r="CE386">
        <v>1</v>
      </c>
    </row>
    <row r="387" spans="1:101" ht="14.4" x14ac:dyDescent="0.25">
      <c r="A387" s="65"/>
      <c r="B387" s="65" t="s">
        <v>578</v>
      </c>
      <c r="C387" s="65" t="s">
        <v>580</v>
      </c>
      <c r="D387" s="66" t="s">
        <v>509</v>
      </c>
      <c r="E387" s="67">
        <v>1.78</v>
      </c>
      <c r="F387" s="67">
        <f>ROUND((0.15+1),7)</f>
        <v>1.1499999999999999</v>
      </c>
      <c r="G387" s="67">
        <f>SmtRes!CX65</f>
        <v>0.92115000000000002</v>
      </c>
      <c r="H387" s="69">
        <f>SmtRes!CZ65</f>
        <v>4.3499999999999996</v>
      </c>
      <c r="I387" s="68">
        <f>SmtRes!AJ65</f>
        <v>1.23</v>
      </c>
      <c r="J387" s="69">
        <f>ROUND(H387*I387, 2)</f>
        <v>5.35</v>
      </c>
      <c r="K387" s="68"/>
      <c r="L387" s="69">
        <f>SmtRes!DG65</f>
        <v>4.93</v>
      </c>
    </row>
    <row r="388" spans="1:101" ht="14.4" x14ac:dyDescent="0.25">
      <c r="A388" s="64"/>
      <c r="B388" s="67">
        <v>4</v>
      </c>
      <c r="C388" s="64" t="s">
        <v>893</v>
      </c>
      <c r="D388" s="66"/>
      <c r="E388" s="73"/>
      <c r="F388" s="67"/>
      <c r="G388" s="67"/>
      <c r="H388" s="67"/>
      <c r="I388" s="67"/>
      <c r="J388" s="67"/>
      <c r="K388" s="67"/>
      <c r="L388" s="74">
        <f>SUM(L389:L390)-SUMIF(CE389:CE390, 1, L389:L390)</f>
        <v>86.73</v>
      </c>
    </row>
    <row r="389" spans="1:101" ht="14.4" x14ac:dyDescent="0.25">
      <c r="A389" s="65"/>
      <c r="B389" s="65" t="s">
        <v>581</v>
      </c>
      <c r="C389" s="65" t="s">
        <v>583</v>
      </c>
      <c r="D389" s="66" t="s">
        <v>205</v>
      </c>
      <c r="E389" s="67">
        <v>1.36</v>
      </c>
      <c r="F389" s="67"/>
      <c r="G389" s="67">
        <f>SmtRes!CX66</f>
        <v>0.61199999999999999</v>
      </c>
      <c r="H389" s="69">
        <f>SmtRes!CZ66</f>
        <v>114.64</v>
      </c>
      <c r="I389" s="68">
        <f>SmtRes!AI66</f>
        <v>1.1000000000000001</v>
      </c>
      <c r="J389" s="69">
        <f>ROUND(H389*I389, 2)</f>
        <v>126.1</v>
      </c>
      <c r="K389" s="68"/>
      <c r="L389" s="69">
        <f>SmtRes!DF66</f>
        <v>77.17</v>
      </c>
    </row>
    <row r="390" spans="1:101" ht="14.4" x14ac:dyDescent="0.25">
      <c r="A390" s="65"/>
      <c r="B390" s="65" t="s">
        <v>584</v>
      </c>
      <c r="C390" s="75" t="s">
        <v>586</v>
      </c>
      <c r="D390" s="76" t="s">
        <v>240</v>
      </c>
      <c r="E390" s="77">
        <v>0.34</v>
      </c>
      <c r="F390" s="77"/>
      <c r="G390" s="77">
        <f>SmtRes!CX67</f>
        <v>0.153</v>
      </c>
      <c r="H390" s="78">
        <f>SmtRes!CZ67</f>
        <v>41.38</v>
      </c>
      <c r="I390" s="79">
        <f>SmtRes!AI67</f>
        <v>1.51</v>
      </c>
      <c r="J390" s="78">
        <f>ROUND(H390*I390, 2)</f>
        <v>62.48</v>
      </c>
      <c r="K390" s="79"/>
      <c r="L390" s="78">
        <f>SmtRes!DF67</f>
        <v>9.56</v>
      </c>
    </row>
    <row r="391" spans="1:101" ht="14.4" x14ac:dyDescent="0.25">
      <c r="A391" s="65"/>
      <c r="B391" s="65"/>
      <c r="C391" s="81" t="s">
        <v>864</v>
      </c>
      <c r="D391" s="66"/>
      <c r="E391" s="67"/>
      <c r="F391" s="67"/>
      <c r="G391" s="67"/>
      <c r="H391" s="69"/>
      <c r="I391" s="68"/>
      <c r="J391" s="69"/>
      <c r="K391" s="68"/>
      <c r="L391" s="69">
        <f>L379+L381+L382+L388</f>
        <v>8004.9699999999993</v>
      </c>
    </row>
    <row r="392" spans="1:101" ht="14.4" x14ac:dyDescent="0.25">
      <c r="A392" s="65"/>
      <c r="B392" s="65"/>
      <c r="C392" s="65" t="s">
        <v>865</v>
      </c>
      <c r="D392" s="66"/>
      <c r="E392" s="67"/>
      <c r="F392" s="67"/>
      <c r="G392" s="67"/>
      <c r="H392" s="69"/>
      <c r="I392" s="68"/>
      <c r="J392" s="69"/>
      <c r="K392" s="68"/>
      <c r="L392" s="69">
        <f>SUM(AR377:AR395)+SUM(AS377:AS395)+SUM(AT377:AT395)+SUM(AU377:AU395)+SUM(AV377:AV395)</f>
        <v>6250.96</v>
      </c>
    </row>
    <row r="393" spans="1:101" ht="27.6" x14ac:dyDescent="0.25">
      <c r="A393" s="65"/>
      <c r="B393" s="65" t="s">
        <v>192</v>
      </c>
      <c r="C393" s="65" t="s">
        <v>929</v>
      </c>
      <c r="D393" s="66" t="s">
        <v>761</v>
      </c>
      <c r="E393" s="67">
        <f>Source!BZ101</f>
        <v>89</v>
      </c>
      <c r="F393" s="67"/>
      <c r="G393" s="67">
        <f>Source!AT101</f>
        <v>89</v>
      </c>
      <c r="H393" s="69"/>
      <c r="I393" s="68"/>
      <c r="J393" s="69"/>
      <c r="K393" s="68"/>
      <c r="L393" s="69">
        <f>SUM(AZ377:AZ395)</f>
        <v>5563.35</v>
      </c>
    </row>
    <row r="394" spans="1:101" ht="27.6" x14ac:dyDescent="0.25">
      <c r="A394" s="75"/>
      <c r="B394" s="75" t="s">
        <v>193</v>
      </c>
      <c r="C394" s="75" t="s">
        <v>930</v>
      </c>
      <c r="D394" s="76" t="s">
        <v>761</v>
      </c>
      <c r="E394" s="77">
        <f>Source!CA101</f>
        <v>44</v>
      </c>
      <c r="F394" s="77"/>
      <c r="G394" s="77">
        <f>Source!AU101</f>
        <v>44</v>
      </c>
      <c r="H394" s="78"/>
      <c r="I394" s="79"/>
      <c r="J394" s="78"/>
      <c r="K394" s="79"/>
      <c r="L394" s="78">
        <f>SUM(BA377:BA395)</f>
        <v>2750.42</v>
      </c>
    </row>
    <row r="395" spans="1:101" ht="13.8" x14ac:dyDescent="0.25">
      <c r="C395" s="127" t="s">
        <v>868</v>
      </c>
      <c r="D395" s="127"/>
      <c r="E395" s="127"/>
      <c r="F395" s="127"/>
      <c r="G395" s="127"/>
      <c r="H395" s="127"/>
      <c r="I395" s="128">
        <f>IF(E377&lt;&gt;0,K395/E377, 0)</f>
        <v>36263.866666666669</v>
      </c>
      <c r="J395" s="128"/>
      <c r="K395" s="128">
        <f>L379+L381+L388+L393+L394+L382</f>
        <v>16318.74</v>
      </c>
      <c r="L395" s="128"/>
      <c r="AD395">
        <f>ROUND((Source!AT101/100)*((ROUND(SUMIF(SmtRes!AQ61:'SmtRes'!AQ67,"=1",SmtRes!AD61:'SmtRes'!AD67)*Source!I101, 2)+ROUND(SUMIF(SmtRes!AQ61:'SmtRes'!AQ67,"=1",SmtRes!AC61:'SmtRes'!AC67)*Source!I101, 2))), 2)</f>
        <v>476.27</v>
      </c>
      <c r="AE395">
        <f>ROUND((Source!AU101/100)*((ROUND(SUMIF(SmtRes!AQ61:'SmtRes'!AQ67,"=1",SmtRes!AD61:'SmtRes'!AD67)*Source!I101, 2)+ROUND(SUMIF(SmtRes!AQ61:'SmtRes'!AQ67,"=1",SmtRes!AC61:'SmtRes'!AC67)*Source!I101, 2))), 2)</f>
        <v>235.46</v>
      </c>
      <c r="AN395" s="80">
        <f>L379+L381+L388+L393+L394+L382</f>
        <v>16318.74</v>
      </c>
      <c r="AO395" s="80">
        <f>L381</f>
        <v>1667.28</v>
      </c>
      <c r="AQ395" t="s">
        <v>869</v>
      </c>
      <c r="AR395" s="80">
        <f>L379</f>
        <v>5716.57</v>
      </c>
      <c r="AT395" s="80">
        <f>L382</f>
        <v>534.39</v>
      </c>
      <c r="AV395" t="s">
        <v>869</v>
      </c>
      <c r="AW395" s="80">
        <f>L388</f>
        <v>86.73</v>
      </c>
      <c r="AZ395">
        <f>Source!X101</f>
        <v>5563.35</v>
      </c>
      <c r="BA395">
        <f>Source!Y101</f>
        <v>2750.42</v>
      </c>
      <c r="CD395">
        <v>1</v>
      </c>
    </row>
    <row r="396" spans="1:101" ht="41.4" x14ac:dyDescent="0.25">
      <c r="A396" s="63" t="s">
        <v>219</v>
      </c>
      <c r="B396" s="65" t="s">
        <v>937</v>
      </c>
      <c r="C396" s="65" t="str">
        <f>Source!G102</f>
        <v>Демонтаж задвижек диаметром: до 50 мм (спускника д20мм, для повторного использования)</v>
      </c>
      <c r="D396" s="66" t="str">
        <f>Source!H102</f>
        <v>ШТ</v>
      </c>
      <c r="E396" s="67">
        <f>Source!K102</f>
        <v>4</v>
      </c>
      <c r="F396" s="67"/>
      <c r="G396" s="67">
        <f>Source!I102</f>
        <v>4</v>
      </c>
      <c r="H396" s="69"/>
      <c r="I396" s="68"/>
      <c r="J396" s="69"/>
      <c r="K396" s="68"/>
      <c r="L396" s="69"/>
    </row>
    <row r="397" spans="1:101" ht="39.6" x14ac:dyDescent="0.25">
      <c r="B397" s="70" t="s">
        <v>798</v>
      </c>
      <c r="C397" s="129" t="s">
        <v>871</v>
      </c>
      <c r="D397" s="129"/>
      <c r="E397" s="129"/>
      <c r="F397" s="129"/>
      <c r="G397" s="129"/>
      <c r="H397" s="129"/>
      <c r="I397" s="129"/>
      <c r="J397" s="129"/>
      <c r="K397" s="129"/>
      <c r="L397" s="129"/>
      <c r="CW397" s="71" t="s">
        <v>871</v>
      </c>
    </row>
    <row r="398" spans="1:101" ht="14.4" x14ac:dyDescent="0.25">
      <c r="A398" s="64"/>
      <c r="B398" s="67">
        <v>1</v>
      </c>
      <c r="C398" s="64" t="s">
        <v>863</v>
      </c>
      <c r="D398" s="66" t="s">
        <v>501</v>
      </c>
      <c r="E398" s="73"/>
      <c r="F398" s="67"/>
      <c r="G398" s="67">
        <f>Source!U102</f>
        <v>2.806</v>
      </c>
      <c r="H398" s="67"/>
      <c r="I398" s="67"/>
      <c r="J398" s="67"/>
      <c r="K398" s="67"/>
      <c r="L398" s="74">
        <f>SUM(L399:L399)-SUMIF(CE399:CE399, 1, L399:L399)</f>
        <v>928.62</v>
      </c>
    </row>
    <row r="399" spans="1:101" ht="14.4" x14ac:dyDescent="0.25">
      <c r="A399" s="65"/>
      <c r="B399" s="65" t="s">
        <v>587</v>
      </c>
      <c r="C399" s="65" t="s">
        <v>588</v>
      </c>
      <c r="D399" s="66" t="s">
        <v>501</v>
      </c>
      <c r="E399" s="67">
        <v>0.61</v>
      </c>
      <c r="F399" s="67">
        <f>ROUND((0.15+1),7)</f>
        <v>1.1499999999999999</v>
      </c>
      <c r="G399" s="67">
        <f>SmtRes!CX68</f>
        <v>2.806</v>
      </c>
      <c r="H399" s="69"/>
      <c r="I399" s="68"/>
      <c r="J399" s="69">
        <f>SmtRes!CZ68</f>
        <v>330.94</v>
      </c>
      <c r="K399" s="68"/>
      <c r="L399" s="69">
        <f>SmtRes!DI68</f>
        <v>928.62</v>
      </c>
    </row>
    <row r="400" spans="1:101" ht="14.4" x14ac:dyDescent="0.25">
      <c r="A400" s="64"/>
      <c r="B400" s="67">
        <v>2</v>
      </c>
      <c r="C400" s="64" t="s">
        <v>875</v>
      </c>
      <c r="D400" s="66"/>
      <c r="E400" s="73"/>
      <c r="F400" s="67"/>
      <c r="G400" s="67"/>
      <c r="H400" s="67"/>
      <c r="I400" s="67"/>
      <c r="J400" s="67"/>
      <c r="K400" s="67"/>
      <c r="L400" s="74">
        <f>SUM(L401:L403)-SUMIF(CE401:CE403, 1, L401:L403)</f>
        <v>253.67000000000002</v>
      </c>
    </row>
    <row r="401" spans="1:83" ht="14.4" x14ac:dyDescent="0.25">
      <c r="A401" s="64"/>
      <c r="B401" s="67"/>
      <c r="C401" s="64" t="s">
        <v>877</v>
      </c>
      <c r="D401" s="66" t="s">
        <v>501</v>
      </c>
      <c r="E401" s="73"/>
      <c r="F401" s="67"/>
      <c r="G401" s="67">
        <f>Source!V102</f>
        <v>0.46</v>
      </c>
      <c r="H401" s="67"/>
      <c r="I401" s="67"/>
      <c r="J401" s="67"/>
      <c r="K401" s="67"/>
      <c r="L401" s="74">
        <f>SUMIF(CE402:CE403, 1, L402:L403)</f>
        <v>169.29</v>
      </c>
      <c r="CE401">
        <v>1</v>
      </c>
    </row>
    <row r="402" spans="1:83" ht="27.6" x14ac:dyDescent="0.25">
      <c r="A402" s="65"/>
      <c r="B402" s="65" t="s">
        <v>527</v>
      </c>
      <c r="C402" s="65" t="s">
        <v>529</v>
      </c>
      <c r="D402" s="66" t="s">
        <v>509</v>
      </c>
      <c r="E402" s="67">
        <v>0.1</v>
      </c>
      <c r="F402" s="67">
        <f>ROUND((0.15+1),7)</f>
        <v>1.1499999999999999</v>
      </c>
      <c r="G402" s="67">
        <f>SmtRes!CX70</f>
        <v>0.46</v>
      </c>
      <c r="H402" s="69"/>
      <c r="I402" s="68"/>
      <c r="J402" s="69">
        <f>SmtRes!CZ70</f>
        <v>551.45000000000005</v>
      </c>
      <c r="K402" s="68"/>
      <c r="L402" s="69">
        <f>SmtRes!DG70</f>
        <v>253.67</v>
      </c>
    </row>
    <row r="403" spans="1:83" ht="27.6" x14ac:dyDescent="0.25">
      <c r="A403" s="65"/>
      <c r="B403" s="65" t="s">
        <v>522</v>
      </c>
      <c r="C403" s="75" t="s">
        <v>887</v>
      </c>
      <c r="D403" s="76" t="s">
        <v>501</v>
      </c>
      <c r="E403" s="77">
        <f>SmtRes!DO70*SmtRes!AT70</f>
        <v>0.1</v>
      </c>
      <c r="F403" s="77">
        <f>ROUND((0.15+1),7)</f>
        <v>1.1499999999999999</v>
      </c>
      <c r="G403" s="77">
        <f>ROUND(E403*F403*G396, 7)</f>
        <v>0.46</v>
      </c>
      <c r="H403" s="78"/>
      <c r="I403" s="79"/>
      <c r="J403" s="78">
        <f>ROUND(SmtRes!AG70/SmtRes!DO70, 2)</f>
        <v>368.02</v>
      </c>
      <c r="K403" s="79"/>
      <c r="L403" s="78">
        <f>SmtRes!DH70</f>
        <v>169.29</v>
      </c>
      <c r="CE403">
        <v>1</v>
      </c>
    </row>
    <row r="404" spans="1:83" ht="14.4" x14ac:dyDescent="0.25">
      <c r="A404" s="65"/>
      <c r="B404" s="65"/>
      <c r="C404" s="81" t="s">
        <v>864</v>
      </c>
      <c r="D404" s="66"/>
      <c r="E404" s="67"/>
      <c r="F404" s="67"/>
      <c r="G404" s="67"/>
      <c r="H404" s="69"/>
      <c r="I404" s="68"/>
      <c r="J404" s="69"/>
      <c r="K404" s="68"/>
      <c r="L404" s="69">
        <f>L398+L400+L401</f>
        <v>1351.58</v>
      </c>
    </row>
    <row r="405" spans="1:83" ht="14.4" x14ac:dyDescent="0.25">
      <c r="A405" s="65"/>
      <c r="B405" s="65"/>
      <c r="C405" s="65" t="s">
        <v>865</v>
      </c>
      <c r="D405" s="66"/>
      <c r="E405" s="67"/>
      <c r="F405" s="67"/>
      <c r="G405" s="67"/>
      <c r="H405" s="69"/>
      <c r="I405" s="68"/>
      <c r="J405" s="69"/>
      <c r="K405" s="68"/>
      <c r="L405" s="69">
        <f>SUM(AR396:AR408)+SUM(AS396:AS408)+SUM(AT396:AT408)+SUM(AU396:AU408)+SUM(AV396:AV408)</f>
        <v>1097.9100000000001</v>
      </c>
    </row>
    <row r="406" spans="1:83" ht="27.6" x14ac:dyDescent="0.25">
      <c r="A406" s="65"/>
      <c r="B406" s="65" t="s">
        <v>192</v>
      </c>
      <c r="C406" s="65" t="s">
        <v>929</v>
      </c>
      <c r="D406" s="66" t="s">
        <v>761</v>
      </c>
      <c r="E406" s="67">
        <f>Source!BZ102</f>
        <v>89</v>
      </c>
      <c r="F406" s="67"/>
      <c r="G406" s="67">
        <f>Source!AT102</f>
        <v>89</v>
      </c>
      <c r="H406" s="69"/>
      <c r="I406" s="68"/>
      <c r="J406" s="69"/>
      <c r="K406" s="68"/>
      <c r="L406" s="69">
        <f>SUM(AZ396:AZ408)</f>
        <v>977.14</v>
      </c>
    </row>
    <row r="407" spans="1:83" ht="27.6" x14ac:dyDescent="0.25">
      <c r="A407" s="75"/>
      <c r="B407" s="75" t="s">
        <v>193</v>
      </c>
      <c r="C407" s="75" t="s">
        <v>930</v>
      </c>
      <c r="D407" s="76" t="s">
        <v>761</v>
      </c>
      <c r="E407" s="77">
        <f>Source!CA102</f>
        <v>44</v>
      </c>
      <c r="F407" s="77"/>
      <c r="G407" s="77">
        <f>Source!AU102</f>
        <v>44</v>
      </c>
      <c r="H407" s="78"/>
      <c r="I407" s="79"/>
      <c r="J407" s="78"/>
      <c r="K407" s="79"/>
      <c r="L407" s="78">
        <f>SUM(BA396:BA408)</f>
        <v>483.08</v>
      </c>
    </row>
    <row r="408" spans="1:83" ht="13.8" x14ac:dyDescent="0.25">
      <c r="C408" s="127" t="s">
        <v>868</v>
      </c>
      <c r="D408" s="127"/>
      <c r="E408" s="127"/>
      <c r="F408" s="127"/>
      <c r="G408" s="127"/>
      <c r="H408" s="127"/>
      <c r="I408" s="128">
        <f>IF(E396&lt;&gt;0,K408/E396, 0)</f>
        <v>702.94999999999993</v>
      </c>
      <c r="J408" s="128"/>
      <c r="K408" s="128">
        <f>L398+L400+L406+L407+L401</f>
        <v>2811.7999999999997</v>
      </c>
      <c r="L408" s="128"/>
      <c r="AD408">
        <f>ROUND((Source!AT102/100)*((ROUND(SUMIF(SmtRes!AQ68:'SmtRes'!AQ70,"=1",SmtRes!AD68:'SmtRes'!AD70)*Source!I102, 2)+ROUND(SUMIF(SmtRes!AQ68:'SmtRes'!AQ70,"=1",SmtRes!AC68:'SmtRes'!AC70)*Source!I102, 2))), 2)</f>
        <v>2488.3000000000002</v>
      </c>
      <c r="AE408">
        <f>ROUND((Source!AU102/100)*((ROUND(SUMIF(SmtRes!AQ68:'SmtRes'!AQ70,"=1",SmtRes!AD68:'SmtRes'!AD70)*Source!I102, 2)+ROUND(SUMIF(SmtRes!AQ68:'SmtRes'!AQ70,"=1",SmtRes!AC68:'SmtRes'!AC70)*Source!I102, 2))), 2)</f>
        <v>1230.17</v>
      </c>
      <c r="AN408" s="80">
        <f>L398+L400+L406+L407+L401</f>
        <v>2811.7999999999997</v>
      </c>
      <c r="AO408" s="80">
        <f>L400</f>
        <v>253.67000000000002</v>
      </c>
      <c r="AQ408" t="s">
        <v>869</v>
      </c>
      <c r="AR408" s="80">
        <f>L398</f>
        <v>928.62</v>
      </c>
      <c r="AT408" s="80">
        <f>L401</f>
        <v>169.29</v>
      </c>
      <c r="AV408" t="s">
        <v>869</v>
      </c>
      <c r="AW408">
        <f>0</f>
        <v>0</v>
      </c>
      <c r="AZ408">
        <f>Source!X102</f>
        <v>977.14</v>
      </c>
      <c r="BA408">
        <f>Source!Y102</f>
        <v>483.08</v>
      </c>
      <c r="CD408">
        <v>1</v>
      </c>
    </row>
    <row r="409" spans="1:83" ht="55.2" x14ac:dyDescent="0.25">
      <c r="A409" s="63" t="s">
        <v>224</v>
      </c>
      <c r="B409" s="65" t="s">
        <v>225</v>
      </c>
      <c r="C409" s="65" t="str">
        <f>Source!G103</f>
        <v>Погрузка в автотранспортное средство: трубы металлические (погрузка и разгрузка с применением автомобильных кранов)</v>
      </c>
      <c r="D409" s="66" t="str">
        <f>Source!H103</f>
        <v>1т груза</v>
      </c>
      <c r="E409" s="67">
        <f>Source!K103</f>
        <v>0.71699999999999997</v>
      </c>
      <c r="F409" s="67"/>
      <c r="G409" s="67">
        <f>Source!I103</f>
        <v>0.71699999999999997</v>
      </c>
      <c r="H409" s="69"/>
      <c r="I409" s="68"/>
      <c r="J409" s="69">
        <f>Source!AK103</f>
        <v>284.61</v>
      </c>
      <c r="K409" s="68"/>
      <c r="L409" s="69">
        <f>Source!HD103</f>
        <v>204.07</v>
      </c>
    </row>
    <row r="410" spans="1:83" ht="14.4" x14ac:dyDescent="0.25">
      <c r="A410" s="65"/>
      <c r="B410" s="65"/>
      <c r="C410" s="65" t="s">
        <v>865</v>
      </c>
      <c r="D410" s="66"/>
      <c r="E410" s="67"/>
      <c r="F410" s="67"/>
      <c r="G410" s="67"/>
      <c r="H410" s="69"/>
      <c r="I410" s="68"/>
      <c r="J410" s="69"/>
      <c r="K410" s="68"/>
      <c r="L410" s="69">
        <f>SUM(AR409:AR413)+SUM(AS409:AS413)+SUM(AT409:AT413)+SUM(AU409:AU413)+SUM(AV409:AV413)</f>
        <v>0</v>
      </c>
    </row>
    <row r="411" spans="1:83" ht="14.4" x14ac:dyDescent="0.25">
      <c r="A411" s="65"/>
      <c r="B411" s="65" t="s">
        <v>199</v>
      </c>
      <c r="C411" s="65" t="s">
        <v>931</v>
      </c>
      <c r="D411" s="66" t="s">
        <v>761</v>
      </c>
      <c r="E411" s="67">
        <f>Source!BZ103</f>
        <v>90</v>
      </c>
      <c r="F411" s="67"/>
      <c r="G411" s="67">
        <f>Source!AT103</f>
        <v>0</v>
      </c>
      <c r="H411" s="69"/>
      <c r="I411" s="68"/>
      <c r="J411" s="69"/>
      <c r="K411" s="68"/>
      <c r="L411" s="69">
        <f>SUM(AZ409:AZ413)</f>
        <v>0</v>
      </c>
    </row>
    <row r="412" spans="1:83" ht="14.4" x14ac:dyDescent="0.25">
      <c r="A412" s="75"/>
      <c r="B412" s="75" t="s">
        <v>200</v>
      </c>
      <c r="C412" s="75" t="s">
        <v>932</v>
      </c>
      <c r="D412" s="76" t="s">
        <v>761</v>
      </c>
      <c r="E412" s="77">
        <f>Source!CA103</f>
        <v>42</v>
      </c>
      <c r="F412" s="77"/>
      <c r="G412" s="77">
        <f>Source!AU103</f>
        <v>0</v>
      </c>
      <c r="H412" s="78"/>
      <c r="I412" s="79"/>
      <c r="J412" s="78"/>
      <c r="K412" s="79"/>
      <c r="L412" s="78">
        <f>SUM(BA409:BA413)</f>
        <v>0</v>
      </c>
    </row>
    <row r="413" spans="1:83" ht="13.8" x14ac:dyDescent="0.25">
      <c r="C413" s="127" t="s">
        <v>868</v>
      </c>
      <c r="D413" s="127"/>
      <c r="E413" s="127"/>
      <c r="F413" s="127"/>
      <c r="G413" s="127"/>
      <c r="H413" s="127"/>
      <c r="I413" s="128">
        <f>IF(E409&lt;&gt;0,K413/E409, 0)</f>
        <v>284.61645746164572</v>
      </c>
      <c r="J413" s="128"/>
      <c r="K413" s="128">
        <f>L409</f>
        <v>204.07</v>
      </c>
      <c r="L413" s="128"/>
      <c r="AD413">
        <f>ROUND((Source!AT103/100)*((ROUND(0*Source!I103, 2)+ROUND(0*Source!I103, 2))), 2)</f>
        <v>0</v>
      </c>
      <c r="AE413">
        <f>ROUND((Source!AU103/100)*((ROUND(0*Source!I103, 2)+ROUND(0*Source!I103, 2))), 2)</f>
        <v>0</v>
      </c>
      <c r="AN413" s="80">
        <f>L409</f>
        <v>204.07</v>
      </c>
      <c r="AP413">
        <f>0</f>
        <v>0</v>
      </c>
      <c r="AQ413" t="s">
        <v>869</v>
      </c>
      <c r="AS413">
        <f>0</f>
        <v>0</v>
      </c>
      <c r="AU413">
        <f>0</f>
        <v>0</v>
      </c>
      <c r="AV413" t="s">
        <v>869</v>
      </c>
      <c r="AZ413">
        <f>Source!X103</f>
        <v>0</v>
      </c>
      <c r="BA413">
        <f>Source!Y103</f>
        <v>0</v>
      </c>
      <c r="BB413" s="80">
        <f>L409</f>
        <v>204.07</v>
      </c>
      <c r="CD413">
        <v>1</v>
      </c>
    </row>
    <row r="414" spans="1:83" ht="96.6" x14ac:dyDescent="0.25">
      <c r="A414" s="63" t="s">
        <v>227</v>
      </c>
      <c r="B414" s="65" t="s">
        <v>41</v>
      </c>
      <c r="C414" s="65" t="str">
        <f>Source!G104</f>
        <v>Перевозка грузов I класса автомобилями-самосвалами грузоподъемностью до 15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 14 км</v>
      </c>
      <c r="D414" s="66" t="str">
        <f>Source!H104</f>
        <v>1т груза</v>
      </c>
      <c r="E414" s="67">
        <f>Source!K104</f>
        <v>0.71699999999999997</v>
      </c>
      <c r="F414" s="67"/>
      <c r="G414" s="67">
        <f>Source!I104</f>
        <v>0.71699999999999997</v>
      </c>
      <c r="H414" s="69"/>
      <c r="I414" s="68"/>
      <c r="J414" s="69">
        <f>Source!AK104</f>
        <v>251.35</v>
      </c>
      <c r="K414" s="68"/>
      <c r="L414" s="69">
        <f>Source!HD104</f>
        <v>180.22</v>
      </c>
    </row>
    <row r="415" spans="1:83" ht="14.4" x14ac:dyDescent="0.25">
      <c r="A415" s="65"/>
      <c r="B415" s="65"/>
      <c r="C415" s="65" t="s">
        <v>865</v>
      </c>
      <c r="D415" s="66"/>
      <c r="E415" s="67"/>
      <c r="F415" s="67"/>
      <c r="G415" s="67"/>
      <c r="H415" s="69"/>
      <c r="I415" s="68"/>
      <c r="J415" s="69"/>
      <c r="K415" s="68"/>
      <c r="L415" s="69">
        <f>SUM(AR414:AR418)+SUM(AS414:AS418)+SUM(AT414:AT418)+SUM(AU414:AU418)+SUM(AV414:AV418)</f>
        <v>0</v>
      </c>
    </row>
    <row r="416" spans="1:83" ht="27.6" x14ac:dyDescent="0.25">
      <c r="A416" s="65"/>
      <c r="B416" s="65" t="s">
        <v>48</v>
      </c>
      <c r="C416" s="65" t="s">
        <v>872</v>
      </c>
      <c r="D416" s="66" t="s">
        <v>761</v>
      </c>
      <c r="E416" s="67">
        <f>Source!BZ104</f>
        <v>94</v>
      </c>
      <c r="F416" s="67"/>
      <c r="G416" s="67">
        <f>Source!AT104</f>
        <v>0</v>
      </c>
      <c r="H416" s="69"/>
      <c r="I416" s="68"/>
      <c r="J416" s="69"/>
      <c r="K416" s="68"/>
      <c r="L416" s="69">
        <f>SUM(AZ414:AZ418)</f>
        <v>0</v>
      </c>
    </row>
    <row r="417" spans="1:82" ht="27.6" x14ac:dyDescent="0.25">
      <c r="A417" s="75"/>
      <c r="B417" s="75" t="s">
        <v>49</v>
      </c>
      <c r="C417" s="75" t="s">
        <v>873</v>
      </c>
      <c r="D417" s="76" t="s">
        <v>761</v>
      </c>
      <c r="E417" s="77">
        <f>Source!CA104</f>
        <v>61</v>
      </c>
      <c r="F417" s="77"/>
      <c r="G417" s="77">
        <f>Source!AU104</f>
        <v>0</v>
      </c>
      <c r="H417" s="78"/>
      <c r="I417" s="79"/>
      <c r="J417" s="78"/>
      <c r="K417" s="79"/>
      <c r="L417" s="78">
        <f>SUM(BA414:BA418)</f>
        <v>0</v>
      </c>
    </row>
    <row r="418" spans="1:82" ht="13.8" x14ac:dyDescent="0.25">
      <c r="C418" s="127" t="s">
        <v>868</v>
      </c>
      <c r="D418" s="127"/>
      <c r="E418" s="127"/>
      <c r="F418" s="127"/>
      <c r="G418" s="127"/>
      <c r="H418" s="127"/>
      <c r="I418" s="128">
        <f>IF(E414&lt;&gt;0,K418/E414, 0)</f>
        <v>251.35285913528591</v>
      </c>
      <c r="J418" s="128"/>
      <c r="K418" s="128">
        <f>L414</f>
        <v>180.22</v>
      </c>
      <c r="L418" s="128"/>
      <c r="AD418">
        <f>ROUND((Source!AT104/100)*((ROUND(0*Source!I104, 2)+ROUND(0*Source!I104, 2))), 2)</f>
        <v>0</v>
      </c>
      <c r="AE418">
        <f>ROUND((Source!AU104/100)*((ROUND(0*Source!I104, 2)+ROUND(0*Source!I104, 2))), 2)</f>
        <v>0</v>
      </c>
      <c r="AN418" s="80">
        <f>L414</f>
        <v>180.22</v>
      </c>
      <c r="AP418">
        <f>0</f>
        <v>0</v>
      </c>
      <c r="AQ418" t="s">
        <v>869</v>
      </c>
      <c r="AS418">
        <f>0</f>
        <v>0</v>
      </c>
      <c r="AU418">
        <f>0</f>
        <v>0</v>
      </c>
      <c r="AV418" t="s">
        <v>869</v>
      </c>
      <c r="AZ418">
        <f>Source!X104</f>
        <v>0</v>
      </c>
      <c r="BA418">
        <f>Source!Y104</f>
        <v>0</v>
      </c>
      <c r="BB418" s="80">
        <f>L414</f>
        <v>180.22</v>
      </c>
      <c r="CD418">
        <v>1</v>
      </c>
    </row>
    <row r="420" spans="1:82" ht="13.8" x14ac:dyDescent="0.25">
      <c r="A420" s="83"/>
      <c r="B420" s="84"/>
      <c r="C420" s="141" t="s">
        <v>896</v>
      </c>
      <c r="D420" s="141"/>
      <c r="E420" s="141"/>
      <c r="F420" s="141"/>
      <c r="G420" s="141"/>
      <c r="H420" s="141"/>
      <c r="I420" s="74"/>
      <c r="J420" s="83"/>
      <c r="K420" s="85"/>
      <c r="L420" s="74">
        <f>L422+L423+L429+L433</f>
        <v>51189.979999999996</v>
      </c>
    </row>
    <row r="421" spans="1:82" ht="13.8" x14ac:dyDescent="0.25">
      <c r="A421" s="61"/>
      <c r="B421" s="82"/>
      <c r="C421" s="142" t="s">
        <v>897</v>
      </c>
      <c r="D421" s="143"/>
      <c r="E421" s="143"/>
      <c r="F421" s="143"/>
      <c r="G421" s="143"/>
      <c r="H421" s="143"/>
      <c r="I421" s="69"/>
      <c r="J421" s="61"/>
      <c r="K421" s="67"/>
      <c r="L421" s="69"/>
    </row>
    <row r="422" spans="1:82" ht="13.8" x14ac:dyDescent="0.25">
      <c r="A422" s="61"/>
      <c r="B422" s="82"/>
      <c r="C422" s="143" t="s">
        <v>898</v>
      </c>
      <c r="D422" s="143"/>
      <c r="E422" s="143"/>
      <c r="F422" s="143"/>
      <c r="G422" s="143"/>
      <c r="H422" s="143"/>
      <c r="I422" s="69"/>
      <c r="J422" s="61"/>
      <c r="K422" s="67"/>
      <c r="L422" s="69">
        <f>SUM(AR251:AR418)</f>
        <v>32464.319999999996</v>
      </c>
    </row>
    <row r="423" spans="1:82" ht="13.8" hidden="1" x14ac:dyDescent="0.25">
      <c r="A423" s="61"/>
      <c r="B423" s="82"/>
      <c r="C423" s="143" t="s">
        <v>899</v>
      </c>
      <c r="D423" s="143"/>
      <c r="E423" s="143"/>
      <c r="F423" s="143"/>
      <c r="G423" s="143"/>
      <c r="H423" s="143"/>
      <c r="I423" s="69"/>
      <c r="J423" s="61"/>
      <c r="K423" s="67"/>
      <c r="L423" s="69">
        <f>L425+L428+L427</f>
        <v>15654.27</v>
      </c>
    </row>
    <row r="424" spans="1:82" ht="13.8" hidden="1" x14ac:dyDescent="0.25">
      <c r="A424" s="61"/>
      <c r="B424" s="82"/>
      <c r="C424" s="142" t="s">
        <v>900</v>
      </c>
      <c r="D424" s="143"/>
      <c r="E424" s="143"/>
      <c r="F424" s="143"/>
      <c r="G424" s="143"/>
      <c r="H424" s="143"/>
      <c r="I424" s="69"/>
      <c r="J424" s="61"/>
      <c r="K424" s="67"/>
      <c r="L424" s="69"/>
    </row>
    <row r="425" spans="1:82" ht="13.8" x14ac:dyDescent="0.25">
      <c r="A425" s="61"/>
      <c r="B425" s="82"/>
      <c r="C425" s="143" t="s">
        <v>899</v>
      </c>
      <c r="D425" s="143"/>
      <c r="E425" s="143"/>
      <c r="F425" s="143"/>
      <c r="G425" s="143"/>
      <c r="H425" s="143"/>
      <c r="I425" s="69"/>
      <c r="J425" s="61"/>
      <c r="K425" s="67"/>
      <c r="L425" s="69">
        <f>SUM(AO251:AO418)</f>
        <v>12501.67</v>
      </c>
    </row>
    <row r="426" spans="1:82" ht="13.8" hidden="1" x14ac:dyDescent="0.25">
      <c r="A426" s="61"/>
      <c r="B426" s="82"/>
      <c r="C426" s="142" t="s">
        <v>901</v>
      </c>
      <c r="D426" s="143"/>
      <c r="E426" s="143"/>
      <c r="F426" s="143"/>
      <c r="G426" s="143"/>
      <c r="H426" s="143"/>
      <c r="I426" s="69"/>
      <c r="J426" s="61"/>
      <c r="K426" s="67"/>
      <c r="L426" s="69"/>
    </row>
    <row r="427" spans="1:82" ht="13.8" x14ac:dyDescent="0.25">
      <c r="A427" s="61"/>
      <c r="B427" s="82"/>
      <c r="C427" s="143" t="s">
        <v>921</v>
      </c>
      <c r="D427" s="143"/>
      <c r="E427" s="143"/>
      <c r="F427" s="143"/>
      <c r="G427" s="143"/>
      <c r="H427" s="143"/>
      <c r="I427" s="69"/>
      <c r="J427" s="61"/>
      <c r="K427" s="67"/>
      <c r="L427" s="69">
        <f>SUM(AT251:AT418)</f>
        <v>3152.6</v>
      </c>
    </row>
    <row r="428" spans="1:82" ht="13.8" hidden="1" x14ac:dyDescent="0.25">
      <c r="A428" s="61"/>
      <c r="B428" s="82"/>
      <c r="C428" s="143" t="s">
        <v>902</v>
      </c>
      <c r="D428" s="143"/>
      <c r="E428" s="143"/>
      <c r="F428" s="143"/>
      <c r="G428" s="143"/>
      <c r="H428" s="143"/>
      <c r="I428" s="69"/>
      <c r="J428" s="61"/>
      <c r="K428" s="67"/>
      <c r="L428" s="69">
        <f>SUM(AV251:AV418)</f>
        <v>0</v>
      </c>
    </row>
    <row r="429" spans="1:82" ht="13.8" x14ac:dyDescent="0.25">
      <c r="A429" s="61"/>
      <c r="B429" s="82"/>
      <c r="C429" s="143" t="s">
        <v>903</v>
      </c>
      <c r="D429" s="143"/>
      <c r="E429" s="143"/>
      <c r="F429" s="143"/>
      <c r="G429" s="143"/>
      <c r="H429" s="143"/>
      <c r="I429" s="69"/>
      <c r="J429" s="61"/>
      <c r="K429" s="67"/>
      <c r="L429" s="69">
        <f>L431+L432</f>
        <v>534.86</v>
      </c>
    </row>
    <row r="430" spans="1:82" ht="13.8" x14ac:dyDescent="0.25">
      <c r="A430" s="61"/>
      <c r="B430" s="82"/>
      <c r="C430" s="142" t="s">
        <v>900</v>
      </c>
      <c r="D430" s="143"/>
      <c r="E430" s="143"/>
      <c r="F430" s="143"/>
      <c r="G430" s="143"/>
      <c r="H430" s="143"/>
      <c r="I430" s="69"/>
      <c r="J430" s="61"/>
      <c r="K430" s="67"/>
      <c r="L430" s="69"/>
    </row>
    <row r="431" spans="1:82" ht="13.8" x14ac:dyDescent="0.25">
      <c r="A431" s="61"/>
      <c r="B431" s="82"/>
      <c r="C431" s="143" t="s">
        <v>904</v>
      </c>
      <c r="D431" s="143"/>
      <c r="E431" s="143"/>
      <c r="F431" s="143"/>
      <c r="G431" s="143"/>
      <c r="H431" s="143"/>
      <c r="I431" s="69"/>
      <c r="J431" s="61"/>
      <c r="K431" s="67"/>
      <c r="L431" s="69">
        <f>SUM(AW251:AW418)-SUM(BK251:BK418)</f>
        <v>534.86</v>
      </c>
    </row>
    <row r="432" spans="1:82" ht="13.8" hidden="1" x14ac:dyDescent="0.25">
      <c r="A432" s="61"/>
      <c r="B432" s="82"/>
      <c r="C432" s="143" t="s">
        <v>905</v>
      </c>
      <c r="D432" s="143"/>
      <c r="E432" s="143"/>
      <c r="F432" s="143"/>
      <c r="G432" s="143"/>
      <c r="H432" s="143"/>
      <c r="I432" s="69"/>
      <c r="J432" s="61"/>
      <c r="K432" s="67"/>
      <c r="L432" s="69">
        <f>SUM(BC251:BC418)</f>
        <v>0</v>
      </c>
    </row>
    <row r="433" spans="1:12" ht="13.8" x14ac:dyDescent="0.25">
      <c r="A433" s="61"/>
      <c r="B433" s="82"/>
      <c r="C433" s="143" t="s">
        <v>906</v>
      </c>
      <c r="D433" s="143"/>
      <c r="E433" s="143"/>
      <c r="F433" s="143"/>
      <c r="G433" s="143"/>
      <c r="H433" s="143"/>
      <c r="I433" s="69"/>
      <c r="J433" s="61"/>
      <c r="K433" s="67"/>
      <c r="L433" s="69">
        <f>SUM(BB251:BB418)</f>
        <v>2536.5300000000002</v>
      </c>
    </row>
    <row r="434" spans="1:12" ht="13.8" x14ac:dyDescent="0.25">
      <c r="A434" s="61"/>
      <c r="B434" s="82"/>
      <c r="C434" s="143" t="s">
        <v>907</v>
      </c>
      <c r="D434" s="143"/>
      <c r="E434" s="143"/>
      <c r="F434" s="143"/>
      <c r="G434" s="143"/>
      <c r="H434" s="143"/>
      <c r="I434" s="69"/>
      <c r="J434" s="61"/>
      <c r="K434" s="67"/>
      <c r="L434" s="69">
        <f>SUM(AR251:AR418)+SUM(AT251:AT418)+SUM(AV251:AV418)</f>
        <v>35616.92</v>
      </c>
    </row>
    <row r="435" spans="1:12" ht="13.8" x14ac:dyDescent="0.25">
      <c r="A435" s="61"/>
      <c r="B435" s="82"/>
      <c r="C435" s="143" t="s">
        <v>908</v>
      </c>
      <c r="D435" s="143"/>
      <c r="E435" s="143"/>
      <c r="F435" s="143"/>
      <c r="G435" s="143"/>
      <c r="H435" s="143"/>
      <c r="I435" s="69"/>
      <c r="J435" s="61"/>
      <c r="K435" s="67"/>
      <c r="L435" s="69">
        <f>SUM(AZ251:AZ418)</f>
        <v>33528.589999999997</v>
      </c>
    </row>
    <row r="436" spans="1:12" ht="13.8" x14ac:dyDescent="0.25">
      <c r="A436" s="61"/>
      <c r="B436" s="82"/>
      <c r="C436" s="143" t="s">
        <v>909</v>
      </c>
      <c r="D436" s="143"/>
      <c r="E436" s="143"/>
      <c r="F436" s="143"/>
      <c r="G436" s="143"/>
      <c r="H436" s="143"/>
      <c r="I436" s="69"/>
      <c r="J436" s="61"/>
      <c r="K436" s="67"/>
      <c r="L436" s="69">
        <f>SUM(BA251:BA418)</f>
        <v>17278.690000000002</v>
      </c>
    </row>
    <row r="437" spans="1:12" ht="13.8" hidden="1" x14ac:dyDescent="0.25">
      <c r="A437" s="61"/>
      <c r="B437" s="82"/>
      <c r="C437" s="143" t="s">
        <v>910</v>
      </c>
      <c r="D437" s="143"/>
      <c r="E437" s="143"/>
      <c r="F437" s="143"/>
      <c r="G437" s="143"/>
      <c r="H437" s="143"/>
      <c r="I437" s="69"/>
      <c r="J437" s="61"/>
      <c r="K437" s="67"/>
      <c r="L437" s="69">
        <f>L439+L440</f>
        <v>0</v>
      </c>
    </row>
    <row r="438" spans="1:12" ht="13.8" hidden="1" x14ac:dyDescent="0.25">
      <c r="A438" s="61"/>
      <c r="B438" s="82"/>
      <c r="C438" s="142" t="s">
        <v>897</v>
      </c>
      <c r="D438" s="143"/>
      <c r="E438" s="143"/>
      <c r="F438" s="143"/>
      <c r="G438" s="143"/>
      <c r="H438" s="143"/>
      <c r="I438" s="69"/>
      <c r="J438" s="61"/>
      <c r="K438" s="67"/>
      <c r="L438" s="69"/>
    </row>
    <row r="439" spans="1:12" ht="13.8" hidden="1" x14ac:dyDescent="0.25">
      <c r="A439" s="61"/>
      <c r="B439" s="82"/>
      <c r="C439" s="143" t="s">
        <v>911</v>
      </c>
      <c r="D439" s="143"/>
      <c r="E439" s="143"/>
      <c r="F439" s="143"/>
      <c r="G439" s="143"/>
      <c r="H439" s="143"/>
      <c r="I439" s="69"/>
      <c r="J439" s="61"/>
      <c r="K439" s="67"/>
      <c r="L439" s="69">
        <f>SUM(BK251:BK418)</f>
        <v>0</v>
      </c>
    </row>
    <row r="440" spans="1:12" ht="13.8" hidden="1" x14ac:dyDescent="0.25">
      <c r="A440" s="61"/>
      <c r="B440" s="82"/>
      <c r="C440" s="143" t="s">
        <v>912</v>
      </c>
      <c r="D440" s="143"/>
      <c r="E440" s="143"/>
      <c r="F440" s="143"/>
      <c r="G440" s="143"/>
      <c r="H440" s="143"/>
      <c r="I440" s="69"/>
      <c r="J440" s="61"/>
      <c r="K440" s="67"/>
      <c r="L440" s="69">
        <f>SUM(BD251:BD418)</f>
        <v>0</v>
      </c>
    </row>
    <row r="441" spans="1:12" ht="13.8" hidden="1" x14ac:dyDescent="0.25">
      <c r="A441" s="61"/>
      <c r="B441" s="82"/>
      <c r="C441" s="143" t="s">
        <v>913</v>
      </c>
      <c r="D441" s="143"/>
      <c r="E441" s="143"/>
      <c r="F441" s="143"/>
      <c r="G441" s="143"/>
      <c r="H441" s="143"/>
      <c r="I441" s="69"/>
      <c r="J441" s="61"/>
      <c r="K441" s="67"/>
      <c r="L441" s="69"/>
    </row>
    <row r="442" spans="1:12" ht="13.8" hidden="1" x14ac:dyDescent="0.25">
      <c r="A442" s="61"/>
      <c r="B442" s="82"/>
      <c r="C442" s="143" t="s">
        <v>913</v>
      </c>
      <c r="D442" s="143"/>
      <c r="E442" s="143"/>
      <c r="F442" s="143"/>
      <c r="G442" s="143"/>
      <c r="H442" s="143"/>
      <c r="I442" s="69"/>
      <c r="J442" s="61"/>
      <c r="K442" s="67"/>
      <c r="L442" s="69">
        <f>SUM(BQ251:BQ418)</f>
        <v>0</v>
      </c>
    </row>
    <row r="443" spans="1:12" ht="13.8" hidden="1" x14ac:dyDescent="0.25">
      <c r="A443" s="61"/>
      <c r="B443" s="82"/>
      <c r="C443" s="143" t="s">
        <v>914</v>
      </c>
      <c r="D443" s="143"/>
      <c r="E443" s="143"/>
      <c r="F443" s="143"/>
      <c r="G443" s="143"/>
      <c r="H443" s="143"/>
      <c r="I443" s="69"/>
      <c r="J443" s="61"/>
      <c r="K443" s="67"/>
      <c r="L443" s="69">
        <f>SUM(BO251:BO418)</f>
        <v>0</v>
      </c>
    </row>
    <row r="444" spans="1:12" ht="13.8" x14ac:dyDescent="0.25">
      <c r="A444" s="83"/>
      <c r="B444" s="84"/>
      <c r="C444" s="141" t="s">
        <v>915</v>
      </c>
      <c r="D444" s="141"/>
      <c r="E444" s="141"/>
      <c r="F444" s="141"/>
      <c r="G444" s="141"/>
      <c r="H444" s="141"/>
      <c r="I444" s="74"/>
      <c r="J444" s="83"/>
      <c r="K444" s="85"/>
      <c r="L444" s="74">
        <f>L420+L435+L436+L437+L442+L443</f>
        <v>101997.26</v>
      </c>
    </row>
    <row r="445" spans="1:12" ht="13.8" x14ac:dyDescent="0.25">
      <c r="A445" s="61"/>
      <c r="B445" s="82"/>
      <c r="C445" s="142" t="s">
        <v>916</v>
      </c>
      <c r="D445" s="143"/>
      <c r="E445" s="143"/>
      <c r="F445" s="143"/>
      <c r="G445" s="143"/>
      <c r="H445" s="143"/>
      <c r="I445" s="69"/>
      <c r="J445" s="61"/>
      <c r="K445" s="67"/>
      <c r="L445" s="69"/>
    </row>
    <row r="446" spans="1:12" ht="13.8" hidden="1" x14ac:dyDescent="0.25">
      <c r="A446" s="61"/>
      <c r="B446" s="82"/>
      <c r="C446" s="143" t="s">
        <v>917</v>
      </c>
      <c r="D446" s="143"/>
      <c r="E446" s="143"/>
      <c r="F446" s="143"/>
      <c r="G446" s="143"/>
      <c r="H446" s="143"/>
      <c r="I446" s="69"/>
      <c r="J446" s="61"/>
      <c r="K446" s="67"/>
      <c r="L446" s="69">
        <f>SUM(AX251:AX418)</f>
        <v>0</v>
      </c>
    </row>
    <row r="447" spans="1:12" ht="13.8" hidden="1" x14ac:dyDescent="0.25">
      <c r="A447" s="61"/>
      <c r="B447" s="82"/>
      <c r="C447" s="143" t="s">
        <v>918</v>
      </c>
      <c r="D447" s="143"/>
      <c r="E447" s="143"/>
      <c r="F447" s="143"/>
      <c r="G447" s="143"/>
      <c r="H447" s="143"/>
      <c r="I447" s="69"/>
      <c r="J447" s="61"/>
      <c r="K447" s="67"/>
      <c r="L447" s="69">
        <f>SUM(AY251:AY418)</f>
        <v>0</v>
      </c>
    </row>
    <row r="448" spans="1:12" ht="13.8" x14ac:dyDescent="0.25">
      <c r="A448" s="61"/>
      <c r="B448" s="82"/>
      <c r="C448" s="143" t="s">
        <v>919</v>
      </c>
      <c r="D448" s="143"/>
      <c r="E448" s="143"/>
      <c r="F448" s="144"/>
      <c r="G448" s="73">
        <f>Source!F128</f>
        <v>103.193732</v>
      </c>
      <c r="H448" s="61"/>
      <c r="I448" s="61"/>
      <c r="J448" s="61"/>
      <c r="K448" s="61"/>
      <c r="L448" s="61"/>
    </row>
    <row r="449" spans="1:101" ht="13.8" x14ac:dyDescent="0.25">
      <c r="A449" s="61"/>
      <c r="B449" s="82"/>
      <c r="C449" s="143" t="s">
        <v>920</v>
      </c>
      <c r="D449" s="143"/>
      <c r="E449" s="143"/>
      <c r="F449" s="144"/>
      <c r="G449" s="73">
        <f>Source!F129</f>
        <v>7.3143450000000003</v>
      </c>
      <c r="H449" s="61"/>
      <c r="I449" s="61"/>
      <c r="J449" s="61"/>
      <c r="K449" s="61"/>
      <c r="L449" s="61"/>
    </row>
    <row r="452" spans="1:101" ht="16.8" x14ac:dyDescent="0.25">
      <c r="A452" s="139" t="s">
        <v>938</v>
      </c>
      <c r="B452" s="139"/>
      <c r="C452" s="139"/>
      <c r="D452" s="139"/>
      <c r="E452" s="139"/>
      <c r="F452" s="139"/>
      <c r="G452" s="139"/>
      <c r="H452" s="139"/>
      <c r="I452" s="139"/>
      <c r="J452" s="139"/>
      <c r="K452" s="139"/>
      <c r="L452" s="139"/>
    </row>
    <row r="453" spans="1:101" ht="13.8" x14ac:dyDescent="0.25">
      <c r="C453" s="62" t="str">
        <f>Source!G142</f>
        <v>трубы</v>
      </c>
    </row>
    <row r="454" spans="1:101" ht="13.8" x14ac:dyDescent="0.25">
      <c r="C454" s="62" t="str">
        <f>Source!G143</f>
        <v>д57мм</v>
      </c>
    </row>
    <row r="455" spans="1:101" ht="55.2" x14ac:dyDescent="0.25">
      <c r="A455" s="63" t="s">
        <v>231</v>
      </c>
      <c r="B455" s="65" t="s">
        <v>939</v>
      </c>
      <c r="C455" s="65" t="str">
        <f>Source!G144</f>
        <v>Прокладка стальных трубопроводов в непроходном канале при номинальном давлении 1,6 МПа, температуре 150°С, диаметр труб: 50 мм</v>
      </c>
      <c r="D455" s="66" t="str">
        <f>Source!H144</f>
        <v>км</v>
      </c>
      <c r="E455" s="67">
        <f>Source!K144</f>
        <v>1.4999999999999999E-2</v>
      </c>
      <c r="F455" s="67"/>
      <c r="G455" s="67">
        <f>Source!I144</f>
        <v>1.4999999999999999E-2</v>
      </c>
      <c r="H455" s="69"/>
      <c r="I455" s="68"/>
      <c r="J455" s="69"/>
      <c r="K455" s="68"/>
      <c r="L455" s="69"/>
    </row>
    <row r="456" spans="1:101" ht="39.6" x14ac:dyDescent="0.25">
      <c r="B456" s="70" t="s">
        <v>788</v>
      </c>
      <c r="C456" s="129" t="s">
        <v>871</v>
      </c>
      <c r="D456" s="129"/>
      <c r="E456" s="129"/>
      <c r="F456" s="129"/>
      <c r="G456" s="129"/>
      <c r="H456" s="129"/>
      <c r="I456" s="129"/>
      <c r="J456" s="129"/>
      <c r="K456" s="129"/>
      <c r="L456" s="129"/>
      <c r="CW456" s="71" t="s">
        <v>871</v>
      </c>
    </row>
    <row r="457" spans="1:101" ht="14.4" x14ac:dyDescent="0.25">
      <c r="A457" s="64"/>
      <c r="B457" s="67">
        <v>1</v>
      </c>
      <c r="C457" s="64" t="s">
        <v>863</v>
      </c>
      <c r="D457" s="66" t="s">
        <v>501</v>
      </c>
      <c r="E457" s="73"/>
      <c r="F457" s="67"/>
      <c r="G457" s="67">
        <f>Source!U144</f>
        <v>7.3140000000000001</v>
      </c>
      <c r="H457" s="67"/>
      <c r="I457" s="67"/>
      <c r="J457" s="67"/>
      <c r="K457" s="67"/>
      <c r="L457" s="74">
        <f>SUM(L458:L458)-SUMIF(CE458:CE458, 1, L458:L458)</f>
        <v>2731.85</v>
      </c>
    </row>
    <row r="458" spans="1:101" ht="14.4" x14ac:dyDescent="0.25">
      <c r="A458" s="65"/>
      <c r="B458" s="65" t="s">
        <v>589</v>
      </c>
      <c r="C458" s="65" t="s">
        <v>590</v>
      </c>
      <c r="D458" s="66" t="s">
        <v>501</v>
      </c>
      <c r="E458" s="67">
        <v>424</v>
      </c>
      <c r="F458" s="67">
        <f>ROUND((0.15+1),7)</f>
        <v>1.1499999999999999</v>
      </c>
      <c r="G458" s="67">
        <f>SmtRes!CX71</f>
        <v>7.3140000000000001</v>
      </c>
      <c r="H458" s="69"/>
      <c r="I458" s="68"/>
      <c r="J458" s="69">
        <f>SmtRes!CZ71</f>
        <v>373.51</v>
      </c>
      <c r="K458" s="68"/>
      <c r="L458" s="69">
        <f>SmtRes!DI71</f>
        <v>2731.85</v>
      </c>
    </row>
    <row r="459" spans="1:101" ht="14.4" x14ac:dyDescent="0.25">
      <c r="A459" s="64"/>
      <c r="B459" s="67">
        <v>2</v>
      </c>
      <c r="C459" s="64" t="s">
        <v>875</v>
      </c>
      <c r="D459" s="66"/>
      <c r="E459" s="73"/>
      <c r="F459" s="67"/>
      <c r="G459" s="67"/>
      <c r="H459" s="67"/>
      <c r="I459" s="67"/>
      <c r="J459" s="67"/>
      <c r="K459" s="67"/>
      <c r="L459" s="74">
        <f>SUM(L460:L471)-SUMIF(CE460:CE471, 1, L460:L471)</f>
        <v>1366.9799999999998</v>
      </c>
    </row>
    <row r="460" spans="1:101" ht="14.4" x14ac:dyDescent="0.25">
      <c r="A460" s="64"/>
      <c r="B460" s="67"/>
      <c r="C460" s="64" t="s">
        <v>877</v>
      </c>
      <c r="D460" s="66" t="s">
        <v>501</v>
      </c>
      <c r="E460" s="73"/>
      <c r="F460" s="67"/>
      <c r="G460" s="67">
        <f>Source!V144</f>
        <v>1.076055</v>
      </c>
      <c r="H460" s="67"/>
      <c r="I460" s="67"/>
      <c r="J460" s="67"/>
      <c r="K460" s="67"/>
      <c r="L460" s="74">
        <f>SUMIF(CE461:CE471, 1, L461:L471)</f>
        <v>419.56999999999994</v>
      </c>
      <c r="CE460">
        <v>1</v>
      </c>
    </row>
    <row r="461" spans="1:101" ht="27.6" x14ac:dyDescent="0.25">
      <c r="A461" s="65"/>
      <c r="B461" s="65" t="s">
        <v>574</v>
      </c>
      <c r="C461" s="65" t="s">
        <v>576</v>
      </c>
      <c r="D461" s="66" t="s">
        <v>509</v>
      </c>
      <c r="E461" s="67">
        <v>7.0000000000000007E-2</v>
      </c>
      <c r="F461" s="67">
        <f t="shared" ref="F461:F471" si="0">ROUND((0.15+1),7)</f>
        <v>1.1499999999999999</v>
      </c>
      <c r="G461" s="67">
        <f>SmtRes!CX73</f>
        <v>1.2075E-3</v>
      </c>
      <c r="H461" s="69"/>
      <c r="I461" s="68"/>
      <c r="J461" s="69">
        <f>SmtRes!CZ73</f>
        <v>1598.95</v>
      </c>
      <c r="K461" s="68"/>
      <c r="L461" s="69">
        <f>SmtRes!DG73</f>
        <v>1.93</v>
      </c>
    </row>
    <row r="462" spans="1:101" ht="27.6" x14ac:dyDescent="0.25">
      <c r="A462" s="65"/>
      <c r="B462" s="65" t="s">
        <v>577</v>
      </c>
      <c r="C462" s="65" t="s">
        <v>935</v>
      </c>
      <c r="D462" s="66" t="s">
        <v>501</v>
      </c>
      <c r="E462" s="67">
        <f>SmtRes!DO73*SmtRes!AT73</f>
        <v>7.0000000000000007E-2</v>
      </c>
      <c r="F462" s="67">
        <f t="shared" si="0"/>
        <v>1.1499999999999999</v>
      </c>
      <c r="G462" s="67">
        <f>ROUND(E462*F462*G455, 7)</f>
        <v>1.2075E-3</v>
      </c>
      <c r="H462" s="69"/>
      <c r="I462" s="68"/>
      <c r="J462" s="69">
        <f>ROUND(SmtRes!AG73/SmtRes!DO73, 2)</f>
        <v>494.35</v>
      </c>
      <c r="K462" s="68"/>
      <c r="L462" s="69">
        <f>SmtRes!DH73</f>
        <v>0.6</v>
      </c>
      <c r="CE462">
        <v>1</v>
      </c>
    </row>
    <row r="463" spans="1:101" ht="27.6" x14ac:dyDescent="0.25">
      <c r="A463" s="65"/>
      <c r="B463" s="65" t="s">
        <v>591</v>
      </c>
      <c r="C463" s="65" t="s">
        <v>593</v>
      </c>
      <c r="D463" s="66" t="s">
        <v>509</v>
      </c>
      <c r="E463" s="67">
        <v>25</v>
      </c>
      <c r="F463" s="67">
        <f t="shared" si="0"/>
        <v>1.1499999999999999</v>
      </c>
      <c r="G463" s="67">
        <f>SmtRes!CX74</f>
        <v>0.43125000000000002</v>
      </c>
      <c r="H463" s="69">
        <f>SmtRes!CZ74</f>
        <v>1416.22</v>
      </c>
      <c r="I463" s="68">
        <f>SmtRes!AJ74</f>
        <v>1.24</v>
      </c>
      <c r="J463" s="69">
        <f>ROUND(H463*I463, 2)</f>
        <v>1756.11</v>
      </c>
      <c r="K463" s="68"/>
      <c r="L463" s="69">
        <f>SmtRes!DG74</f>
        <v>757.32</v>
      </c>
    </row>
    <row r="464" spans="1:101" ht="27.6" x14ac:dyDescent="0.25">
      <c r="A464" s="65"/>
      <c r="B464" s="65" t="s">
        <v>522</v>
      </c>
      <c r="C464" s="65" t="s">
        <v>887</v>
      </c>
      <c r="D464" s="66" t="s">
        <v>501</v>
      </c>
      <c r="E464" s="67">
        <f>SmtRes!DO74*SmtRes!AT74</f>
        <v>25</v>
      </c>
      <c r="F464" s="67">
        <f t="shared" si="0"/>
        <v>1.1499999999999999</v>
      </c>
      <c r="G464" s="67">
        <f>ROUND(E464*F464*G455, 7)</f>
        <v>0.43125000000000002</v>
      </c>
      <c r="H464" s="69"/>
      <c r="I464" s="68"/>
      <c r="J464" s="69">
        <f>ROUND(SmtRes!AG74/SmtRes!DO74, 2)</f>
        <v>368.02</v>
      </c>
      <c r="K464" s="68"/>
      <c r="L464" s="69">
        <f>SmtRes!DH74</f>
        <v>158.71</v>
      </c>
      <c r="CE464">
        <v>1</v>
      </c>
    </row>
    <row r="465" spans="1:83" ht="27.6" x14ac:dyDescent="0.25">
      <c r="A465" s="65"/>
      <c r="B465" s="65" t="s">
        <v>594</v>
      </c>
      <c r="C465" s="65" t="s">
        <v>596</v>
      </c>
      <c r="D465" s="66" t="s">
        <v>509</v>
      </c>
      <c r="E465" s="67">
        <v>24.7</v>
      </c>
      <c r="F465" s="67">
        <f t="shared" si="0"/>
        <v>1.1499999999999999</v>
      </c>
      <c r="G465" s="67">
        <f>SmtRes!CX75</f>
        <v>0.42607499999999998</v>
      </c>
      <c r="H465" s="69">
        <f>SmtRes!CZ75</f>
        <v>994.01</v>
      </c>
      <c r="I465" s="68">
        <f>SmtRes!AJ75</f>
        <v>1.1200000000000001</v>
      </c>
      <c r="J465" s="69">
        <f>ROUND(H465*I465, 2)</f>
        <v>1113.29</v>
      </c>
      <c r="K465" s="68"/>
      <c r="L465" s="69">
        <f>SmtRes!DG75</f>
        <v>474.35</v>
      </c>
    </row>
    <row r="466" spans="1:83" ht="27.6" x14ac:dyDescent="0.25">
      <c r="A466" s="65"/>
      <c r="B466" s="65" t="s">
        <v>510</v>
      </c>
      <c r="C466" s="65" t="s">
        <v>876</v>
      </c>
      <c r="D466" s="66" t="s">
        <v>501</v>
      </c>
      <c r="E466" s="67">
        <f>SmtRes!DO75*SmtRes!AT75</f>
        <v>24.7</v>
      </c>
      <c r="F466" s="67">
        <f t="shared" si="0"/>
        <v>1.1499999999999999</v>
      </c>
      <c r="G466" s="67">
        <f>ROUND(E466*F466*G455, 7)</f>
        <v>0.42607499999999998</v>
      </c>
      <c r="H466" s="69"/>
      <c r="I466" s="68"/>
      <c r="J466" s="69">
        <f>ROUND(SmtRes!AG75/SmtRes!DO75, 2)</f>
        <v>422.95</v>
      </c>
      <c r="K466" s="68"/>
      <c r="L466" s="69">
        <f>SmtRes!DH75</f>
        <v>180.21</v>
      </c>
      <c r="CE466">
        <v>1</v>
      </c>
    </row>
    <row r="467" spans="1:83" ht="27.6" x14ac:dyDescent="0.25">
      <c r="A467" s="65"/>
      <c r="B467" s="65" t="s">
        <v>527</v>
      </c>
      <c r="C467" s="65" t="s">
        <v>529</v>
      </c>
      <c r="D467" s="66" t="s">
        <v>509</v>
      </c>
      <c r="E467" s="67">
        <v>0.11</v>
      </c>
      <c r="F467" s="67">
        <f t="shared" si="0"/>
        <v>1.1499999999999999</v>
      </c>
      <c r="G467" s="67">
        <f>SmtRes!CX76</f>
        <v>1.8975000000000001E-3</v>
      </c>
      <c r="H467" s="69"/>
      <c r="I467" s="68"/>
      <c r="J467" s="69">
        <f>SmtRes!CZ76</f>
        <v>551.45000000000005</v>
      </c>
      <c r="K467" s="68"/>
      <c r="L467" s="69">
        <f>SmtRes!DG76</f>
        <v>1.05</v>
      </c>
    </row>
    <row r="468" spans="1:83" ht="27.6" x14ac:dyDescent="0.25">
      <c r="A468" s="65"/>
      <c r="B468" s="65" t="s">
        <v>522</v>
      </c>
      <c r="C468" s="65" t="s">
        <v>887</v>
      </c>
      <c r="D468" s="66" t="s">
        <v>501</v>
      </c>
      <c r="E468" s="67">
        <f>SmtRes!DO76*SmtRes!AT76</f>
        <v>0.11</v>
      </c>
      <c r="F468" s="67">
        <f t="shared" si="0"/>
        <v>1.1499999999999999</v>
      </c>
      <c r="G468" s="67">
        <f>ROUND(E468*F468*G455, 7)</f>
        <v>1.8975000000000001E-3</v>
      </c>
      <c r="H468" s="69"/>
      <c r="I468" s="68"/>
      <c r="J468" s="69">
        <f>ROUND(SmtRes!AG76/SmtRes!DO76, 2)</f>
        <v>368.02</v>
      </c>
      <c r="K468" s="68"/>
      <c r="L468" s="69">
        <f>SmtRes!DH76</f>
        <v>0.7</v>
      </c>
      <c r="CE468">
        <v>1</v>
      </c>
    </row>
    <row r="469" spans="1:83" ht="27.6" x14ac:dyDescent="0.25">
      <c r="A469" s="65"/>
      <c r="B469" s="65" t="s">
        <v>597</v>
      </c>
      <c r="C469" s="65" t="s">
        <v>599</v>
      </c>
      <c r="D469" s="66" t="s">
        <v>509</v>
      </c>
      <c r="E469" s="67">
        <v>68.7</v>
      </c>
      <c r="F469" s="67">
        <f t="shared" si="0"/>
        <v>1.1499999999999999</v>
      </c>
      <c r="G469" s="67">
        <f>SmtRes!CX77</f>
        <v>1.1850750000000001</v>
      </c>
      <c r="H469" s="69"/>
      <c r="I469" s="68"/>
      <c r="J469" s="69">
        <f>SmtRes!CZ77</f>
        <v>41.5</v>
      </c>
      <c r="K469" s="68"/>
      <c r="L469" s="69">
        <f>SmtRes!DG77</f>
        <v>49.18</v>
      </c>
    </row>
    <row r="470" spans="1:83" ht="55.2" x14ac:dyDescent="0.25">
      <c r="A470" s="65"/>
      <c r="B470" s="65" t="s">
        <v>519</v>
      </c>
      <c r="C470" s="65" t="s">
        <v>521</v>
      </c>
      <c r="D470" s="66" t="s">
        <v>509</v>
      </c>
      <c r="E470" s="67">
        <v>12.5</v>
      </c>
      <c r="F470" s="67">
        <f t="shared" si="0"/>
        <v>1.1499999999999999</v>
      </c>
      <c r="G470" s="67">
        <f>SmtRes!CX78</f>
        <v>0.21562500000000001</v>
      </c>
      <c r="H470" s="69"/>
      <c r="I470" s="68"/>
      <c r="J470" s="69">
        <f>SmtRes!CZ78</f>
        <v>385.61</v>
      </c>
      <c r="K470" s="68"/>
      <c r="L470" s="69">
        <f>SmtRes!DG78</f>
        <v>83.15</v>
      </c>
    </row>
    <row r="471" spans="1:83" ht="27.6" x14ac:dyDescent="0.25">
      <c r="A471" s="65"/>
      <c r="B471" s="65" t="s">
        <v>522</v>
      </c>
      <c r="C471" s="65" t="s">
        <v>887</v>
      </c>
      <c r="D471" s="66" t="s">
        <v>501</v>
      </c>
      <c r="E471" s="67">
        <f>SmtRes!DO78*SmtRes!AT78</f>
        <v>12.5</v>
      </c>
      <c r="F471" s="67">
        <f t="shared" si="0"/>
        <v>1.1499999999999999</v>
      </c>
      <c r="G471" s="67">
        <f>ROUND(E471*F471*G455, 7)</f>
        <v>0.21562500000000001</v>
      </c>
      <c r="H471" s="69"/>
      <c r="I471" s="68"/>
      <c r="J471" s="69">
        <f>ROUND(SmtRes!AG78/SmtRes!DO78, 2)</f>
        <v>368.02</v>
      </c>
      <c r="K471" s="68"/>
      <c r="L471" s="69">
        <f>SmtRes!DH78</f>
        <v>79.349999999999994</v>
      </c>
      <c r="CE471">
        <v>1</v>
      </c>
    </row>
    <row r="472" spans="1:83" ht="14.4" x14ac:dyDescent="0.25">
      <c r="A472" s="64"/>
      <c r="B472" s="67">
        <v>4</v>
      </c>
      <c r="C472" s="64" t="s">
        <v>893</v>
      </c>
      <c r="D472" s="66"/>
      <c r="E472" s="73"/>
      <c r="F472" s="67"/>
      <c r="G472" s="67"/>
      <c r="H472" s="67"/>
      <c r="I472" s="67"/>
      <c r="J472" s="67"/>
      <c r="K472" s="67"/>
      <c r="L472" s="74">
        <f>SUM(L473:L477)-SUMIF(CE473:CE477, 1, L473:L477)</f>
        <v>116.38</v>
      </c>
    </row>
    <row r="473" spans="1:83" ht="14.4" x14ac:dyDescent="0.25">
      <c r="A473" s="65"/>
      <c r="B473" s="65" t="s">
        <v>600</v>
      </c>
      <c r="C473" s="65" t="s">
        <v>602</v>
      </c>
      <c r="D473" s="66" t="s">
        <v>205</v>
      </c>
      <c r="E473" s="67">
        <v>10</v>
      </c>
      <c r="F473" s="67"/>
      <c r="G473" s="67">
        <f>SmtRes!CX79</f>
        <v>0.15</v>
      </c>
      <c r="H473" s="69">
        <f>SmtRes!CZ79</f>
        <v>35.71</v>
      </c>
      <c r="I473" s="68">
        <f>SmtRes!AI79</f>
        <v>0.88</v>
      </c>
      <c r="J473" s="69">
        <f>ROUND(H473*I473, 2)</f>
        <v>31.42</v>
      </c>
      <c r="K473" s="68"/>
      <c r="L473" s="69">
        <f>SmtRes!DF79</f>
        <v>4.71</v>
      </c>
    </row>
    <row r="474" spans="1:83" ht="14.4" x14ac:dyDescent="0.25">
      <c r="A474" s="65"/>
      <c r="B474" s="65" t="s">
        <v>560</v>
      </c>
      <c r="C474" s="65" t="s">
        <v>562</v>
      </c>
      <c r="D474" s="66" t="s">
        <v>563</v>
      </c>
      <c r="E474" s="67">
        <v>7.4340000000000002</v>
      </c>
      <c r="F474" s="67"/>
      <c r="G474" s="67">
        <f>SmtRes!CX80</f>
        <v>0.11151</v>
      </c>
      <c r="H474" s="69"/>
      <c r="I474" s="68"/>
      <c r="J474" s="69">
        <f>SmtRes!CZ80</f>
        <v>9.0399999999999991</v>
      </c>
      <c r="K474" s="68"/>
      <c r="L474" s="69">
        <f>SmtRes!DF80</f>
        <v>1.01</v>
      </c>
    </row>
    <row r="475" spans="1:83" ht="55.2" x14ac:dyDescent="0.25">
      <c r="A475" s="65"/>
      <c r="B475" s="65" t="s">
        <v>603</v>
      </c>
      <c r="C475" s="65" t="s">
        <v>605</v>
      </c>
      <c r="D475" s="66" t="s">
        <v>240</v>
      </c>
      <c r="E475" s="67">
        <v>45</v>
      </c>
      <c r="F475" s="67"/>
      <c r="G475" s="67">
        <f>SmtRes!CX81</f>
        <v>0.67500000000000004</v>
      </c>
      <c r="H475" s="69">
        <f>SmtRes!CZ81</f>
        <v>155.63</v>
      </c>
      <c r="I475" s="68">
        <f>SmtRes!AI81</f>
        <v>0.85</v>
      </c>
      <c r="J475" s="69">
        <f>ROUND(H475*I475, 2)</f>
        <v>132.29</v>
      </c>
      <c r="K475" s="68"/>
      <c r="L475" s="69">
        <f>SmtRes!DF81</f>
        <v>89.3</v>
      </c>
    </row>
    <row r="476" spans="1:83" ht="14.4" x14ac:dyDescent="0.25">
      <c r="A476" s="65"/>
      <c r="B476" s="65" t="s">
        <v>606</v>
      </c>
      <c r="C476" s="65" t="s">
        <v>608</v>
      </c>
      <c r="D476" s="66" t="s">
        <v>174</v>
      </c>
      <c r="E476" s="67">
        <v>5.9999999999999995E-4</v>
      </c>
      <c r="F476" s="67"/>
      <c r="G476" s="67">
        <f>SmtRes!CX82</f>
        <v>9.0000000000000002E-6</v>
      </c>
      <c r="H476" s="69">
        <f>SmtRes!CZ82</f>
        <v>26885</v>
      </c>
      <c r="I476" s="68">
        <f>SmtRes!AI82</f>
        <v>1.42</v>
      </c>
      <c r="J476" s="69">
        <f>ROUND(H476*I476, 2)</f>
        <v>38176.699999999997</v>
      </c>
      <c r="K476" s="68"/>
      <c r="L476" s="69">
        <f>SmtRes!DF82</f>
        <v>0.34</v>
      </c>
    </row>
    <row r="477" spans="1:83" ht="27.6" x14ac:dyDescent="0.25">
      <c r="A477" s="65"/>
      <c r="B477" s="65" t="s">
        <v>609</v>
      </c>
      <c r="C477" s="65" t="s">
        <v>611</v>
      </c>
      <c r="D477" s="66" t="s">
        <v>174</v>
      </c>
      <c r="E477" s="67">
        <v>0.01</v>
      </c>
      <c r="F477" s="67"/>
      <c r="G477" s="67">
        <f>SmtRes!CX83</f>
        <v>1.4999999999999999E-4</v>
      </c>
      <c r="H477" s="69">
        <f>SmtRes!CZ83</f>
        <v>106957.98</v>
      </c>
      <c r="I477" s="68">
        <f>SmtRes!AI83</f>
        <v>1.31</v>
      </c>
      <c r="J477" s="69">
        <f>ROUND(H477*I477, 2)</f>
        <v>140114.95000000001</v>
      </c>
      <c r="K477" s="68"/>
      <c r="L477" s="69">
        <f>SmtRes!DF83</f>
        <v>21.02</v>
      </c>
    </row>
    <row r="478" spans="1:83" ht="14.4" x14ac:dyDescent="0.25">
      <c r="A478" s="65"/>
      <c r="B478" s="65" t="str">
        <f>EtalonRes!I85</f>
        <v>07.2.07.11</v>
      </c>
      <c r="C478" s="65" t="str">
        <f>EtalonRes!K85</f>
        <v>Опоры скользящие и катковые</v>
      </c>
      <c r="D478" s="66" t="str">
        <f>EtalonRes!O85</f>
        <v>т</v>
      </c>
      <c r="E478" s="67">
        <f>EtalonRes!X85</f>
        <v>0.28999999999999998</v>
      </c>
      <c r="F478" s="67"/>
      <c r="G478" s="67">
        <f>ROUND(EtalonRes!AG85*Source!I144, 7)</f>
        <v>4.3499999999999997E-3</v>
      </c>
      <c r="H478" s="69"/>
      <c r="I478" s="68"/>
      <c r="J478" s="69"/>
      <c r="K478" s="68"/>
      <c r="L478" s="69"/>
    </row>
    <row r="479" spans="1:83" ht="14.4" x14ac:dyDescent="0.25">
      <c r="A479" s="65"/>
      <c r="B479" s="65" t="str">
        <f>EtalonRes!I87</f>
        <v>18.1.10.01</v>
      </c>
      <c r="C479" s="65" t="str">
        <f>EtalonRes!K87</f>
        <v>Клапаны фланцевые</v>
      </c>
      <c r="D479" s="66" t="str">
        <f>EtalonRes!O87</f>
        <v>ШТ</v>
      </c>
      <c r="E479" s="67">
        <f>EtalonRes!X87</f>
        <v>0</v>
      </c>
      <c r="F479" s="67"/>
      <c r="G479" s="67">
        <f>ROUND(EtalonRes!AG87*Source!I144, 7)</f>
        <v>0</v>
      </c>
      <c r="H479" s="69"/>
      <c r="I479" s="68"/>
      <c r="J479" s="69"/>
      <c r="K479" s="68"/>
      <c r="L479" s="69"/>
    </row>
    <row r="480" spans="1:83" ht="14.4" x14ac:dyDescent="0.25">
      <c r="A480" s="65"/>
      <c r="B480" s="65" t="str">
        <f>EtalonRes!I88</f>
        <v>23.3.03.02</v>
      </c>
      <c r="C480" s="65" t="str">
        <f>EtalonRes!K88</f>
        <v>Трубы стальные</v>
      </c>
      <c r="D480" s="66" t="str">
        <f>EtalonRes!O88</f>
        <v>м</v>
      </c>
      <c r="E480" s="67">
        <f>EtalonRes!X88</f>
        <v>1010</v>
      </c>
      <c r="F480" s="67"/>
      <c r="G480" s="67">
        <f>ROUND(EtalonRes!AG88*Source!I144, 7)</f>
        <v>15.15</v>
      </c>
      <c r="H480" s="69"/>
      <c r="I480" s="68"/>
      <c r="J480" s="69"/>
      <c r="K480" s="68"/>
      <c r="L480" s="69"/>
    </row>
    <row r="481" spans="1:101" ht="14.4" x14ac:dyDescent="0.25">
      <c r="A481" s="65"/>
      <c r="B481" s="65" t="str">
        <f>EtalonRes!I89</f>
        <v>23.8.03.11</v>
      </c>
      <c r="C481" s="65" t="str">
        <f>EtalonRes!K89</f>
        <v>Фланцы</v>
      </c>
      <c r="D481" s="66" t="str">
        <f>EtalonRes!O89</f>
        <v>КОМПЛ</v>
      </c>
      <c r="E481" s="67">
        <f>EtalonRes!X89</f>
        <v>0</v>
      </c>
      <c r="F481" s="67"/>
      <c r="G481" s="67">
        <f>ROUND(EtalonRes!AG89*Source!I144, 7)</f>
        <v>0</v>
      </c>
      <c r="H481" s="69"/>
      <c r="I481" s="68"/>
      <c r="J481" s="69"/>
      <c r="K481" s="68"/>
      <c r="L481" s="69"/>
    </row>
    <row r="482" spans="1:101" ht="27.6" x14ac:dyDescent="0.25">
      <c r="A482" s="65"/>
      <c r="B482" s="65" t="str">
        <f>EtalonRes!I90</f>
        <v>23.8.03.12</v>
      </c>
      <c r="C482" s="75" t="str">
        <f>EtalonRes!K90</f>
        <v>Части фасонные соединительные стальные</v>
      </c>
      <c r="D482" s="76" t="str">
        <f>EtalonRes!O90</f>
        <v>ШТ</v>
      </c>
      <c r="E482" s="77">
        <f>EtalonRes!X90</f>
        <v>0</v>
      </c>
      <c r="F482" s="77"/>
      <c r="G482" s="77">
        <f>ROUND(EtalonRes!AG90*Source!I144, 7)</f>
        <v>0</v>
      </c>
      <c r="H482" s="78"/>
      <c r="I482" s="79"/>
      <c r="J482" s="78"/>
      <c r="K482" s="79"/>
      <c r="L482" s="78"/>
    </row>
    <row r="483" spans="1:101" ht="14.4" x14ac:dyDescent="0.25">
      <c r="A483" s="65"/>
      <c r="B483" s="65"/>
      <c r="C483" s="81" t="s">
        <v>864</v>
      </c>
      <c r="D483" s="66"/>
      <c r="E483" s="67"/>
      <c r="F483" s="67"/>
      <c r="G483" s="67"/>
      <c r="H483" s="69"/>
      <c r="I483" s="68"/>
      <c r="J483" s="69"/>
      <c r="K483" s="68"/>
      <c r="L483" s="69">
        <f>L457+L459+L460+L472</f>
        <v>4634.78</v>
      </c>
    </row>
    <row r="484" spans="1:101" ht="27.6" x14ac:dyDescent="0.25">
      <c r="A484" s="63" t="s">
        <v>940</v>
      </c>
      <c r="B484" s="65" t="str">
        <f>Source!F145</f>
        <v>08.1.02.25-0091</v>
      </c>
      <c r="C484" s="65" t="str">
        <f>Source!G145</f>
        <v>Опора скользящая стальная (5 шт * 1,77 кг=8,85 кг)</v>
      </c>
      <c r="D484" s="66" t="str">
        <f>Source!H145</f>
        <v>кг</v>
      </c>
      <c r="E484" s="67">
        <f>SmtRes!AT84</f>
        <v>290</v>
      </c>
      <c r="F484" s="67"/>
      <c r="G484" s="67">
        <f>Source!I145</f>
        <v>4.3499999999999996</v>
      </c>
      <c r="H484" s="69">
        <f>Source!AL145+Source!AO145+Source!AM145+Source!AN145</f>
        <v>175.65</v>
      </c>
      <c r="I484" s="68">
        <f>IF(Source!BC145&lt;&gt; 0, Source!BC145, 1)</f>
        <v>1.31</v>
      </c>
      <c r="J484" s="69">
        <f>ROUND(H484*I484, 2)</f>
        <v>230.1</v>
      </c>
      <c r="K484" s="68"/>
      <c r="L484" s="69">
        <f>Source!P145</f>
        <v>1000.94</v>
      </c>
      <c r="AD484">
        <f>ROUND((Source!AT145/100)*((ROUND(ROUND(Source!AO145,2)*Source!I145, 2)+ROUND(ROUND(Source!AN145,2)*Source!I145, 2))), 2)</f>
        <v>0</v>
      </c>
      <c r="AE484">
        <f>ROUND((Source!AU145/100)*((ROUND(ROUND(Source!AO145,2)*Source!I145, 2)+ROUND(ROUND(Source!AN145,2)*Source!I145, 2))), 2)</f>
        <v>0</v>
      </c>
      <c r="AN484">
        <f>L484</f>
        <v>1000.94</v>
      </c>
      <c r="AW484">
        <f>L484</f>
        <v>1000.94</v>
      </c>
      <c r="AZ484">
        <f>Source!X145</f>
        <v>0</v>
      </c>
      <c r="BA484">
        <f>Source!Y145</f>
        <v>0</v>
      </c>
      <c r="CD484">
        <v>1</v>
      </c>
    </row>
    <row r="485" spans="1:101" ht="55.2" x14ac:dyDescent="0.25">
      <c r="A485" s="63" t="s">
        <v>941</v>
      </c>
      <c r="B485" s="65" t="str">
        <f>Source!F146</f>
        <v>23.5.02.02-1144</v>
      </c>
      <c r="C485" s="65" t="str">
        <f>Source!G146</f>
        <v>Трубы стальные электросварные прямошовные из стали марки 20, наружный диаметр 57 мм, толщина стенки 4 мм</v>
      </c>
      <c r="D485" s="66" t="str">
        <f>Source!H146</f>
        <v>м</v>
      </c>
      <c r="E485" s="67">
        <f>SmtRes!AT85</f>
        <v>1000</v>
      </c>
      <c r="F485" s="67"/>
      <c r="G485" s="67">
        <f>Source!I146</f>
        <v>15</v>
      </c>
      <c r="H485" s="69">
        <f>Source!AL146+Source!AO146+Source!AM146+Source!AN146</f>
        <v>440.46</v>
      </c>
      <c r="I485" s="68">
        <f>IF(Source!BC146&lt;&gt; 0, Source!BC146, 1)</f>
        <v>0.82</v>
      </c>
      <c r="J485" s="69">
        <f>ROUND(H485*I485, 2)</f>
        <v>361.18</v>
      </c>
      <c r="K485" s="68"/>
      <c r="L485" s="69">
        <f>Source!P146</f>
        <v>5417.7</v>
      </c>
      <c r="AD485">
        <f>ROUND((Source!AT146/100)*((ROUND(ROUND(Source!AO146,2)*Source!I146, 2)+ROUND(ROUND(Source!AN146,2)*Source!I146, 2))), 2)</f>
        <v>0</v>
      </c>
      <c r="AE485">
        <f>ROUND((Source!AU146/100)*((ROUND(ROUND(Source!AO146,2)*Source!I146, 2)+ROUND(ROUND(Source!AN146,2)*Source!I146, 2))), 2)</f>
        <v>0</v>
      </c>
      <c r="AN485">
        <f>L485</f>
        <v>5417.7</v>
      </c>
      <c r="AW485">
        <f>L485</f>
        <v>5417.7</v>
      </c>
      <c r="AZ485">
        <f>Source!X146</f>
        <v>0</v>
      </c>
      <c r="BA485">
        <f>Source!Y146</f>
        <v>0</v>
      </c>
      <c r="CD485">
        <v>1</v>
      </c>
    </row>
    <row r="486" spans="1:101" ht="69" x14ac:dyDescent="0.25">
      <c r="A486" s="63" t="s">
        <v>942</v>
      </c>
      <c r="B486" s="65" t="str">
        <f>Source!F147</f>
        <v>23.8.04.06-0065</v>
      </c>
      <c r="C486" s="65" t="str">
        <f>Source!G147</f>
        <v>Отвод 90° с радиусом кривизны R=1,5 Ду на давление до 16 МПа, номинальный диаметр 50 мм, наружный диаметр 57 мм, толщина стенки 5 мм *Прим толщина стенки 6 мм</v>
      </c>
      <c r="D486" s="66" t="str">
        <f>Source!H147</f>
        <v>ШТ</v>
      </c>
      <c r="E486" s="67">
        <f>SmtRes!AT86</f>
        <v>266.66666670000001</v>
      </c>
      <c r="F486" s="67"/>
      <c r="G486" s="67">
        <f>Source!I147</f>
        <v>4</v>
      </c>
      <c r="H486" s="69">
        <f>Source!AL147+Source!AO147+Source!AM147+Source!AN147</f>
        <v>172.96</v>
      </c>
      <c r="I486" s="68">
        <f>IF(Source!BC147&lt;&gt; 0, Source!BC147, 1)</f>
        <v>1.1399999999999999</v>
      </c>
      <c r="J486" s="69">
        <f>ROUND(H486*I486, 2)</f>
        <v>197.17</v>
      </c>
      <c r="K486" s="68"/>
      <c r="L486" s="69">
        <f>Source!P147</f>
        <v>788.68</v>
      </c>
      <c r="AD486">
        <f>ROUND((Source!AT147/100)*((ROUND(ROUND(Source!AO147,2)*Source!I147, 2)+ROUND(ROUND(Source!AN147,2)*Source!I147, 2))), 2)</f>
        <v>0</v>
      </c>
      <c r="AE486">
        <f>ROUND((Source!AU147/100)*((ROUND(ROUND(Source!AO147,2)*Source!I147, 2)+ROUND(ROUND(Source!AN147,2)*Source!I147, 2))), 2)</f>
        <v>0</v>
      </c>
      <c r="AN486">
        <f>L486</f>
        <v>788.68</v>
      </c>
      <c r="AW486">
        <f>L486</f>
        <v>788.68</v>
      </c>
      <c r="AZ486">
        <f>Source!X147</f>
        <v>0</v>
      </c>
      <c r="BA486">
        <f>Source!Y147</f>
        <v>0</v>
      </c>
      <c r="CD486">
        <v>1</v>
      </c>
    </row>
    <row r="487" spans="1:101" ht="14.4" x14ac:dyDescent="0.25">
      <c r="A487" s="65"/>
      <c r="B487" s="65"/>
      <c r="C487" s="65" t="s">
        <v>865</v>
      </c>
      <c r="D487" s="66"/>
      <c r="E487" s="67"/>
      <c r="F487" s="67"/>
      <c r="G487" s="67"/>
      <c r="H487" s="69"/>
      <c r="I487" s="68"/>
      <c r="J487" s="69"/>
      <c r="K487" s="68"/>
      <c r="L487" s="69">
        <f>SUM(AR455:AR490)+SUM(AS455:AS490)+SUM(AT455:AT490)+SUM(AU455:AU490)+SUM(AV455:AV490)</f>
        <v>3151.42</v>
      </c>
    </row>
    <row r="488" spans="1:101" ht="41.4" x14ac:dyDescent="0.25">
      <c r="A488" s="65"/>
      <c r="B488" s="65" t="s">
        <v>102</v>
      </c>
      <c r="C488" s="65" t="s">
        <v>894</v>
      </c>
      <c r="D488" s="66" t="s">
        <v>761</v>
      </c>
      <c r="E488" s="67">
        <f>Source!BZ144</f>
        <v>117</v>
      </c>
      <c r="F488" s="67"/>
      <c r="G488" s="67">
        <f>Source!AT144</f>
        <v>117</v>
      </c>
      <c r="H488" s="69"/>
      <c r="I488" s="68"/>
      <c r="J488" s="69"/>
      <c r="K488" s="68"/>
      <c r="L488" s="69">
        <f>SUM(AZ455:AZ490)</f>
        <v>3687.16</v>
      </c>
    </row>
    <row r="489" spans="1:101" ht="41.4" x14ac:dyDescent="0.25">
      <c r="A489" s="75"/>
      <c r="B489" s="75" t="s">
        <v>103</v>
      </c>
      <c r="C489" s="75" t="s">
        <v>895</v>
      </c>
      <c r="D489" s="76" t="s">
        <v>761</v>
      </c>
      <c r="E489" s="77">
        <f>Source!CA144</f>
        <v>74</v>
      </c>
      <c r="F489" s="77"/>
      <c r="G489" s="77">
        <f>Source!AU144</f>
        <v>74</v>
      </c>
      <c r="H489" s="78"/>
      <c r="I489" s="79"/>
      <c r="J489" s="78"/>
      <c r="K489" s="79"/>
      <c r="L489" s="78">
        <f>SUM(BA455:BA490)</f>
        <v>2332.0500000000002</v>
      </c>
    </row>
    <row r="490" spans="1:101" ht="13.8" x14ac:dyDescent="0.25">
      <c r="C490" s="127" t="s">
        <v>868</v>
      </c>
      <c r="D490" s="127"/>
      <c r="E490" s="127"/>
      <c r="F490" s="127"/>
      <c r="G490" s="127"/>
      <c r="H490" s="127"/>
      <c r="I490" s="128">
        <f>IF(E455&lt;&gt;0,K490/E455, 0)</f>
        <v>1190754</v>
      </c>
      <c r="J490" s="128"/>
      <c r="K490" s="128">
        <f>L457+L459+L472+L488+L489+L460+SUM(L484:L486)</f>
        <v>17861.309999999998</v>
      </c>
      <c r="L490" s="128"/>
      <c r="AD490">
        <f>ROUND((Source!AT144/100)*((ROUND(SUMIF(SmtRes!AQ71:'SmtRes'!AQ86,"=1",SmtRes!AD71:'SmtRes'!AD86)*Source!I144, 2)+ROUND(SUMIF(SmtRes!AQ71:'SmtRes'!AQ86,"=1",SmtRes!AC71:'SmtRes'!AC86)*Source!I144, 2))), 2)</f>
        <v>42.03</v>
      </c>
      <c r="AE490">
        <f>ROUND((Source!AU144/100)*((ROUND(SUMIF(SmtRes!AQ71:'SmtRes'!AQ86,"=1",SmtRes!AD71:'SmtRes'!AD86)*Source!I144, 2)+ROUND(SUMIF(SmtRes!AQ71:'SmtRes'!AQ86,"=1",SmtRes!AC71:'SmtRes'!AC86)*Source!I144, 2))), 2)</f>
        <v>26.58</v>
      </c>
      <c r="AN490" s="80">
        <f>L457+L459+L472+L488+L489+L460</f>
        <v>10653.99</v>
      </c>
      <c r="AO490" s="80">
        <f>L459</f>
        <v>1366.9799999999998</v>
      </c>
      <c r="AQ490" t="s">
        <v>869</v>
      </c>
      <c r="AR490" s="80">
        <f>L457</f>
        <v>2731.85</v>
      </c>
      <c r="AT490" s="80">
        <f>L460</f>
        <v>419.56999999999994</v>
      </c>
      <c r="AV490" t="s">
        <v>869</v>
      </c>
      <c r="AW490" s="80">
        <f>L472</f>
        <v>116.38</v>
      </c>
      <c r="AZ490">
        <f>Source!X144</f>
        <v>3687.16</v>
      </c>
      <c r="BA490">
        <f>Source!Y144</f>
        <v>2332.0500000000002</v>
      </c>
      <c r="CD490">
        <v>1</v>
      </c>
    </row>
    <row r="491" spans="1:101" ht="41.4" x14ac:dyDescent="0.25">
      <c r="C491" s="62" t="str">
        <f>Source!G148</f>
        <v>Установка скользящих опор сверх нормы, учтенной расценкой 8,85 кг-4,35 кг=4,5кг)</v>
      </c>
    </row>
    <row r="492" spans="1:101" ht="41.4" x14ac:dyDescent="0.25">
      <c r="A492" s="63" t="s">
        <v>251</v>
      </c>
      <c r="B492" s="65" t="s">
        <v>943</v>
      </c>
      <c r="C492" s="65" t="str">
        <f>Source!G149</f>
        <v>Монтаж опорных конструкций для крепления трубопроводов внутри зданий и сооружений массой: до 0,1 т</v>
      </c>
      <c r="D492" s="66" t="str">
        <f>Source!H149</f>
        <v>т</v>
      </c>
      <c r="E492" s="67">
        <f>Source!K149</f>
        <v>4.4999999999999997E-3</v>
      </c>
      <c r="F492" s="67"/>
      <c r="G492" s="67">
        <f>Source!I149</f>
        <v>4.4999999999999997E-3</v>
      </c>
      <c r="H492" s="69"/>
      <c r="I492" s="68"/>
      <c r="J492" s="69"/>
      <c r="K492" s="68"/>
      <c r="L492" s="69"/>
    </row>
    <row r="493" spans="1:101" ht="39.6" x14ac:dyDescent="0.25">
      <c r="B493" s="70" t="s">
        <v>788</v>
      </c>
      <c r="C493" s="129" t="s">
        <v>871</v>
      </c>
      <c r="D493" s="129"/>
      <c r="E493" s="129"/>
      <c r="F493" s="129"/>
      <c r="G493" s="129"/>
      <c r="H493" s="129"/>
      <c r="I493" s="129"/>
      <c r="J493" s="129"/>
      <c r="K493" s="129"/>
      <c r="L493" s="129"/>
      <c r="CW493" s="71" t="s">
        <v>871</v>
      </c>
    </row>
    <row r="494" spans="1:101" ht="14.4" x14ac:dyDescent="0.25">
      <c r="A494" s="64"/>
      <c r="B494" s="67">
        <v>1</v>
      </c>
      <c r="C494" s="64" t="s">
        <v>863</v>
      </c>
      <c r="D494" s="66" t="s">
        <v>501</v>
      </c>
      <c r="E494" s="73"/>
      <c r="F494" s="67"/>
      <c r="G494" s="67">
        <f>Source!U149</f>
        <v>0.38088</v>
      </c>
      <c r="H494" s="67"/>
      <c r="I494" s="67"/>
      <c r="J494" s="67"/>
      <c r="K494" s="67"/>
      <c r="L494" s="74">
        <f>SUM(L495:L495)-SUMIF(CE495:CE495, 1, L495:L495)</f>
        <v>132.33000000000001</v>
      </c>
    </row>
    <row r="495" spans="1:101" ht="14.4" x14ac:dyDescent="0.25">
      <c r="A495" s="65"/>
      <c r="B495" s="65" t="s">
        <v>612</v>
      </c>
      <c r="C495" s="65" t="s">
        <v>613</v>
      </c>
      <c r="D495" s="66" t="s">
        <v>501</v>
      </c>
      <c r="E495" s="67">
        <v>73.599999999999994</v>
      </c>
      <c r="F495" s="67">
        <f>ROUND((0.15+1),7)</f>
        <v>1.1499999999999999</v>
      </c>
      <c r="G495" s="67">
        <f>SmtRes!CX87</f>
        <v>0.38088</v>
      </c>
      <c r="H495" s="69"/>
      <c r="I495" s="68"/>
      <c r="J495" s="69">
        <f>SmtRes!CZ87</f>
        <v>347.42</v>
      </c>
      <c r="K495" s="68"/>
      <c r="L495" s="69">
        <f>SmtRes!DI87</f>
        <v>132.33000000000001</v>
      </c>
    </row>
    <row r="496" spans="1:101" ht="14.4" x14ac:dyDescent="0.25">
      <c r="A496" s="64"/>
      <c r="B496" s="67">
        <v>2</v>
      </c>
      <c r="C496" s="64" t="s">
        <v>875</v>
      </c>
      <c r="D496" s="66"/>
      <c r="E496" s="73"/>
      <c r="F496" s="67"/>
      <c r="G496" s="67"/>
      <c r="H496" s="67"/>
      <c r="I496" s="67"/>
      <c r="J496" s="67"/>
      <c r="K496" s="67"/>
      <c r="L496" s="74">
        <f>SUM(L497:L504)-SUMIF(CE497:CE504, 1, L497:L504)</f>
        <v>9.44</v>
      </c>
    </row>
    <row r="497" spans="1:83" ht="14.4" x14ac:dyDescent="0.25">
      <c r="A497" s="64"/>
      <c r="B497" s="67"/>
      <c r="C497" s="64" t="s">
        <v>877</v>
      </c>
      <c r="D497" s="66" t="s">
        <v>501</v>
      </c>
      <c r="E497" s="73"/>
      <c r="F497" s="67"/>
      <c r="G497" s="67">
        <f>Source!V149</f>
        <v>1.3973E-3</v>
      </c>
      <c r="H497" s="67"/>
      <c r="I497" s="67"/>
      <c r="J497" s="67"/>
      <c r="K497" s="67"/>
      <c r="L497" s="74">
        <f>SUMIF(CE498:CE504, 1, L498:L504)</f>
        <v>0.58000000000000007</v>
      </c>
      <c r="CE497">
        <v>1</v>
      </c>
    </row>
    <row r="498" spans="1:83" ht="27.6" x14ac:dyDescent="0.25">
      <c r="A498" s="65"/>
      <c r="B498" s="65" t="s">
        <v>574</v>
      </c>
      <c r="C498" s="65" t="s">
        <v>576</v>
      </c>
      <c r="D498" s="66" t="s">
        <v>509</v>
      </c>
      <c r="E498" s="67">
        <v>0.11</v>
      </c>
      <c r="F498" s="67">
        <f t="shared" ref="F498:F504" si="1">ROUND((0.15+1),7)</f>
        <v>1.1499999999999999</v>
      </c>
      <c r="G498" s="67">
        <f>SmtRes!CX89</f>
        <v>5.6930000000000001E-4</v>
      </c>
      <c r="H498" s="69"/>
      <c r="I498" s="68"/>
      <c r="J498" s="69">
        <f>SmtRes!CZ89</f>
        <v>1598.95</v>
      </c>
      <c r="K498" s="68"/>
      <c r="L498" s="69">
        <f>SmtRes!DG89</f>
        <v>0.91</v>
      </c>
    </row>
    <row r="499" spans="1:83" ht="27.6" x14ac:dyDescent="0.25">
      <c r="A499" s="65"/>
      <c r="B499" s="65" t="s">
        <v>577</v>
      </c>
      <c r="C499" s="65" t="s">
        <v>935</v>
      </c>
      <c r="D499" s="66" t="s">
        <v>501</v>
      </c>
      <c r="E499" s="67">
        <f>SmtRes!DO89*SmtRes!AT89</f>
        <v>0.11</v>
      </c>
      <c r="F499" s="67">
        <f t="shared" si="1"/>
        <v>1.1499999999999999</v>
      </c>
      <c r="G499" s="67">
        <f>ROUND(E499*F499*G492, 7)</f>
        <v>5.6930000000000001E-4</v>
      </c>
      <c r="H499" s="69"/>
      <c r="I499" s="68"/>
      <c r="J499" s="69">
        <f>ROUND(SmtRes!AG89/SmtRes!DO89, 2)</f>
        <v>494.35</v>
      </c>
      <c r="K499" s="68"/>
      <c r="L499" s="69">
        <f>SmtRes!DH89</f>
        <v>0.28000000000000003</v>
      </c>
      <c r="CE499">
        <v>1</v>
      </c>
    </row>
    <row r="500" spans="1:83" ht="27.6" x14ac:dyDescent="0.25">
      <c r="A500" s="65"/>
      <c r="B500" s="65" t="s">
        <v>614</v>
      </c>
      <c r="C500" s="65" t="s">
        <v>616</v>
      </c>
      <c r="D500" s="66" t="s">
        <v>509</v>
      </c>
      <c r="E500" s="67">
        <v>3.7</v>
      </c>
      <c r="F500" s="67">
        <f t="shared" si="1"/>
        <v>1.1499999999999999</v>
      </c>
      <c r="G500" s="67">
        <f>SmtRes!CX90</f>
        <v>1.9147500000000001E-2</v>
      </c>
      <c r="H500" s="69">
        <f>SmtRes!CZ90</f>
        <v>13.44</v>
      </c>
      <c r="I500" s="68">
        <f>SmtRes!AJ90</f>
        <v>1.52</v>
      </c>
      <c r="J500" s="69">
        <f>ROUND(H500*I500, 2)</f>
        <v>20.43</v>
      </c>
      <c r="K500" s="68"/>
      <c r="L500" s="69">
        <f>SmtRes!DG90</f>
        <v>0.39</v>
      </c>
    </row>
    <row r="501" spans="1:83" ht="27.6" x14ac:dyDescent="0.25">
      <c r="A501" s="65"/>
      <c r="B501" s="65" t="s">
        <v>527</v>
      </c>
      <c r="C501" s="65" t="s">
        <v>529</v>
      </c>
      <c r="D501" s="66" t="s">
        <v>509</v>
      </c>
      <c r="E501" s="67">
        <v>0.16</v>
      </c>
      <c r="F501" s="67">
        <f t="shared" si="1"/>
        <v>1.1499999999999999</v>
      </c>
      <c r="G501" s="67">
        <f>SmtRes!CX91</f>
        <v>8.2799999999999996E-4</v>
      </c>
      <c r="H501" s="69"/>
      <c r="I501" s="68"/>
      <c r="J501" s="69">
        <f>SmtRes!CZ91</f>
        <v>551.45000000000005</v>
      </c>
      <c r="K501" s="68"/>
      <c r="L501" s="69">
        <f>SmtRes!DG91</f>
        <v>0.46</v>
      </c>
    </row>
    <row r="502" spans="1:83" ht="27.6" x14ac:dyDescent="0.25">
      <c r="A502" s="65"/>
      <c r="B502" s="65" t="s">
        <v>522</v>
      </c>
      <c r="C502" s="65" t="s">
        <v>887</v>
      </c>
      <c r="D502" s="66" t="s">
        <v>501</v>
      </c>
      <c r="E502" s="67">
        <f>SmtRes!DO91*SmtRes!AT91</f>
        <v>0.16</v>
      </c>
      <c r="F502" s="67">
        <f t="shared" si="1"/>
        <v>1.1499999999999999</v>
      </c>
      <c r="G502" s="67">
        <f>ROUND(E502*F502*G492, 7)</f>
        <v>8.2799999999999996E-4</v>
      </c>
      <c r="H502" s="69"/>
      <c r="I502" s="68"/>
      <c r="J502" s="69">
        <f>ROUND(SmtRes!AG91/SmtRes!DO91, 2)</f>
        <v>368.02</v>
      </c>
      <c r="K502" s="68"/>
      <c r="L502" s="69">
        <f>SmtRes!DH91</f>
        <v>0.3</v>
      </c>
      <c r="CE502">
        <v>1</v>
      </c>
    </row>
    <row r="503" spans="1:83" ht="14.4" x14ac:dyDescent="0.25">
      <c r="A503" s="65"/>
      <c r="B503" s="65" t="s">
        <v>578</v>
      </c>
      <c r="C503" s="65" t="s">
        <v>580</v>
      </c>
      <c r="D503" s="66" t="s">
        <v>509</v>
      </c>
      <c r="E503" s="67">
        <v>2.3199999999999998</v>
      </c>
      <c r="F503" s="67">
        <f t="shared" si="1"/>
        <v>1.1499999999999999</v>
      </c>
      <c r="G503" s="67">
        <f>SmtRes!CX92</f>
        <v>1.2005999999999999E-2</v>
      </c>
      <c r="H503" s="69">
        <f>SmtRes!CZ92</f>
        <v>4.3499999999999996</v>
      </c>
      <c r="I503" s="68">
        <f>SmtRes!AJ92</f>
        <v>1.23</v>
      </c>
      <c r="J503" s="69">
        <f>ROUND(H503*I503, 2)</f>
        <v>5.35</v>
      </c>
      <c r="K503" s="68"/>
      <c r="L503" s="69">
        <f>SmtRes!DG92</f>
        <v>0.06</v>
      </c>
    </row>
    <row r="504" spans="1:83" ht="27.6" x14ac:dyDescent="0.25">
      <c r="A504" s="65"/>
      <c r="B504" s="65" t="s">
        <v>617</v>
      </c>
      <c r="C504" s="65" t="s">
        <v>619</v>
      </c>
      <c r="D504" s="66" t="s">
        <v>509</v>
      </c>
      <c r="E504" s="67">
        <v>16.3</v>
      </c>
      <c r="F504" s="67">
        <f t="shared" si="1"/>
        <v>1.1499999999999999</v>
      </c>
      <c r="G504" s="67">
        <f>SmtRes!CX93</f>
        <v>8.4352499999999997E-2</v>
      </c>
      <c r="H504" s="69"/>
      <c r="I504" s="68"/>
      <c r="J504" s="69">
        <f>SmtRes!CZ93</f>
        <v>90.36</v>
      </c>
      <c r="K504" s="68"/>
      <c r="L504" s="69">
        <f>SmtRes!DG93</f>
        <v>7.62</v>
      </c>
    </row>
    <row r="505" spans="1:83" ht="14.4" x14ac:dyDescent="0.25">
      <c r="A505" s="64"/>
      <c r="B505" s="67">
        <v>4</v>
      </c>
      <c r="C505" s="64" t="s">
        <v>893</v>
      </c>
      <c r="D505" s="66"/>
      <c r="E505" s="73"/>
      <c r="F505" s="67"/>
      <c r="G505" s="67"/>
      <c r="H505" s="67"/>
      <c r="I505" s="67"/>
      <c r="J505" s="67"/>
      <c r="K505" s="67"/>
      <c r="L505" s="74">
        <f>SUM(L506:L518)-SUMIF(CE506:CE518, 1, L506:L518)</f>
        <v>15.45</v>
      </c>
    </row>
    <row r="506" spans="1:83" ht="14.4" x14ac:dyDescent="0.25">
      <c r="A506" s="65"/>
      <c r="B506" s="65" t="s">
        <v>581</v>
      </c>
      <c r="C506" s="65" t="s">
        <v>583</v>
      </c>
      <c r="D506" s="66" t="s">
        <v>205</v>
      </c>
      <c r="E506" s="67">
        <v>1.95</v>
      </c>
      <c r="F506" s="67"/>
      <c r="G506" s="67">
        <f>SmtRes!CX94</f>
        <v>8.7749999999999998E-3</v>
      </c>
      <c r="H506" s="69">
        <f>SmtRes!CZ94</f>
        <v>114.64</v>
      </c>
      <c r="I506" s="68">
        <f>SmtRes!AI94</f>
        <v>1.1000000000000001</v>
      </c>
      <c r="J506" s="69">
        <f>ROUND(H506*I506, 2)</f>
        <v>126.1</v>
      </c>
      <c r="K506" s="68"/>
      <c r="L506" s="69">
        <f>SmtRes!DF94</f>
        <v>1.1100000000000001</v>
      </c>
    </row>
    <row r="507" spans="1:83" ht="14.4" x14ac:dyDescent="0.25">
      <c r="A507" s="65"/>
      <c r="B507" s="65" t="s">
        <v>584</v>
      </c>
      <c r="C507" s="65" t="s">
        <v>586</v>
      </c>
      <c r="D507" s="66" t="s">
        <v>240</v>
      </c>
      <c r="E507" s="67">
        <v>0.59</v>
      </c>
      <c r="F507" s="67"/>
      <c r="G507" s="67">
        <f>SmtRes!CX95</f>
        <v>2.6549999999999998E-3</v>
      </c>
      <c r="H507" s="69">
        <f>SmtRes!CZ95</f>
        <v>41.38</v>
      </c>
      <c r="I507" s="68">
        <f>SmtRes!AI95</f>
        <v>1.51</v>
      </c>
      <c r="J507" s="69">
        <f>ROUND(H507*I507, 2)</f>
        <v>62.48</v>
      </c>
      <c r="K507" s="68"/>
      <c r="L507" s="69">
        <f>SmtRes!DF95</f>
        <v>0.17</v>
      </c>
    </row>
    <row r="508" spans="1:83" ht="14.4" x14ac:dyDescent="0.25">
      <c r="A508" s="65"/>
      <c r="B508" s="65" t="s">
        <v>560</v>
      </c>
      <c r="C508" s="65" t="s">
        <v>562</v>
      </c>
      <c r="D508" s="66" t="s">
        <v>563</v>
      </c>
      <c r="E508" s="67">
        <v>10.353</v>
      </c>
      <c r="F508" s="67"/>
      <c r="G508" s="67">
        <f>SmtRes!CX96</f>
        <v>4.6588499999999998E-2</v>
      </c>
      <c r="H508" s="69"/>
      <c r="I508" s="68"/>
      <c r="J508" s="69">
        <f>SmtRes!CZ96</f>
        <v>9.0399999999999991</v>
      </c>
      <c r="K508" s="68"/>
      <c r="L508" s="69">
        <f>SmtRes!DF96</f>
        <v>0.42</v>
      </c>
    </row>
    <row r="509" spans="1:83" ht="41.4" x14ac:dyDescent="0.25">
      <c r="A509" s="65"/>
      <c r="B509" s="65" t="s">
        <v>620</v>
      </c>
      <c r="C509" s="65" t="s">
        <v>622</v>
      </c>
      <c r="D509" s="66" t="s">
        <v>240</v>
      </c>
      <c r="E509" s="67">
        <v>14</v>
      </c>
      <c r="F509" s="67"/>
      <c r="G509" s="67">
        <f>SmtRes!CX97</f>
        <v>6.3E-2</v>
      </c>
      <c r="H509" s="69">
        <f>SmtRes!CZ97</f>
        <v>142.68</v>
      </c>
      <c r="I509" s="68">
        <f>SmtRes!AI97</f>
        <v>0.85</v>
      </c>
      <c r="J509" s="69">
        <f t="shared" ref="J509:J518" si="2">ROUND(H509*I509, 2)</f>
        <v>121.28</v>
      </c>
      <c r="K509" s="68"/>
      <c r="L509" s="69">
        <f>SmtRes!DF97</f>
        <v>7.64</v>
      </c>
    </row>
    <row r="510" spans="1:83" ht="27.6" x14ac:dyDescent="0.25">
      <c r="A510" s="65"/>
      <c r="B510" s="65" t="s">
        <v>623</v>
      </c>
      <c r="C510" s="65" t="s">
        <v>625</v>
      </c>
      <c r="D510" s="66" t="s">
        <v>240</v>
      </c>
      <c r="E510" s="67">
        <v>5</v>
      </c>
      <c r="F510" s="67"/>
      <c r="G510" s="67">
        <f>SmtRes!CX98</f>
        <v>2.2499999999999999E-2</v>
      </c>
      <c r="H510" s="69">
        <f>SmtRes!CZ98</f>
        <v>174.93</v>
      </c>
      <c r="I510" s="68">
        <f>SmtRes!AI98</f>
        <v>1.08</v>
      </c>
      <c r="J510" s="69">
        <f t="shared" si="2"/>
        <v>188.92</v>
      </c>
      <c r="K510" s="68"/>
      <c r="L510" s="69">
        <f>SmtRes!DF98</f>
        <v>4.25</v>
      </c>
    </row>
    <row r="511" spans="1:83" ht="14.4" x14ac:dyDescent="0.25">
      <c r="A511" s="65"/>
      <c r="B511" s="65" t="s">
        <v>530</v>
      </c>
      <c r="C511" s="65" t="s">
        <v>532</v>
      </c>
      <c r="D511" s="66" t="s">
        <v>174</v>
      </c>
      <c r="E511" s="67">
        <v>1.0000000000000001E-5</v>
      </c>
      <c r="F511" s="67"/>
      <c r="G511" s="67">
        <f>SmtRes!CX99</f>
        <v>0</v>
      </c>
      <c r="H511" s="69">
        <f>SmtRes!CZ99</f>
        <v>70296.2</v>
      </c>
      <c r="I511" s="68">
        <f>SmtRes!AI99</f>
        <v>1.32</v>
      </c>
      <c r="J511" s="69">
        <f t="shared" si="2"/>
        <v>92790.98</v>
      </c>
      <c r="K511" s="68"/>
      <c r="L511" s="69">
        <f>SmtRes!DF99</f>
        <v>0</v>
      </c>
    </row>
    <row r="512" spans="1:83" ht="27.6" x14ac:dyDescent="0.25">
      <c r="A512" s="65"/>
      <c r="B512" s="65" t="s">
        <v>626</v>
      </c>
      <c r="C512" s="65" t="s">
        <v>628</v>
      </c>
      <c r="D512" s="66" t="s">
        <v>174</v>
      </c>
      <c r="E512" s="67">
        <v>1E-4</v>
      </c>
      <c r="F512" s="67"/>
      <c r="G512" s="67">
        <f>SmtRes!CX100</f>
        <v>4.9999999999999998E-7</v>
      </c>
      <c r="H512" s="69">
        <f>SmtRes!CZ100</f>
        <v>231787.35</v>
      </c>
      <c r="I512" s="68">
        <f>SmtRes!AI100</f>
        <v>1.59</v>
      </c>
      <c r="J512" s="69">
        <f t="shared" si="2"/>
        <v>368541.89</v>
      </c>
      <c r="K512" s="68"/>
      <c r="L512" s="69">
        <f>SmtRes!DF100</f>
        <v>0.18</v>
      </c>
    </row>
    <row r="513" spans="1:101" ht="69" x14ac:dyDescent="0.25">
      <c r="A513" s="65"/>
      <c r="B513" s="65" t="s">
        <v>629</v>
      </c>
      <c r="C513" s="65" t="s">
        <v>631</v>
      </c>
      <c r="D513" s="66" t="s">
        <v>632</v>
      </c>
      <c r="E513" s="67">
        <v>1.8700000000000001E-2</v>
      </c>
      <c r="F513" s="67"/>
      <c r="G513" s="67">
        <f>SmtRes!CX102</f>
        <v>8.42E-5</v>
      </c>
      <c r="H513" s="69">
        <f>SmtRes!CZ102</f>
        <v>307.83999999999997</v>
      </c>
      <c r="I513" s="68">
        <f>SmtRes!AI102</f>
        <v>0.72</v>
      </c>
      <c r="J513" s="69">
        <f t="shared" si="2"/>
        <v>221.64</v>
      </c>
      <c r="K513" s="68"/>
      <c r="L513" s="69">
        <f>SmtRes!DF102</f>
        <v>0.02</v>
      </c>
    </row>
    <row r="514" spans="1:101" ht="27.6" x14ac:dyDescent="0.25">
      <c r="A514" s="65"/>
      <c r="B514" s="65" t="s">
        <v>533</v>
      </c>
      <c r="C514" s="65" t="s">
        <v>535</v>
      </c>
      <c r="D514" s="66" t="s">
        <v>174</v>
      </c>
      <c r="E514" s="67">
        <v>3.0000000000000001E-5</v>
      </c>
      <c r="F514" s="67"/>
      <c r="G514" s="67">
        <f>SmtRes!CX103</f>
        <v>9.9999999999999995E-8</v>
      </c>
      <c r="H514" s="69">
        <f>SmtRes!CZ103</f>
        <v>60258.2</v>
      </c>
      <c r="I514" s="68">
        <f>SmtRes!AI103</f>
        <v>0.87</v>
      </c>
      <c r="J514" s="69">
        <f t="shared" si="2"/>
        <v>52424.63</v>
      </c>
      <c r="K514" s="68"/>
      <c r="L514" s="69">
        <f>SmtRes!DF103</f>
        <v>0.01</v>
      </c>
    </row>
    <row r="515" spans="1:101" ht="27.6" x14ac:dyDescent="0.25">
      <c r="A515" s="65"/>
      <c r="B515" s="65" t="s">
        <v>633</v>
      </c>
      <c r="C515" s="65" t="s">
        <v>635</v>
      </c>
      <c r="D515" s="66" t="s">
        <v>174</v>
      </c>
      <c r="E515" s="67">
        <v>1.9400000000000001E-3</v>
      </c>
      <c r="F515" s="67"/>
      <c r="G515" s="67">
        <f>SmtRes!CX104</f>
        <v>8.6999999999999997E-6</v>
      </c>
      <c r="H515" s="69">
        <f>SmtRes!CZ104</f>
        <v>136760</v>
      </c>
      <c r="I515" s="68">
        <f>SmtRes!AI104</f>
        <v>0.91</v>
      </c>
      <c r="J515" s="69">
        <f t="shared" si="2"/>
        <v>124451.6</v>
      </c>
      <c r="K515" s="68"/>
      <c r="L515" s="69">
        <f>SmtRes!DF104</f>
        <v>1.08</v>
      </c>
    </row>
    <row r="516" spans="1:101" ht="55.2" x14ac:dyDescent="0.25">
      <c r="A516" s="65"/>
      <c r="B516" s="65" t="s">
        <v>636</v>
      </c>
      <c r="C516" s="65" t="s">
        <v>638</v>
      </c>
      <c r="D516" s="66" t="s">
        <v>205</v>
      </c>
      <c r="E516" s="67">
        <v>1.0300000000000001E-3</v>
      </c>
      <c r="F516" s="67"/>
      <c r="G516" s="67">
        <f>SmtRes!CX105</f>
        <v>4.6E-6</v>
      </c>
      <c r="H516" s="69">
        <f>SmtRes!CZ105</f>
        <v>16496.03</v>
      </c>
      <c r="I516" s="68">
        <f>SmtRes!AI105</f>
        <v>0.77</v>
      </c>
      <c r="J516" s="69">
        <f t="shared" si="2"/>
        <v>12701.94</v>
      </c>
      <c r="K516" s="68"/>
      <c r="L516" s="69">
        <f>SmtRes!DF105</f>
        <v>0.06</v>
      </c>
    </row>
    <row r="517" spans="1:101" ht="14.4" x14ac:dyDescent="0.25">
      <c r="A517" s="65"/>
      <c r="B517" s="65" t="s">
        <v>639</v>
      </c>
      <c r="C517" s="65" t="s">
        <v>641</v>
      </c>
      <c r="D517" s="66" t="s">
        <v>174</v>
      </c>
      <c r="E517" s="67">
        <v>3.1E-4</v>
      </c>
      <c r="F517" s="67"/>
      <c r="G517" s="67">
        <f>SmtRes!CX106</f>
        <v>1.3999999999999999E-6</v>
      </c>
      <c r="H517" s="69">
        <f>SmtRes!CZ106</f>
        <v>51280.15</v>
      </c>
      <c r="I517" s="68">
        <f>SmtRes!AI106</f>
        <v>1.59</v>
      </c>
      <c r="J517" s="69">
        <f t="shared" si="2"/>
        <v>81535.44</v>
      </c>
      <c r="K517" s="68"/>
      <c r="L517" s="69">
        <f>SmtRes!DF106</f>
        <v>0.11</v>
      </c>
    </row>
    <row r="518" spans="1:101" ht="14.4" x14ac:dyDescent="0.25">
      <c r="A518" s="65"/>
      <c r="B518" s="65" t="s">
        <v>642</v>
      </c>
      <c r="C518" s="65" t="s">
        <v>644</v>
      </c>
      <c r="D518" s="66" t="s">
        <v>174</v>
      </c>
      <c r="E518" s="67">
        <v>5.9999999999999995E-4</v>
      </c>
      <c r="F518" s="67"/>
      <c r="G518" s="67">
        <f>SmtRes!CX107</f>
        <v>2.7E-6</v>
      </c>
      <c r="H518" s="69">
        <f>SmtRes!CZ107</f>
        <v>98526.45</v>
      </c>
      <c r="I518" s="68">
        <f>SmtRes!AI107</f>
        <v>1.49</v>
      </c>
      <c r="J518" s="69">
        <f t="shared" si="2"/>
        <v>146804.41</v>
      </c>
      <c r="K518" s="68"/>
      <c r="L518" s="69">
        <f>SmtRes!DF107</f>
        <v>0.4</v>
      </c>
    </row>
    <row r="519" spans="1:101" ht="14.4" x14ac:dyDescent="0.25">
      <c r="A519" s="65"/>
      <c r="B519" s="65" t="str">
        <f>EtalonRes!I105</f>
        <v>07.2.07.11</v>
      </c>
      <c r="C519" s="75" t="str">
        <f>EtalonRes!K105</f>
        <v>Конструкции стальные</v>
      </c>
      <c r="D519" s="76" t="str">
        <f>EtalonRes!O105</f>
        <v>т</v>
      </c>
      <c r="E519" s="77">
        <f>EtalonRes!X105</f>
        <v>1</v>
      </c>
      <c r="F519" s="77"/>
      <c r="G519" s="77">
        <f>ROUND(EtalonRes!AG105*Source!I149, 7)</f>
        <v>4.4999999999999997E-3</v>
      </c>
      <c r="H519" s="78"/>
      <c r="I519" s="79"/>
      <c r="J519" s="78"/>
      <c r="K519" s="79"/>
      <c r="L519" s="78"/>
    </row>
    <row r="520" spans="1:101" ht="14.4" x14ac:dyDescent="0.25">
      <c r="A520" s="65"/>
      <c r="B520" s="65"/>
      <c r="C520" s="81" t="s">
        <v>864</v>
      </c>
      <c r="D520" s="66"/>
      <c r="E520" s="67"/>
      <c r="F520" s="67"/>
      <c r="G520" s="67"/>
      <c r="H520" s="69"/>
      <c r="I520" s="68"/>
      <c r="J520" s="69"/>
      <c r="K520" s="68"/>
      <c r="L520" s="69">
        <f>L494+L496+L497+L505</f>
        <v>157.80000000000001</v>
      </c>
    </row>
    <row r="521" spans="1:101" ht="27.6" x14ac:dyDescent="0.25">
      <c r="A521" s="63" t="s">
        <v>944</v>
      </c>
      <c r="B521" s="65" t="str">
        <f>Source!F150</f>
        <v>08.1.02.25-0091</v>
      </c>
      <c r="C521" s="65" t="str">
        <f>Source!G150</f>
        <v>Опора скользящая стальная (5 шт * 1,77 кг=8,85 кг)</v>
      </c>
      <c r="D521" s="66" t="str">
        <f>Source!H150</f>
        <v>кг</v>
      </c>
      <c r="E521" s="67">
        <f>SmtRes!AT101</f>
        <v>1000</v>
      </c>
      <c r="F521" s="67"/>
      <c r="G521" s="67">
        <f>Source!I150</f>
        <v>4.5</v>
      </c>
      <c r="H521" s="69">
        <f>Source!AL150+Source!AO150+Source!AM150+Source!AN150</f>
        <v>175.65</v>
      </c>
      <c r="I521" s="68">
        <f>IF(Source!BC150&lt;&gt; 0, Source!BC150, 1)</f>
        <v>1.31</v>
      </c>
      <c r="J521" s="69">
        <f>ROUND(H521*I521, 2)</f>
        <v>230.1</v>
      </c>
      <c r="K521" s="68"/>
      <c r="L521" s="69">
        <f>Source!P150</f>
        <v>1035.45</v>
      </c>
      <c r="AD521">
        <f>ROUND((Source!AT150/100)*((ROUND(ROUND(Source!AO150,2)*Source!I150, 2)+ROUND(ROUND(Source!AN150,2)*Source!I150, 2))), 2)</f>
        <v>0</v>
      </c>
      <c r="AE521">
        <f>ROUND((Source!AU150/100)*((ROUND(ROUND(Source!AO150,2)*Source!I150, 2)+ROUND(ROUND(Source!AN150,2)*Source!I150, 2))), 2)</f>
        <v>0</v>
      </c>
      <c r="AN521">
        <f>L521</f>
        <v>1035.45</v>
      </c>
      <c r="AW521">
        <f>L521</f>
        <v>1035.45</v>
      </c>
      <c r="AZ521">
        <f>Source!X150</f>
        <v>0</v>
      </c>
      <c r="BA521">
        <f>Source!Y150</f>
        <v>0</v>
      </c>
      <c r="CD521">
        <v>1</v>
      </c>
    </row>
    <row r="522" spans="1:101" ht="14.4" x14ac:dyDescent="0.25">
      <c r="A522" s="65"/>
      <c r="B522" s="65"/>
      <c r="C522" s="65" t="s">
        <v>865</v>
      </c>
      <c r="D522" s="66"/>
      <c r="E522" s="67"/>
      <c r="F522" s="67"/>
      <c r="G522" s="67"/>
      <c r="H522" s="69"/>
      <c r="I522" s="68"/>
      <c r="J522" s="69"/>
      <c r="K522" s="68"/>
      <c r="L522" s="69">
        <f>SUM(AR492:AR525)+SUM(AS492:AS525)+SUM(AT492:AT525)+SUM(AU492:AU525)+SUM(AV492:AV525)</f>
        <v>132.91000000000003</v>
      </c>
    </row>
    <row r="523" spans="1:101" ht="27.6" x14ac:dyDescent="0.25">
      <c r="A523" s="65"/>
      <c r="B523" s="65" t="s">
        <v>257</v>
      </c>
      <c r="C523" s="65" t="s">
        <v>945</v>
      </c>
      <c r="D523" s="66" t="s">
        <v>761</v>
      </c>
      <c r="E523" s="67">
        <f>Source!BZ149</f>
        <v>93</v>
      </c>
      <c r="F523" s="67"/>
      <c r="G523" s="67">
        <f>Source!AT149</f>
        <v>93</v>
      </c>
      <c r="H523" s="69"/>
      <c r="I523" s="68"/>
      <c r="J523" s="69"/>
      <c r="K523" s="68"/>
      <c r="L523" s="69">
        <f>SUM(AZ492:AZ525)</f>
        <v>123.61</v>
      </c>
    </row>
    <row r="524" spans="1:101" ht="27.6" x14ac:dyDescent="0.25">
      <c r="A524" s="75"/>
      <c r="B524" s="75" t="s">
        <v>258</v>
      </c>
      <c r="C524" s="75" t="s">
        <v>946</v>
      </c>
      <c r="D524" s="76" t="s">
        <v>761</v>
      </c>
      <c r="E524" s="77">
        <f>Source!CA149</f>
        <v>62</v>
      </c>
      <c r="F524" s="77"/>
      <c r="G524" s="77">
        <f>Source!AU149</f>
        <v>62</v>
      </c>
      <c r="H524" s="78"/>
      <c r="I524" s="79"/>
      <c r="J524" s="78"/>
      <c r="K524" s="79"/>
      <c r="L524" s="78">
        <f>SUM(BA492:BA525)</f>
        <v>82.4</v>
      </c>
    </row>
    <row r="525" spans="1:101" ht="13.8" x14ac:dyDescent="0.25">
      <c r="C525" s="127" t="s">
        <v>868</v>
      </c>
      <c r="D525" s="127"/>
      <c r="E525" s="127"/>
      <c r="F525" s="127"/>
      <c r="G525" s="127"/>
      <c r="H525" s="127"/>
      <c r="I525" s="128">
        <f>IF(E492&lt;&gt;0,K525/E492, 0)</f>
        <v>310946.66666666669</v>
      </c>
      <c r="J525" s="128"/>
      <c r="K525" s="128">
        <f>L494+L496+L505+L523+L524+L497+SUM(L521:L521)</f>
        <v>1399.26</v>
      </c>
      <c r="L525" s="128"/>
      <c r="AD525">
        <f>ROUND((Source!AT149/100)*((ROUND(SUMIF(SmtRes!AQ87:'SmtRes'!AQ107,"=1",SmtRes!AD87:'SmtRes'!AD107)*Source!I149, 2)+ROUND(SUMIF(SmtRes!AQ87:'SmtRes'!AQ107,"=1",SmtRes!AC87:'SmtRes'!AC107)*Source!I149, 2))), 2)</f>
        <v>5.0599999999999996</v>
      </c>
      <c r="AE525">
        <f>ROUND((Source!AU149/100)*((ROUND(SUMIF(SmtRes!AQ87:'SmtRes'!AQ107,"=1",SmtRes!AD87:'SmtRes'!AD107)*Source!I149, 2)+ROUND(SUMIF(SmtRes!AQ87:'SmtRes'!AQ107,"=1",SmtRes!AC87:'SmtRes'!AC107)*Source!I149, 2))), 2)</f>
        <v>3.37</v>
      </c>
      <c r="AN525" s="80">
        <f>L494+L496+L505+L523+L524+L497</f>
        <v>363.81</v>
      </c>
      <c r="AO525" s="80">
        <f>L496</f>
        <v>9.44</v>
      </c>
      <c r="AQ525" t="s">
        <v>869</v>
      </c>
      <c r="AR525" s="80">
        <f>L494</f>
        <v>132.33000000000001</v>
      </c>
      <c r="AT525" s="80">
        <f>L497</f>
        <v>0.58000000000000007</v>
      </c>
      <c r="AV525" t="s">
        <v>869</v>
      </c>
      <c r="AW525" s="80">
        <f>L505</f>
        <v>15.45</v>
      </c>
      <c r="AZ525">
        <f>Source!X149</f>
        <v>123.61</v>
      </c>
      <c r="BA525">
        <f>Source!Y149</f>
        <v>82.4</v>
      </c>
      <c r="CD525">
        <v>1</v>
      </c>
    </row>
    <row r="526" spans="1:101" ht="13.8" x14ac:dyDescent="0.25">
      <c r="C526" s="62" t="str">
        <f>Source!G151</f>
        <v>д76мм</v>
      </c>
    </row>
    <row r="527" spans="1:101" ht="55.2" x14ac:dyDescent="0.25">
      <c r="A527" s="63" t="s">
        <v>261</v>
      </c>
      <c r="B527" s="65" t="s">
        <v>947</v>
      </c>
      <c r="C527" s="65" t="str">
        <f>Source!G152</f>
        <v>Прокладка стальных трубопроводов в непроходном канале при номинальном давлении 1,6 МПа, температуре 150°С, диаметр труб: 65 мм</v>
      </c>
      <c r="D527" s="66" t="str">
        <f>Source!H152</f>
        <v>км</v>
      </c>
      <c r="E527" s="67">
        <f>Source!K152</f>
        <v>4.4999999999999998E-2</v>
      </c>
      <c r="F527" s="67"/>
      <c r="G527" s="67">
        <f>Source!I152</f>
        <v>4.4999999999999998E-2</v>
      </c>
      <c r="H527" s="69"/>
      <c r="I527" s="68"/>
      <c r="J527" s="69"/>
      <c r="K527" s="68"/>
      <c r="L527" s="69"/>
    </row>
    <row r="528" spans="1:101" ht="39.6" x14ac:dyDescent="0.25">
      <c r="B528" s="70" t="s">
        <v>788</v>
      </c>
      <c r="C528" s="129" t="s">
        <v>871</v>
      </c>
      <c r="D528" s="129"/>
      <c r="E528" s="129"/>
      <c r="F528" s="129"/>
      <c r="G528" s="129"/>
      <c r="H528" s="129"/>
      <c r="I528" s="129"/>
      <c r="J528" s="129"/>
      <c r="K528" s="129"/>
      <c r="L528" s="129"/>
      <c r="CW528" s="71" t="s">
        <v>871</v>
      </c>
    </row>
    <row r="529" spans="1:83" ht="14.4" x14ac:dyDescent="0.25">
      <c r="A529" s="64"/>
      <c r="B529" s="67">
        <v>1</v>
      </c>
      <c r="C529" s="64" t="s">
        <v>863</v>
      </c>
      <c r="D529" s="66" t="s">
        <v>501</v>
      </c>
      <c r="E529" s="73"/>
      <c r="F529" s="67"/>
      <c r="G529" s="67">
        <f>Source!U152</f>
        <v>22.149000000000001</v>
      </c>
      <c r="H529" s="67"/>
      <c r="I529" s="67"/>
      <c r="J529" s="67"/>
      <c r="K529" s="67"/>
      <c r="L529" s="74">
        <f>SUM(L530:L530)-SUMIF(CE530:CE530, 1, L530:L530)</f>
        <v>8272.8700000000008</v>
      </c>
    </row>
    <row r="530" spans="1:83" ht="14.4" x14ac:dyDescent="0.25">
      <c r="A530" s="65"/>
      <c r="B530" s="65" t="s">
        <v>589</v>
      </c>
      <c r="C530" s="65" t="s">
        <v>590</v>
      </c>
      <c r="D530" s="66" t="s">
        <v>501</v>
      </c>
      <c r="E530" s="67">
        <v>428</v>
      </c>
      <c r="F530" s="67">
        <f>ROUND((0.15+1),7)</f>
        <v>1.1499999999999999</v>
      </c>
      <c r="G530" s="67">
        <f>SmtRes!CX108</f>
        <v>22.149000000000001</v>
      </c>
      <c r="H530" s="69"/>
      <c r="I530" s="68"/>
      <c r="J530" s="69">
        <f>SmtRes!CZ108</f>
        <v>373.51</v>
      </c>
      <c r="K530" s="68"/>
      <c r="L530" s="69">
        <f>SmtRes!DI108</f>
        <v>8272.8700000000008</v>
      </c>
    </row>
    <row r="531" spans="1:83" ht="14.4" x14ac:dyDescent="0.25">
      <c r="A531" s="64"/>
      <c r="B531" s="67">
        <v>2</v>
      </c>
      <c r="C531" s="64" t="s">
        <v>875</v>
      </c>
      <c r="D531" s="66"/>
      <c r="E531" s="73"/>
      <c r="F531" s="67"/>
      <c r="G531" s="67"/>
      <c r="H531" s="67"/>
      <c r="I531" s="67"/>
      <c r="J531" s="67"/>
      <c r="K531" s="67"/>
      <c r="L531" s="74">
        <f>SUM(L532:L543)-SUMIF(CE532:CE543, 1, L532:L543)</f>
        <v>4103.3099999999995</v>
      </c>
    </row>
    <row r="532" spans="1:83" ht="14.4" x14ac:dyDescent="0.25">
      <c r="A532" s="64"/>
      <c r="B532" s="67"/>
      <c r="C532" s="64" t="s">
        <v>877</v>
      </c>
      <c r="D532" s="66" t="s">
        <v>501</v>
      </c>
      <c r="E532" s="73"/>
      <c r="F532" s="67"/>
      <c r="G532" s="67">
        <f>Source!V152</f>
        <v>3.2229900000000002</v>
      </c>
      <c r="H532" s="67"/>
      <c r="I532" s="67"/>
      <c r="J532" s="67"/>
      <c r="K532" s="67"/>
      <c r="L532" s="74">
        <f>SUMIF(CE533:CE543, 1, L533:L543)</f>
        <v>1256.5100000000002</v>
      </c>
      <c r="CE532">
        <v>1</v>
      </c>
    </row>
    <row r="533" spans="1:83" ht="27.6" x14ac:dyDescent="0.25">
      <c r="A533" s="65"/>
      <c r="B533" s="65" t="s">
        <v>574</v>
      </c>
      <c r="C533" s="65" t="s">
        <v>576</v>
      </c>
      <c r="D533" s="66" t="s">
        <v>509</v>
      </c>
      <c r="E533" s="67">
        <v>7.0000000000000007E-2</v>
      </c>
      <c r="F533" s="67">
        <f t="shared" ref="F533:F543" si="3">ROUND((0.15+1),7)</f>
        <v>1.1499999999999999</v>
      </c>
      <c r="G533" s="67">
        <f>SmtRes!CX110</f>
        <v>3.6224999999999999E-3</v>
      </c>
      <c r="H533" s="69"/>
      <c r="I533" s="68"/>
      <c r="J533" s="69">
        <f>SmtRes!CZ110</f>
        <v>1598.95</v>
      </c>
      <c r="K533" s="68"/>
      <c r="L533" s="69">
        <f>SmtRes!DG110</f>
        <v>5.79</v>
      </c>
    </row>
    <row r="534" spans="1:83" ht="27.6" x14ac:dyDescent="0.25">
      <c r="A534" s="65"/>
      <c r="B534" s="65" t="s">
        <v>577</v>
      </c>
      <c r="C534" s="65" t="s">
        <v>935</v>
      </c>
      <c r="D534" s="66" t="s">
        <v>501</v>
      </c>
      <c r="E534" s="67">
        <f>SmtRes!DO110*SmtRes!AT110</f>
        <v>7.0000000000000007E-2</v>
      </c>
      <c r="F534" s="67">
        <f t="shared" si="3"/>
        <v>1.1499999999999999</v>
      </c>
      <c r="G534" s="67">
        <f>ROUND(E534*F534*G527, 7)</f>
        <v>3.6224999999999999E-3</v>
      </c>
      <c r="H534" s="69"/>
      <c r="I534" s="68"/>
      <c r="J534" s="69">
        <f>ROUND(SmtRes!AG110/SmtRes!DO110, 2)</f>
        <v>494.35</v>
      </c>
      <c r="K534" s="68"/>
      <c r="L534" s="69">
        <f>SmtRes!DH110</f>
        <v>1.79</v>
      </c>
      <c r="CE534">
        <v>1</v>
      </c>
    </row>
    <row r="535" spans="1:83" ht="27.6" x14ac:dyDescent="0.25">
      <c r="A535" s="65"/>
      <c r="B535" s="65" t="s">
        <v>591</v>
      </c>
      <c r="C535" s="65" t="s">
        <v>593</v>
      </c>
      <c r="D535" s="66" t="s">
        <v>509</v>
      </c>
      <c r="E535" s="67">
        <v>25</v>
      </c>
      <c r="F535" s="67">
        <f t="shared" si="3"/>
        <v>1.1499999999999999</v>
      </c>
      <c r="G535" s="67">
        <f>SmtRes!CX111</f>
        <v>1.29375</v>
      </c>
      <c r="H535" s="69">
        <f>SmtRes!CZ111</f>
        <v>1416.22</v>
      </c>
      <c r="I535" s="68">
        <f>SmtRes!AJ111</f>
        <v>1.24</v>
      </c>
      <c r="J535" s="69">
        <f>ROUND(H535*I535, 2)</f>
        <v>1756.11</v>
      </c>
      <c r="K535" s="68"/>
      <c r="L535" s="69">
        <f>SmtRes!DG111</f>
        <v>2271.9699999999998</v>
      </c>
    </row>
    <row r="536" spans="1:83" ht="27.6" x14ac:dyDescent="0.25">
      <c r="A536" s="65"/>
      <c r="B536" s="65" t="s">
        <v>522</v>
      </c>
      <c r="C536" s="65" t="s">
        <v>887</v>
      </c>
      <c r="D536" s="66" t="s">
        <v>501</v>
      </c>
      <c r="E536" s="67">
        <f>SmtRes!DO111*SmtRes!AT111</f>
        <v>25</v>
      </c>
      <c r="F536" s="67">
        <f t="shared" si="3"/>
        <v>1.1499999999999999</v>
      </c>
      <c r="G536" s="67">
        <f>ROUND(E536*F536*G527, 7)</f>
        <v>1.29375</v>
      </c>
      <c r="H536" s="69"/>
      <c r="I536" s="68"/>
      <c r="J536" s="69">
        <f>ROUND(SmtRes!AG111/SmtRes!DO111, 2)</f>
        <v>368.02</v>
      </c>
      <c r="K536" s="68"/>
      <c r="L536" s="69">
        <f>SmtRes!DH111</f>
        <v>476.13</v>
      </c>
      <c r="CE536">
        <v>1</v>
      </c>
    </row>
    <row r="537" spans="1:83" ht="27.6" x14ac:dyDescent="0.25">
      <c r="A537" s="65"/>
      <c r="B537" s="65" t="s">
        <v>594</v>
      </c>
      <c r="C537" s="65" t="s">
        <v>596</v>
      </c>
      <c r="D537" s="66" t="s">
        <v>509</v>
      </c>
      <c r="E537" s="67">
        <v>24.6</v>
      </c>
      <c r="F537" s="67">
        <f t="shared" si="3"/>
        <v>1.1499999999999999</v>
      </c>
      <c r="G537" s="67">
        <f>SmtRes!CX112</f>
        <v>1.27305</v>
      </c>
      <c r="H537" s="69">
        <f>SmtRes!CZ112</f>
        <v>994.01</v>
      </c>
      <c r="I537" s="68">
        <f>SmtRes!AJ112</f>
        <v>1.1200000000000001</v>
      </c>
      <c r="J537" s="69">
        <f>ROUND(H537*I537, 2)</f>
        <v>1113.29</v>
      </c>
      <c r="K537" s="68"/>
      <c r="L537" s="69">
        <f>SmtRes!DG112</f>
        <v>1417.27</v>
      </c>
    </row>
    <row r="538" spans="1:83" ht="27.6" x14ac:dyDescent="0.25">
      <c r="A538" s="65"/>
      <c r="B538" s="65" t="s">
        <v>510</v>
      </c>
      <c r="C538" s="65" t="s">
        <v>876</v>
      </c>
      <c r="D538" s="66" t="s">
        <v>501</v>
      </c>
      <c r="E538" s="67">
        <f>SmtRes!DO112*SmtRes!AT112</f>
        <v>24.6</v>
      </c>
      <c r="F538" s="67">
        <f t="shared" si="3"/>
        <v>1.1499999999999999</v>
      </c>
      <c r="G538" s="67">
        <f>ROUND(E538*F538*G527, 7)</f>
        <v>1.27305</v>
      </c>
      <c r="H538" s="69"/>
      <c r="I538" s="68"/>
      <c r="J538" s="69">
        <f>ROUND(SmtRes!AG112/SmtRes!DO112, 2)</f>
        <v>422.95</v>
      </c>
      <c r="K538" s="68"/>
      <c r="L538" s="69">
        <f>SmtRes!DH112</f>
        <v>538.44000000000005</v>
      </c>
      <c r="CE538">
        <v>1</v>
      </c>
    </row>
    <row r="539" spans="1:83" ht="27.6" x14ac:dyDescent="0.25">
      <c r="A539" s="65"/>
      <c r="B539" s="65" t="s">
        <v>527</v>
      </c>
      <c r="C539" s="65" t="s">
        <v>529</v>
      </c>
      <c r="D539" s="66" t="s">
        <v>509</v>
      </c>
      <c r="E539" s="67">
        <v>0.11</v>
      </c>
      <c r="F539" s="67">
        <f t="shared" si="3"/>
        <v>1.1499999999999999</v>
      </c>
      <c r="G539" s="67">
        <f>SmtRes!CX113</f>
        <v>5.6924999999999996E-3</v>
      </c>
      <c r="H539" s="69"/>
      <c r="I539" s="68"/>
      <c r="J539" s="69">
        <f>SmtRes!CZ113</f>
        <v>551.45000000000005</v>
      </c>
      <c r="K539" s="68"/>
      <c r="L539" s="69">
        <f>SmtRes!DG113</f>
        <v>3.14</v>
      </c>
    </row>
    <row r="540" spans="1:83" ht="27.6" x14ac:dyDescent="0.25">
      <c r="A540" s="65"/>
      <c r="B540" s="65" t="s">
        <v>522</v>
      </c>
      <c r="C540" s="65" t="s">
        <v>887</v>
      </c>
      <c r="D540" s="66" t="s">
        <v>501</v>
      </c>
      <c r="E540" s="67">
        <f>SmtRes!DO113*SmtRes!AT113</f>
        <v>0.11</v>
      </c>
      <c r="F540" s="67">
        <f t="shared" si="3"/>
        <v>1.1499999999999999</v>
      </c>
      <c r="G540" s="67">
        <f>ROUND(E540*F540*G527, 7)</f>
        <v>5.6924999999999996E-3</v>
      </c>
      <c r="H540" s="69"/>
      <c r="I540" s="68"/>
      <c r="J540" s="69">
        <f>ROUND(SmtRes!AG113/SmtRes!DO113, 2)</f>
        <v>368.02</v>
      </c>
      <c r="K540" s="68"/>
      <c r="L540" s="69">
        <f>SmtRes!DH113</f>
        <v>2.09</v>
      </c>
      <c r="CE540">
        <v>1</v>
      </c>
    </row>
    <row r="541" spans="1:83" ht="27.6" x14ac:dyDescent="0.25">
      <c r="A541" s="65"/>
      <c r="B541" s="65" t="s">
        <v>597</v>
      </c>
      <c r="C541" s="65" t="s">
        <v>599</v>
      </c>
      <c r="D541" s="66" t="s">
        <v>509</v>
      </c>
      <c r="E541" s="67">
        <v>72.5</v>
      </c>
      <c r="F541" s="67">
        <f t="shared" si="3"/>
        <v>1.1499999999999999</v>
      </c>
      <c r="G541" s="67">
        <f>SmtRes!CX114</f>
        <v>3.7518750000000001</v>
      </c>
      <c r="H541" s="69"/>
      <c r="I541" s="68"/>
      <c r="J541" s="69">
        <f>SmtRes!CZ114</f>
        <v>41.5</v>
      </c>
      <c r="K541" s="68"/>
      <c r="L541" s="69">
        <f>SmtRes!DG114</f>
        <v>155.69999999999999</v>
      </c>
    </row>
    <row r="542" spans="1:83" ht="55.2" x14ac:dyDescent="0.25">
      <c r="A542" s="65"/>
      <c r="B542" s="65" t="s">
        <v>519</v>
      </c>
      <c r="C542" s="65" t="s">
        <v>521</v>
      </c>
      <c r="D542" s="66" t="s">
        <v>509</v>
      </c>
      <c r="E542" s="67">
        <v>12.5</v>
      </c>
      <c r="F542" s="67">
        <f t="shared" si="3"/>
        <v>1.1499999999999999</v>
      </c>
      <c r="G542" s="67">
        <f>SmtRes!CX115</f>
        <v>0.64687499999999998</v>
      </c>
      <c r="H542" s="69"/>
      <c r="I542" s="68"/>
      <c r="J542" s="69">
        <f>SmtRes!CZ115</f>
        <v>385.61</v>
      </c>
      <c r="K542" s="68"/>
      <c r="L542" s="69">
        <f>SmtRes!DG115</f>
        <v>249.44</v>
      </c>
    </row>
    <row r="543" spans="1:83" ht="27.6" x14ac:dyDescent="0.25">
      <c r="A543" s="65"/>
      <c r="B543" s="65" t="s">
        <v>522</v>
      </c>
      <c r="C543" s="65" t="s">
        <v>887</v>
      </c>
      <c r="D543" s="66" t="s">
        <v>501</v>
      </c>
      <c r="E543" s="67">
        <f>SmtRes!DO115*SmtRes!AT115</f>
        <v>12.5</v>
      </c>
      <c r="F543" s="67">
        <f t="shared" si="3"/>
        <v>1.1499999999999999</v>
      </c>
      <c r="G543" s="67">
        <f>ROUND(E543*F543*G527, 7)</f>
        <v>0.64687499999999998</v>
      </c>
      <c r="H543" s="69"/>
      <c r="I543" s="68"/>
      <c r="J543" s="69">
        <f>ROUND(SmtRes!AG115/SmtRes!DO115, 2)</f>
        <v>368.02</v>
      </c>
      <c r="K543" s="68"/>
      <c r="L543" s="69">
        <f>SmtRes!DH115</f>
        <v>238.06</v>
      </c>
      <c r="CE543">
        <v>1</v>
      </c>
    </row>
    <row r="544" spans="1:83" ht="14.4" x14ac:dyDescent="0.25">
      <c r="A544" s="64"/>
      <c r="B544" s="67">
        <v>4</v>
      </c>
      <c r="C544" s="64" t="s">
        <v>893</v>
      </c>
      <c r="D544" s="66"/>
      <c r="E544" s="73"/>
      <c r="F544" s="67"/>
      <c r="G544" s="67"/>
      <c r="H544" s="67"/>
      <c r="I544" s="67"/>
      <c r="J544" s="67"/>
      <c r="K544" s="67"/>
      <c r="L544" s="74">
        <f>SUM(L545:L549)-SUMIF(CE545:CE549, 1, L545:L549)</f>
        <v>393.84999999999997</v>
      </c>
    </row>
    <row r="545" spans="1:82" ht="14.4" x14ac:dyDescent="0.25">
      <c r="A545" s="65"/>
      <c r="B545" s="65" t="s">
        <v>600</v>
      </c>
      <c r="C545" s="65" t="s">
        <v>602</v>
      </c>
      <c r="D545" s="66" t="s">
        <v>205</v>
      </c>
      <c r="E545" s="67">
        <v>19</v>
      </c>
      <c r="F545" s="67"/>
      <c r="G545" s="67">
        <f>SmtRes!CX116</f>
        <v>0.85499999999999998</v>
      </c>
      <c r="H545" s="69">
        <f>SmtRes!CZ116</f>
        <v>35.71</v>
      </c>
      <c r="I545" s="68">
        <f>SmtRes!AI116</f>
        <v>0.88</v>
      </c>
      <c r="J545" s="69">
        <f>ROUND(H545*I545, 2)</f>
        <v>31.42</v>
      </c>
      <c r="K545" s="68"/>
      <c r="L545" s="69">
        <f>SmtRes!DF116</f>
        <v>26.86</v>
      </c>
    </row>
    <row r="546" spans="1:82" ht="14.4" x14ac:dyDescent="0.25">
      <c r="A546" s="65"/>
      <c r="B546" s="65" t="s">
        <v>560</v>
      </c>
      <c r="C546" s="65" t="s">
        <v>562</v>
      </c>
      <c r="D546" s="66" t="s">
        <v>563</v>
      </c>
      <c r="E546" s="67">
        <v>10.395</v>
      </c>
      <c r="F546" s="67"/>
      <c r="G546" s="67">
        <f>SmtRes!CX117</f>
        <v>0.467775</v>
      </c>
      <c r="H546" s="69"/>
      <c r="I546" s="68"/>
      <c r="J546" s="69">
        <f>SmtRes!CZ117</f>
        <v>9.0399999999999991</v>
      </c>
      <c r="K546" s="68"/>
      <c r="L546" s="69">
        <f>SmtRes!DF117</f>
        <v>4.2300000000000004</v>
      </c>
    </row>
    <row r="547" spans="1:82" ht="55.2" x14ac:dyDescent="0.25">
      <c r="A547" s="65"/>
      <c r="B547" s="65" t="s">
        <v>603</v>
      </c>
      <c r="C547" s="65" t="s">
        <v>605</v>
      </c>
      <c r="D547" s="66" t="s">
        <v>240</v>
      </c>
      <c r="E547" s="67">
        <v>50</v>
      </c>
      <c r="F547" s="67"/>
      <c r="G547" s="67">
        <f>SmtRes!CX118</f>
        <v>2.25</v>
      </c>
      <c r="H547" s="69">
        <f>SmtRes!CZ118</f>
        <v>155.63</v>
      </c>
      <c r="I547" s="68">
        <f>SmtRes!AI118</f>
        <v>0.85</v>
      </c>
      <c r="J547" s="69">
        <f>ROUND(H547*I547, 2)</f>
        <v>132.29</v>
      </c>
      <c r="K547" s="68"/>
      <c r="L547" s="69">
        <f>SmtRes!DF118</f>
        <v>297.64999999999998</v>
      </c>
    </row>
    <row r="548" spans="1:82" ht="14.4" x14ac:dyDescent="0.25">
      <c r="A548" s="65"/>
      <c r="B548" s="65" t="s">
        <v>606</v>
      </c>
      <c r="C548" s="65" t="s">
        <v>608</v>
      </c>
      <c r="D548" s="66" t="s">
        <v>174</v>
      </c>
      <c r="E548" s="67">
        <v>1.1999999999999999E-3</v>
      </c>
      <c r="F548" s="67"/>
      <c r="G548" s="67">
        <f>SmtRes!CX119</f>
        <v>5.3999999999999998E-5</v>
      </c>
      <c r="H548" s="69">
        <f>SmtRes!CZ119</f>
        <v>26885</v>
      </c>
      <c r="I548" s="68">
        <f>SmtRes!AI119</f>
        <v>1.42</v>
      </c>
      <c r="J548" s="69">
        <f>ROUND(H548*I548, 2)</f>
        <v>38176.699999999997</v>
      </c>
      <c r="K548" s="68"/>
      <c r="L548" s="69">
        <f>SmtRes!DF119</f>
        <v>2.06</v>
      </c>
    </row>
    <row r="549" spans="1:82" ht="27.6" x14ac:dyDescent="0.25">
      <c r="A549" s="65"/>
      <c r="B549" s="65" t="s">
        <v>609</v>
      </c>
      <c r="C549" s="65" t="s">
        <v>611</v>
      </c>
      <c r="D549" s="66" t="s">
        <v>174</v>
      </c>
      <c r="E549" s="67">
        <v>0.01</v>
      </c>
      <c r="F549" s="67"/>
      <c r="G549" s="67">
        <f>SmtRes!CX120</f>
        <v>4.4999999999999999E-4</v>
      </c>
      <c r="H549" s="69">
        <f>SmtRes!CZ120</f>
        <v>106957.98</v>
      </c>
      <c r="I549" s="68">
        <f>SmtRes!AI120</f>
        <v>1.31</v>
      </c>
      <c r="J549" s="69">
        <f>ROUND(H549*I549, 2)</f>
        <v>140114.95000000001</v>
      </c>
      <c r="K549" s="68"/>
      <c r="L549" s="69">
        <f>SmtRes!DF120</f>
        <v>63.05</v>
      </c>
    </row>
    <row r="550" spans="1:82" ht="14.4" x14ac:dyDescent="0.25">
      <c r="A550" s="65"/>
      <c r="B550" s="65" t="str">
        <f>EtalonRes!I125</f>
        <v>07.2.07.11</v>
      </c>
      <c r="C550" s="65" t="str">
        <f>EtalonRes!K125</f>
        <v>Опоры скользящие и катковые</v>
      </c>
      <c r="D550" s="66" t="str">
        <f>EtalonRes!O125</f>
        <v>т</v>
      </c>
      <c r="E550" s="67">
        <f>EtalonRes!X125</f>
        <v>0.28999999999999998</v>
      </c>
      <c r="F550" s="67"/>
      <c r="G550" s="67">
        <f>ROUND(EtalonRes!AG125*Source!I152, 7)</f>
        <v>1.3050000000000001E-2</v>
      </c>
      <c r="H550" s="69"/>
      <c r="I550" s="68"/>
      <c r="J550" s="69"/>
      <c r="K550" s="68"/>
      <c r="L550" s="69"/>
    </row>
    <row r="551" spans="1:82" ht="14.4" x14ac:dyDescent="0.25">
      <c r="A551" s="65"/>
      <c r="B551" s="65" t="str">
        <f>EtalonRes!I127</f>
        <v>18.1.10.01</v>
      </c>
      <c r="C551" s="65" t="str">
        <f>EtalonRes!K127</f>
        <v>Клапаны фланцевые</v>
      </c>
      <c r="D551" s="66" t="str">
        <f>EtalonRes!O127</f>
        <v>ШТ</v>
      </c>
      <c r="E551" s="67">
        <f>EtalonRes!X127</f>
        <v>0</v>
      </c>
      <c r="F551" s="67"/>
      <c r="G551" s="67">
        <f>ROUND(EtalonRes!AG127*Source!I152, 7)</f>
        <v>0</v>
      </c>
      <c r="H551" s="69"/>
      <c r="I551" s="68"/>
      <c r="J551" s="69"/>
      <c r="K551" s="68"/>
      <c r="L551" s="69"/>
    </row>
    <row r="552" spans="1:82" ht="14.4" x14ac:dyDescent="0.25">
      <c r="A552" s="65"/>
      <c r="B552" s="65" t="str">
        <f>EtalonRes!I128</f>
        <v>23.3.03.02</v>
      </c>
      <c r="C552" s="65" t="str">
        <f>EtalonRes!K128</f>
        <v>Трубы стальные</v>
      </c>
      <c r="D552" s="66" t="str">
        <f>EtalonRes!O128</f>
        <v>м</v>
      </c>
      <c r="E552" s="67">
        <f>EtalonRes!X128</f>
        <v>1010</v>
      </c>
      <c r="F552" s="67"/>
      <c r="G552" s="67">
        <f>ROUND(EtalonRes!AG128*Source!I152, 7)</f>
        <v>45.45</v>
      </c>
      <c r="H552" s="69"/>
      <c r="I552" s="68"/>
      <c r="J552" s="69"/>
      <c r="K552" s="68"/>
      <c r="L552" s="69"/>
    </row>
    <row r="553" spans="1:82" ht="14.4" x14ac:dyDescent="0.25">
      <c r="A553" s="65"/>
      <c r="B553" s="65" t="str">
        <f>EtalonRes!I129</f>
        <v>23.8.03.11</v>
      </c>
      <c r="C553" s="65" t="str">
        <f>EtalonRes!K129</f>
        <v>Фланцы</v>
      </c>
      <c r="D553" s="66" t="str">
        <f>EtalonRes!O129</f>
        <v>КОМПЛ</v>
      </c>
      <c r="E553" s="67">
        <f>EtalonRes!X129</f>
        <v>0</v>
      </c>
      <c r="F553" s="67"/>
      <c r="G553" s="67">
        <f>ROUND(EtalonRes!AG129*Source!I152, 7)</f>
        <v>0</v>
      </c>
      <c r="H553" s="69"/>
      <c r="I553" s="68"/>
      <c r="J553" s="69"/>
      <c r="K553" s="68"/>
      <c r="L553" s="69"/>
    </row>
    <row r="554" spans="1:82" ht="27.6" x14ac:dyDescent="0.25">
      <c r="A554" s="65"/>
      <c r="B554" s="65" t="str">
        <f>EtalonRes!I130</f>
        <v>23.8.03.12</v>
      </c>
      <c r="C554" s="75" t="str">
        <f>EtalonRes!K130</f>
        <v>Части фасонные соединительные стальные</v>
      </c>
      <c r="D554" s="76" t="str">
        <f>EtalonRes!O130</f>
        <v>ШТ</v>
      </c>
      <c r="E554" s="77">
        <f>EtalonRes!X130</f>
        <v>0</v>
      </c>
      <c r="F554" s="77"/>
      <c r="G554" s="77">
        <f>ROUND(EtalonRes!AG130*Source!I152, 7)</f>
        <v>0</v>
      </c>
      <c r="H554" s="78"/>
      <c r="I554" s="79"/>
      <c r="J554" s="78"/>
      <c r="K554" s="79"/>
      <c r="L554" s="78"/>
    </row>
    <row r="555" spans="1:82" ht="14.4" x14ac:dyDescent="0.25">
      <c r="A555" s="65"/>
      <c r="B555" s="65"/>
      <c r="C555" s="81" t="s">
        <v>864</v>
      </c>
      <c r="D555" s="66"/>
      <c r="E555" s="67"/>
      <c r="F555" s="67"/>
      <c r="G555" s="67"/>
      <c r="H555" s="69"/>
      <c r="I555" s="68"/>
      <c r="J555" s="69"/>
      <c r="K555" s="68"/>
      <c r="L555" s="69">
        <f>L529+L531+L532+L544</f>
        <v>14026.54</v>
      </c>
    </row>
    <row r="556" spans="1:82" ht="27.6" x14ac:dyDescent="0.25">
      <c r="A556" s="63" t="s">
        <v>948</v>
      </c>
      <c r="B556" s="65" t="str">
        <f>Source!F153</f>
        <v>08.1.02.25-0091</v>
      </c>
      <c r="C556" s="65" t="str">
        <f>Source!G153</f>
        <v>Опора скользящая стальная (15 шт * 1,94 кг=29,1 кг)</v>
      </c>
      <c r="D556" s="66" t="str">
        <f>Source!H153</f>
        <v>кг</v>
      </c>
      <c r="E556" s="67">
        <f>SmtRes!AT121</f>
        <v>290</v>
      </c>
      <c r="F556" s="67"/>
      <c r="G556" s="67">
        <f>Source!I153</f>
        <v>13.049999999999999</v>
      </c>
      <c r="H556" s="69">
        <f>Source!AL153+Source!AO153+Source!AM153+Source!AN153</f>
        <v>175.65</v>
      </c>
      <c r="I556" s="68">
        <f>IF(Source!BC153&lt;&gt; 0, Source!BC153, 1)</f>
        <v>1.31</v>
      </c>
      <c r="J556" s="69">
        <f>ROUND(H556*I556, 2)</f>
        <v>230.1</v>
      </c>
      <c r="K556" s="68"/>
      <c r="L556" s="69">
        <f>Source!P153</f>
        <v>3002.81</v>
      </c>
      <c r="AD556">
        <f>ROUND((Source!AT153/100)*((ROUND(ROUND(Source!AO153,2)*Source!I153, 2)+ROUND(ROUND(Source!AN153,2)*Source!I153, 2))), 2)</f>
        <v>0</v>
      </c>
      <c r="AE556">
        <f>ROUND((Source!AU153/100)*((ROUND(ROUND(Source!AO153,2)*Source!I153, 2)+ROUND(ROUND(Source!AN153,2)*Source!I153, 2))), 2)</f>
        <v>0</v>
      </c>
      <c r="AN556">
        <f>L556</f>
        <v>3002.81</v>
      </c>
      <c r="AW556">
        <f>L556</f>
        <v>3002.81</v>
      </c>
      <c r="AZ556">
        <f>Source!X153</f>
        <v>0</v>
      </c>
      <c r="BA556">
        <f>Source!Y153</f>
        <v>0</v>
      </c>
      <c r="CD556">
        <v>1</v>
      </c>
    </row>
    <row r="557" spans="1:82" ht="55.2" x14ac:dyDescent="0.25">
      <c r="A557" s="63" t="s">
        <v>949</v>
      </c>
      <c r="B557" s="65" t="str">
        <f>Source!F154</f>
        <v>23.5.02.02-1160</v>
      </c>
      <c r="C557" s="65" t="str">
        <f>Source!G154</f>
        <v>Трубы стальные электросварные прямошовные из стали марки 20, наружный диаметр 76 мм, толщина стенки 4 мм</v>
      </c>
      <c r="D557" s="66" t="str">
        <f>Source!H154</f>
        <v>м</v>
      </c>
      <c r="E557" s="67">
        <f>SmtRes!AT122</f>
        <v>1000</v>
      </c>
      <c r="F557" s="67"/>
      <c r="G557" s="67">
        <f>Source!I154</f>
        <v>45</v>
      </c>
      <c r="H557" s="69">
        <f>Source!AL154+Source!AO154+Source!AM154+Source!AN154</f>
        <v>494.52</v>
      </c>
      <c r="I557" s="68">
        <f>IF(Source!BC154&lt;&gt; 0, Source!BC154, 1)</f>
        <v>0.82</v>
      </c>
      <c r="J557" s="69">
        <f>ROUND(H557*I557, 2)</f>
        <v>405.51</v>
      </c>
      <c r="K557" s="68"/>
      <c r="L557" s="69">
        <f>Source!P154</f>
        <v>18247.95</v>
      </c>
      <c r="AD557">
        <f>ROUND((Source!AT154/100)*((ROUND(ROUND(Source!AO154,2)*Source!I154, 2)+ROUND(ROUND(Source!AN154,2)*Source!I154, 2))), 2)</f>
        <v>0</v>
      </c>
      <c r="AE557">
        <f>ROUND((Source!AU154/100)*((ROUND(ROUND(Source!AO154,2)*Source!I154, 2)+ROUND(ROUND(Source!AN154,2)*Source!I154, 2))), 2)</f>
        <v>0</v>
      </c>
      <c r="AN557">
        <f>L557</f>
        <v>18247.95</v>
      </c>
      <c r="AW557">
        <f>L557</f>
        <v>18247.95</v>
      </c>
      <c r="AZ557">
        <f>Source!X154</f>
        <v>0</v>
      </c>
      <c r="BA557">
        <f>Source!Y154</f>
        <v>0</v>
      </c>
      <c r="CD557">
        <v>1</v>
      </c>
    </row>
    <row r="558" spans="1:82" ht="55.2" x14ac:dyDescent="0.25">
      <c r="A558" s="63" t="s">
        <v>950</v>
      </c>
      <c r="B558" s="65" t="str">
        <f>Source!F155</f>
        <v>23.8.04.06-0068</v>
      </c>
      <c r="C558" s="65" t="str">
        <f>Source!G155</f>
        <v>Отвод 90° с радиусом кривизны R=1,5 Ду на давление до 16 МПа, номинальный диаметр 65 мм, наружный диаметр 76 мм, толщина стенки 6 мм</v>
      </c>
      <c r="D558" s="66" t="str">
        <f>Source!H155</f>
        <v>ШТ</v>
      </c>
      <c r="E558" s="67">
        <f>SmtRes!AT123</f>
        <v>266.66666670000001</v>
      </c>
      <c r="F558" s="67"/>
      <c r="G558" s="67">
        <f>Source!I155</f>
        <v>12</v>
      </c>
      <c r="H558" s="69">
        <f>Source!AL155+Source!AO155+Source!AM155+Source!AN155</f>
        <v>277</v>
      </c>
      <c r="I558" s="68">
        <f>IF(Source!BC155&lt;&gt; 0, Source!BC155, 1)</f>
        <v>1.1399999999999999</v>
      </c>
      <c r="J558" s="69">
        <f>ROUND(H558*I558, 2)</f>
        <v>315.77999999999997</v>
      </c>
      <c r="K558" s="68"/>
      <c r="L558" s="69">
        <f>Source!P155</f>
        <v>3789.36</v>
      </c>
      <c r="AD558">
        <f>ROUND((Source!AT155/100)*((ROUND(ROUND(Source!AO155,2)*Source!I155, 2)+ROUND(ROUND(Source!AN155,2)*Source!I155, 2))), 2)</f>
        <v>0</v>
      </c>
      <c r="AE558">
        <f>ROUND((Source!AU155/100)*((ROUND(ROUND(Source!AO155,2)*Source!I155, 2)+ROUND(ROUND(Source!AN155,2)*Source!I155, 2))), 2)</f>
        <v>0</v>
      </c>
      <c r="AN558">
        <f>L558</f>
        <v>3789.36</v>
      </c>
      <c r="AW558">
        <f>L558</f>
        <v>3789.36</v>
      </c>
      <c r="AZ558">
        <f>Source!X155</f>
        <v>0</v>
      </c>
      <c r="BA558">
        <f>Source!Y155</f>
        <v>0</v>
      </c>
      <c r="CD558">
        <v>1</v>
      </c>
    </row>
    <row r="559" spans="1:82" ht="14.4" x14ac:dyDescent="0.25">
      <c r="A559" s="65"/>
      <c r="B559" s="65"/>
      <c r="C559" s="65" t="s">
        <v>865</v>
      </c>
      <c r="D559" s="66"/>
      <c r="E559" s="67"/>
      <c r="F559" s="67"/>
      <c r="G559" s="67"/>
      <c r="H559" s="69"/>
      <c r="I559" s="68"/>
      <c r="J559" s="69"/>
      <c r="K559" s="68"/>
      <c r="L559" s="69">
        <f>SUM(AR527:AR562)+SUM(AS527:AS562)+SUM(AT527:AT562)+SUM(AU527:AU562)+SUM(AV527:AV562)</f>
        <v>9529.380000000001</v>
      </c>
    </row>
    <row r="560" spans="1:82" ht="41.4" x14ac:dyDescent="0.25">
      <c r="A560" s="65"/>
      <c r="B560" s="65" t="s">
        <v>102</v>
      </c>
      <c r="C560" s="65" t="s">
        <v>894</v>
      </c>
      <c r="D560" s="66" t="s">
        <v>761</v>
      </c>
      <c r="E560" s="67">
        <f>Source!BZ152</f>
        <v>117</v>
      </c>
      <c r="F560" s="67"/>
      <c r="G560" s="67">
        <f>Source!AT152</f>
        <v>117</v>
      </c>
      <c r="H560" s="69"/>
      <c r="I560" s="68"/>
      <c r="J560" s="69"/>
      <c r="K560" s="68"/>
      <c r="L560" s="69">
        <f>SUM(AZ527:AZ562)</f>
        <v>11149.37</v>
      </c>
    </row>
    <row r="561" spans="1:101" ht="41.4" x14ac:dyDescent="0.25">
      <c r="A561" s="75"/>
      <c r="B561" s="75" t="s">
        <v>103</v>
      </c>
      <c r="C561" s="75" t="s">
        <v>895</v>
      </c>
      <c r="D561" s="76" t="s">
        <v>761</v>
      </c>
      <c r="E561" s="77">
        <f>Source!CA152</f>
        <v>74</v>
      </c>
      <c r="F561" s="77"/>
      <c r="G561" s="77">
        <f>Source!AU152</f>
        <v>74</v>
      </c>
      <c r="H561" s="78"/>
      <c r="I561" s="79"/>
      <c r="J561" s="78"/>
      <c r="K561" s="79"/>
      <c r="L561" s="78">
        <f>SUM(BA527:BA562)</f>
        <v>7051.74</v>
      </c>
    </row>
    <row r="562" spans="1:101" ht="13.8" x14ac:dyDescent="0.25">
      <c r="C562" s="127" t="s">
        <v>868</v>
      </c>
      <c r="D562" s="127"/>
      <c r="E562" s="127"/>
      <c r="F562" s="127"/>
      <c r="G562" s="127"/>
      <c r="H562" s="127"/>
      <c r="I562" s="128">
        <f>IF(E527&lt;&gt;0,K562/E527, 0)</f>
        <v>1272617.1111111112</v>
      </c>
      <c r="J562" s="128"/>
      <c r="K562" s="128">
        <f>L529+L531+L544+L560+L561+L532+SUM(L556:L558)</f>
        <v>57267.770000000004</v>
      </c>
      <c r="L562" s="128"/>
      <c r="AD562">
        <f>ROUND((Source!AT152/100)*((ROUND(SUMIF(SmtRes!AQ108:'SmtRes'!AQ123,"=1",SmtRes!AD108:'SmtRes'!AD123)*Source!I152, 2)+ROUND(SUMIF(SmtRes!AQ108:'SmtRes'!AQ123,"=1",SmtRes!AC108:'SmtRes'!AC123)*Source!I152, 2))), 2)</f>
        <v>126.09</v>
      </c>
      <c r="AE562">
        <f>ROUND((Source!AU152/100)*((ROUND(SUMIF(SmtRes!AQ108:'SmtRes'!AQ123,"=1",SmtRes!AD108:'SmtRes'!AD123)*Source!I152, 2)+ROUND(SUMIF(SmtRes!AQ108:'SmtRes'!AQ123,"=1",SmtRes!AC108:'SmtRes'!AC123)*Source!I152, 2))), 2)</f>
        <v>79.75</v>
      </c>
      <c r="AN562" s="80">
        <f>L529+L531+L544+L560+L561+L532</f>
        <v>32227.65</v>
      </c>
      <c r="AO562" s="80">
        <f>L531</f>
        <v>4103.3099999999995</v>
      </c>
      <c r="AQ562" t="s">
        <v>869</v>
      </c>
      <c r="AR562" s="80">
        <f>L529</f>
        <v>8272.8700000000008</v>
      </c>
      <c r="AT562" s="80">
        <f>L532</f>
        <v>1256.5100000000002</v>
      </c>
      <c r="AV562" t="s">
        <v>869</v>
      </c>
      <c r="AW562" s="80">
        <f>L544</f>
        <v>393.84999999999997</v>
      </c>
      <c r="AZ562">
        <f>Source!X152</f>
        <v>11149.37</v>
      </c>
      <c r="BA562">
        <f>Source!Y152</f>
        <v>7051.74</v>
      </c>
      <c r="CD562">
        <v>1</v>
      </c>
    </row>
    <row r="563" spans="1:101" ht="41.4" x14ac:dyDescent="0.25">
      <c r="C563" s="62" t="str">
        <f>Source!G156</f>
        <v>Установка скользящих опор сверх нормы, учтенной расценкой 29,1 кг-13,05 кг= 16,05кг)</v>
      </c>
    </row>
    <row r="564" spans="1:101" ht="41.4" x14ac:dyDescent="0.25">
      <c r="A564" s="63" t="s">
        <v>276</v>
      </c>
      <c r="B564" s="65" t="s">
        <v>943</v>
      </c>
      <c r="C564" s="65" t="str">
        <f>Source!G157</f>
        <v>Монтаж опорных конструкций для крепления трубопроводов внутри зданий и сооружений массой: до 0,1 т</v>
      </c>
      <c r="D564" s="66" t="str">
        <f>Source!H157</f>
        <v>т</v>
      </c>
      <c r="E564" s="67">
        <f>Source!K157</f>
        <v>1.6049999999999998E-2</v>
      </c>
      <c r="F564" s="67"/>
      <c r="G564" s="67">
        <f>Source!I157</f>
        <v>1.6049999999999998E-2</v>
      </c>
      <c r="H564" s="69"/>
      <c r="I564" s="68"/>
      <c r="J564" s="69"/>
      <c r="K564" s="68"/>
      <c r="L564" s="69"/>
    </row>
    <row r="565" spans="1:101" ht="39.6" x14ac:dyDescent="0.25">
      <c r="B565" s="70" t="s">
        <v>788</v>
      </c>
      <c r="C565" s="129" t="s">
        <v>871</v>
      </c>
      <c r="D565" s="129"/>
      <c r="E565" s="129"/>
      <c r="F565" s="129"/>
      <c r="G565" s="129"/>
      <c r="H565" s="129"/>
      <c r="I565" s="129"/>
      <c r="J565" s="129"/>
      <c r="K565" s="129"/>
      <c r="L565" s="129"/>
      <c r="CW565" s="71" t="s">
        <v>871</v>
      </c>
    </row>
    <row r="566" spans="1:101" ht="14.4" x14ac:dyDescent="0.25">
      <c r="A566" s="64"/>
      <c r="B566" s="67">
        <v>1</v>
      </c>
      <c r="C566" s="64" t="s">
        <v>863</v>
      </c>
      <c r="D566" s="66" t="s">
        <v>501</v>
      </c>
      <c r="E566" s="73"/>
      <c r="F566" s="67"/>
      <c r="G566" s="67">
        <f>Source!U157</f>
        <v>1.3584719999999999</v>
      </c>
      <c r="H566" s="67"/>
      <c r="I566" s="67"/>
      <c r="J566" s="67"/>
      <c r="K566" s="67"/>
      <c r="L566" s="74">
        <f>SUM(L567:L567)-SUMIF(CE567:CE567, 1, L567:L567)</f>
        <v>471.96</v>
      </c>
    </row>
    <row r="567" spans="1:101" ht="14.4" x14ac:dyDescent="0.25">
      <c r="A567" s="65"/>
      <c r="B567" s="65" t="s">
        <v>612</v>
      </c>
      <c r="C567" s="65" t="s">
        <v>613</v>
      </c>
      <c r="D567" s="66" t="s">
        <v>501</v>
      </c>
      <c r="E567" s="67">
        <v>73.599999999999994</v>
      </c>
      <c r="F567" s="67">
        <f>ROUND((0.15+1),7)</f>
        <v>1.1499999999999999</v>
      </c>
      <c r="G567" s="67">
        <f>SmtRes!CX124</f>
        <v>1.3584719999999999</v>
      </c>
      <c r="H567" s="69"/>
      <c r="I567" s="68"/>
      <c r="J567" s="69">
        <f>SmtRes!CZ124</f>
        <v>347.42</v>
      </c>
      <c r="K567" s="68"/>
      <c r="L567" s="69">
        <f>SmtRes!DI124</f>
        <v>471.96</v>
      </c>
    </row>
    <row r="568" spans="1:101" ht="14.4" x14ac:dyDescent="0.25">
      <c r="A568" s="64"/>
      <c r="B568" s="67">
        <v>2</v>
      </c>
      <c r="C568" s="64" t="s">
        <v>875</v>
      </c>
      <c r="D568" s="66"/>
      <c r="E568" s="73"/>
      <c r="F568" s="67"/>
      <c r="G568" s="67"/>
      <c r="H568" s="67"/>
      <c r="I568" s="67"/>
      <c r="J568" s="67"/>
      <c r="K568" s="67"/>
      <c r="L568" s="74">
        <f>SUM(L569:L576)-SUMIF(CE569:CE576, 1, L569:L576)</f>
        <v>33.700000000000003</v>
      </c>
    </row>
    <row r="569" spans="1:101" ht="14.4" x14ac:dyDescent="0.25">
      <c r="A569" s="64"/>
      <c r="B569" s="67"/>
      <c r="C569" s="64" t="s">
        <v>877</v>
      </c>
      <c r="D569" s="66" t="s">
        <v>501</v>
      </c>
      <c r="E569" s="73"/>
      <c r="F569" s="67"/>
      <c r="G569" s="67">
        <f>Source!V157</f>
        <v>4.9835000000000001E-3</v>
      </c>
      <c r="H569" s="67"/>
      <c r="I569" s="67"/>
      <c r="J569" s="67"/>
      <c r="K569" s="67"/>
      <c r="L569" s="74">
        <f>SUMIF(CE570:CE576, 1, L570:L576)</f>
        <v>2.09</v>
      </c>
      <c r="CE569">
        <v>1</v>
      </c>
    </row>
    <row r="570" spans="1:101" ht="27.6" x14ac:dyDescent="0.25">
      <c r="A570" s="65"/>
      <c r="B570" s="65" t="s">
        <v>574</v>
      </c>
      <c r="C570" s="65" t="s">
        <v>576</v>
      </c>
      <c r="D570" s="66" t="s">
        <v>509</v>
      </c>
      <c r="E570" s="67">
        <v>0.11</v>
      </c>
      <c r="F570" s="67">
        <f t="shared" ref="F570:F576" si="4">ROUND((0.15+1),7)</f>
        <v>1.1499999999999999</v>
      </c>
      <c r="G570" s="67">
        <f>SmtRes!CX126</f>
        <v>2.0303000000000001E-3</v>
      </c>
      <c r="H570" s="69"/>
      <c r="I570" s="68"/>
      <c r="J570" s="69">
        <f>SmtRes!CZ126</f>
        <v>1598.95</v>
      </c>
      <c r="K570" s="68"/>
      <c r="L570" s="69">
        <f>SmtRes!DG126</f>
        <v>3.25</v>
      </c>
    </row>
    <row r="571" spans="1:101" ht="27.6" x14ac:dyDescent="0.25">
      <c r="A571" s="65"/>
      <c r="B571" s="65" t="s">
        <v>577</v>
      </c>
      <c r="C571" s="65" t="s">
        <v>935</v>
      </c>
      <c r="D571" s="66" t="s">
        <v>501</v>
      </c>
      <c r="E571" s="67">
        <f>SmtRes!DO126*SmtRes!AT126</f>
        <v>0.11</v>
      </c>
      <c r="F571" s="67">
        <f t="shared" si="4"/>
        <v>1.1499999999999999</v>
      </c>
      <c r="G571" s="67">
        <f>ROUND(E571*F571*G564, 7)</f>
        <v>2.0303000000000001E-3</v>
      </c>
      <c r="H571" s="69"/>
      <c r="I571" s="68"/>
      <c r="J571" s="69">
        <f>ROUND(SmtRes!AG126/SmtRes!DO126, 2)</f>
        <v>494.35</v>
      </c>
      <c r="K571" s="68"/>
      <c r="L571" s="69">
        <f>SmtRes!DH126</f>
        <v>1</v>
      </c>
      <c r="CE571">
        <v>1</v>
      </c>
    </row>
    <row r="572" spans="1:101" ht="27.6" x14ac:dyDescent="0.25">
      <c r="A572" s="65"/>
      <c r="B572" s="65" t="s">
        <v>614</v>
      </c>
      <c r="C572" s="65" t="s">
        <v>616</v>
      </c>
      <c r="D572" s="66" t="s">
        <v>509</v>
      </c>
      <c r="E572" s="67">
        <v>3.7</v>
      </c>
      <c r="F572" s="67">
        <f t="shared" si="4"/>
        <v>1.1499999999999999</v>
      </c>
      <c r="G572" s="67">
        <f>SmtRes!CX127</f>
        <v>6.8292800000000001E-2</v>
      </c>
      <c r="H572" s="69">
        <f>SmtRes!CZ127</f>
        <v>13.44</v>
      </c>
      <c r="I572" s="68">
        <f>SmtRes!AJ127</f>
        <v>1.52</v>
      </c>
      <c r="J572" s="69">
        <f>ROUND(H572*I572, 2)</f>
        <v>20.43</v>
      </c>
      <c r="K572" s="68"/>
      <c r="L572" s="69">
        <f>SmtRes!DG127</f>
        <v>1.4</v>
      </c>
    </row>
    <row r="573" spans="1:101" ht="27.6" x14ac:dyDescent="0.25">
      <c r="A573" s="65"/>
      <c r="B573" s="65" t="s">
        <v>527</v>
      </c>
      <c r="C573" s="65" t="s">
        <v>529</v>
      </c>
      <c r="D573" s="66" t="s">
        <v>509</v>
      </c>
      <c r="E573" s="67">
        <v>0.16</v>
      </c>
      <c r="F573" s="67">
        <f t="shared" si="4"/>
        <v>1.1499999999999999</v>
      </c>
      <c r="G573" s="67">
        <f>SmtRes!CX128</f>
        <v>2.9532E-3</v>
      </c>
      <c r="H573" s="69"/>
      <c r="I573" s="68"/>
      <c r="J573" s="69">
        <f>SmtRes!CZ128</f>
        <v>551.45000000000005</v>
      </c>
      <c r="K573" s="68"/>
      <c r="L573" s="69">
        <f>SmtRes!DG128</f>
        <v>1.63</v>
      </c>
    </row>
    <row r="574" spans="1:101" ht="27.6" x14ac:dyDescent="0.25">
      <c r="A574" s="65"/>
      <c r="B574" s="65" t="s">
        <v>522</v>
      </c>
      <c r="C574" s="65" t="s">
        <v>887</v>
      </c>
      <c r="D574" s="66" t="s">
        <v>501</v>
      </c>
      <c r="E574" s="67">
        <f>SmtRes!DO128*SmtRes!AT128</f>
        <v>0.16</v>
      </c>
      <c r="F574" s="67">
        <f t="shared" si="4"/>
        <v>1.1499999999999999</v>
      </c>
      <c r="G574" s="67">
        <f>ROUND(E574*F574*G564, 7)</f>
        <v>2.9532E-3</v>
      </c>
      <c r="H574" s="69"/>
      <c r="I574" s="68"/>
      <c r="J574" s="69">
        <f>ROUND(SmtRes!AG128/SmtRes!DO128, 2)</f>
        <v>368.02</v>
      </c>
      <c r="K574" s="68"/>
      <c r="L574" s="69">
        <f>SmtRes!DH128</f>
        <v>1.0900000000000001</v>
      </c>
      <c r="CE574">
        <v>1</v>
      </c>
    </row>
    <row r="575" spans="1:101" ht="14.4" x14ac:dyDescent="0.25">
      <c r="A575" s="65"/>
      <c r="B575" s="65" t="s">
        <v>578</v>
      </c>
      <c r="C575" s="65" t="s">
        <v>580</v>
      </c>
      <c r="D575" s="66" t="s">
        <v>509</v>
      </c>
      <c r="E575" s="67">
        <v>2.3199999999999998</v>
      </c>
      <c r="F575" s="67">
        <f t="shared" si="4"/>
        <v>1.1499999999999999</v>
      </c>
      <c r="G575" s="67">
        <f>SmtRes!CX129</f>
        <v>4.2821400000000003E-2</v>
      </c>
      <c r="H575" s="69">
        <f>SmtRes!CZ129</f>
        <v>4.3499999999999996</v>
      </c>
      <c r="I575" s="68">
        <f>SmtRes!AJ129</f>
        <v>1.23</v>
      </c>
      <c r="J575" s="69">
        <f>ROUND(H575*I575, 2)</f>
        <v>5.35</v>
      </c>
      <c r="K575" s="68"/>
      <c r="L575" s="69">
        <f>SmtRes!DG129</f>
        <v>0.23</v>
      </c>
    </row>
    <row r="576" spans="1:101" ht="27.6" x14ac:dyDescent="0.25">
      <c r="A576" s="65"/>
      <c r="B576" s="65" t="s">
        <v>617</v>
      </c>
      <c r="C576" s="65" t="s">
        <v>619</v>
      </c>
      <c r="D576" s="66" t="s">
        <v>509</v>
      </c>
      <c r="E576" s="67">
        <v>16.3</v>
      </c>
      <c r="F576" s="67">
        <f t="shared" si="4"/>
        <v>1.1499999999999999</v>
      </c>
      <c r="G576" s="67">
        <f>SmtRes!CX130</f>
        <v>0.30085729999999999</v>
      </c>
      <c r="H576" s="69"/>
      <c r="I576" s="68"/>
      <c r="J576" s="69">
        <f>SmtRes!CZ130</f>
        <v>90.36</v>
      </c>
      <c r="K576" s="68"/>
      <c r="L576" s="69">
        <f>SmtRes!DG130</f>
        <v>27.19</v>
      </c>
    </row>
    <row r="577" spans="1:12" ht="14.4" x14ac:dyDescent="0.25">
      <c r="A577" s="64"/>
      <c r="B577" s="67">
        <v>4</v>
      </c>
      <c r="C577" s="64" t="s">
        <v>893</v>
      </c>
      <c r="D577" s="66"/>
      <c r="E577" s="73"/>
      <c r="F577" s="67"/>
      <c r="G577" s="67"/>
      <c r="H577" s="67"/>
      <c r="I577" s="67"/>
      <c r="J577" s="67"/>
      <c r="K577" s="67"/>
      <c r="L577" s="74">
        <f>SUM(L578:L590)-SUMIF(CE578:CE590, 1, L578:L590)</f>
        <v>55.06</v>
      </c>
    </row>
    <row r="578" spans="1:12" ht="14.4" x14ac:dyDescent="0.25">
      <c r="A578" s="65"/>
      <c r="B578" s="65" t="s">
        <v>581</v>
      </c>
      <c r="C578" s="65" t="s">
        <v>583</v>
      </c>
      <c r="D578" s="66" t="s">
        <v>205</v>
      </c>
      <c r="E578" s="67">
        <v>1.95</v>
      </c>
      <c r="F578" s="67"/>
      <c r="G578" s="67">
        <f>SmtRes!CX131</f>
        <v>3.1297499999999999E-2</v>
      </c>
      <c r="H578" s="69">
        <f>SmtRes!CZ131</f>
        <v>114.64</v>
      </c>
      <c r="I578" s="68">
        <f>SmtRes!AI131</f>
        <v>1.1000000000000001</v>
      </c>
      <c r="J578" s="69">
        <f>ROUND(H578*I578, 2)</f>
        <v>126.1</v>
      </c>
      <c r="K578" s="68"/>
      <c r="L578" s="69">
        <f>SmtRes!DF131</f>
        <v>3.95</v>
      </c>
    </row>
    <row r="579" spans="1:12" ht="14.4" x14ac:dyDescent="0.25">
      <c r="A579" s="65"/>
      <c r="B579" s="65" t="s">
        <v>584</v>
      </c>
      <c r="C579" s="65" t="s">
        <v>586</v>
      </c>
      <c r="D579" s="66" t="s">
        <v>240</v>
      </c>
      <c r="E579" s="67">
        <v>0.59</v>
      </c>
      <c r="F579" s="67"/>
      <c r="G579" s="67">
        <f>SmtRes!CX132</f>
        <v>9.4695000000000005E-3</v>
      </c>
      <c r="H579" s="69">
        <f>SmtRes!CZ132</f>
        <v>41.38</v>
      </c>
      <c r="I579" s="68">
        <f>SmtRes!AI132</f>
        <v>1.51</v>
      </c>
      <c r="J579" s="69">
        <f>ROUND(H579*I579, 2)</f>
        <v>62.48</v>
      </c>
      <c r="K579" s="68"/>
      <c r="L579" s="69">
        <f>SmtRes!DF132</f>
        <v>0.59</v>
      </c>
    </row>
    <row r="580" spans="1:12" ht="14.4" x14ac:dyDescent="0.25">
      <c r="A580" s="65"/>
      <c r="B580" s="65" t="s">
        <v>560</v>
      </c>
      <c r="C580" s="65" t="s">
        <v>562</v>
      </c>
      <c r="D580" s="66" t="s">
        <v>563</v>
      </c>
      <c r="E580" s="67">
        <v>10.353</v>
      </c>
      <c r="F580" s="67"/>
      <c r="G580" s="67">
        <f>SmtRes!CX133</f>
        <v>0.1661657</v>
      </c>
      <c r="H580" s="69"/>
      <c r="I580" s="68"/>
      <c r="J580" s="69">
        <f>SmtRes!CZ133</f>
        <v>9.0399999999999991</v>
      </c>
      <c r="K580" s="68"/>
      <c r="L580" s="69">
        <f>SmtRes!DF133</f>
        <v>1.5</v>
      </c>
    </row>
    <row r="581" spans="1:12" ht="41.4" x14ac:dyDescent="0.25">
      <c r="A581" s="65"/>
      <c r="B581" s="65" t="s">
        <v>620</v>
      </c>
      <c r="C581" s="65" t="s">
        <v>622</v>
      </c>
      <c r="D581" s="66" t="s">
        <v>240</v>
      </c>
      <c r="E581" s="67">
        <v>14</v>
      </c>
      <c r="F581" s="67"/>
      <c r="G581" s="67">
        <f>SmtRes!CX134</f>
        <v>0.22470000000000001</v>
      </c>
      <c r="H581" s="69">
        <f>SmtRes!CZ134</f>
        <v>142.68</v>
      </c>
      <c r="I581" s="68">
        <f>SmtRes!AI134</f>
        <v>0.85</v>
      </c>
      <c r="J581" s="69">
        <f t="shared" ref="J581:J590" si="5">ROUND(H581*I581, 2)</f>
        <v>121.28</v>
      </c>
      <c r="K581" s="68"/>
      <c r="L581" s="69">
        <f>SmtRes!DF134</f>
        <v>27.25</v>
      </c>
    </row>
    <row r="582" spans="1:12" ht="27.6" x14ac:dyDescent="0.25">
      <c r="A582" s="65"/>
      <c r="B582" s="65" t="s">
        <v>623</v>
      </c>
      <c r="C582" s="65" t="s">
        <v>625</v>
      </c>
      <c r="D582" s="66" t="s">
        <v>240</v>
      </c>
      <c r="E582" s="67">
        <v>5</v>
      </c>
      <c r="F582" s="67"/>
      <c r="G582" s="67">
        <f>SmtRes!CX135</f>
        <v>8.0250000000000002E-2</v>
      </c>
      <c r="H582" s="69">
        <f>SmtRes!CZ135</f>
        <v>174.93</v>
      </c>
      <c r="I582" s="68">
        <f>SmtRes!AI135</f>
        <v>1.08</v>
      </c>
      <c r="J582" s="69">
        <f t="shared" si="5"/>
        <v>188.92</v>
      </c>
      <c r="K582" s="68"/>
      <c r="L582" s="69">
        <f>SmtRes!DF135</f>
        <v>15.16</v>
      </c>
    </row>
    <row r="583" spans="1:12" ht="14.4" x14ac:dyDescent="0.25">
      <c r="A583" s="65"/>
      <c r="B583" s="65" t="s">
        <v>530</v>
      </c>
      <c r="C583" s="65" t="s">
        <v>532</v>
      </c>
      <c r="D583" s="66" t="s">
        <v>174</v>
      </c>
      <c r="E583" s="67">
        <v>1.0000000000000001E-5</v>
      </c>
      <c r="F583" s="67"/>
      <c r="G583" s="67">
        <f>SmtRes!CX136</f>
        <v>1.9999999999999999E-7</v>
      </c>
      <c r="H583" s="69">
        <f>SmtRes!CZ136</f>
        <v>70296.2</v>
      </c>
      <c r="I583" s="68">
        <f>SmtRes!AI136</f>
        <v>1.32</v>
      </c>
      <c r="J583" s="69">
        <f t="shared" si="5"/>
        <v>92790.98</v>
      </c>
      <c r="K583" s="68"/>
      <c r="L583" s="69">
        <f>SmtRes!DF136</f>
        <v>0.02</v>
      </c>
    </row>
    <row r="584" spans="1:12" ht="27.6" x14ac:dyDescent="0.25">
      <c r="A584" s="65"/>
      <c r="B584" s="65" t="s">
        <v>626</v>
      </c>
      <c r="C584" s="65" t="s">
        <v>628</v>
      </c>
      <c r="D584" s="66" t="s">
        <v>174</v>
      </c>
      <c r="E584" s="67">
        <v>1E-4</v>
      </c>
      <c r="F584" s="67"/>
      <c r="G584" s="67">
        <f>SmtRes!CX137</f>
        <v>1.5999999999999999E-6</v>
      </c>
      <c r="H584" s="69">
        <f>SmtRes!CZ137</f>
        <v>231787.35</v>
      </c>
      <c r="I584" s="68">
        <f>SmtRes!AI137</f>
        <v>1.59</v>
      </c>
      <c r="J584" s="69">
        <f t="shared" si="5"/>
        <v>368541.89</v>
      </c>
      <c r="K584" s="68"/>
      <c r="L584" s="69">
        <f>SmtRes!DF137</f>
        <v>0.59</v>
      </c>
    </row>
    <row r="585" spans="1:12" ht="69" x14ac:dyDescent="0.25">
      <c r="A585" s="65"/>
      <c r="B585" s="65" t="s">
        <v>629</v>
      </c>
      <c r="C585" s="65" t="s">
        <v>631</v>
      </c>
      <c r="D585" s="66" t="s">
        <v>632</v>
      </c>
      <c r="E585" s="67">
        <v>1.8700000000000001E-2</v>
      </c>
      <c r="F585" s="67"/>
      <c r="G585" s="67">
        <f>SmtRes!CX139</f>
        <v>3.0009999999999998E-4</v>
      </c>
      <c r="H585" s="69">
        <f>SmtRes!CZ139</f>
        <v>307.83999999999997</v>
      </c>
      <c r="I585" s="68">
        <f>SmtRes!AI139</f>
        <v>0.72</v>
      </c>
      <c r="J585" s="69">
        <f t="shared" si="5"/>
        <v>221.64</v>
      </c>
      <c r="K585" s="68"/>
      <c r="L585" s="69">
        <f>SmtRes!DF139</f>
        <v>7.0000000000000007E-2</v>
      </c>
    </row>
    <row r="586" spans="1:12" ht="27.6" x14ac:dyDescent="0.25">
      <c r="A586" s="65"/>
      <c r="B586" s="65" t="s">
        <v>533</v>
      </c>
      <c r="C586" s="65" t="s">
        <v>535</v>
      </c>
      <c r="D586" s="66" t="s">
        <v>174</v>
      </c>
      <c r="E586" s="67">
        <v>3.0000000000000001E-5</v>
      </c>
      <c r="F586" s="67"/>
      <c r="G586" s="67">
        <f>SmtRes!CX140</f>
        <v>4.9999999999999998E-7</v>
      </c>
      <c r="H586" s="69">
        <f>SmtRes!CZ140</f>
        <v>60258.2</v>
      </c>
      <c r="I586" s="68">
        <f>SmtRes!AI140</f>
        <v>0.87</v>
      </c>
      <c r="J586" s="69">
        <f t="shared" si="5"/>
        <v>52424.63</v>
      </c>
      <c r="K586" s="68"/>
      <c r="L586" s="69">
        <f>SmtRes!DF140</f>
        <v>0.03</v>
      </c>
    </row>
    <row r="587" spans="1:12" ht="27.6" x14ac:dyDescent="0.25">
      <c r="A587" s="65"/>
      <c r="B587" s="65" t="s">
        <v>633</v>
      </c>
      <c r="C587" s="65" t="s">
        <v>635</v>
      </c>
      <c r="D587" s="66" t="s">
        <v>174</v>
      </c>
      <c r="E587" s="67">
        <v>1.9400000000000001E-3</v>
      </c>
      <c r="F587" s="67"/>
      <c r="G587" s="67">
        <f>SmtRes!CX141</f>
        <v>3.1099999999999997E-5</v>
      </c>
      <c r="H587" s="69">
        <f>SmtRes!CZ141</f>
        <v>136760</v>
      </c>
      <c r="I587" s="68">
        <f>SmtRes!AI141</f>
        <v>0.91</v>
      </c>
      <c r="J587" s="69">
        <f t="shared" si="5"/>
        <v>124451.6</v>
      </c>
      <c r="K587" s="68"/>
      <c r="L587" s="69">
        <f>SmtRes!DF141</f>
        <v>3.87</v>
      </c>
    </row>
    <row r="588" spans="1:12" ht="55.2" x14ac:dyDescent="0.25">
      <c r="A588" s="65"/>
      <c r="B588" s="65" t="s">
        <v>636</v>
      </c>
      <c r="C588" s="65" t="s">
        <v>638</v>
      </c>
      <c r="D588" s="66" t="s">
        <v>205</v>
      </c>
      <c r="E588" s="67">
        <v>1.0300000000000001E-3</v>
      </c>
      <c r="F588" s="67"/>
      <c r="G588" s="67">
        <f>SmtRes!CX142</f>
        <v>1.6500000000000001E-5</v>
      </c>
      <c r="H588" s="69">
        <f>SmtRes!CZ142</f>
        <v>16496.03</v>
      </c>
      <c r="I588" s="68">
        <f>SmtRes!AI142</f>
        <v>0.77</v>
      </c>
      <c r="J588" s="69">
        <f t="shared" si="5"/>
        <v>12701.94</v>
      </c>
      <c r="K588" s="68"/>
      <c r="L588" s="69">
        <f>SmtRes!DF142</f>
        <v>0.21</v>
      </c>
    </row>
    <row r="589" spans="1:12" ht="14.4" x14ac:dyDescent="0.25">
      <c r="A589" s="65"/>
      <c r="B589" s="65" t="s">
        <v>639</v>
      </c>
      <c r="C589" s="65" t="s">
        <v>641</v>
      </c>
      <c r="D589" s="66" t="s">
        <v>174</v>
      </c>
      <c r="E589" s="67">
        <v>3.1E-4</v>
      </c>
      <c r="F589" s="67"/>
      <c r="G589" s="67">
        <f>SmtRes!CX143</f>
        <v>5.0000000000000004E-6</v>
      </c>
      <c r="H589" s="69">
        <f>SmtRes!CZ143</f>
        <v>51280.15</v>
      </c>
      <c r="I589" s="68">
        <f>SmtRes!AI143</f>
        <v>1.59</v>
      </c>
      <c r="J589" s="69">
        <f t="shared" si="5"/>
        <v>81535.44</v>
      </c>
      <c r="K589" s="68"/>
      <c r="L589" s="69">
        <f>SmtRes!DF143</f>
        <v>0.41</v>
      </c>
    </row>
    <row r="590" spans="1:12" ht="14.4" x14ac:dyDescent="0.25">
      <c r="A590" s="65"/>
      <c r="B590" s="65" t="s">
        <v>642</v>
      </c>
      <c r="C590" s="65" t="s">
        <v>644</v>
      </c>
      <c r="D590" s="66" t="s">
        <v>174</v>
      </c>
      <c r="E590" s="67">
        <v>5.9999999999999995E-4</v>
      </c>
      <c r="F590" s="67"/>
      <c r="G590" s="67">
        <f>SmtRes!CX144</f>
        <v>9.5999999999999996E-6</v>
      </c>
      <c r="H590" s="69">
        <f>SmtRes!CZ144</f>
        <v>98526.45</v>
      </c>
      <c r="I590" s="68">
        <f>SmtRes!AI144</f>
        <v>1.49</v>
      </c>
      <c r="J590" s="69">
        <f t="shared" si="5"/>
        <v>146804.41</v>
      </c>
      <c r="K590" s="68"/>
      <c r="L590" s="69">
        <f>SmtRes!DF144</f>
        <v>1.41</v>
      </c>
    </row>
    <row r="591" spans="1:12" ht="14.4" x14ac:dyDescent="0.25">
      <c r="A591" s="65"/>
      <c r="B591" s="65" t="str">
        <f>EtalonRes!I145</f>
        <v>07.2.07.11</v>
      </c>
      <c r="C591" s="75" t="str">
        <f>EtalonRes!K145</f>
        <v>Конструкции стальные</v>
      </c>
      <c r="D591" s="76" t="str">
        <f>EtalonRes!O145</f>
        <v>т</v>
      </c>
      <c r="E591" s="77">
        <f>EtalonRes!X145</f>
        <v>1</v>
      </c>
      <c r="F591" s="77"/>
      <c r="G591" s="77">
        <f>ROUND(EtalonRes!AG145*Source!I157, 7)</f>
        <v>1.6049999999999998E-2</v>
      </c>
      <c r="H591" s="78"/>
      <c r="I591" s="79"/>
      <c r="J591" s="78"/>
      <c r="K591" s="79"/>
      <c r="L591" s="78"/>
    </row>
    <row r="592" spans="1:12" ht="14.4" x14ac:dyDescent="0.25">
      <c r="A592" s="65"/>
      <c r="B592" s="65"/>
      <c r="C592" s="81" t="s">
        <v>864</v>
      </c>
      <c r="D592" s="66"/>
      <c r="E592" s="67"/>
      <c r="F592" s="67"/>
      <c r="G592" s="67"/>
      <c r="H592" s="69"/>
      <c r="I592" s="68"/>
      <c r="J592" s="69"/>
      <c r="K592" s="68"/>
      <c r="L592" s="69">
        <f>L566+L568+L569+L577</f>
        <v>562.80999999999995</v>
      </c>
    </row>
    <row r="593" spans="1:83" ht="27.6" x14ac:dyDescent="0.25">
      <c r="A593" s="63" t="s">
        <v>951</v>
      </c>
      <c r="B593" s="65" t="str">
        <f>Source!F158</f>
        <v>08.1.02.25-0091</v>
      </c>
      <c r="C593" s="65" t="str">
        <f>Source!G158</f>
        <v>Опора скользящая стальная (15 шт * 1,94 кг=29,1 кг)</v>
      </c>
      <c r="D593" s="66" t="str">
        <f>Source!H158</f>
        <v>кг</v>
      </c>
      <c r="E593" s="67">
        <f>SmtRes!AT138</f>
        <v>1000</v>
      </c>
      <c r="F593" s="67"/>
      <c r="G593" s="67">
        <f>Source!I158</f>
        <v>16.05</v>
      </c>
      <c r="H593" s="69">
        <f>Source!AL158+Source!AO158+Source!AM158+Source!AN158</f>
        <v>175.65</v>
      </c>
      <c r="I593" s="68">
        <f>IF(Source!BC158&lt;&gt; 0, Source!BC158, 1)</f>
        <v>1.31</v>
      </c>
      <c r="J593" s="69">
        <f>ROUND(H593*I593, 2)</f>
        <v>230.1</v>
      </c>
      <c r="K593" s="68"/>
      <c r="L593" s="69">
        <f>Source!P158</f>
        <v>3693.11</v>
      </c>
      <c r="AD593">
        <f>ROUND((Source!AT158/100)*((ROUND(ROUND(Source!AO158,2)*Source!I158, 2)+ROUND(ROUND(Source!AN158,2)*Source!I158, 2))), 2)</f>
        <v>0</v>
      </c>
      <c r="AE593">
        <f>ROUND((Source!AU158/100)*((ROUND(ROUND(Source!AO158,2)*Source!I158, 2)+ROUND(ROUND(Source!AN158,2)*Source!I158, 2))), 2)</f>
        <v>0</v>
      </c>
      <c r="AN593">
        <f>L593</f>
        <v>3693.11</v>
      </c>
      <c r="AW593">
        <f>L593</f>
        <v>3693.11</v>
      </c>
      <c r="AZ593">
        <f>Source!X158</f>
        <v>0</v>
      </c>
      <c r="BA593">
        <f>Source!Y158</f>
        <v>0</v>
      </c>
      <c r="CD593">
        <v>1</v>
      </c>
    </row>
    <row r="594" spans="1:83" ht="14.4" x14ac:dyDescent="0.25">
      <c r="A594" s="65"/>
      <c r="B594" s="65"/>
      <c r="C594" s="65" t="s">
        <v>865</v>
      </c>
      <c r="D594" s="66"/>
      <c r="E594" s="67"/>
      <c r="F594" s="67"/>
      <c r="G594" s="67"/>
      <c r="H594" s="69"/>
      <c r="I594" s="68"/>
      <c r="J594" s="69"/>
      <c r="K594" s="68"/>
      <c r="L594" s="69">
        <f>SUM(AR564:AR597)+SUM(AS564:AS597)+SUM(AT564:AT597)+SUM(AU564:AU597)+SUM(AV564:AV597)</f>
        <v>474.04999999999995</v>
      </c>
    </row>
    <row r="595" spans="1:83" ht="27.6" x14ac:dyDescent="0.25">
      <c r="A595" s="65"/>
      <c r="B595" s="65" t="s">
        <v>257</v>
      </c>
      <c r="C595" s="65" t="s">
        <v>945</v>
      </c>
      <c r="D595" s="66" t="s">
        <v>761</v>
      </c>
      <c r="E595" s="67">
        <f>Source!BZ157</f>
        <v>93</v>
      </c>
      <c r="F595" s="67"/>
      <c r="G595" s="67">
        <f>Source!AT157</f>
        <v>93</v>
      </c>
      <c r="H595" s="69"/>
      <c r="I595" s="68"/>
      <c r="J595" s="69"/>
      <c r="K595" s="68"/>
      <c r="L595" s="69">
        <f>SUM(AZ564:AZ597)</f>
        <v>440.87</v>
      </c>
    </row>
    <row r="596" spans="1:83" ht="27.6" x14ac:dyDescent="0.25">
      <c r="A596" s="75"/>
      <c r="B596" s="75" t="s">
        <v>258</v>
      </c>
      <c r="C596" s="75" t="s">
        <v>946</v>
      </c>
      <c r="D596" s="76" t="s">
        <v>761</v>
      </c>
      <c r="E596" s="77">
        <f>Source!CA157</f>
        <v>62</v>
      </c>
      <c r="F596" s="77"/>
      <c r="G596" s="77">
        <f>Source!AU157</f>
        <v>62</v>
      </c>
      <c r="H596" s="78"/>
      <c r="I596" s="79"/>
      <c r="J596" s="78"/>
      <c r="K596" s="79"/>
      <c r="L596" s="78">
        <f>SUM(BA564:BA597)</f>
        <v>293.91000000000003</v>
      </c>
    </row>
    <row r="597" spans="1:83" ht="13.8" x14ac:dyDescent="0.25">
      <c r="C597" s="127" t="s">
        <v>868</v>
      </c>
      <c r="D597" s="127"/>
      <c r="E597" s="127"/>
      <c r="F597" s="127"/>
      <c r="G597" s="127"/>
      <c r="H597" s="127"/>
      <c r="I597" s="128">
        <f>IF(E564&lt;&gt;0,K597/E564, 0)</f>
        <v>310947.04049844237</v>
      </c>
      <c r="J597" s="128"/>
      <c r="K597" s="128">
        <f>L566+L568+L577+L595+L596+L569+SUM(L593:L593)</f>
        <v>4990.7</v>
      </c>
      <c r="L597" s="128"/>
      <c r="AD597">
        <f>ROUND((Source!AT157/100)*((ROUND(SUMIF(SmtRes!AQ124:'SmtRes'!AQ144,"=1",SmtRes!AD124:'SmtRes'!AD144)*Source!I157, 2)+ROUND(SUMIF(SmtRes!AQ124:'SmtRes'!AQ144,"=1",SmtRes!AC124:'SmtRes'!AC144)*Source!I157, 2))), 2)</f>
        <v>18.059999999999999</v>
      </c>
      <c r="AE597">
        <f>ROUND((Source!AU157/100)*((ROUND(SUMIF(SmtRes!AQ124:'SmtRes'!AQ144,"=1",SmtRes!AD124:'SmtRes'!AD144)*Source!I157, 2)+ROUND(SUMIF(SmtRes!AQ124:'SmtRes'!AQ144,"=1",SmtRes!AC124:'SmtRes'!AC144)*Source!I157, 2))), 2)</f>
        <v>12.04</v>
      </c>
      <c r="AN597" s="80">
        <f>L566+L568+L577+L595+L596+L569</f>
        <v>1297.5899999999999</v>
      </c>
      <c r="AO597" s="80">
        <f>L568</f>
        <v>33.700000000000003</v>
      </c>
      <c r="AQ597" t="s">
        <v>869</v>
      </c>
      <c r="AR597" s="80">
        <f>L566</f>
        <v>471.96</v>
      </c>
      <c r="AT597" s="80">
        <f>L569</f>
        <v>2.09</v>
      </c>
      <c r="AV597" t="s">
        <v>869</v>
      </c>
      <c r="AW597" s="80">
        <f>L577</f>
        <v>55.06</v>
      </c>
      <c r="AZ597">
        <f>Source!X157</f>
        <v>440.87</v>
      </c>
      <c r="BA597">
        <f>Source!Y157</f>
        <v>293.91000000000003</v>
      </c>
      <c r="CD597">
        <v>1</v>
      </c>
    </row>
    <row r="598" spans="1:83" ht="41.4" x14ac:dyDescent="0.25">
      <c r="C598" s="62" t="str">
        <f>Source!G159</f>
        <v>Протаскивание трубопровоов д,57 мм 1 х12 м и 76 мм 3 х 12 м в существующий канал) ИТОГО 48м</v>
      </c>
    </row>
    <row r="599" spans="1:83" ht="93.6" x14ac:dyDescent="0.25">
      <c r="A599" s="63" t="s">
        <v>279</v>
      </c>
      <c r="B599" s="65" t="s">
        <v>952</v>
      </c>
      <c r="C599" s="65" t="s">
        <v>953</v>
      </c>
      <c r="D599" s="66" t="str">
        <f>Source!H160</f>
        <v>100 м</v>
      </c>
      <c r="E599" s="67">
        <f>Source!K160</f>
        <v>0.48</v>
      </c>
      <c r="F599" s="67"/>
      <c r="G599" s="67">
        <f>Source!I160</f>
        <v>0.48</v>
      </c>
      <c r="H599" s="69"/>
      <c r="I599" s="68"/>
      <c r="J599" s="69"/>
      <c r="K599" s="68"/>
      <c r="L599" s="69"/>
    </row>
    <row r="600" spans="1:83" ht="132" x14ac:dyDescent="0.25">
      <c r="B600" s="70" t="str">
        <f>Source!EO160</f>
        <v>Поправка: 421/пр_2020_прил.10_т.5_п.9.1_гр.3</v>
      </c>
      <c r="C600" s="70" t="str">
        <f>Source!CN160</f>
        <v>Поправка: 421/пр_2020_прил.10_т.5_п.9.1_гр.3
Наименование: Производство ремонтно-строительных работ осуществляется в стесненных условиях населенных пунктов: отдельных конструктивных решений объектов капитального строительства (кроме указанных в п.п. 10.2 и 10.3), объектов капитального строительства в целом</v>
      </c>
    </row>
    <row r="601" spans="1:83" ht="14.4" x14ac:dyDescent="0.25">
      <c r="A601" s="64"/>
      <c r="B601" s="67">
        <v>1</v>
      </c>
      <c r="C601" s="64" t="s">
        <v>863</v>
      </c>
      <c r="D601" s="66" t="s">
        <v>501</v>
      </c>
      <c r="E601" s="73"/>
      <c r="F601" s="67"/>
      <c r="G601" s="67">
        <f>Source!U160</f>
        <v>46.588799999999999</v>
      </c>
      <c r="H601" s="67"/>
      <c r="I601" s="67"/>
      <c r="J601" s="67"/>
      <c r="K601" s="67"/>
      <c r="L601" s="74">
        <f>SUM(L602:L602)-SUMIF(CE602:CE602, 1, L602:L602)</f>
        <v>17145.61</v>
      </c>
    </row>
    <row r="602" spans="1:83" ht="14.4" x14ac:dyDescent="0.25">
      <c r="A602" s="65"/>
      <c r="B602" s="65" t="s">
        <v>645</v>
      </c>
      <c r="C602" s="65" t="s">
        <v>646</v>
      </c>
      <c r="D602" s="66" t="s">
        <v>501</v>
      </c>
      <c r="E602" s="67">
        <v>84.4</v>
      </c>
      <c r="F602" s="67">
        <f>ROUND((0.15+1),7)</f>
        <v>1.1499999999999999</v>
      </c>
      <c r="G602" s="67">
        <f>SmtRes!CX145</f>
        <v>46.588799999999999</v>
      </c>
      <c r="H602" s="69"/>
      <c r="I602" s="68"/>
      <c r="J602" s="69">
        <f>SmtRes!CZ145</f>
        <v>368.02</v>
      </c>
      <c r="K602" s="68"/>
      <c r="L602" s="69">
        <f>SmtRes!DI145</f>
        <v>17145.61</v>
      </c>
    </row>
    <row r="603" spans="1:83" ht="14.4" x14ac:dyDescent="0.25">
      <c r="A603" s="64"/>
      <c r="B603" s="67">
        <v>2</v>
      </c>
      <c r="C603" s="64" t="s">
        <v>875</v>
      </c>
      <c r="D603" s="66"/>
      <c r="E603" s="73"/>
      <c r="F603" s="67"/>
      <c r="G603" s="67"/>
      <c r="H603" s="67"/>
      <c r="I603" s="67"/>
      <c r="J603" s="67"/>
      <c r="K603" s="67"/>
      <c r="L603" s="74">
        <f>SUM(L604:L607)-SUMIF(CE604:CE607, 1, L604:L607)</f>
        <v>82.41</v>
      </c>
    </row>
    <row r="604" spans="1:83" ht="14.4" x14ac:dyDescent="0.25">
      <c r="A604" s="64"/>
      <c r="B604" s="67"/>
      <c r="C604" s="64" t="s">
        <v>877</v>
      </c>
      <c r="D604" s="66" t="s">
        <v>501</v>
      </c>
      <c r="E604" s="73"/>
      <c r="F604" s="67"/>
      <c r="G604" s="67">
        <f>Source!V160</f>
        <v>9.3840000000000007E-2</v>
      </c>
      <c r="H604" s="67"/>
      <c r="I604" s="67"/>
      <c r="J604" s="67"/>
      <c r="K604" s="67"/>
      <c r="L604" s="74">
        <f>SUMIF(CE605:CE607, 1, L605:L607)</f>
        <v>34.53</v>
      </c>
      <c r="CE604">
        <v>1</v>
      </c>
    </row>
    <row r="605" spans="1:83" ht="27.6" x14ac:dyDescent="0.25">
      <c r="A605" s="65"/>
      <c r="B605" s="65" t="s">
        <v>647</v>
      </c>
      <c r="C605" s="65" t="s">
        <v>649</v>
      </c>
      <c r="D605" s="66" t="s">
        <v>509</v>
      </c>
      <c r="E605" s="67">
        <v>26.08</v>
      </c>
      <c r="F605" s="67">
        <f>ROUND((0.15+1),7)</f>
        <v>1.1499999999999999</v>
      </c>
      <c r="G605" s="67">
        <f>SmtRes!CX147</f>
        <v>14.39616</v>
      </c>
      <c r="H605" s="69">
        <f>SmtRes!CZ147</f>
        <v>1.4</v>
      </c>
      <c r="I605" s="68">
        <f>SmtRes!AJ147</f>
        <v>1.52</v>
      </c>
      <c r="J605" s="69">
        <f>ROUND(H605*I605, 2)</f>
        <v>2.13</v>
      </c>
      <c r="K605" s="68"/>
      <c r="L605" s="69">
        <f>SmtRes!DG147</f>
        <v>30.66</v>
      </c>
    </row>
    <row r="606" spans="1:83" ht="27.6" x14ac:dyDescent="0.25">
      <c r="A606" s="65"/>
      <c r="B606" s="65" t="s">
        <v>527</v>
      </c>
      <c r="C606" s="65" t="s">
        <v>529</v>
      </c>
      <c r="D606" s="66" t="s">
        <v>509</v>
      </c>
      <c r="E606" s="67">
        <v>0.17</v>
      </c>
      <c r="F606" s="67">
        <f>ROUND((0.15+1),7)</f>
        <v>1.1499999999999999</v>
      </c>
      <c r="G606" s="67">
        <f>SmtRes!CX148</f>
        <v>9.3840000000000007E-2</v>
      </c>
      <c r="H606" s="69"/>
      <c r="I606" s="68"/>
      <c r="J606" s="69">
        <f>SmtRes!CZ148</f>
        <v>551.45000000000005</v>
      </c>
      <c r="K606" s="68"/>
      <c r="L606" s="69">
        <f>SmtRes!DG148</f>
        <v>51.75</v>
      </c>
    </row>
    <row r="607" spans="1:83" ht="27.6" x14ac:dyDescent="0.25">
      <c r="A607" s="65"/>
      <c r="B607" s="65" t="s">
        <v>522</v>
      </c>
      <c r="C607" s="65" t="s">
        <v>887</v>
      </c>
      <c r="D607" s="66" t="s">
        <v>501</v>
      </c>
      <c r="E607" s="67">
        <f>SmtRes!DO148*SmtRes!AT148</f>
        <v>0.17</v>
      </c>
      <c r="F607" s="67">
        <f>ROUND((0.15+1),7)</f>
        <v>1.1499999999999999</v>
      </c>
      <c r="G607" s="67">
        <f>ROUND(E607*F607*G599, 7)</f>
        <v>9.3840000000000007E-2</v>
      </c>
      <c r="H607" s="69"/>
      <c r="I607" s="68"/>
      <c r="J607" s="69">
        <f>ROUND(SmtRes!AG148/SmtRes!DO148, 2)</f>
        <v>368.02</v>
      </c>
      <c r="K607" s="68"/>
      <c r="L607" s="69">
        <f>SmtRes!DH148</f>
        <v>34.53</v>
      </c>
      <c r="CE607">
        <v>1</v>
      </c>
    </row>
    <row r="608" spans="1:83" ht="14.4" x14ac:dyDescent="0.25">
      <c r="A608" s="64"/>
      <c r="B608" s="67">
        <v>4</v>
      </c>
      <c r="C608" s="64" t="s">
        <v>893</v>
      </c>
      <c r="D608" s="66"/>
      <c r="E608" s="73"/>
      <c r="F608" s="67"/>
      <c r="G608" s="67"/>
      <c r="H608" s="67"/>
      <c r="I608" s="67"/>
      <c r="J608" s="67"/>
      <c r="K608" s="67"/>
      <c r="L608" s="74">
        <f>SUM(L609:L611)-SUMIF(CE609:CE611, 1, L609:L611)</f>
        <v>0</v>
      </c>
    </row>
    <row r="609" spans="1:83" ht="14.4" x14ac:dyDescent="0.25">
      <c r="A609" s="65"/>
      <c r="B609" s="65" t="s">
        <v>650</v>
      </c>
      <c r="C609" s="65" t="s">
        <v>652</v>
      </c>
      <c r="D609" s="66" t="s">
        <v>240</v>
      </c>
      <c r="E609" s="67">
        <v>3.7</v>
      </c>
      <c r="F609" s="67">
        <f>ROUND(0,7)</f>
        <v>0</v>
      </c>
      <c r="G609" s="67">
        <f>SmtRes!CX149</f>
        <v>0</v>
      </c>
      <c r="H609" s="69">
        <f>SmtRes!CZ149</f>
        <v>58.53</v>
      </c>
      <c r="I609" s="68">
        <f>SmtRes!AI149</f>
        <v>1.55</v>
      </c>
      <c r="J609" s="69">
        <f>ROUND(H609*I609, 2)</f>
        <v>90.72</v>
      </c>
      <c r="K609" s="68"/>
      <c r="L609" s="69">
        <f>SmtRes!DF149</f>
        <v>0</v>
      </c>
    </row>
    <row r="610" spans="1:83" ht="27.6" x14ac:dyDescent="0.25">
      <c r="A610" s="65"/>
      <c r="B610" s="65" t="s">
        <v>653</v>
      </c>
      <c r="C610" s="65" t="s">
        <v>655</v>
      </c>
      <c r="D610" s="66" t="s">
        <v>240</v>
      </c>
      <c r="E610" s="67">
        <v>22.6</v>
      </c>
      <c r="F610" s="67">
        <f>ROUND(0,7)</f>
        <v>0</v>
      </c>
      <c r="G610" s="67">
        <f>SmtRes!CX150</f>
        <v>0</v>
      </c>
      <c r="H610" s="69">
        <f>SmtRes!CZ150</f>
        <v>89.75</v>
      </c>
      <c r="I610" s="68">
        <f>SmtRes!AI150</f>
        <v>1.47</v>
      </c>
      <c r="J610" s="69">
        <f>ROUND(H610*I610, 2)</f>
        <v>131.93</v>
      </c>
      <c r="K610" s="68"/>
      <c r="L610" s="69">
        <f>SmtRes!DF150</f>
        <v>0</v>
      </c>
    </row>
    <row r="611" spans="1:83" ht="27.6" x14ac:dyDescent="0.25">
      <c r="A611" s="65"/>
      <c r="B611" s="65" t="s">
        <v>656</v>
      </c>
      <c r="C611" s="75" t="s">
        <v>658</v>
      </c>
      <c r="D611" s="76" t="s">
        <v>174</v>
      </c>
      <c r="E611" s="77">
        <v>5.3800000000000001E-2</v>
      </c>
      <c r="F611" s="77">
        <f>ROUND(0,7)</f>
        <v>0</v>
      </c>
      <c r="G611" s="77">
        <f>SmtRes!CX151</f>
        <v>0</v>
      </c>
      <c r="H611" s="78">
        <f>SmtRes!CZ151</f>
        <v>55898.18</v>
      </c>
      <c r="I611" s="79">
        <f>SmtRes!AI151</f>
        <v>1.31</v>
      </c>
      <c r="J611" s="78">
        <f>ROUND(H611*I611, 2)</f>
        <v>73226.62</v>
      </c>
      <c r="K611" s="79"/>
      <c r="L611" s="78">
        <f>SmtRes!DF151</f>
        <v>0</v>
      </c>
    </row>
    <row r="612" spans="1:83" ht="14.4" x14ac:dyDescent="0.25">
      <c r="A612" s="65"/>
      <c r="B612" s="65"/>
      <c r="C612" s="81" t="s">
        <v>864</v>
      </c>
      <c r="D612" s="66"/>
      <c r="E612" s="67"/>
      <c r="F612" s="67"/>
      <c r="G612" s="67"/>
      <c r="H612" s="69"/>
      <c r="I612" s="68"/>
      <c r="J612" s="69"/>
      <c r="K612" s="68"/>
      <c r="L612" s="69">
        <f>L601+L603+L604+L608</f>
        <v>17262.55</v>
      </c>
    </row>
    <row r="613" spans="1:83" ht="14.4" x14ac:dyDescent="0.25">
      <c r="A613" s="65"/>
      <c r="B613" s="65"/>
      <c r="C613" s="65" t="s">
        <v>865</v>
      </c>
      <c r="D613" s="66"/>
      <c r="E613" s="67"/>
      <c r="F613" s="67"/>
      <c r="G613" s="67"/>
      <c r="H613" s="69"/>
      <c r="I613" s="68"/>
      <c r="J613" s="69"/>
      <c r="K613" s="68"/>
      <c r="L613" s="69">
        <f>SUM(AR599:AR616)+SUM(AS599:AS616)+SUM(AT599:AT616)+SUM(AU599:AU616)+SUM(AV599:AV616)</f>
        <v>17180.14</v>
      </c>
    </row>
    <row r="614" spans="1:83" ht="41.4" x14ac:dyDescent="0.25">
      <c r="A614" s="65"/>
      <c r="B614" s="65" t="s">
        <v>102</v>
      </c>
      <c r="C614" s="65" t="s">
        <v>894</v>
      </c>
      <c r="D614" s="66" t="s">
        <v>761</v>
      </c>
      <c r="E614" s="67">
        <f>Source!BZ160</f>
        <v>117</v>
      </c>
      <c r="F614" s="67"/>
      <c r="G614" s="67">
        <f>Source!AT160</f>
        <v>117</v>
      </c>
      <c r="H614" s="69"/>
      <c r="I614" s="68"/>
      <c r="J614" s="69"/>
      <c r="K614" s="68"/>
      <c r="L614" s="69">
        <f>SUM(AZ599:AZ616)</f>
        <v>20100.759999999998</v>
      </c>
    </row>
    <row r="615" spans="1:83" ht="41.4" x14ac:dyDescent="0.25">
      <c r="A615" s="75"/>
      <c r="B615" s="75" t="s">
        <v>103</v>
      </c>
      <c r="C615" s="75" t="s">
        <v>895</v>
      </c>
      <c r="D615" s="76" t="s">
        <v>761</v>
      </c>
      <c r="E615" s="77">
        <f>Source!CA160</f>
        <v>74</v>
      </c>
      <c r="F615" s="77"/>
      <c r="G615" s="77">
        <f>Source!AU160</f>
        <v>74</v>
      </c>
      <c r="H615" s="78"/>
      <c r="I615" s="79"/>
      <c r="J615" s="78"/>
      <c r="K615" s="79"/>
      <c r="L615" s="78">
        <f>SUM(BA599:BA616)</f>
        <v>12713.3</v>
      </c>
    </row>
    <row r="616" spans="1:83" ht="13.8" x14ac:dyDescent="0.25">
      <c r="C616" s="127" t="s">
        <v>868</v>
      </c>
      <c r="D616" s="127"/>
      <c r="E616" s="127"/>
      <c r="F616" s="127"/>
      <c r="G616" s="127"/>
      <c r="H616" s="127"/>
      <c r="I616" s="128">
        <f>IF(E599&lt;&gt;0,K616/E599, 0)</f>
        <v>104326.27083333334</v>
      </c>
      <c r="J616" s="128"/>
      <c r="K616" s="128">
        <f>L601+L603+L608+L614+L615+L604</f>
        <v>50076.61</v>
      </c>
      <c r="L616" s="128"/>
      <c r="AD616">
        <f>ROUND((Source!AT160/100)*((ROUND(SUMIF(SmtRes!AQ145:'SmtRes'!AQ151,"=1",SmtRes!AD145:'SmtRes'!AD151)*Source!I160, 2)+ROUND(SUMIF(SmtRes!AQ145:'SmtRes'!AQ151,"=1",SmtRes!AC145:'SmtRes'!AC151)*Source!I160, 2))), 2)</f>
        <v>413.36</v>
      </c>
      <c r="AE616">
        <f>ROUND((Source!AU160/100)*((ROUND(SUMIF(SmtRes!AQ145:'SmtRes'!AQ151,"=1",SmtRes!AD145:'SmtRes'!AD151)*Source!I160, 2)+ROUND(SUMIF(SmtRes!AQ145:'SmtRes'!AQ151,"=1",SmtRes!AC145:'SmtRes'!AC151)*Source!I160, 2))), 2)</f>
        <v>261.44</v>
      </c>
      <c r="AN616" s="80">
        <f>L601+L603+L608+L614+L615+L604</f>
        <v>50076.61</v>
      </c>
      <c r="AO616" s="80">
        <f>L603</f>
        <v>82.41</v>
      </c>
      <c r="AQ616" t="s">
        <v>869</v>
      </c>
      <c r="AR616" s="80">
        <f>L601</f>
        <v>17145.61</v>
      </c>
      <c r="AT616" s="80">
        <f>L604</f>
        <v>34.53</v>
      </c>
      <c r="AV616" t="s">
        <v>869</v>
      </c>
      <c r="AW616" s="80">
        <f>L608</f>
        <v>0</v>
      </c>
      <c r="AZ616">
        <f>Source!X160</f>
        <v>20100.759999999998</v>
      </c>
      <c r="BA616">
        <f>Source!Y160</f>
        <v>12713.3</v>
      </c>
      <c r="CD616">
        <v>1</v>
      </c>
    </row>
    <row r="617" spans="1:83" ht="13.8" x14ac:dyDescent="0.25">
      <c r="C617" s="62" t="str">
        <f>Source!G161</f>
        <v>изоляция</v>
      </c>
    </row>
    <row r="618" spans="1:83" ht="107.4" x14ac:dyDescent="0.25">
      <c r="A618" s="63" t="s">
        <v>284</v>
      </c>
      <c r="B618" s="65" t="s">
        <v>954</v>
      </c>
      <c r="C618" s="65" t="s">
        <v>955</v>
      </c>
      <c r="D618" s="66" t="str">
        <f>Source!H162</f>
        <v>100 м2</v>
      </c>
      <c r="E618" s="67">
        <f>Source!K162</f>
        <v>0.16</v>
      </c>
      <c r="F618" s="67"/>
      <c r="G618" s="67">
        <f>Source!I162</f>
        <v>0.16</v>
      </c>
      <c r="H618" s="69"/>
      <c r="I618" s="68"/>
      <c r="J618" s="69"/>
      <c r="K618" s="68"/>
      <c r="L618" s="69"/>
    </row>
    <row r="619" spans="1:83" ht="132" x14ac:dyDescent="0.25">
      <c r="B619" s="70" t="str">
        <f>Source!EO162</f>
        <v>Поправка: 421/пр_2020_прил.10_т.5_п.9.1_гр.3</v>
      </c>
      <c r="C619" s="70" t="str">
        <f>Source!CN162</f>
        <v>Поправка: 421/пр_2020_прил.10_т.5_п.9.1_гр.3
Наименование: Производство ремонтно-строительных работ осуществляется в стесненных условиях населенных пунктов: отдельных конструктивных решений объектов капитального строительства (кроме указанных в п.п. 10.2 и 10.3), объектов капитального строительства в целом</v>
      </c>
    </row>
    <row r="620" spans="1:83" ht="14.4" x14ac:dyDescent="0.25">
      <c r="A620" s="64"/>
      <c r="B620" s="67">
        <v>1</v>
      </c>
      <c r="C620" s="64" t="s">
        <v>863</v>
      </c>
      <c r="D620" s="66" t="s">
        <v>501</v>
      </c>
      <c r="E620" s="73"/>
      <c r="F620" s="67"/>
      <c r="G620" s="67">
        <f>Source!U162</f>
        <v>0.93472</v>
      </c>
      <c r="H620" s="67"/>
      <c r="I620" s="67"/>
      <c r="J620" s="67"/>
      <c r="K620" s="67"/>
      <c r="L620" s="74">
        <f>SUM(L621:L621)-SUMIF(CE621:CE621, 1, L621:L621)</f>
        <v>324.74</v>
      </c>
    </row>
    <row r="621" spans="1:83" ht="14.4" x14ac:dyDescent="0.25">
      <c r="A621" s="65"/>
      <c r="B621" s="65" t="s">
        <v>612</v>
      </c>
      <c r="C621" s="65" t="s">
        <v>613</v>
      </c>
      <c r="D621" s="66" t="s">
        <v>501</v>
      </c>
      <c r="E621" s="67">
        <v>2.54</v>
      </c>
      <c r="F621" s="67">
        <f>ROUND((0.15+1)*2,7)</f>
        <v>2.2999999999999998</v>
      </c>
      <c r="G621" s="67">
        <f>SmtRes!CX152</f>
        <v>0.93472</v>
      </c>
      <c r="H621" s="69"/>
      <c r="I621" s="68"/>
      <c r="J621" s="69">
        <f>SmtRes!CZ152</f>
        <v>347.42</v>
      </c>
      <c r="K621" s="68"/>
      <c r="L621" s="69">
        <f>SmtRes!DI152</f>
        <v>324.74</v>
      </c>
    </row>
    <row r="622" spans="1:83" ht="14.4" x14ac:dyDescent="0.25">
      <c r="A622" s="64"/>
      <c r="B622" s="67">
        <v>2</v>
      </c>
      <c r="C622" s="64" t="s">
        <v>875</v>
      </c>
      <c r="D622" s="66"/>
      <c r="E622" s="73"/>
      <c r="F622" s="67"/>
      <c r="G622" s="67"/>
      <c r="H622" s="67"/>
      <c r="I622" s="67"/>
      <c r="J622" s="67"/>
      <c r="K622" s="67"/>
      <c r="L622" s="74">
        <f>SUM(L623:L629)-SUMIF(CE623:CE629, 1, L623:L629)</f>
        <v>14.509999999999998</v>
      </c>
    </row>
    <row r="623" spans="1:83" ht="14.4" x14ac:dyDescent="0.25">
      <c r="A623" s="64"/>
      <c r="B623" s="67"/>
      <c r="C623" s="64" t="s">
        <v>877</v>
      </c>
      <c r="D623" s="66" t="s">
        <v>501</v>
      </c>
      <c r="E623" s="73"/>
      <c r="F623" s="67"/>
      <c r="G623" s="67">
        <f>Source!V162</f>
        <v>1.472E-2</v>
      </c>
      <c r="H623" s="67"/>
      <c r="I623" s="67"/>
      <c r="J623" s="67"/>
      <c r="K623" s="67"/>
      <c r="L623" s="74">
        <f>SUMIF(CE624:CE629, 1, L624:L629)</f>
        <v>5.6199999999999992</v>
      </c>
      <c r="CE623">
        <v>1</v>
      </c>
    </row>
    <row r="624" spans="1:83" ht="27.6" x14ac:dyDescent="0.25">
      <c r="A624" s="65"/>
      <c r="B624" s="65" t="s">
        <v>659</v>
      </c>
      <c r="C624" s="65" t="s">
        <v>661</v>
      </c>
      <c r="D624" s="66" t="s">
        <v>509</v>
      </c>
      <c r="E624" s="67">
        <v>0.01</v>
      </c>
      <c r="F624" s="67">
        <f t="shared" ref="F624:F629" si="6">ROUND((0.15+1)*2,7)</f>
        <v>2.2999999999999998</v>
      </c>
      <c r="G624" s="67">
        <f>SmtRes!CX154</f>
        <v>3.6800000000000001E-3</v>
      </c>
      <c r="H624" s="69">
        <f>SmtRes!CZ154</f>
        <v>6.62</v>
      </c>
      <c r="I624" s="68">
        <f>SmtRes!AJ154</f>
        <v>1.52</v>
      </c>
      <c r="J624" s="69">
        <f>ROUND(H624*I624, 2)</f>
        <v>10.06</v>
      </c>
      <c r="K624" s="68"/>
      <c r="L624" s="69">
        <f>SmtRes!DG154</f>
        <v>0.04</v>
      </c>
    </row>
    <row r="625" spans="1:101" ht="69" x14ac:dyDescent="0.25">
      <c r="A625" s="65"/>
      <c r="B625" s="65" t="s">
        <v>662</v>
      </c>
      <c r="C625" s="65" t="s">
        <v>664</v>
      </c>
      <c r="D625" s="66" t="s">
        <v>509</v>
      </c>
      <c r="E625" s="67">
        <v>0.01</v>
      </c>
      <c r="F625" s="67">
        <f t="shared" si="6"/>
        <v>2.2999999999999998</v>
      </c>
      <c r="G625" s="67">
        <f>SmtRes!CX155</f>
        <v>3.6800000000000001E-3</v>
      </c>
      <c r="H625" s="69"/>
      <c r="I625" s="68"/>
      <c r="J625" s="69">
        <f>SmtRes!CZ155</f>
        <v>1569.2</v>
      </c>
      <c r="K625" s="68"/>
      <c r="L625" s="69">
        <f>SmtRes!DG155</f>
        <v>5.77</v>
      </c>
    </row>
    <row r="626" spans="1:101" ht="27.6" x14ac:dyDescent="0.25">
      <c r="A626" s="65"/>
      <c r="B626" s="65" t="s">
        <v>510</v>
      </c>
      <c r="C626" s="65" t="s">
        <v>876</v>
      </c>
      <c r="D626" s="66" t="s">
        <v>501</v>
      </c>
      <c r="E626" s="67">
        <f>SmtRes!DO155*SmtRes!AT155</f>
        <v>0.01</v>
      </c>
      <c r="F626" s="67">
        <f t="shared" si="6"/>
        <v>2.2999999999999998</v>
      </c>
      <c r="G626" s="67">
        <f>ROUND(E626*F626*G618, 7)</f>
        <v>3.6800000000000001E-3</v>
      </c>
      <c r="H626" s="69"/>
      <c r="I626" s="68"/>
      <c r="J626" s="69">
        <f>ROUND(SmtRes!AG155/SmtRes!DO155, 2)</f>
        <v>422.95</v>
      </c>
      <c r="K626" s="68"/>
      <c r="L626" s="69">
        <f>SmtRes!DH155</f>
        <v>1.56</v>
      </c>
      <c r="CE626">
        <v>1</v>
      </c>
    </row>
    <row r="627" spans="1:101" ht="27.6" x14ac:dyDescent="0.25">
      <c r="A627" s="65"/>
      <c r="B627" s="65" t="s">
        <v>527</v>
      </c>
      <c r="C627" s="65" t="s">
        <v>529</v>
      </c>
      <c r="D627" s="66" t="s">
        <v>509</v>
      </c>
      <c r="E627" s="67">
        <v>0.03</v>
      </c>
      <c r="F627" s="67">
        <f t="shared" si="6"/>
        <v>2.2999999999999998</v>
      </c>
      <c r="G627" s="67">
        <f>SmtRes!CX156</f>
        <v>1.1039999999999999E-2</v>
      </c>
      <c r="H627" s="69"/>
      <c r="I627" s="68"/>
      <c r="J627" s="69">
        <f>SmtRes!CZ156</f>
        <v>551.45000000000005</v>
      </c>
      <c r="K627" s="68"/>
      <c r="L627" s="69">
        <f>SmtRes!DG156</f>
        <v>6.09</v>
      </c>
    </row>
    <row r="628" spans="1:101" ht="27.6" x14ac:dyDescent="0.25">
      <c r="A628" s="65"/>
      <c r="B628" s="65" t="s">
        <v>522</v>
      </c>
      <c r="C628" s="65" t="s">
        <v>887</v>
      </c>
      <c r="D628" s="66" t="s">
        <v>501</v>
      </c>
      <c r="E628" s="67">
        <f>SmtRes!DO156*SmtRes!AT156</f>
        <v>0.03</v>
      </c>
      <c r="F628" s="67">
        <f t="shared" si="6"/>
        <v>2.2999999999999998</v>
      </c>
      <c r="G628" s="67">
        <f>ROUND(E628*F628*G618, 7)</f>
        <v>1.1039999999999999E-2</v>
      </c>
      <c r="H628" s="69"/>
      <c r="I628" s="68"/>
      <c r="J628" s="69">
        <f>ROUND(SmtRes!AG156/SmtRes!DO156, 2)</f>
        <v>368.02</v>
      </c>
      <c r="K628" s="68"/>
      <c r="L628" s="69">
        <f>SmtRes!DH156</f>
        <v>4.0599999999999996</v>
      </c>
      <c r="CE628">
        <v>1</v>
      </c>
    </row>
    <row r="629" spans="1:101" ht="41.4" x14ac:dyDescent="0.25">
      <c r="A629" s="65"/>
      <c r="B629" s="65" t="s">
        <v>665</v>
      </c>
      <c r="C629" s="65" t="s">
        <v>667</v>
      </c>
      <c r="D629" s="66" t="s">
        <v>509</v>
      </c>
      <c r="E629" s="67">
        <v>1.1200000000000001</v>
      </c>
      <c r="F629" s="67">
        <f t="shared" si="6"/>
        <v>2.2999999999999998</v>
      </c>
      <c r="G629" s="67">
        <f>SmtRes!CX157</f>
        <v>0.41216000000000003</v>
      </c>
      <c r="H629" s="69">
        <f>SmtRes!CZ157</f>
        <v>4.5199999999999996</v>
      </c>
      <c r="I629" s="68">
        <f>SmtRes!AJ157</f>
        <v>1.4</v>
      </c>
      <c r="J629" s="69">
        <f>ROUND(H629*I629, 2)</f>
        <v>6.33</v>
      </c>
      <c r="K629" s="68"/>
      <c r="L629" s="69">
        <f>SmtRes!DG157</f>
        <v>2.61</v>
      </c>
    </row>
    <row r="630" spans="1:101" ht="14.4" x14ac:dyDescent="0.25">
      <c r="A630" s="64"/>
      <c r="B630" s="67">
        <v>4</v>
      </c>
      <c r="C630" s="64" t="s">
        <v>893</v>
      </c>
      <c r="D630" s="66"/>
      <c r="E630" s="73"/>
      <c r="F630" s="67"/>
      <c r="G630" s="67"/>
      <c r="H630" s="67"/>
      <c r="I630" s="67"/>
      <c r="J630" s="67"/>
      <c r="K630" s="67"/>
      <c r="L630" s="74">
        <f>SUM(L631:L632)-SUMIF(CE631:CE632, 1, L631:L632)</f>
        <v>1506.1200000000001</v>
      </c>
    </row>
    <row r="631" spans="1:101" ht="14.4" x14ac:dyDescent="0.25">
      <c r="A631" s="65"/>
      <c r="B631" s="65" t="s">
        <v>372</v>
      </c>
      <c r="C631" s="65" t="s">
        <v>373</v>
      </c>
      <c r="D631" s="66" t="s">
        <v>174</v>
      </c>
      <c r="E631" s="67">
        <v>1.7999999999999999E-2</v>
      </c>
      <c r="F631" s="67">
        <f>ROUND(2,7)</f>
        <v>2</v>
      </c>
      <c r="G631" s="67">
        <f>SmtRes!CX158</f>
        <v>5.7600000000000004E-3</v>
      </c>
      <c r="H631" s="69">
        <f>SmtRes!CZ158</f>
        <v>130472.1</v>
      </c>
      <c r="I631" s="68">
        <f>SmtRes!AI158</f>
        <v>1.91</v>
      </c>
      <c r="J631" s="69">
        <f>ROUND(H631*I631, 2)</f>
        <v>249201.71</v>
      </c>
      <c r="K631" s="68"/>
      <c r="L631" s="69">
        <f>SmtRes!DF158</f>
        <v>1435.4</v>
      </c>
    </row>
    <row r="632" spans="1:101" ht="27.6" x14ac:dyDescent="0.25">
      <c r="A632" s="65"/>
      <c r="B632" s="65" t="s">
        <v>376</v>
      </c>
      <c r="C632" s="75" t="s">
        <v>377</v>
      </c>
      <c r="D632" s="76" t="s">
        <v>174</v>
      </c>
      <c r="E632" s="77">
        <v>2E-3</v>
      </c>
      <c r="F632" s="77">
        <f>ROUND(2,7)</f>
        <v>2</v>
      </c>
      <c r="G632" s="77">
        <f>SmtRes!CX159</f>
        <v>6.4000000000000005E-4</v>
      </c>
      <c r="H632" s="78">
        <f>SmtRes!CZ159</f>
        <v>74165.73</v>
      </c>
      <c r="I632" s="79">
        <f>SmtRes!AI159</f>
        <v>1.49</v>
      </c>
      <c r="J632" s="78">
        <f>ROUND(H632*I632, 2)</f>
        <v>110506.94</v>
      </c>
      <c r="K632" s="79"/>
      <c r="L632" s="78">
        <f>SmtRes!DF159</f>
        <v>70.72</v>
      </c>
    </row>
    <row r="633" spans="1:101" ht="14.4" x14ac:dyDescent="0.25">
      <c r="A633" s="65"/>
      <c r="B633" s="65"/>
      <c r="C633" s="81" t="s">
        <v>864</v>
      </c>
      <c r="D633" s="66"/>
      <c r="E633" s="67"/>
      <c r="F633" s="67"/>
      <c r="G633" s="67"/>
      <c r="H633" s="69"/>
      <c r="I633" s="68"/>
      <c r="J633" s="69"/>
      <c r="K633" s="68"/>
      <c r="L633" s="69">
        <f>L620+L622+L623+L630</f>
        <v>1850.9900000000002</v>
      </c>
    </row>
    <row r="634" spans="1:101" ht="14.4" x14ac:dyDescent="0.25">
      <c r="A634" s="65"/>
      <c r="B634" s="65"/>
      <c r="C634" s="65" t="s">
        <v>865</v>
      </c>
      <c r="D634" s="66"/>
      <c r="E634" s="67"/>
      <c r="F634" s="67"/>
      <c r="G634" s="67"/>
      <c r="H634" s="69"/>
      <c r="I634" s="68"/>
      <c r="J634" s="69"/>
      <c r="K634" s="68"/>
      <c r="L634" s="69">
        <f>SUM(AR618:AR637)+SUM(AS618:AS637)+SUM(AT618:AT637)+SUM(AU618:AU637)+SUM(AV618:AV637)</f>
        <v>330.36</v>
      </c>
    </row>
    <row r="635" spans="1:101" ht="27.6" x14ac:dyDescent="0.25">
      <c r="A635" s="65"/>
      <c r="B635" s="65" t="s">
        <v>293</v>
      </c>
      <c r="C635" s="65" t="s">
        <v>956</v>
      </c>
      <c r="D635" s="66" t="s">
        <v>761</v>
      </c>
      <c r="E635" s="67">
        <f>Source!BZ162</f>
        <v>94</v>
      </c>
      <c r="F635" s="67"/>
      <c r="G635" s="67">
        <f>Source!AT162</f>
        <v>94</v>
      </c>
      <c r="H635" s="69"/>
      <c r="I635" s="68"/>
      <c r="J635" s="69"/>
      <c r="K635" s="68"/>
      <c r="L635" s="69">
        <f>SUM(AZ618:AZ637)</f>
        <v>310.54000000000002</v>
      </c>
    </row>
    <row r="636" spans="1:101" ht="27.6" x14ac:dyDescent="0.25">
      <c r="A636" s="75"/>
      <c r="B636" s="75" t="s">
        <v>294</v>
      </c>
      <c r="C636" s="75" t="s">
        <v>957</v>
      </c>
      <c r="D636" s="76" t="s">
        <v>761</v>
      </c>
      <c r="E636" s="77">
        <f>Source!CA162</f>
        <v>51</v>
      </c>
      <c r="F636" s="77"/>
      <c r="G636" s="77">
        <f>Source!AU162</f>
        <v>51</v>
      </c>
      <c r="H636" s="78"/>
      <c r="I636" s="79"/>
      <c r="J636" s="78"/>
      <c r="K636" s="79"/>
      <c r="L636" s="78">
        <f>SUM(BA618:BA637)</f>
        <v>168.48</v>
      </c>
    </row>
    <row r="637" spans="1:101" ht="13.8" x14ac:dyDescent="0.25">
      <c r="C637" s="127" t="s">
        <v>868</v>
      </c>
      <c r="D637" s="127"/>
      <c r="E637" s="127"/>
      <c r="F637" s="127"/>
      <c r="G637" s="127"/>
      <c r="H637" s="127"/>
      <c r="I637" s="128">
        <f>IF(E618&lt;&gt;0,K637/E618, 0)</f>
        <v>14562.562500000002</v>
      </c>
      <c r="J637" s="128"/>
      <c r="K637" s="128">
        <f>L620+L622+L630+L635+L636+L623</f>
        <v>2330.0100000000002</v>
      </c>
      <c r="L637" s="128"/>
      <c r="AD637">
        <f>ROUND((Source!AT162/100)*((ROUND(SUMIF(SmtRes!AQ152:'SmtRes'!AQ159,"=1",SmtRes!AD152:'SmtRes'!AD159)*Source!I162, 2)+ROUND(SUMIF(SmtRes!AQ152:'SmtRes'!AQ159,"=1",SmtRes!AC152:'SmtRes'!AC159)*Source!I162, 2))), 2)</f>
        <v>171.22</v>
      </c>
      <c r="AE637">
        <f>ROUND((Source!AU162/100)*((ROUND(SUMIF(SmtRes!AQ152:'SmtRes'!AQ159,"=1",SmtRes!AD152:'SmtRes'!AD159)*Source!I162, 2)+ROUND(SUMIF(SmtRes!AQ152:'SmtRes'!AQ159,"=1",SmtRes!AC152:'SmtRes'!AC159)*Source!I162, 2))), 2)</f>
        <v>92.9</v>
      </c>
      <c r="AN637" s="80">
        <f>L620+L622+L630+L635+L636+L623</f>
        <v>2330.0100000000002</v>
      </c>
      <c r="AO637" s="80">
        <f>L622</f>
        <v>14.509999999999998</v>
      </c>
      <c r="AQ637" t="s">
        <v>869</v>
      </c>
      <c r="AR637" s="80">
        <f>L620</f>
        <v>324.74</v>
      </c>
      <c r="AT637" s="80">
        <f>L623</f>
        <v>5.6199999999999992</v>
      </c>
      <c r="AV637" t="s">
        <v>869</v>
      </c>
      <c r="AW637" s="80">
        <f>L630</f>
        <v>1506.1200000000001</v>
      </c>
      <c r="AZ637">
        <f>Source!X162</f>
        <v>310.54000000000002</v>
      </c>
      <c r="BA637">
        <f>Source!Y162</f>
        <v>168.48</v>
      </c>
      <c r="CD637">
        <v>1</v>
      </c>
    </row>
    <row r="638" spans="1:101" ht="55.2" x14ac:dyDescent="0.25">
      <c r="A638" s="63" t="s">
        <v>295</v>
      </c>
      <c r="B638" s="65" t="s">
        <v>958</v>
      </c>
      <c r="C638" s="65" t="str">
        <f>Source!G163</f>
        <v>Изоляция трубопроводов: матами минераловатными, плитами минераловатными на синтетическом связующем</v>
      </c>
      <c r="D638" s="66" t="str">
        <f>Source!H163</f>
        <v>м3</v>
      </c>
      <c r="E638" s="67">
        <f>Source!K163</f>
        <v>1.2</v>
      </c>
      <c r="F638" s="67"/>
      <c r="G638" s="67">
        <f>Source!I163</f>
        <v>1.2</v>
      </c>
      <c r="H638" s="69"/>
      <c r="I638" s="68"/>
      <c r="J638" s="69"/>
      <c r="K638" s="68"/>
      <c r="L638" s="69"/>
    </row>
    <row r="639" spans="1:101" ht="39.6" x14ac:dyDescent="0.25">
      <c r="B639" s="70" t="s">
        <v>788</v>
      </c>
      <c r="C639" s="129" t="s">
        <v>871</v>
      </c>
      <c r="D639" s="129"/>
      <c r="E639" s="129"/>
      <c r="F639" s="129"/>
      <c r="G639" s="129"/>
      <c r="H639" s="129"/>
      <c r="I639" s="129"/>
      <c r="J639" s="129"/>
      <c r="K639" s="129"/>
      <c r="L639" s="129"/>
      <c r="CW639" s="71" t="s">
        <v>871</v>
      </c>
    </row>
    <row r="640" spans="1:101" ht="14.4" x14ac:dyDescent="0.25">
      <c r="A640" s="64"/>
      <c r="B640" s="67">
        <v>1</v>
      </c>
      <c r="C640" s="64" t="s">
        <v>863</v>
      </c>
      <c r="D640" s="66" t="s">
        <v>501</v>
      </c>
      <c r="E640" s="73"/>
      <c r="F640" s="67"/>
      <c r="G640" s="67">
        <f>Source!U163</f>
        <v>19.32</v>
      </c>
      <c r="H640" s="67"/>
      <c r="I640" s="67"/>
      <c r="J640" s="67"/>
      <c r="K640" s="67"/>
      <c r="L640" s="74">
        <f>SUM(L641:L641)-SUMIF(CE641:CE641, 1, L641:L641)</f>
        <v>7216.21</v>
      </c>
    </row>
    <row r="641" spans="1:83" ht="14.4" x14ac:dyDescent="0.25">
      <c r="A641" s="65"/>
      <c r="B641" s="65" t="s">
        <v>589</v>
      </c>
      <c r="C641" s="65" t="s">
        <v>590</v>
      </c>
      <c r="D641" s="66" t="s">
        <v>501</v>
      </c>
      <c r="E641" s="67">
        <v>14</v>
      </c>
      <c r="F641" s="67">
        <f>ROUND((0.15+1),7)</f>
        <v>1.1499999999999999</v>
      </c>
      <c r="G641" s="67">
        <f>SmtRes!CX160</f>
        <v>19.32</v>
      </c>
      <c r="H641" s="69"/>
      <c r="I641" s="68"/>
      <c r="J641" s="69">
        <f>SmtRes!CZ160</f>
        <v>373.51</v>
      </c>
      <c r="K641" s="68"/>
      <c r="L641" s="69">
        <f>SmtRes!DI160</f>
        <v>7216.21</v>
      </c>
    </row>
    <row r="642" spans="1:83" ht="14.4" x14ac:dyDescent="0.25">
      <c r="A642" s="64"/>
      <c r="B642" s="67">
        <v>2</v>
      </c>
      <c r="C642" s="64" t="s">
        <v>875</v>
      </c>
      <c r="D642" s="66"/>
      <c r="E642" s="73"/>
      <c r="F642" s="67"/>
      <c r="G642" s="67"/>
      <c r="H642" s="67"/>
      <c r="I642" s="67"/>
      <c r="J642" s="67"/>
      <c r="K642" s="67"/>
      <c r="L642" s="74">
        <f>SUM(L643:L646)-SUMIF(CE643:CE646, 1, L643:L646)</f>
        <v>477.80999999999995</v>
      </c>
    </row>
    <row r="643" spans="1:83" ht="14.4" x14ac:dyDescent="0.25">
      <c r="A643" s="64"/>
      <c r="B643" s="67"/>
      <c r="C643" s="64" t="s">
        <v>877</v>
      </c>
      <c r="D643" s="66" t="s">
        <v>501</v>
      </c>
      <c r="E643" s="73"/>
      <c r="F643" s="67"/>
      <c r="G643" s="67">
        <f>Source!V163</f>
        <v>0.81420000000000003</v>
      </c>
      <c r="H643" s="67"/>
      <c r="I643" s="67"/>
      <c r="J643" s="67"/>
      <c r="K643" s="67"/>
      <c r="L643" s="74">
        <f>SUMIF(CE644:CE646, 1, L644:L646)</f>
        <v>299.64</v>
      </c>
      <c r="CE643">
        <v>1</v>
      </c>
    </row>
    <row r="644" spans="1:83" ht="27.6" x14ac:dyDescent="0.25">
      <c r="A644" s="65"/>
      <c r="B644" s="65" t="s">
        <v>527</v>
      </c>
      <c r="C644" s="65" t="s">
        <v>529</v>
      </c>
      <c r="D644" s="66" t="s">
        <v>509</v>
      </c>
      <c r="E644" s="67">
        <v>0.59</v>
      </c>
      <c r="F644" s="67">
        <f>ROUND((0.15+1),7)</f>
        <v>1.1499999999999999</v>
      </c>
      <c r="G644" s="67">
        <f>SmtRes!CX162</f>
        <v>0.81420000000000003</v>
      </c>
      <c r="H644" s="69"/>
      <c r="I644" s="68"/>
      <c r="J644" s="69">
        <f>SmtRes!CZ162</f>
        <v>551.45000000000005</v>
      </c>
      <c r="K644" s="68"/>
      <c r="L644" s="69">
        <f>SmtRes!DG162</f>
        <v>448.99</v>
      </c>
    </row>
    <row r="645" spans="1:83" ht="27.6" x14ac:dyDescent="0.25">
      <c r="A645" s="65"/>
      <c r="B645" s="65" t="s">
        <v>522</v>
      </c>
      <c r="C645" s="65" t="s">
        <v>887</v>
      </c>
      <c r="D645" s="66" t="s">
        <v>501</v>
      </c>
      <c r="E645" s="67">
        <f>SmtRes!DO162*SmtRes!AT162</f>
        <v>0.59</v>
      </c>
      <c r="F645" s="67">
        <f>ROUND((0.15+1),7)</f>
        <v>1.1499999999999999</v>
      </c>
      <c r="G645" s="67">
        <f>ROUND(E645*F645*G638, 7)</f>
        <v>0.81420000000000003</v>
      </c>
      <c r="H645" s="69"/>
      <c r="I645" s="68"/>
      <c r="J645" s="69">
        <f>ROUND(SmtRes!AG162/SmtRes!DO162, 2)</f>
        <v>368.02</v>
      </c>
      <c r="K645" s="68"/>
      <c r="L645" s="69">
        <f>SmtRes!DH162</f>
        <v>299.64</v>
      </c>
      <c r="CE645">
        <v>1</v>
      </c>
    </row>
    <row r="646" spans="1:83" ht="55.2" x14ac:dyDescent="0.25">
      <c r="A646" s="65"/>
      <c r="B646" s="65" t="s">
        <v>668</v>
      </c>
      <c r="C646" s="65" t="s">
        <v>670</v>
      </c>
      <c r="D646" s="66" t="s">
        <v>509</v>
      </c>
      <c r="E646" s="67">
        <v>0.63</v>
      </c>
      <c r="F646" s="67">
        <f>ROUND((0.15+1),7)</f>
        <v>1.1499999999999999</v>
      </c>
      <c r="G646" s="67">
        <f>SmtRes!CX163</f>
        <v>0.86939999999999995</v>
      </c>
      <c r="H646" s="69">
        <f>SmtRes!CZ163</f>
        <v>21.39</v>
      </c>
      <c r="I646" s="68">
        <f>SmtRes!AJ163</f>
        <v>1.55</v>
      </c>
      <c r="J646" s="69">
        <f>ROUND(H646*I646, 2)</f>
        <v>33.15</v>
      </c>
      <c r="K646" s="68"/>
      <c r="L646" s="69">
        <f>SmtRes!DG163</f>
        <v>28.82</v>
      </c>
    </row>
    <row r="647" spans="1:83" ht="14.4" x14ac:dyDescent="0.25">
      <c r="A647" s="64"/>
      <c r="B647" s="67">
        <v>4</v>
      </c>
      <c r="C647" s="64" t="s">
        <v>893</v>
      </c>
      <c r="D647" s="66"/>
      <c r="E647" s="73"/>
      <c r="F647" s="67"/>
      <c r="G647" s="67"/>
      <c r="H647" s="67"/>
      <c r="I647" s="67"/>
      <c r="J647" s="67"/>
      <c r="K647" s="67"/>
      <c r="L647" s="74">
        <f>SUM(L648:L653)-SUMIF(CE648:CE653, 1, L648:L653)</f>
        <v>2143.71</v>
      </c>
    </row>
    <row r="648" spans="1:83" ht="69" x14ac:dyDescent="0.25">
      <c r="A648" s="65"/>
      <c r="B648" s="65" t="s">
        <v>671</v>
      </c>
      <c r="C648" s="65" t="s">
        <v>673</v>
      </c>
      <c r="D648" s="66" t="s">
        <v>174</v>
      </c>
      <c r="E648" s="67">
        <v>4.0000000000000003E-5</v>
      </c>
      <c r="F648" s="67"/>
      <c r="G648" s="67">
        <f>SmtRes!CX164</f>
        <v>4.8000000000000001E-5</v>
      </c>
      <c r="H648" s="69">
        <f>SmtRes!CZ164</f>
        <v>263215.45</v>
      </c>
      <c r="I648" s="68">
        <f>SmtRes!AI164</f>
        <v>1.32</v>
      </c>
      <c r="J648" s="69">
        <f>ROUND(H648*I648, 2)</f>
        <v>347444.39</v>
      </c>
      <c r="K648" s="68"/>
      <c r="L648" s="69">
        <f>SmtRes!DF164</f>
        <v>16.68</v>
      </c>
    </row>
    <row r="649" spans="1:83" ht="41.4" x14ac:dyDescent="0.25">
      <c r="A649" s="65"/>
      <c r="B649" s="65" t="s">
        <v>674</v>
      </c>
      <c r="C649" s="65" t="s">
        <v>676</v>
      </c>
      <c r="D649" s="66" t="s">
        <v>174</v>
      </c>
      <c r="E649" s="67">
        <v>1.06E-2</v>
      </c>
      <c r="F649" s="67"/>
      <c r="G649" s="67">
        <f>SmtRes!CX165</f>
        <v>1.272E-2</v>
      </c>
      <c r="H649" s="69">
        <f>SmtRes!CZ165</f>
        <v>89073.2</v>
      </c>
      <c r="I649" s="68">
        <f>SmtRes!AI165</f>
        <v>0.71</v>
      </c>
      <c r="J649" s="69">
        <f>ROUND(H649*I649, 2)</f>
        <v>63241.97</v>
      </c>
      <c r="K649" s="68"/>
      <c r="L649" s="69">
        <f>SmtRes!DF165</f>
        <v>804.44</v>
      </c>
    </row>
    <row r="650" spans="1:83" ht="41.4" x14ac:dyDescent="0.25">
      <c r="A650" s="65"/>
      <c r="B650" s="65" t="s">
        <v>677</v>
      </c>
      <c r="C650" s="65" t="s">
        <v>679</v>
      </c>
      <c r="D650" s="66" t="s">
        <v>174</v>
      </c>
      <c r="E650" s="67">
        <v>5.2999999999999998E-4</v>
      </c>
      <c r="F650" s="67"/>
      <c r="G650" s="67">
        <f>SmtRes!CX166</f>
        <v>6.3599999999999996E-4</v>
      </c>
      <c r="H650" s="69">
        <f>SmtRes!CZ166</f>
        <v>129575.7</v>
      </c>
      <c r="I650" s="68">
        <f>SmtRes!AI166</f>
        <v>0.87</v>
      </c>
      <c r="J650" s="69">
        <f>ROUND(H650*I650, 2)</f>
        <v>112730.86</v>
      </c>
      <c r="K650" s="68"/>
      <c r="L650" s="69">
        <f>SmtRes!DF166</f>
        <v>71.7</v>
      </c>
    </row>
    <row r="651" spans="1:83" ht="41.4" x14ac:dyDescent="0.25">
      <c r="A651" s="65"/>
      <c r="B651" s="65" t="s">
        <v>680</v>
      </c>
      <c r="C651" s="65" t="s">
        <v>682</v>
      </c>
      <c r="D651" s="66" t="s">
        <v>174</v>
      </c>
      <c r="E651" s="67">
        <v>1.01E-3</v>
      </c>
      <c r="F651" s="67"/>
      <c r="G651" s="67">
        <f>SmtRes!CX167</f>
        <v>1.212E-3</v>
      </c>
      <c r="H651" s="69">
        <f>SmtRes!CZ167</f>
        <v>87245.7</v>
      </c>
      <c r="I651" s="68">
        <f>SmtRes!AI167</f>
        <v>0.87</v>
      </c>
      <c r="J651" s="69">
        <f>ROUND(H651*I651, 2)</f>
        <v>75903.759999999995</v>
      </c>
      <c r="K651" s="68"/>
      <c r="L651" s="69">
        <f>SmtRes!DF167</f>
        <v>92</v>
      </c>
    </row>
    <row r="652" spans="1:83" ht="27.6" x14ac:dyDescent="0.25">
      <c r="A652" s="65"/>
      <c r="B652" s="65" t="s">
        <v>683</v>
      </c>
      <c r="C652" s="65" t="s">
        <v>685</v>
      </c>
      <c r="D652" s="66" t="s">
        <v>174</v>
      </c>
      <c r="E652" s="67">
        <v>1.35E-2</v>
      </c>
      <c r="F652" s="67"/>
      <c r="G652" s="67">
        <f>SmtRes!CX168</f>
        <v>1.6199999999999999E-2</v>
      </c>
      <c r="H652" s="69"/>
      <c r="I652" s="68"/>
      <c r="J652" s="69">
        <f>SmtRes!CZ168</f>
        <v>70048.22</v>
      </c>
      <c r="K652" s="68"/>
      <c r="L652" s="69">
        <f>SmtRes!DF168</f>
        <v>1134.78</v>
      </c>
    </row>
    <row r="653" spans="1:83" ht="27.6" x14ac:dyDescent="0.25">
      <c r="A653" s="65"/>
      <c r="B653" s="65" t="s">
        <v>686</v>
      </c>
      <c r="C653" s="65" t="s">
        <v>688</v>
      </c>
      <c r="D653" s="66" t="s">
        <v>314</v>
      </c>
      <c r="E653" s="67">
        <v>0.5</v>
      </c>
      <c r="F653" s="67"/>
      <c r="G653" s="67">
        <f>SmtRes!CX169</f>
        <v>0.6</v>
      </c>
      <c r="H653" s="69">
        <f>SmtRes!CZ169</f>
        <v>36.200000000000003</v>
      </c>
      <c r="I653" s="68">
        <f>SmtRes!AI169</f>
        <v>1.1100000000000001</v>
      </c>
      <c r="J653" s="69">
        <f>ROUND(H653*I653, 2)</f>
        <v>40.18</v>
      </c>
      <c r="K653" s="68"/>
      <c r="L653" s="69">
        <f>SmtRes!DF169</f>
        <v>24.11</v>
      </c>
    </row>
    <row r="654" spans="1:83" ht="14.4" x14ac:dyDescent="0.25">
      <c r="A654" s="65"/>
      <c r="B654" s="65" t="str">
        <f>EtalonRes!I176</f>
        <v>10.1.02.02</v>
      </c>
      <c r="C654" s="65" t="str">
        <f>EtalonRes!K176</f>
        <v>Листы алюминиевые, толщина 1,0 мм</v>
      </c>
      <c r="D654" s="66" t="str">
        <f>EtalonRes!O176</f>
        <v>кг</v>
      </c>
      <c r="E654" s="67">
        <f>EtalonRes!X176</f>
        <v>0.78</v>
      </c>
      <c r="F654" s="67"/>
      <c r="G654" s="67">
        <f>ROUND(EtalonRes!AG176*Source!I163, 7)</f>
        <v>0.93600000000000005</v>
      </c>
      <c r="H654" s="69"/>
      <c r="I654" s="68"/>
      <c r="J654" s="69"/>
      <c r="K654" s="68"/>
      <c r="L654" s="69"/>
    </row>
    <row r="655" spans="1:83" ht="14.4" x14ac:dyDescent="0.25">
      <c r="A655" s="65"/>
      <c r="B655" s="65" t="str">
        <f>EtalonRes!I178</f>
        <v>12.2.04.04</v>
      </c>
      <c r="C655" s="75" t="str">
        <f>EtalonRes!K178</f>
        <v>Материалы теплоизоляционные</v>
      </c>
      <c r="D655" s="76" t="str">
        <f>EtalonRes!O178</f>
        <v>м3</v>
      </c>
      <c r="E655" s="77">
        <f>EtalonRes!X178</f>
        <v>1.08</v>
      </c>
      <c r="F655" s="77"/>
      <c r="G655" s="77">
        <f>ROUND(EtalonRes!AG178*Source!I163, 7)</f>
        <v>1.296</v>
      </c>
      <c r="H655" s="78"/>
      <c r="I655" s="79"/>
      <c r="J655" s="78"/>
      <c r="K655" s="79"/>
      <c r="L655" s="78"/>
    </row>
    <row r="656" spans="1:83" ht="14.4" x14ac:dyDescent="0.25">
      <c r="A656" s="65"/>
      <c r="B656" s="65"/>
      <c r="C656" s="81" t="s">
        <v>864</v>
      </c>
      <c r="D656" s="66"/>
      <c r="E656" s="67"/>
      <c r="F656" s="67"/>
      <c r="G656" s="67"/>
      <c r="H656" s="69"/>
      <c r="I656" s="68"/>
      <c r="J656" s="69"/>
      <c r="K656" s="68"/>
      <c r="L656" s="69">
        <f>L640+L642+L643+L647</f>
        <v>10137.370000000001</v>
      </c>
    </row>
    <row r="657" spans="1:101" ht="41.4" x14ac:dyDescent="0.25">
      <c r="A657" s="63" t="s">
        <v>959</v>
      </c>
      <c r="B657" s="65" t="str">
        <f>Source!F164</f>
        <v>12.2.04.04-0001</v>
      </c>
      <c r="C657" s="65" t="str">
        <f>Source!G164</f>
        <v>Маты прошивные теплоизоляционные из минеральной ваты, без обкладок, марка 100 (МП-100)</v>
      </c>
      <c r="D657" s="66" t="str">
        <f>Source!H164</f>
        <v>м3</v>
      </c>
      <c r="E657" s="67">
        <f>SmtRes!AT170</f>
        <v>1.08</v>
      </c>
      <c r="F657" s="67"/>
      <c r="G657" s="67">
        <f>Source!I164</f>
        <v>1.296</v>
      </c>
      <c r="H657" s="69">
        <f>Source!AL164+Source!AO164+Source!AM164+Source!AN164</f>
        <v>3097.75</v>
      </c>
      <c r="I657" s="68">
        <f>IF(Source!BC164&lt;&gt; 0, Source!BC164, 1)</f>
        <v>1.43</v>
      </c>
      <c r="J657" s="69">
        <f>ROUND(H657*I657, 2)</f>
        <v>4429.78</v>
      </c>
      <c r="K657" s="68"/>
      <c r="L657" s="69">
        <f>Source!P164</f>
        <v>5740.99</v>
      </c>
      <c r="AD657">
        <f>ROUND((Source!AT164/100)*((ROUND(ROUND(Source!AO164,2)*Source!I164, 2)+ROUND(ROUND(Source!AN164,2)*Source!I164, 2))), 2)</f>
        <v>0</v>
      </c>
      <c r="AE657">
        <f>ROUND((Source!AU164/100)*((ROUND(ROUND(Source!AO164,2)*Source!I164, 2)+ROUND(ROUND(Source!AN164,2)*Source!I164, 2))), 2)</f>
        <v>0</v>
      </c>
      <c r="AN657">
        <f>L657</f>
        <v>5740.99</v>
      </c>
      <c r="AW657">
        <f>L657</f>
        <v>5740.99</v>
      </c>
      <c r="AZ657">
        <f>Source!X164</f>
        <v>0</v>
      </c>
      <c r="BA657">
        <f>Source!Y164</f>
        <v>0</v>
      </c>
      <c r="CD657">
        <v>1</v>
      </c>
    </row>
    <row r="658" spans="1:101" ht="14.4" x14ac:dyDescent="0.25">
      <c r="A658" s="65"/>
      <c r="B658" s="65"/>
      <c r="C658" s="65" t="s">
        <v>865</v>
      </c>
      <c r="D658" s="66"/>
      <c r="E658" s="67"/>
      <c r="F658" s="67"/>
      <c r="G658" s="67"/>
      <c r="H658" s="69"/>
      <c r="I658" s="68"/>
      <c r="J658" s="69"/>
      <c r="K658" s="68"/>
      <c r="L658" s="69">
        <f>SUM(AR638:AR661)+SUM(AS638:AS661)+SUM(AT638:AT661)+SUM(AU638:AU661)+SUM(AV638:AV661)</f>
        <v>7515.85</v>
      </c>
    </row>
    <row r="659" spans="1:101" ht="14.4" x14ac:dyDescent="0.25">
      <c r="A659" s="65"/>
      <c r="B659" s="65" t="s">
        <v>301</v>
      </c>
      <c r="C659" s="65" t="s">
        <v>960</v>
      </c>
      <c r="D659" s="66" t="s">
        <v>761</v>
      </c>
      <c r="E659" s="67">
        <f>Source!BZ163</f>
        <v>97</v>
      </c>
      <c r="F659" s="67"/>
      <c r="G659" s="67">
        <f>Source!AT163</f>
        <v>97</v>
      </c>
      <c r="H659" s="69"/>
      <c r="I659" s="68"/>
      <c r="J659" s="69"/>
      <c r="K659" s="68"/>
      <c r="L659" s="69">
        <f>SUM(AZ638:AZ661)</f>
        <v>7290.37</v>
      </c>
    </row>
    <row r="660" spans="1:101" ht="14.4" x14ac:dyDescent="0.25">
      <c r="A660" s="75"/>
      <c r="B660" s="75" t="s">
        <v>302</v>
      </c>
      <c r="C660" s="75" t="s">
        <v>961</v>
      </c>
      <c r="D660" s="76" t="s">
        <v>761</v>
      </c>
      <c r="E660" s="77">
        <f>Source!CA163</f>
        <v>55</v>
      </c>
      <c r="F660" s="77"/>
      <c r="G660" s="77">
        <f>Source!AU163</f>
        <v>55</v>
      </c>
      <c r="H660" s="78"/>
      <c r="I660" s="79"/>
      <c r="J660" s="78"/>
      <c r="K660" s="79"/>
      <c r="L660" s="78">
        <f>SUM(BA638:BA661)</f>
        <v>4133.72</v>
      </c>
    </row>
    <row r="661" spans="1:101" ht="13.8" x14ac:dyDescent="0.25">
      <c r="C661" s="127" t="s">
        <v>868</v>
      </c>
      <c r="D661" s="127"/>
      <c r="E661" s="127"/>
      <c r="F661" s="127"/>
      <c r="G661" s="127"/>
      <c r="H661" s="127"/>
      <c r="I661" s="128">
        <f>IF(E638&lt;&gt;0,K661/E638, 0)</f>
        <v>22752.041666666664</v>
      </c>
      <c r="J661" s="128"/>
      <c r="K661" s="128">
        <f>L640+L642+L647+L659+L660+L643+SUM(L657:L657)</f>
        <v>27302.449999999997</v>
      </c>
      <c r="L661" s="128"/>
      <c r="AD661">
        <f>ROUND((Source!AT163/100)*((ROUND(SUMIF(SmtRes!AQ160:'SmtRes'!AQ170,"=1",SmtRes!AD160:'SmtRes'!AD170)*Source!I163, 2)+ROUND(SUMIF(SmtRes!AQ160:'SmtRes'!AQ170,"=1",SmtRes!AC160:'SmtRes'!AC170)*Source!I163, 2))), 2)</f>
        <v>863.14</v>
      </c>
      <c r="AE661">
        <f>ROUND((Source!AU163/100)*((ROUND(SUMIF(SmtRes!AQ160:'SmtRes'!AQ170,"=1",SmtRes!AD160:'SmtRes'!AD170)*Source!I163, 2)+ROUND(SUMIF(SmtRes!AQ160:'SmtRes'!AQ170,"=1",SmtRes!AC160:'SmtRes'!AC170)*Source!I163, 2))), 2)</f>
        <v>489.41</v>
      </c>
      <c r="AN661" s="80">
        <f>L640+L642+L647+L659+L660+L643</f>
        <v>21561.46</v>
      </c>
      <c r="AO661" s="80">
        <f>L642</f>
        <v>477.80999999999995</v>
      </c>
      <c r="AQ661" t="s">
        <v>869</v>
      </c>
      <c r="AR661" s="80">
        <f>L640</f>
        <v>7216.21</v>
      </c>
      <c r="AT661" s="80">
        <f>L643</f>
        <v>299.64</v>
      </c>
      <c r="AV661" t="s">
        <v>869</v>
      </c>
      <c r="AW661" s="80">
        <f>L647</f>
        <v>2143.71</v>
      </c>
      <c r="AZ661">
        <f>Source!X163</f>
        <v>7290.37</v>
      </c>
      <c r="BA661">
        <f>Source!Y163</f>
        <v>4133.72</v>
      </c>
      <c r="CD661">
        <v>1</v>
      </c>
    </row>
    <row r="662" spans="1:101" ht="41.4" x14ac:dyDescent="0.25">
      <c r="A662" s="63" t="s">
        <v>307</v>
      </c>
      <c r="B662" s="65" t="s">
        <v>962</v>
      </c>
      <c r="C662" s="65" t="str">
        <f>Source!G165</f>
        <v>Обертывание поверхности изоляции рулонными материалами насухо с проклейкой швов</v>
      </c>
      <c r="D662" s="66" t="str">
        <f>Source!H165</f>
        <v>100 м2</v>
      </c>
      <c r="E662" s="67">
        <f>Source!K165</f>
        <v>0.36</v>
      </c>
      <c r="F662" s="67"/>
      <c r="G662" s="67">
        <f>Source!I165</f>
        <v>0.36</v>
      </c>
      <c r="H662" s="69"/>
      <c r="I662" s="68"/>
      <c r="J662" s="69"/>
      <c r="K662" s="68"/>
      <c r="L662" s="69"/>
    </row>
    <row r="663" spans="1:101" ht="39.6" x14ac:dyDescent="0.25">
      <c r="B663" s="70" t="s">
        <v>788</v>
      </c>
      <c r="C663" s="129" t="s">
        <v>871</v>
      </c>
      <c r="D663" s="129"/>
      <c r="E663" s="129"/>
      <c r="F663" s="129"/>
      <c r="G663" s="129"/>
      <c r="H663" s="129"/>
      <c r="I663" s="129"/>
      <c r="J663" s="129"/>
      <c r="K663" s="129"/>
      <c r="L663" s="129"/>
      <c r="CW663" s="71" t="s">
        <v>871</v>
      </c>
    </row>
    <row r="664" spans="1:101" ht="14.4" x14ac:dyDescent="0.25">
      <c r="A664" s="64"/>
      <c r="B664" s="67">
        <v>1</v>
      </c>
      <c r="C664" s="64" t="s">
        <v>863</v>
      </c>
      <c r="D664" s="66" t="s">
        <v>501</v>
      </c>
      <c r="E664" s="73"/>
      <c r="F664" s="67"/>
      <c r="G664" s="67">
        <f>Source!U165</f>
        <v>12.42</v>
      </c>
      <c r="H664" s="67"/>
      <c r="I664" s="67"/>
      <c r="J664" s="67"/>
      <c r="K664" s="67"/>
      <c r="L664" s="74">
        <f>SUM(L665:L665)-SUMIF(CE665:CE665, 1, L665:L665)</f>
        <v>4110.2700000000004</v>
      </c>
    </row>
    <row r="665" spans="1:101" ht="14.4" x14ac:dyDescent="0.25">
      <c r="A665" s="65"/>
      <c r="B665" s="65" t="s">
        <v>587</v>
      </c>
      <c r="C665" s="65" t="s">
        <v>588</v>
      </c>
      <c r="D665" s="66" t="s">
        <v>501</v>
      </c>
      <c r="E665" s="67">
        <v>30</v>
      </c>
      <c r="F665" s="67">
        <f>ROUND((0.15+1),7)</f>
        <v>1.1499999999999999</v>
      </c>
      <c r="G665" s="67">
        <f>SmtRes!CX171</f>
        <v>12.42</v>
      </c>
      <c r="H665" s="69"/>
      <c r="I665" s="68"/>
      <c r="J665" s="69">
        <f>SmtRes!CZ171</f>
        <v>330.94</v>
      </c>
      <c r="K665" s="68"/>
      <c r="L665" s="69">
        <f>SmtRes!DI171</f>
        <v>4110.2700000000004</v>
      </c>
    </row>
    <row r="666" spans="1:101" ht="14.4" x14ac:dyDescent="0.25">
      <c r="A666" s="64"/>
      <c r="B666" s="67">
        <v>2</v>
      </c>
      <c r="C666" s="64" t="s">
        <v>875</v>
      </c>
      <c r="D666" s="66"/>
      <c r="E666" s="73"/>
      <c r="F666" s="67"/>
      <c r="G666" s="67"/>
      <c r="H666" s="67"/>
      <c r="I666" s="67"/>
      <c r="J666" s="67"/>
      <c r="K666" s="67"/>
      <c r="L666" s="74">
        <f>SUM(L667:L671)-SUMIF(CE667:CE671, 1, L667:L671)</f>
        <v>129.88000000000002</v>
      </c>
    </row>
    <row r="667" spans="1:101" ht="14.4" x14ac:dyDescent="0.25">
      <c r="A667" s="64"/>
      <c r="B667" s="67"/>
      <c r="C667" s="64" t="s">
        <v>877</v>
      </c>
      <c r="D667" s="66" t="s">
        <v>501</v>
      </c>
      <c r="E667" s="73"/>
      <c r="F667" s="67"/>
      <c r="G667" s="67">
        <f>Source!V165</f>
        <v>0.17802000000000001</v>
      </c>
      <c r="H667" s="67"/>
      <c r="I667" s="67"/>
      <c r="J667" s="67"/>
      <c r="K667" s="67"/>
      <c r="L667" s="74">
        <f>SUMIF(CE668:CE671, 1, L668:L671)</f>
        <v>65.510000000000005</v>
      </c>
      <c r="CE667">
        <v>1</v>
      </c>
    </row>
    <row r="668" spans="1:101" ht="55.2" x14ac:dyDescent="0.25">
      <c r="A668" s="65"/>
      <c r="B668" s="65" t="s">
        <v>689</v>
      </c>
      <c r="C668" s="65" t="s">
        <v>691</v>
      </c>
      <c r="D668" s="66" t="s">
        <v>509</v>
      </c>
      <c r="E668" s="67">
        <v>0.23</v>
      </c>
      <c r="F668" s="67">
        <f>ROUND((0.15+1),7)</f>
        <v>1.1499999999999999</v>
      </c>
      <c r="G668" s="67">
        <f>SmtRes!CX173</f>
        <v>9.5219999999999999E-2</v>
      </c>
      <c r="H668" s="69">
        <f>SmtRes!CZ173</f>
        <v>95.25</v>
      </c>
      <c r="I668" s="68">
        <f>SmtRes!AJ173</f>
        <v>1.59</v>
      </c>
      <c r="J668" s="69">
        <f>ROUND(H668*I668, 2)</f>
        <v>151.44999999999999</v>
      </c>
      <c r="K668" s="68"/>
      <c r="L668" s="69">
        <f>SmtRes!DG173</f>
        <v>14.42</v>
      </c>
    </row>
    <row r="669" spans="1:101" ht="27.6" x14ac:dyDescent="0.25">
      <c r="A669" s="65"/>
      <c r="B669" s="65" t="s">
        <v>527</v>
      </c>
      <c r="C669" s="65" t="s">
        <v>529</v>
      </c>
      <c r="D669" s="66" t="s">
        <v>509</v>
      </c>
      <c r="E669" s="67">
        <v>0.43</v>
      </c>
      <c r="F669" s="67">
        <f>ROUND((0.15+1),7)</f>
        <v>1.1499999999999999</v>
      </c>
      <c r="G669" s="67">
        <f>SmtRes!CX174</f>
        <v>0.17802000000000001</v>
      </c>
      <c r="H669" s="69"/>
      <c r="I669" s="68"/>
      <c r="J669" s="69">
        <f>SmtRes!CZ174</f>
        <v>551.45000000000005</v>
      </c>
      <c r="K669" s="68"/>
      <c r="L669" s="69">
        <f>SmtRes!DG174</f>
        <v>98.17</v>
      </c>
    </row>
    <row r="670" spans="1:101" ht="27.6" x14ac:dyDescent="0.25">
      <c r="A670" s="65"/>
      <c r="B670" s="65" t="s">
        <v>522</v>
      </c>
      <c r="C670" s="65" t="s">
        <v>887</v>
      </c>
      <c r="D670" s="66" t="s">
        <v>501</v>
      </c>
      <c r="E670" s="67">
        <f>SmtRes!DO174*SmtRes!AT174</f>
        <v>0.43</v>
      </c>
      <c r="F670" s="67">
        <f>ROUND((0.15+1),7)</f>
        <v>1.1499999999999999</v>
      </c>
      <c r="G670" s="67">
        <f>ROUND(E670*F670*G662, 7)</f>
        <v>0.17802000000000001</v>
      </c>
      <c r="H670" s="69"/>
      <c r="I670" s="68"/>
      <c r="J670" s="69">
        <f>ROUND(SmtRes!AG174/SmtRes!DO174, 2)</f>
        <v>368.02</v>
      </c>
      <c r="K670" s="68"/>
      <c r="L670" s="69">
        <f>SmtRes!DH174</f>
        <v>65.510000000000005</v>
      </c>
      <c r="CE670">
        <v>1</v>
      </c>
    </row>
    <row r="671" spans="1:101" ht="55.2" x14ac:dyDescent="0.25">
      <c r="A671" s="65"/>
      <c r="B671" s="65" t="s">
        <v>668</v>
      </c>
      <c r="C671" s="65" t="s">
        <v>670</v>
      </c>
      <c r="D671" s="66" t="s">
        <v>509</v>
      </c>
      <c r="E671" s="67">
        <v>1.26</v>
      </c>
      <c r="F671" s="67">
        <f>ROUND((0.15+1),7)</f>
        <v>1.1499999999999999</v>
      </c>
      <c r="G671" s="67">
        <f>SmtRes!CX175</f>
        <v>0.52163999999999999</v>
      </c>
      <c r="H671" s="69">
        <f>SmtRes!CZ175</f>
        <v>21.39</v>
      </c>
      <c r="I671" s="68">
        <f>SmtRes!AJ175</f>
        <v>1.55</v>
      </c>
      <c r="J671" s="69">
        <f>ROUND(H671*I671, 2)</f>
        <v>33.15</v>
      </c>
      <c r="K671" s="68"/>
      <c r="L671" s="69">
        <f>SmtRes!DG175</f>
        <v>17.29</v>
      </c>
    </row>
    <row r="672" spans="1:101" ht="14.4" x14ac:dyDescent="0.25">
      <c r="A672" s="64"/>
      <c r="B672" s="67">
        <v>4</v>
      </c>
      <c r="C672" s="64" t="s">
        <v>893</v>
      </c>
      <c r="D672" s="66"/>
      <c r="E672" s="73"/>
      <c r="F672" s="67"/>
      <c r="G672" s="67"/>
      <c r="H672" s="67"/>
      <c r="I672" s="67"/>
      <c r="J672" s="67"/>
      <c r="K672" s="67"/>
      <c r="L672" s="74">
        <f>SUM(L673:L676)-SUMIF(CE673:CE676, 1, L673:L676)</f>
        <v>1698.06</v>
      </c>
    </row>
    <row r="673" spans="1:101" ht="27.6" x14ac:dyDescent="0.25">
      <c r="A673" s="65"/>
      <c r="B673" s="65" t="s">
        <v>692</v>
      </c>
      <c r="C673" s="65" t="s">
        <v>694</v>
      </c>
      <c r="D673" s="66" t="s">
        <v>174</v>
      </c>
      <c r="E673" s="67">
        <v>1.26E-2</v>
      </c>
      <c r="F673" s="67"/>
      <c r="G673" s="67">
        <f>SmtRes!CX176</f>
        <v>4.5360000000000001E-3</v>
      </c>
      <c r="H673" s="69">
        <f>SmtRes!CZ176</f>
        <v>23335.8</v>
      </c>
      <c r="I673" s="68">
        <f>SmtRes!AI176</f>
        <v>0.77</v>
      </c>
      <c r="J673" s="69">
        <f>ROUND(H673*I673, 2)</f>
        <v>17968.57</v>
      </c>
      <c r="K673" s="68"/>
      <c r="L673" s="69">
        <f>SmtRes!DF176</f>
        <v>81.510000000000005</v>
      </c>
    </row>
    <row r="674" spans="1:101" ht="14.4" x14ac:dyDescent="0.25">
      <c r="A674" s="65"/>
      <c r="B674" s="65" t="s">
        <v>695</v>
      </c>
      <c r="C674" s="65" t="s">
        <v>697</v>
      </c>
      <c r="D674" s="66" t="s">
        <v>174</v>
      </c>
      <c r="E674" s="67">
        <v>0.03</v>
      </c>
      <c r="F674" s="67"/>
      <c r="G674" s="67">
        <f>SmtRes!CX177</f>
        <v>1.0800000000000001E-2</v>
      </c>
      <c r="H674" s="69">
        <f>SmtRes!CZ177</f>
        <v>30195.360000000001</v>
      </c>
      <c r="I674" s="68">
        <f>SmtRes!AI177</f>
        <v>1.53</v>
      </c>
      <c r="J674" s="69">
        <f>ROUND(H674*I674, 2)</f>
        <v>46198.9</v>
      </c>
      <c r="K674" s="68"/>
      <c r="L674" s="69">
        <f>SmtRes!DF177</f>
        <v>498.95</v>
      </c>
    </row>
    <row r="675" spans="1:101" ht="41.4" x14ac:dyDescent="0.25">
      <c r="A675" s="65"/>
      <c r="B675" s="65" t="s">
        <v>674</v>
      </c>
      <c r="C675" s="65" t="s">
        <v>676</v>
      </c>
      <c r="D675" s="66" t="s">
        <v>174</v>
      </c>
      <c r="E675" s="67">
        <v>4.7E-2</v>
      </c>
      <c r="F675" s="67"/>
      <c r="G675" s="67">
        <f>SmtRes!CX178</f>
        <v>1.6920000000000001E-2</v>
      </c>
      <c r="H675" s="69">
        <f>SmtRes!CZ178</f>
        <v>89073.2</v>
      </c>
      <c r="I675" s="68">
        <f>SmtRes!AI178</f>
        <v>0.71</v>
      </c>
      <c r="J675" s="69">
        <f>ROUND(H675*I675, 2)</f>
        <v>63241.97</v>
      </c>
      <c r="K675" s="68"/>
      <c r="L675" s="69">
        <f>SmtRes!DF178</f>
        <v>1070.05</v>
      </c>
    </row>
    <row r="676" spans="1:101" ht="14.4" x14ac:dyDescent="0.25">
      <c r="A676" s="65"/>
      <c r="B676" s="65" t="s">
        <v>698</v>
      </c>
      <c r="C676" s="65" t="s">
        <v>700</v>
      </c>
      <c r="D676" s="66" t="s">
        <v>174</v>
      </c>
      <c r="E676" s="67">
        <v>1.2600000000000001E-3</v>
      </c>
      <c r="F676" s="67"/>
      <c r="G676" s="67">
        <f>SmtRes!CX180</f>
        <v>4.5360000000000002E-4</v>
      </c>
      <c r="H676" s="69">
        <f>SmtRes!CZ180</f>
        <v>80020.98</v>
      </c>
      <c r="I676" s="68">
        <f>SmtRes!AI180</f>
        <v>1.31</v>
      </c>
      <c r="J676" s="69">
        <f>ROUND(H676*I676, 2)</f>
        <v>104827.48</v>
      </c>
      <c r="K676" s="68"/>
      <c r="L676" s="69">
        <f>SmtRes!DF180</f>
        <v>47.55</v>
      </c>
    </row>
    <row r="677" spans="1:101" ht="14.4" x14ac:dyDescent="0.25">
      <c r="A677" s="65"/>
      <c r="B677" s="65" t="str">
        <f>EtalonRes!I187</f>
        <v>12.1.02.15</v>
      </c>
      <c r="C677" s="75" t="str">
        <f>EtalonRes!K187</f>
        <v>Материалы рулонные</v>
      </c>
      <c r="D677" s="76" t="str">
        <f>EtalonRes!O187</f>
        <v>м2</v>
      </c>
      <c r="E677" s="77">
        <f>EtalonRes!X187</f>
        <v>115</v>
      </c>
      <c r="F677" s="77"/>
      <c r="G677" s="77">
        <f>ROUND(EtalonRes!AG187*Source!I165, 7)</f>
        <v>41.4</v>
      </c>
      <c r="H677" s="78"/>
      <c r="I677" s="79"/>
      <c r="J677" s="78"/>
      <c r="K677" s="79"/>
      <c r="L677" s="78"/>
    </row>
    <row r="678" spans="1:101" ht="14.4" x14ac:dyDescent="0.25">
      <c r="A678" s="65"/>
      <c r="B678" s="65"/>
      <c r="C678" s="81" t="s">
        <v>864</v>
      </c>
      <c r="D678" s="66"/>
      <c r="E678" s="67"/>
      <c r="F678" s="67"/>
      <c r="G678" s="67"/>
      <c r="H678" s="69"/>
      <c r="I678" s="68"/>
      <c r="J678" s="69"/>
      <c r="K678" s="68"/>
      <c r="L678" s="69">
        <f>L664+L666+L667+L672</f>
        <v>6003.7200000000012</v>
      </c>
    </row>
    <row r="679" spans="1:101" ht="41.4" x14ac:dyDescent="0.25">
      <c r="A679" s="63" t="s">
        <v>963</v>
      </c>
      <c r="B679" s="65" t="str">
        <f>Source!F166</f>
        <v>12.2.03.11-0012</v>
      </c>
      <c r="C679" s="65" t="str">
        <f>Source!G166</f>
        <v>Ткань стеклянная изоляционная, плотность 230 г/м2, толщина 0,2 мм (*РСТ-415-Л, клей)</v>
      </c>
      <c r="D679" s="66" t="str">
        <f>Source!H166</f>
        <v>м2</v>
      </c>
      <c r="E679" s="67">
        <f>SmtRes!AT179</f>
        <v>115</v>
      </c>
      <c r="F679" s="67"/>
      <c r="G679" s="67">
        <f>Source!I166</f>
        <v>41.4</v>
      </c>
      <c r="H679" s="69">
        <f>Source!AL166+Source!AO166+Source!AM166+Source!AN166</f>
        <v>115.84</v>
      </c>
      <c r="I679" s="68">
        <f>IF(Source!BC166&lt;&gt; 0, Source!BC166, 1)</f>
        <v>0.9</v>
      </c>
      <c r="J679" s="69">
        <f>ROUND(H679*I679, 2)</f>
        <v>104.26</v>
      </c>
      <c r="K679" s="68"/>
      <c r="L679" s="69">
        <f>Source!P166</f>
        <v>4316.3599999999997</v>
      </c>
      <c r="AD679">
        <f>ROUND((Source!AT166/100)*((ROUND(ROUND(Source!AO166,2)*Source!I166, 2)+ROUND(ROUND(Source!AN166,2)*Source!I166, 2))), 2)</f>
        <v>0</v>
      </c>
      <c r="AE679">
        <f>ROUND((Source!AU166/100)*((ROUND(ROUND(Source!AO166,2)*Source!I166, 2)+ROUND(ROUND(Source!AN166,2)*Source!I166, 2))), 2)</f>
        <v>0</v>
      </c>
      <c r="AN679">
        <f>L679</f>
        <v>4316.3599999999997</v>
      </c>
      <c r="AW679">
        <f>L679</f>
        <v>4316.3599999999997</v>
      </c>
      <c r="AZ679">
        <f>Source!X166</f>
        <v>0</v>
      </c>
      <c r="BA679">
        <f>Source!Y166</f>
        <v>0</v>
      </c>
      <c r="CD679">
        <v>1</v>
      </c>
    </row>
    <row r="680" spans="1:101" ht="14.4" x14ac:dyDescent="0.25">
      <c r="A680" s="65"/>
      <c r="B680" s="65"/>
      <c r="C680" s="65" t="s">
        <v>865</v>
      </c>
      <c r="D680" s="66"/>
      <c r="E680" s="67"/>
      <c r="F680" s="67"/>
      <c r="G680" s="67"/>
      <c r="H680" s="69"/>
      <c r="I680" s="68"/>
      <c r="J680" s="69"/>
      <c r="K680" s="68"/>
      <c r="L680" s="69">
        <f>SUM(AR662:AR683)+SUM(AS662:AS683)+SUM(AT662:AT683)+SUM(AU662:AU683)+SUM(AV662:AV683)</f>
        <v>4175.7800000000007</v>
      </c>
    </row>
    <row r="681" spans="1:101" ht="14.4" x14ac:dyDescent="0.25">
      <c r="A681" s="65"/>
      <c r="B681" s="65" t="s">
        <v>301</v>
      </c>
      <c r="C681" s="65" t="s">
        <v>960</v>
      </c>
      <c r="D681" s="66" t="s">
        <v>761</v>
      </c>
      <c r="E681" s="67">
        <f>Source!BZ165</f>
        <v>97</v>
      </c>
      <c r="F681" s="67"/>
      <c r="G681" s="67">
        <f>Source!AT165</f>
        <v>97</v>
      </c>
      <c r="H681" s="69"/>
      <c r="I681" s="68"/>
      <c r="J681" s="69"/>
      <c r="K681" s="68"/>
      <c r="L681" s="69">
        <f>SUM(AZ662:AZ683)</f>
        <v>4050.51</v>
      </c>
    </row>
    <row r="682" spans="1:101" ht="14.4" x14ac:dyDescent="0.25">
      <c r="A682" s="75"/>
      <c r="B682" s="75" t="s">
        <v>302</v>
      </c>
      <c r="C682" s="75" t="s">
        <v>961</v>
      </c>
      <c r="D682" s="76" t="s">
        <v>761</v>
      </c>
      <c r="E682" s="77">
        <f>Source!CA165</f>
        <v>55</v>
      </c>
      <c r="F682" s="77"/>
      <c r="G682" s="77">
        <f>Source!AU165</f>
        <v>55</v>
      </c>
      <c r="H682" s="78"/>
      <c r="I682" s="79"/>
      <c r="J682" s="78"/>
      <c r="K682" s="79"/>
      <c r="L682" s="78">
        <f>SUM(BA662:BA683)</f>
        <v>2296.6799999999998</v>
      </c>
    </row>
    <row r="683" spans="1:101" ht="13.8" x14ac:dyDescent="0.25">
      <c r="C683" s="127" t="s">
        <v>868</v>
      </c>
      <c r="D683" s="127"/>
      <c r="E683" s="127"/>
      <c r="F683" s="127"/>
      <c r="G683" s="127"/>
      <c r="H683" s="127"/>
      <c r="I683" s="128">
        <f>IF(E662&lt;&gt;0,K683/E662, 0)</f>
        <v>46297.972222222226</v>
      </c>
      <c r="J683" s="128"/>
      <c r="K683" s="128">
        <f>L664+L666+L672+L681+L682+L667+SUM(L679:L679)</f>
        <v>16667.27</v>
      </c>
      <c r="L683" s="128"/>
      <c r="AD683">
        <f>ROUND((Source!AT165/100)*((ROUND(SUMIF(SmtRes!AQ171:'SmtRes'!AQ180,"=1",SmtRes!AD171:'SmtRes'!AD180)*Source!I165, 2)+ROUND(SUMIF(SmtRes!AQ171:'SmtRes'!AQ180,"=1",SmtRes!AC171:'SmtRes'!AC180)*Source!I165, 2))), 2)</f>
        <v>244.08</v>
      </c>
      <c r="AE683">
        <f>ROUND((Source!AU165/100)*((ROUND(SUMIF(SmtRes!AQ171:'SmtRes'!AQ180,"=1",SmtRes!AD171:'SmtRes'!AD180)*Source!I165, 2)+ROUND(SUMIF(SmtRes!AQ171:'SmtRes'!AQ180,"=1",SmtRes!AC171:'SmtRes'!AC180)*Source!I165, 2))), 2)</f>
        <v>138.4</v>
      </c>
      <c r="AN683" s="80">
        <f>L664+L666+L672+L681+L682+L667</f>
        <v>12350.910000000002</v>
      </c>
      <c r="AO683" s="80">
        <f>L666</f>
        <v>129.88000000000002</v>
      </c>
      <c r="AQ683" t="s">
        <v>869</v>
      </c>
      <c r="AR683" s="80">
        <f>L664</f>
        <v>4110.2700000000004</v>
      </c>
      <c r="AT683" s="80">
        <f>L667</f>
        <v>65.510000000000005</v>
      </c>
      <c r="AV683" t="s">
        <v>869</v>
      </c>
      <c r="AW683" s="80">
        <f>L672</f>
        <v>1698.06</v>
      </c>
      <c r="AZ683">
        <f>Source!X165</f>
        <v>4050.51</v>
      </c>
      <c r="BA683">
        <f>Source!Y165</f>
        <v>2296.6799999999998</v>
      </c>
      <c r="CD683">
        <v>1</v>
      </c>
    </row>
    <row r="684" spans="1:101" ht="13.8" x14ac:dyDescent="0.25">
      <c r="C684" s="62" t="str">
        <f>Source!G167</f>
        <v>врезки</v>
      </c>
    </row>
    <row r="685" spans="1:101" ht="55.2" x14ac:dyDescent="0.25">
      <c r="A685" s="63" t="s">
        <v>317</v>
      </c>
      <c r="B685" s="65" t="s">
        <v>964</v>
      </c>
      <c r="C685" s="65" t="str">
        <f>Source!G168</f>
        <v>Врезка трубопровода номинальным давлением 2,5 МПа в действующие магистрали, диаметр наружный врезаемой трубы: 57 мм</v>
      </c>
      <c r="D685" s="66" t="str">
        <f>Source!H168</f>
        <v>ШТ</v>
      </c>
      <c r="E685" s="67">
        <f>Source!K168</f>
        <v>1</v>
      </c>
      <c r="F685" s="67"/>
      <c r="G685" s="67">
        <f>Source!I168</f>
        <v>1</v>
      </c>
      <c r="H685" s="69"/>
      <c r="I685" s="68"/>
      <c r="J685" s="69"/>
      <c r="K685" s="68"/>
      <c r="L685" s="69"/>
    </row>
    <row r="686" spans="1:101" ht="39.6" x14ac:dyDescent="0.25">
      <c r="B686" s="70" t="s">
        <v>799</v>
      </c>
      <c r="C686" s="129" t="s">
        <v>871</v>
      </c>
      <c r="D686" s="129"/>
      <c r="E686" s="129"/>
      <c r="F686" s="129"/>
      <c r="G686" s="129"/>
      <c r="H686" s="129"/>
      <c r="I686" s="129"/>
      <c r="J686" s="129"/>
      <c r="K686" s="129"/>
      <c r="L686" s="129"/>
      <c r="CW686" s="71" t="s">
        <v>871</v>
      </c>
    </row>
    <row r="687" spans="1:101" ht="14.4" x14ac:dyDescent="0.25">
      <c r="A687" s="64"/>
      <c r="B687" s="67">
        <v>1</v>
      </c>
      <c r="C687" s="64" t="s">
        <v>863</v>
      </c>
      <c r="D687" s="66" t="s">
        <v>501</v>
      </c>
      <c r="E687" s="73"/>
      <c r="F687" s="67"/>
      <c r="G687" s="67">
        <f>Source!U168</f>
        <v>9.1999999999999993</v>
      </c>
      <c r="H687" s="67"/>
      <c r="I687" s="67"/>
      <c r="J687" s="67"/>
      <c r="K687" s="67"/>
      <c r="L687" s="74">
        <f>SUM(L688:L688)-SUMIF(CE688:CE688, 1, L688:L688)</f>
        <v>3587.91</v>
      </c>
    </row>
    <row r="688" spans="1:101" ht="14.4" x14ac:dyDescent="0.25">
      <c r="A688" s="65"/>
      <c r="B688" s="65" t="s">
        <v>701</v>
      </c>
      <c r="C688" s="65" t="s">
        <v>702</v>
      </c>
      <c r="D688" s="66" t="s">
        <v>501</v>
      </c>
      <c r="E688" s="67">
        <v>8</v>
      </c>
      <c r="F688" s="67">
        <f>ROUND((0.15+1),7)</f>
        <v>1.1499999999999999</v>
      </c>
      <c r="G688" s="67">
        <f>SmtRes!CX181</f>
        <v>9.1999999999999993</v>
      </c>
      <c r="H688" s="69"/>
      <c r="I688" s="68"/>
      <c r="J688" s="69">
        <f>SmtRes!CZ181</f>
        <v>389.99</v>
      </c>
      <c r="K688" s="68"/>
      <c r="L688" s="69">
        <f>SmtRes!DI181</f>
        <v>3587.91</v>
      </c>
    </row>
    <row r="689" spans="1:101" ht="14.4" x14ac:dyDescent="0.25">
      <c r="A689" s="64"/>
      <c r="B689" s="67">
        <v>2</v>
      </c>
      <c r="C689" s="64" t="s">
        <v>875</v>
      </c>
      <c r="D689" s="66"/>
      <c r="E689" s="73"/>
      <c r="F689" s="67"/>
      <c r="G689" s="67"/>
      <c r="H689" s="67"/>
      <c r="I689" s="67"/>
      <c r="J689" s="67"/>
      <c r="K689" s="67"/>
      <c r="L689" s="74">
        <f>SUM(L690:L691)-SUMIF(CE690:CE691, 1, L690:L691)</f>
        <v>16.23</v>
      </c>
    </row>
    <row r="690" spans="1:101" ht="14.4" x14ac:dyDescent="0.25">
      <c r="A690" s="64"/>
      <c r="B690" s="67"/>
      <c r="C690" s="64" t="s">
        <v>877</v>
      </c>
      <c r="D690" s="66" t="s">
        <v>501</v>
      </c>
      <c r="E690" s="73"/>
      <c r="F690" s="67"/>
      <c r="G690" s="67">
        <f>Source!V168</f>
        <v>0</v>
      </c>
      <c r="H690" s="67"/>
      <c r="I690" s="67"/>
      <c r="J690" s="67"/>
      <c r="K690" s="67"/>
      <c r="L690" s="74">
        <f>SUMIF(CE691:CE691, 1, L691:L691)</f>
        <v>0</v>
      </c>
      <c r="CE690">
        <v>1</v>
      </c>
    </row>
    <row r="691" spans="1:101" ht="27.6" x14ac:dyDescent="0.25">
      <c r="A691" s="65"/>
      <c r="B691" s="65" t="s">
        <v>597</v>
      </c>
      <c r="C691" s="65" t="s">
        <v>599</v>
      </c>
      <c r="D691" s="66" t="s">
        <v>509</v>
      </c>
      <c r="E691" s="67">
        <v>0.34</v>
      </c>
      <c r="F691" s="67">
        <f>ROUND((0.15+1),7)</f>
        <v>1.1499999999999999</v>
      </c>
      <c r="G691" s="67">
        <f>SmtRes!CX182</f>
        <v>0.39100000000000001</v>
      </c>
      <c r="H691" s="69"/>
      <c r="I691" s="68"/>
      <c r="J691" s="69">
        <f>SmtRes!CZ182</f>
        <v>41.5</v>
      </c>
      <c r="K691" s="68"/>
      <c r="L691" s="69">
        <f>SmtRes!DG182</f>
        <v>16.23</v>
      </c>
    </row>
    <row r="692" spans="1:101" ht="14.4" x14ac:dyDescent="0.25">
      <c r="A692" s="64"/>
      <c r="B692" s="67">
        <v>4</v>
      </c>
      <c r="C692" s="64" t="s">
        <v>893</v>
      </c>
      <c r="D692" s="66"/>
      <c r="E692" s="73"/>
      <c r="F692" s="67"/>
      <c r="G692" s="67"/>
      <c r="H692" s="67"/>
      <c r="I692" s="67"/>
      <c r="J692" s="67"/>
      <c r="K692" s="67"/>
      <c r="L692" s="74">
        <f>SUM(L693:L696)-SUMIF(CE693:CE696, 1, L693:L696)</f>
        <v>125.24000000000001</v>
      </c>
    </row>
    <row r="693" spans="1:101" ht="14.4" x14ac:dyDescent="0.25">
      <c r="A693" s="65"/>
      <c r="B693" s="65" t="s">
        <v>581</v>
      </c>
      <c r="C693" s="65" t="s">
        <v>583</v>
      </c>
      <c r="D693" s="66" t="s">
        <v>205</v>
      </c>
      <c r="E693" s="67">
        <v>0.76</v>
      </c>
      <c r="F693" s="67"/>
      <c r="G693" s="67">
        <f>SmtRes!CX183</f>
        <v>0.76</v>
      </c>
      <c r="H693" s="69">
        <f>SmtRes!CZ183</f>
        <v>114.64</v>
      </c>
      <c r="I693" s="68">
        <f>SmtRes!AI183</f>
        <v>1.1000000000000001</v>
      </c>
      <c r="J693" s="69">
        <f>ROUND(H693*I693, 2)</f>
        <v>126.1</v>
      </c>
      <c r="K693" s="68"/>
      <c r="L693" s="69">
        <f>SmtRes!DF183</f>
        <v>95.84</v>
      </c>
    </row>
    <row r="694" spans="1:101" ht="14.4" x14ac:dyDescent="0.25">
      <c r="A694" s="65"/>
      <c r="B694" s="65" t="s">
        <v>584</v>
      </c>
      <c r="C694" s="65" t="s">
        <v>586</v>
      </c>
      <c r="D694" s="66" t="s">
        <v>240</v>
      </c>
      <c r="E694" s="67">
        <v>0.22</v>
      </c>
      <c r="F694" s="67"/>
      <c r="G694" s="67">
        <f>SmtRes!CX184</f>
        <v>0.22</v>
      </c>
      <c r="H694" s="69">
        <f>SmtRes!CZ184</f>
        <v>41.38</v>
      </c>
      <c r="I694" s="68">
        <f>SmtRes!AI184</f>
        <v>1.51</v>
      </c>
      <c r="J694" s="69">
        <f>ROUND(H694*I694, 2)</f>
        <v>62.48</v>
      </c>
      <c r="K694" s="68"/>
      <c r="L694" s="69">
        <f>SmtRes!DF184</f>
        <v>13.75</v>
      </c>
    </row>
    <row r="695" spans="1:101" ht="14.4" x14ac:dyDescent="0.25">
      <c r="A695" s="65"/>
      <c r="B695" s="65" t="s">
        <v>560</v>
      </c>
      <c r="C695" s="65" t="s">
        <v>562</v>
      </c>
      <c r="D695" s="66" t="s">
        <v>563</v>
      </c>
      <c r="E695" s="67">
        <v>0.86399999999999999</v>
      </c>
      <c r="F695" s="67"/>
      <c r="G695" s="67">
        <f>SmtRes!CX185</f>
        <v>0.86399999999999999</v>
      </c>
      <c r="H695" s="69"/>
      <c r="I695" s="68"/>
      <c r="J695" s="69">
        <f>SmtRes!CZ185</f>
        <v>9.0399999999999991</v>
      </c>
      <c r="K695" s="68"/>
      <c r="L695" s="69">
        <f>SmtRes!DF185</f>
        <v>7.81</v>
      </c>
    </row>
    <row r="696" spans="1:101" ht="55.2" x14ac:dyDescent="0.25">
      <c r="A696" s="65"/>
      <c r="B696" s="65" t="s">
        <v>703</v>
      </c>
      <c r="C696" s="75" t="s">
        <v>705</v>
      </c>
      <c r="D696" s="76" t="s">
        <v>240</v>
      </c>
      <c r="E696" s="77">
        <v>6.2E-2</v>
      </c>
      <c r="F696" s="77"/>
      <c r="G696" s="77">
        <f>SmtRes!CX186</f>
        <v>6.2E-2</v>
      </c>
      <c r="H696" s="78">
        <f>SmtRes!CZ186</f>
        <v>148.86000000000001</v>
      </c>
      <c r="I696" s="79">
        <f>SmtRes!AI186</f>
        <v>0.85</v>
      </c>
      <c r="J696" s="78">
        <f>ROUND(H696*I696, 2)</f>
        <v>126.53</v>
      </c>
      <c r="K696" s="79"/>
      <c r="L696" s="78">
        <f>SmtRes!DF186</f>
        <v>7.84</v>
      </c>
    </row>
    <row r="697" spans="1:101" ht="14.4" x14ac:dyDescent="0.25">
      <c r="A697" s="65"/>
      <c r="B697" s="65"/>
      <c r="C697" s="81" t="s">
        <v>864</v>
      </c>
      <c r="D697" s="66"/>
      <c r="E697" s="67"/>
      <c r="F697" s="67"/>
      <c r="G697" s="67"/>
      <c r="H697" s="69"/>
      <c r="I697" s="68"/>
      <c r="J697" s="69"/>
      <c r="K697" s="68"/>
      <c r="L697" s="69">
        <f>L687+L689+L690+L692</f>
        <v>3729.38</v>
      </c>
    </row>
    <row r="698" spans="1:101" ht="14.4" x14ac:dyDescent="0.25">
      <c r="A698" s="65"/>
      <c r="B698" s="65"/>
      <c r="C698" s="65" t="s">
        <v>865</v>
      </c>
      <c r="D698" s="66"/>
      <c r="E698" s="67"/>
      <c r="F698" s="67"/>
      <c r="G698" s="67"/>
      <c r="H698" s="69"/>
      <c r="I698" s="68"/>
      <c r="J698" s="69"/>
      <c r="K698" s="68"/>
      <c r="L698" s="69">
        <f>SUM(AR685:AR701)+SUM(AS685:AS701)+SUM(AT685:AT701)+SUM(AU685:AU701)+SUM(AV685:AV701)</f>
        <v>3587.91</v>
      </c>
    </row>
    <row r="699" spans="1:101" ht="14.4" x14ac:dyDescent="0.25">
      <c r="A699" s="65"/>
      <c r="B699" s="65" t="s">
        <v>325</v>
      </c>
      <c r="C699" s="65" t="s">
        <v>965</v>
      </c>
      <c r="D699" s="66" t="s">
        <v>761</v>
      </c>
      <c r="E699" s="67">
        <f>Source!BZ168</f>
        <v>90</v>
      </c>
      <c r="F699" s="67"/>
      <c r="G699" s="67">
        <f>Source!AT168</f>
        <v>90</v>
      </c>
      <c r="H699" s="69"/>
      <c r="I699" s="68"/>
      <c r="J699" s="69"/>
      <c r="K699" s="68"/>
      <c r="L699" s="69">
        <f>SUM(AZ685:AZ701)</f>
        <v>3229.12</v>
      </c>
    </row>
    <row r="700" spans="1:101" ht="14.4" x14ac:dyDescent="0.25">
      <c r="A700" s="75"/>
      <c r="B700" s="75" t="s">
        <v>326</v>
      </c>
      <c r="C700" s="75" t="s">
        <v>966</v>
      </c>
      <c r="D700" s="76" t="s">
        <v>761</v>
      </c>
      <c r="E700" s="77">
        <f>Source!CA168</f>
        <v>46</v>
      </c>
      <c r="F700" s="77"/>
      <c r="G700" s="77">
        <f>Source!AU168</f>
        <v>46</v>
      </c>
      <c r="H700" s="78"/>
      <c r="I700" s="79"/>
      <c r="J700" s="78"/>
      <c r="K700" s="79"/>
      <c r="L700" s="78">
        <f>SUM(BA685:BA701)</f>
        <v>1650.44</v>
      </c>
    </row>
    <row r="701" spans="1:101" ht="13.8" x14ac:dyDescent="0.25">
      <c r="C701" s="127" t="s">
        <v>868</v>
      </c>
      <c r="D701" s="127"/>
      <c r="E701" s="127"/>
      <c r="F701" s="127"/>
      <c r="G701" s="127"/>
      <c r="H701" s="127"/>
      <c r="I701" s="128">
        <f>IF(E685&lt;&gt;0,K701/E685, 0)</f>
        <v>8608.94</v>
      </c>
      <c r="J701" s="128"/>
      <c r="K701" s="128">
        <f>L687+L689+L692+L699+L700+L690</f>
        <v>8608.94</v>
      </c>
      <c r="L701" s="128"/>
      <c r="AD701">
        <f>ROUND((Source!AT168/100)*((ROUND(SUMIF(SmtRes!AQ181:'SmtRes'!AQ186,"=1",SmtRes!AD181:'SmtRes'!AD186)*Source!I168, 2)+ROUND(SUMIF(SmtRes!AQ181:'SmtRes'!AQ186,"=1",SmtRes!AC181:'SmtRes'!AC186)*Source!I168, 2))), 2)</f>
        <v>350.99</v>
      </c>
      <c r="AE701">
        <f>ROUND((Source!AU168/100)*((ROUND(SUMIF(SmtRes!AQ181:'SmtRes'!AQ186,"=1",SmtRes!AD181:'SmtRes'!AD186)*Source!I168, 2)+ROUND(SUMIF(SmtRes!AQ181:'SmtRes'!AQ186,"=1",SmtRes!AC181:'SmtRes'!AC186)*Source!I168, 2))), 2)</f>
        <v>179.4</v>
      </c>
      <c r="AN701" s="80">
        <f>L687+L689+L692+L699+L700+L690</f>
        <v>8608.94</v>
      </c>
      <c r="AO701" s="80">
        <f>L689</f>
        <v>16.23</v>
      </c>
      <c r="AQ701" t="s">
        <v>869</v>
      </c>
      <c r="AR701" s="80">
        <f>L687</f>
        <v>3587.91</v>
      </c>
      <c r="AT701" s="80">
        <f>L690</f>
        <v>0</v>
      </c>
      <c r="AV701" t="s">
        <v>869</v>
      </c>
      <c r="AW701" s="80">
        <f>L692</f>
        <v>125.24000000000001</v>
      </c>
      <c r="AZ701">
        <f>Source!X168</f>
        <v>3229.12</v>
      </c>
      <c r="BA701">
        <f>Source!Y168</f>
        <v>1650.44</v>
      </c>
      <c r="CD701">
        <v>2</v>
      </c>
    </row>
    <row r="702" spans="1:101" ht="55.2" x14ac:dyDescent="0.25">
      <c r="A702" s="63" t="s">
        <v>327</v>
      </c>
      <c r="B702" s="65" t="s">
        <v>967</v>
      </c>
      <c r="C702" s="65" t="str">
        <f>Source!G169</f>
        <v>Врезка трубопровода номинальным давлением 2,5 МПа в действующие магистрали, диаметр наружный врезаемой трубы: 76 мм</v>
      </c>
      <c r="D702" s="66" t="str">
        <f>Source!H169</f>
        <v>ШТ</v>
      </c>
      <c r="E702" s="67">
        <f>Source!K169</f>
        <v>3</v>
      </c>
      <c r="F702" s="67"/>
      <c r="G702" s="67">
        <f>Source!I169</f>
        <v>3</v>
      </c>
      <c r="H702" s="69"/>
      <c r="I702" s="68"/>
      <c r="J702" s="69"/>
      <c r="K702" s="68"/>
      <c r="L702" s="69"/>
    </row>
    <row r="703" spans="1:101" ht="39.6" x14ac:dyDescent="0.25">
      <c r="B703" s="70" t="s">
        <v>799</v>
      </c>
      <c r="C703" s="129" t="s">
        <v>871</v>
      </c>
      <c r="D703" s="129"/>
      <c r="E703" s="129"/>
      <c r="F703" s="129"/>
      <c r="G703" s="129"/>
      <c r="H703" s="129"/>
      <c r="I703" s="129"/>
      <c r="J703" s="129"/>
      <c r="K703" s="129"/>
      <c r="L703" s="129"/>
      <c r="CW703" s="71" t="s">
        <v>871</v>
      </c>
    </row>
    <row r="704" spans="1:101" ht="14.4" x14ac:dyDescent="0.25">
      <c r="A704" s="64"/>
      <c r="B704" s="67">
        <v>1</v>
      </c>
      <c r="C704" s="64" t="s">
        <v>863</v>
      </c>
      <c r="D704" s="66" t="s">
        <v>501</v>
      </c>
      <c r="E704" s="73"/>
      <c r="F704" s="67"/>
      <c r="G704" s="67">
        <f>Source!U169</f>
        <v>31.05</v>
      </c>
      <c r="H704" s="67"/>
      <c r="I704" s="67"/>
      <c r="J704" s="67"/>
      <c r="K704" s="67"/>
      <c r="L704" s="74">
        <f>SUM(L705:L705)-SUMIF(CE705:CE705, 1, L705:L705)</f>
        <v>12109.19</v>
      </c>
    </row>
    <row r="705" spans="1:83" ht="14.4" x14ac:dyDescent="0.25">
      <c r="A705" s="65"/>
      <c r="B705" s="65" t="s">
        <v>701</v>
      </c>
      <c r="C705" s="65" t="s">
        <v>702</v>
      </c>
      <c r="D705" s="66" t="s">
        <v>501</v>
      </c>
      <c r="E705" s="67">
        <v>9</v>
      </c>
      <c r="F705" s="67">
        <f>ROUND((0.15+1),7)</f>
        <v>1.1499999999999999</v>
      </c>
      <c r="G705" s="67">
        <f>SmtRes!CX187</f>
        <v>31.05</v>
      </c>
      <c r="H705" s="69"/>
      <c r="I705" s="68"/>
      <c r="J705" s="69">
        <f>SmtRes!CZ187</f>
        <v>389.99</v>
      </c>
      <c r="K705" s="68"/>
      <c r="L705" s="69">
        <f>SmtRes!DI187</f>
        <v>12109.19</v>
      </c>
    </row>
    <row r="706" spans="1:83" ht="14.4" x14ac:dyDescent="0.25">
      <c r="A706" s="64"/>
      <c r="B706" s="67">
        <v>2</v>
      </c>
      <c r="C706" s="64" t="s">
        <v>875</v>
      </c>
      <c r="D706" s="66"/>
      <c r="E706" s="73"/>
      <c r="F706" s="67"/>
      <c r="G706" s="67"/>
      <c r="H706" s="67"/>
      <c r="I706" s="67"/>
      <c r="J706" s="67"/>
      <c r="K706" s="67"/>
      <c r="L706" s="74">
        <f>SUM(L707:L708)-SUMIF(CE707:CE708, 1, L707:L708)</f>
        <v>61.57</v>
      </c>
    </row>
    <row r="707" spans="1:83" ht="14.4" x14ac:dyDescent="0.25">
      <c r="A707" s="64"/>
      <c r="B707" s="67"/>
      <c r="C707" s="64" t="s">
        <v>877</v>
      </c>
      <c r="D707" s="66" t="s">
        <v>501</v>
      </c>
      <c r="E707" s="73"/>
      <c r="F707" s="67"/>
      <c r="G707" s="67">
        <f>Source!V169</f>
        <v>0</v>
      </c>
      <c r="H707" s="67"/>
      <c r="I707" s="67"/>
      <c r="J707" s="67"/>
      <c r="K707" s="67"/>
      <c r="L707" s="74">
        <f>SUMIF(CE708:CE708, 1, L708:L708)</f>
        <v>0</v>
      </c>
      <c r="CE707">
        <v>1</v>
      </c>
    </row>
    <row r="708" spans="1:83" ht="27.6" x14ac:dyDescent="0.25">
      <c r="A708" s="65"/>
      <c r="B708" s="65" t="s">
        <v>597</v>
      </c>
      <c r="C708" s="65" t="s">
        <v>599</v>
      </c>
      <c r="D708" s="66" t="s">
        <v>509</v>
      </c>
      <c r="E708" s="67">
        <v>0.43</v>
      </c>
      <c r="F708" s="67">
        <f>ROUND((0.15+1),7)</f>
        <v>1.1499999999999999</v>
      </c>
      <c r="G708" s="67">
        <f>SmtRes!CX188</f>
        <v>1.4835</v>
      </c>
      <c r="H708" s="69"/>
      <c r="I708" s="68"/>
      <c r="J708" s="69">
        <f>SmtRes!CZ188</f>
        <v>41.5</v>
      </c>
      <c r="K708" s="68"/>
      <c r="L708" s="69">
        <f>SmtRes!DG188</f>
        <v>61.57</v>
      </c>
    </row>
    <row r="709" spans="1:83" ht="14.4" x14ac:dyDescent="0.25">
      <c r="A709" s="64"/>
      <c r="B709" s="67">
        <v>4</v>
      </c>
      <c r="C709" s="64" t="s">
        <v>893</v>
      </c>
      <c r="D709" s="66"/>
      <c r="E709" s="73"/>
      <c r="F709" s="67"/>
      <c r="G709" s="67"/>
      <c r="H709" s="67"/>
      <c r="I709" s="67"/>
      <c r="J709" s="67"/>
      <c r="K709" s="67"/>
      <c r="L709" s="74">
        <f>SUM(L710:L713)-SUMIF(CE710:CE713, 1, L710:L713)</f>
        <v>438.49</v>
      </c>
    </row>
    <row r="710" spans="1:83" ht="14.4" x14ac:dyDescent="0.25">
      <c r="A710" s="65"/>
      <c r="B710" s="65" t="s">
        <v>581</v>
      </c>
      <c r="C710" s="65" t="s">
        <v>583</v>
      </c>
      <c r="D710" s="66" t="s">
        <v>205</v>
      </c>
      <c r="E710" s="67">
        <v>0.88</v>
      </c>
      <c r="F710" s="67"/>
      <c r="G710" s="67">
        <f>SmtRes!CX189</f>
        <v>2.64</v>
      </c>
      <c r="H710" s="69">
        <f>SmtRes!CZ189</f>
        <v>114.64</v>
      </c>
      <c r="I710" s="68">
        <f>SmtRes!AI189</f>
        <v>1.1000000000000001</v>
      </c>
      <c r="J710" s="69">
        <f>ROUND(H710*I710, 2)</f>
        <v>126.1</v>
      </c>
      <c r="K710" s="68"/>
      <c r="L710" s="69">
        <f>SmtRes!DF189</f>
        <v>332.9</v>
      </c>
    </row>
    <row r="711" spans="1:83" ht="14.4" x14ac:dyDescent="0.25">
      <c r="A711" s="65"/>
      <c r="B711" s="65" t="s">
        <v>584</v>
      </c>
      <c r="C711" s="65" t="s">
        <v>586</v>
      </c>
      <c r="D711" s="66" t="s">
        <v>240</v>
      </c>
      <c r="E711" s="67">
        <v>0.25</v>
      </c>
      <c r="F711" s="67"/>
      <c r="G711" s="67">
        <f>SmtRes!CX190</f>
        <v>0.75</v>
      </c>
      <c r="H711" s="69">
        <f>SmtRes!CZ190</f>
        <v>41.38</v>
      </c>
      <c r="I711" s="68">
        <f>SmtRes!AI190</f>
        <v>1.51</v>
      </c>
      <c r="J711" s="69">
        <f>ROUND(H711*I711, 2)</f>
        <v>62.48</v>
      </c>
      <c r="K711" s="68"/>
      <c r="L711" s="69">
        <f>SmtRes!DF190</f>
        <v>46.86</v>
      </c>
    </row>
    <row r="712" spans="1:83" ht="14.4" x14ac:dyDescent="0.25">
      <c r="A712" s="65"/>
      <c r="B712" s="65" t="s">
        <v>560</v>
      </c>
      <c r="C712" s="65" t="s">
        <v>562</v>
      </c>
      <c r="D712" s="66" t="s">
        <v>563</v>
      </c>
      <c r="E712" s="67">
        <v>0.86399999999999999</v>
      </c>
      <c r="F712" s="67"/>
      <c r="G712" s="67">
        <f>SmtRes!CX191</f>
        <v>2.5920000000000001</v>
      </c>
      <c r="H712" s="69"/>
      <c r="I712" s="68"/>
      <c r="J712" s="69">
        <f>SmtRes!CZ191</f>
        <v>9.0399999999999991</v>
      </c>
      <c r="K712" s="68"/>
      <c r="L712" s="69">
        <f>SmtRes!DF191</f>
        <v>23.43</v>
      </c>
    </row>
    <row r="713" spans="1:83" ht="55.2" x14ac:dyDescent="0.25">
      <c r="A713" s="65"/>
      <c r="B713" s="65" t="s">
        <v>703</v>
      </c>
      <c r="C713" s="75" t="s">
        <v>705</v>
      </c>
      <c r="D713" s="76" t="s">
        <v>240</v>
      </c>
      <c r="E713" s="77">
        <v>9.2999999999999999E-2</v>
      </c>
      <c r="F713" s="77"/>
      <c r="G713" s="77">
        <f>SmtRes!CX192</f>
        <v>0.27900000000000003</v>
      </c>
      <c r="H713" s="78">
        <f>SmtRes!CZ192</f>
        <v>148.86000000000001</v>
      </c>
      <c r="I713" s="79">
        <f>SmtRes!AI192</f>
        <v>0.85</v>
      </c>
      <c r="J713" s="78">
        <f>ROUND(H713*I713, 2)</f>
        <v>126.53</v>
      </c>
      <c r="K713" s="79"/>
      <c r="L713" s="78">
        <f>SmtRes!DF192</f>
        <v>35.299999999999997</v>
      </c>
    </row>
    <row r="714" spans="1:83" ht="14.4" x14ac:dyDescent="0.25">
      <c r="A714" s="65"/>
      <c r="B714" s="65"/>
      <c r="C714" s="81" t="s">
        <v>864</v>
      </c>
      <c r="D714" s="66"/>
      <c r="E714" s="67"/>
      <c r="F714" s="67"/>
      <c r="G714" s="67"/>
      <c r="H714" s="69"/>
      <c r="I714" s="68"/>
      <c r="J714" s="69"/>
      <c r="K714" s="68"/>
      <c r="L714" s="69">
        <f>L704+L706+L707+L709</f>
        <v>12609.25</v>
      </c>
    </row>
    <row r="715" spans="1:83" ht="14.4" x14ac:dyDescent="0.25">
      <c r="A715" s="65"/>
      <c r="B715" s="65"/>
      <c r="C715" s="65" t="s">
        <v>865</v>
      </c>
      <c r="D715" s="66"/>
      <c r="E715" s="67"/>
      <c r="F715" s="67"/>
      <c r="G715" s="67"/>
      <c r="H715" s="69"/>
      <c r="I715" s="68"/>
      <c r="J715" s="69"/>
      <c r="K715" s="68"/>
      <c r="L715" s="69">
        <f>SUM(AR702:AR718)+SUM(AS702:AS718)+SUM(AT702:AT718)+SUM(AU702:AU718)+SUM(AV702:AV718)</f>
        <v>12109.19</v>
      </c>
    </row>
    <row r="716" spans="1:83" ht="14.4" x14ac:dyDescent="0.25">
      <c r="A716" s="65"/>
      <c r="B716" s="65" t="s">
        <v>325</v>
      </c>
      <c r="C716" s="65" t="s">
        <v>965</v>
      </c>
      <c r="D716" s="66" t="s">
        <v>761</v>
      </c>
      <c r="E716" s="67">
        <f>Source!BZ169</f>
        <v>90</v>
      </c>
      <c r="F716" s="67"/>
      <c r="G716" s="67">
        <f>Source!AT169</f>
        <v>90</v>
      </c>
      <c r="H716" s="69"/>
      <c r="I716" s="68"/>
      <c r="J716" s="69"/>
      <c r="K716" s="68"/>
      <c r="L716" s="69">
        <f>SUM(AZ702:AZ718)</f>
        <v>10898.27</v>
      </c>
    </row>
    <row r="717" spans="1:83" ht="14.4" x14ac:dyDescent="0.25">
      <c r="A717" s="75"/>
      <c r="B717" s="75" t="s">
        <v>326</v>
      </c>
      <c r="C717" s="75" t="s">
        <v>966</v>
      </c>
      <c r="D717" s="76" t="s">
        <v>761</v>
      </c>
      <c r="E717" s="77">
        <f>Source!CA169</f>
        <v>46</v>
      </c>
      <c r="F717" s="77"/>
      <c r="G717" s="77">
        <f>Source!AU169</f>
        <v>46</v>
      </c>
      <c r="H717" s="78"/>
      <c r="I717" s="79"/>
      <c r="J717" s="78"/>
      <c r="K717" s="79"/>
      <c r="L717" s="78">
        <f>SUM(BA702:BA718)</f>
        <v>5570.23</v>
      </c>
    </row>
    <row r="718" spans="1:83" ht="13.8" x14ac:dyDescent="0.25">
      <c r="C718" s="127" t="s">
        <v>868</v>
      </c>
      <c r="D718" s="127"/>
      <c r="E718" s="127"/>
      <c r="F718" s="127"/>
      <c r="G718" s="127"/>
      <c r="H718" s="127"/>
      <c r="I718" s="128">
        <f>IF(E702&lt;&gt;0,K718/E702, 0)</f>
        <v>9692.5833333333339</v>
      </c>
      <c r="J718" s="128"/>
      <c r="K718" s="128">
        <f>L704+L706+L709+L716+L717+L707</f>
        <v>29077.75</v>
      </c>
      <c r="L718" s="128"/>
      <c r="AD718">
        <f>ROUND((Source!AT169/100)*((ROUND(SUMIF(SmtRes!AQ187:'SmtRes'!AQ192,"=1",SmtRes!AD187:'SmtRes'!AD192)*Source!I169, 2)+ROUND(SUMIF(SmtRes!AQ187:'SmtRes'!AQ192,"=1",SmtRes!AC187:'SmtRes'!AC192)*Source!I169, 2))), 2)</f>
        <v>1052.97</v>
      </c>
      <c r="AE718">
        <f>ROUND((Source!AU169/100)*((ROUND(SUMIF(SmtRes!AQ187:'SmtRes'!AQ192,"=1",SmtRes!AD187:'SmtRes'!AD192)*Source!I169, 2)+ROUND(SUMIF(SmtRes!AQ187:'SmtRes'!AQ192,"=1",SmtRes!AC187:'SmtRes'!AC192)*Source!I169, 2))), 2)</f>
        <v>538.19000000000005</v>
      </c>
      <c r="AN718" s="80">
        <f>L704+L706+L709+L716+L717+L707</f>
        <v>29077.75</v>
      </c>
      <c r="AO718" s="80">
        <f>L706</f>
        <v>61.57</v>
      </c>
      <c r="AQ718" t="s">
        <v>869</v>
      </c>
      <c r="AR718" s="80">
        <f>L704</f>
        <v>12109.19</v>
      </c>
      <c r="AT718" s="80">
        <f>L707</f>
        <v>0</v>
      </c>
      <c r="AV718" t="s">
        <v>869</v>
      </c>
      <c r="AW718" s="80">
        <f>L709</f>
        <v>438.49</v>
      </c>
      <c r="AZ718">
        <f>Source!X169</f>
        <v>10898.27</v>
      </c>
      <c r="BA718">
        <f>Source!Y169</f>
        <v>5570.23</v>
      </c>
      <c r="CD718">
        <v>2</v>
      </c>
    </row>
    <row r="719" spans="1:83" ht="27.6" x14ac:dyDescent="0.25">
      <c r="C719" s="62" t="str">
        <f>Source!G170</f>
        <v>спускник д20мм (б/у без стоимости) - 4 шт</v>
      </c>
    </row>
    <row r="720" spans="1:83" ht="41.4" x14ac:dyDescent="0.25">
      <c r="A720" s="63" t="s">
        <v>332</v>
      </c>
      <c r="B720" s="65" t="s">
        <v>968</v>
      </c>
      <c r="C720" s="65" t="str">
        <f>Source!G171</f>
        <v>Установка задвижек или клапанов стальных для горячей воды и пара диаметром: 50 мм (20мм)</v>
      </c>
      <c r="D720" s="66" t="str">
        <f>Source!H171</f>
        <v>10 компл</v>
      </c>
      <c r="E720" s="67">
        <f>Source!K171</f>
        <v>0.4</v>
      </c>
      <c r="F720" s="67"/>
      <c r="G720" s="67">
        <f>Source!I171</f>
        <v>0.4</v>
      </c>
      <c r="H720" s="69"/>
      <c r="I720" s="68"/>
      <c r="J720" s="69"/>
      <c r="K720" s="68"/>
      <c r="L720" s="69"/>
    </row>
    <row r="721" spans="1:101" ht="39.6" x14ac:dyDescent="0.25">
      <c r="B721" s="70" t="s">
        <v>788</v>
      </c>
      <c r="C721" s="129" t="s">
        <v>871</v>
      </c>
      <c r="D721" s="129"/>
      <c r="E721" s="129"/>
      <c r="F721" s="129"/>
      <c r="G721" s="129"/>
      <c r="H721" s="129"/>
      <c r="I721" s="129"/>
      <c r="J721" s="129"/>
      <c r="K721" s="129"/>
      <c r="L721" s="129"/>
      <c r="CW721" s="71" t="s">
        <v>871</v>
      </c>
    </row>
    <row r="722" spans="1:101" ht="14.4" x14ac:dyDescent="0.25">
      <c r="A722" s="64"/>
      <c r="B722" s="67">
        <v>1</v>
      </c>
      <c r="C722" s="64" t="s">
        <v>863</v>
      </c>
      <c r="D722" s="66" t="s">
        <v>501</v>
      </c>
      <c r="E722" s="73"/>
      <c r="F722" s="67"/>
      <c r="G722" s="67">
        <f>Source!U171</f>
        <v>13.3538</v>
      </c>
      <c r="H722" s="67"/>
      <c r="I722" s="67"/>
      <c r="J722" s="67"/>
      <c r="K722" s="67"/>
      <c r="L722" s="74">
        <f>SUM(L723:L726)-SUMIF(CE723:CE726, 1, L723:L726)</f>
        <v>5012.63</v>
      </c>
    </row>
    <row r="723" spans="1:101" ht="14.4" x14ac:dyDescent="0.25">
      <c r="A723" s="65"/>
      <c r="B723" s="65" t="s">
        <v>706</v>
      </c>
      <c r="C723" s="65" t="s">
        <v>707</v>
      </c>
      <c r="D723" s="66" t="s">
        <v>550</v>
      </c>
      <c r="E723" s="67">
        <v>0.81</v>
      </c>
      <c r="F723" s="67">
        <f>ROUND((0.15+1),7)</f>
        <v>1.1499999999999999</v>
      </c>
      <c r="G723" s="67">
        <f>SmtRes!CX193</f>
        <v>0.37259999999999999</v>
      </c>
      <c r="H723" s="69"/>
      <c r="I723" s="68"/>
      <c r="J723" s="69">
        <f>SmtRes!CZ193</f>
        <v>299.36</v>
      </c>
      <c r="K723" s="68"/>
      <c r="L723" s="69">
        <f>SmtRes!DI193</f>
        <v>111.54</v>
      </c>
    </row>
    <row r="724" spans="1:101" ht="14.4" x14ac:dyDescent="0.25">
      <c r="A724" s="65"/>
      <c r="B724" s="65" t="s">
        <v>551</v>
      </c>
      <c r="C724" s="65" t="s">
        <v>552</v>
      </c>
      <c r="D724" s="66" t="s">
        <v>550</v>
      </c>
      <c r="E724" s="67">
        <v>3.91</v>
      </c>
      <c r="F724" s="67">
        <f>ROUND((0.15+1),7)</f>
        <v>1.1499999999999999</v>
      </c>
      <c r="G724" s="67">
        <f>SmtRes!CX194</f>
        <v>1.7986</v>
      </c>
      <c r="H724" s="69"/>
      <c r="I724" s="68"/>
      <c r="J724" s="69">
        <f>SmtRes!CZ194</f>
        <v>326.82</v>
      </c>
      <c r="K724" s="68"/>
      <c r="L724" s="69">
        <f>SmtRes!DI194</f>
        <v>587.82000000000005</v>
      </c>
    </row>
    <row r="725" spans="1:101" ht="14.4" x14ac:dyDescent="0.25">
      <c r="A725" s="65"/>
      <c r="B725" s="65" t="s">
        <v>553</v>
      </c>
      <c r="C725" s="65" t="s">
        <v>554</v>
      </c>
      <c r="D725" s="66" t="s">
        <v>550</v>
      </c>
      <c r="E725" s="67">
        <v>16.48</v>
      </c>
      <c r="F725" s="67">
        <f>ROUND((0.15+1),7)</f>
        <v>1.1499999999999999</v>
      </c>
      <c r="G725" s="67">
        <f>SmtRes!CX195</f>
        <v>7.5808</v>
      </c>
      <c r="H725" s="69"/>
      <c r="I725" s="68"/>
      <c r="J725" s="69">
        <f>SmtRes!CZ195</f>
        <v>368.02</v>
      </c>
      <c r="K725" s="68"/>
      <c r="L725" s="69">
        <f>SmtRes!DI195</f>
        <v>2789.89</v>
      </c>
    </row>
    <row r="726" spans="1:101" ht="14.4" x14ac:dyDescent="0.25">
      <c r="A726" s="65"/>
      <c r="B726" s="65" t="s">
        <v>555</v>
      </c>
      <c r="C726" s="65" t="s">
        <v>556</v>
      </c>
      <c r="D726" s="66" t="s">
        <v>550</v>
      </c>
      <c r="E726" s="67">
        <v>7.83</v>
      </c>
      <c r="F726" s="67">
        <f>ROUND((0.15+1),7)</f>
        <v>1.1499999999999999</v>
      </c>
      <c r="G726" s="67">
        <f>SmtRes!CX196</f>
        <v>3.6017999999999999</v>
      </c>
      <c r="H726" s="69"/>
      <c r="I726" s="68"/>
      <c r="J726" s="69">
        <f>SmtRes!CZ196</f>
        <v>422.95</v>
      </c>
      <c r="K726" s="68"/>
      <c r="L726" s="69">
        <f>SmtRes!DI196</f>
        <v>1523.38</v>
      </c>
    </row>
    <row r="727" spans="1:101" ht="14.4" x14ac:dyDescent="0.25">
      <c r="A727" s="64"/>
      <c r="B727" s="67">
        <v>2</v>
      </c>
      <c r="C727" s="64" t="s">
        <v>875</v>
      </c>
      <c r="D727" s="66"/>
      <c r="E727" s="73"/>
      <c r="F727" s="67"/>
      <c r="G727" s="67"/>
      <c r="H727" s="67"/>
      <c r="I727" s="67"/>
      <c r="J727" s="67"/>
      <c r="K727" s="67"/>
      <c r="L727" s="74">
        <f>SUM(L728:L732)-SUMIF(CE728:CE732, 1, L728:L732)</f>
        <v>226.84000000000003</v>
      </c>
    </row>
    <row r="728" spans="1:101" ht="14.4" x14ac:dyDescent="0.25">
      <c r="A728" s="64"/>
      <c r="B728" s="67"/>
      <c r="C728" s="64" t="s">
        <v>877</v>
      </c>
      <c r="D728" s="66" t="s">
        <v>501</v>
      </c>
      <c r="E728" s="73"/>
      <c r="F728" s="67"/>
      <c r="G728" s="67">
        <f>Source!V171</f>
        <v>0.161</v>
      </c>
      <c r="H728" s="67"/>
      <c r="I728" s="67"/>
      <c r="J728" s="67"/>
      <c r="K728" s="67"/>
      <c r="L728" s="74">
        <f>SUMIF(CE729:CE732, 1, L729:L732)</f>
        <v>59.25</v>
      </c>
      <c r="CE728">
        <v>1</v>
      </c>
    </row>
    <row r="729" spans="1:101" ht="27.6" x14ac:dyDescent="0.25">
      <c r="A729" s="65"/>
      <c r="B729" s="65" t="s">
        <v>527</v>
      </c>
      <c r="C729" s="65" t="s">
        <v>529</v>
      </c>
      <c r="D729" s="66" t="s">
        <v>509</v>
      </c>
      <c r="E729" s="67">
        <v>0.35</v>
      </c>
      <c r="F729" s="67">
        <f>ROUND((0.15+1),7)</f>
        <v>1.1499999999999999</v>
      </c>
      <c r="G729" s="67">
        <f>SmtRes!CX198</f>
        <v>0.161</v>
      </c>
      <c r="H729" s="69"/>
      <c r="I729" s="68"/>
      <c r="J729" s="69">
        <f>SmtRes!CZ198</f>
        <v>551.45000000000005</v>
      </c>
      <c r="K729" s="68"/>
      <c r="L729" s="69">
        <f>SmtRes!DG198</f>
        <v>88.78</v>
      </c>
    </row>
    <row r="730" spans="1:101" ht="27.6" x14ac:dyDescent="0.25">
      <c r="A730" s="65"/>
      <c r="B730" s="65" t="s">
        <v>522</v>
      </c>
      <c r="C730" s="65" t="s">
        <v>887</v>
      </c>
      <c r="D730" s="66" t="s">
        <v>501</v>
      </c>
      <c r="E730" s="67">
        <f>SmtRes!DO198*SmtRes!AT198</f>
        <v>0.35</v>
      </c>
      <c r="F730" s="67">
        <f>ROUND((0.15+1),7)</f>
        <v>1.1499999999999999</v>
      </c>
      <c r="G730" s="67">
        <f>ROUND(E730*F730*G720, 7)</f>
        <v>0.161</v>
      </c>
      <c r="H730" s="69"/>
      <c r="I730" s="68"/>
      <c r="J730" s="69">
        <f>ROUND(SmtRes!AG198/SmtRes!DO198, 2)</f>
        <v>368.02</v>
      </c>
      <c r="K730" s="68"/>
      <c r="L730" s="69">
        <f>SmtRes!DH198</f>
        <v>59.25</v>
      </c>
      <c r="CE730">
        <v>1</v>
      </c>
    </row>
    <row r="731" spans="1:101" ht="14.4" x14ac:dyDescent="0.25">
      <c r="A731" s="65"/>
      <c r="B731" s="65" t="s">
        <v>578</v>
      </c>
      <c r="C731" s="65" t="s">
        <v>580</v>
      </c>
      <c r="D731" s="66" t="s">
        <v>509</v>
      </c>
      <c r="E731" s="67">
        <v>1.8</v>
      </c>
      <c r="F731" s="67">
        <f>ROUND((0.15+1),7)</f>
        <v>1.1499999999999999</v>
      </c>
      <c r="G731" s="67">
        <f>SmtRes!CX199</f>
        <v>0.82799999999999996</v>
      </c>
      <c r="H731" s="69">
        <f>SmtRes!CZ199</f>
        <v>4.3499999999999996</v>
      </c>
      <c r="I731" s="68">
        <f>SmtRes!AJ199</f>
        <v>1.23</v>
      </c>
      <c r="J731" s="69">
        <f>ROUND(H731*I731, 2)</f>
        <v>5.35</v>
      </c>
      <c r="K731" s="68"/>
      <c r="L731" s="69">
        <f>SmtRes!DG199</f>
        <v>4.43</v>
      </c>
    </row>
    <row r="732" spans="1:101" ht="27.6" x14ac:dyDescent="0.25">
      <c r="A732" s="65"/>
      <c r="B732" s="65" t="s">
        <v>597</v>
      </c>
      <c r="C732" s="65" t="s">
        <v>599</v>
      </c>
      <c r="D732" s="66" t="s">
        <v>509</v>
      </c>
      <c r="E732" s="67">
        <v>7</v>
      </c>
      <c r="F732" s="67">
        <f>ROUND((0.15+1),7)</f>
        <v>1.1499999999999999</v>
      </c>
      <c r="G732" s="67">
        <f>SmtRes!CX200</f>
        <v>3.22</v>
      </c>
      <c r="H732" s="69"/>
      <c r="I732" s="68"/>
      <c r="J732" s="69">
        <f>SmtRes!CZ200</f>
        <v>41.5</v>
      </c>
      <c r="K732" s="68"/>
      <c r="L732" s="69">
        <f>SmtRes!DG200</f>
        <v>133.63</v>
      </c>
    </row>
    <row r="733" spans="1:101" ht="14.4" x14ac:dyDescent="0.25">
      <c r="A733" s="64"/>
      <c r="B733" s="67">
        <v>4</v>
      </c>
      <c r="C733" s="64" t="s">
        <v>893</v>
      </c>
      <c r="D733" s="66"/>
      <c r="E733" s="73"/>
      <c r="F733" s="67"/>
      <c r="G733" s="67"/>
      <c r="H733" s="67"/>
      <c r="I733" s="67"/>
      <c r="J733" s="67"/>
      <c r="K733" s="67"/>
      <c r="L733" s="74">
        <f>SUM(L734:L738)-SUMIF(CE734:CE738, 1, L734:L738)</f>
        <v>117.21</v>
      </c>
    </row>
    <row r="734" spans="1:101" ht="14.4" x14ac:dyDescent="0.25">
      <c r="A734" s="65"/>
      <c r="B734" s="65" t="s">
        <v>708</v>
      </c>
      <c r="C734" s="65" t="s">
        <v>710</v>
      </c>
      <c r="D734" s="66" t="s">
        <v>205</v>
      </c>
      <c r="E734" s="67">
        <v>5.7000000000000002E-2</v>
      </c>
      <c r="F734" s="67"/>
      <c r="G734" s="67">
        <f>SmtRes!CX201</f>
        <v>2.2800000000000001E-2</v>
      </c>
      <c r="H734" s="69">
        <f>SmtRes!CZ201</f>
        <v>340.41</v>
      </c>
      <c r="I734" s="68">
        <f>SmtRes!AI201</f>
        <v>1.68</v>
      </c>
      <c r="J734" s="69">
        <f>ROUND(H734*I734, 2)</f>
        <v>571.89</v>
      </c>
      <c r="K734" s="68"/>
      <c r="L734" s="69">
        <f>SmtRes!DF201</f>
        <v>13.04</v>
      </c>
    </row>
    <row r="735" spans="1:101" ht="14.4" x14ac:dyDescent="0.25">
      <c r="A735" s="65"/>
      <c r="B735" s="65" t="s">
        <v>581</v>
      </c>
      <c r="C735" s="65" t="s">
        <v>583</v>
      </c>
      <c r="D735" s="66" t="s">
        <v>205</v>
      </c>
      <c r="E735" s="67">
        <v>0.26</v>
      </c>
      <c r="F735" s="67"/>
      <c r="G735" s="67">
        <f>SmtRes!CX202</f>
        <v>0.104</v>
      </c>
      <c r="H735" s="69">
        <f>SmtRes!CZ202</f>
        <v>114.64</v>
      </c>
      <c r="I735" s="68">
        <f>SmtRes!AI202</f>
        <v>1.1000000000000001</v>
      </c>
      <c r="J735" s="69">
        <f>ROUND(H735*I735, 2)</f>
        <v>126.1</v>
      </c>
      <c r="K735" s="68"/>
      <c r="L735" s="69">
        <f>SmtRes!DF202</f>
        <v>13.11</v>
      </c>
    </row>
    <row r="736" spans="1:101" ht="14.4" x14ac:dyDescent="0.25">
      <c r="A736" s="65"/>
      <c r="B736" s="65" t="s">
        <v>560</v>
      </c>
      <c r="C736" s="65" t="s">
        <v>562</v>
      </c>
      <c r="D736" s="66" t="s">
        <v>563</v>
      </c>
      <c r="E736" s="67">
        <v>5.21</v>
      </c>
      <c r="F736" s="67"/>
      <c r="G736" s="67">
        <f>SmtRes!CX203</f>
        <v>2.0840000000000001</v>
      </c>
      <c r="H736" s="69"/>
      <c r="I736" s="68"/>
      <c r="J736" s="69">
        <f>SmtRes!CZ203</f>
        <v>9.0399999999999991</v>
      </c>
      <c r="K736" s="68"/>
      <c r="L736" s="69">
        <f>SmtRes!DF203</f>
        <v>18.84</v>
      </c>
    </row>
    <row r="737" spans="1:101" ht="55.2" x14ac:dyDescent="0.25">
      <c r="A737" s="65"/>
      <c r="B737" s="65" t="s">
        <v>603</v>
      </c>
      <c r="C737" s="65" t="s">
        <v>605</v>
      </c>
      <c r="D737" s="66" t="s">
        <v>240</v>
      </c>
      <c r="E737" s="67">
        <v>1.22</v>
      </c>
      <c r="F737" s="67"/>
      <c r="G737" s="67">
        <f>SmtRes!CX204</f>
        <v>0.48799999999999999</v>
      </c>
      <c r="H737" s="69">
        <f>SmtRes!CZ204</f>
        <v>155.63</v>
      </c>
      <c r="I737" s="68">
        <f>SmtRes!AI204</f>
        <v>0.85</v>
      </c>
      <c r="J737" s="69">
        <f>ROUND(H737*I737, 2)</f>
        <v>132.29</v>
      </c>
      <c r="K737" s="68"/>
      <c r="L737" s="69">
        <f>SmtRes!DF204</f>
        <v>64.56</v>
      </c>
    </row>
    <row r="738" spans="1:101" ht="27.6" x14ac:dyDescent="0.25">
      <c r="A738" s="65"/>
      <c r="B738" s="65" t="s">
        <v>711</v>
      </c>
      <c r="C738" s="65" t="s">
        <v>713</v>
      </c>
      <c r="D738" s="66" t="s">
        <v>222</v>
      </c>
      <c r="E738" s="67">
        <v>0.15</v>
      </c>
      <c r="F738" s="67"/>
      <c r="G738" s="67">
        <f>SmtRes!CX205</f>
        <v>0.06</v>
      </c>
      <c r="H738" s="69">
        <f>SmtRes!CZ205</f>
        <v>104.63</v>
      </c>
      <c r="I738" s="68">
        <f>SmtRes!AI205</f>
        <v>1.22</v>
      </c>
      <c r="J738" s="69">
        <f>ROUND(H738*I738, 2)</f>
        <v>127.65</v>
      </c>
      <c r="K738" s="68"/>
      <c r="L738" s="69">
        <f>SmtRes!DF205</f>
        <v>7.66</v>
      </c>
    </row>
    <row r="739" spans="1:101" ht="27.6" x14ac:dyDescent="0.25">
      <c r="A739" s="65"/>
      <c r="B739" s="65" t="str">
        <f>EtalonRes!I216</f>
        <v>18.1.02.01</v>
      </c>
      <c r="C739" s="75" t="str">
        <f>EtalonRes!K216</f>
        <v>Задвижки стальные для горячей воды и пара (или клапаны)</v>
      </c>
      <c r="D739" s="76" t="str">
        <f>EtalonRes!O216</f>
        <v>КОМПЛ</v>
      </c>
      <c r="E739" s="77">
        <f>EtalonRes!X216</f>
        <v>10</v>
      </c>
      <c r="F739" s="77"/>
      <c r="G739" s="77">
        <f>ROUND(EtalonRes!AG216*Source!I171, 7)</f>
        <v>4</v>
      </c>
      <c r="H739" s="78"/>
      <c r="I739" s="79"/>
      <c r="J739" s="78"/>
      <c r="K739" s="79"/>
      <c r="L739" s="78"/>
    </row>
    <row r="740" spans="1:101" ht="14.4" x14ac:dyDescent="0.25">
      <c r="A740" s="65"/>
      <c r="B740" s="65"/>
      <c r="C740" s="81" t="s">
        <v>864</v>
      </c>
      <c r="D740" s="66"/>
      <c r="E740" s="67"/>
      <c r="F740" s="67"/>
      <c r="G740" s="67"/>
      <c r="H740" s="69"/>
      <c r="I740" s="68"/>
      <c r="J740" s="69"/>
      <c r="K740" s="68"/>
      <c r="L740" s="69">
        <f>L722+L727+L728+L733</f>
        <v>5415.93</v>
      </c>
    </row>
    <row r="741" spans="1:101" ht="14.4" x14ac:dyDescent="0.25">
      <c r="A741" s="65"/>
      <c r="B741" s="65"/>
      <c r="C741" s="65" t="s">
        <v>865</v>
      </c>
      <c r="D741" s="66"/>
      <c r="E741" s="67"/>
      <c r="F741" s="67"/>
      <c r="G741" s="67"/>
      <c r="H741" s="69"/>
      <c r="I741" s="68"/>
      <c r="J741" s="69"/>
      <c r="K741" s="68"/>
      <c r="L741" s="69">
        <f>SUM(AR720:AR744)+SUM(AS720:AS744)+SUM(AT720:AT744)+SUM(AU720:AU744)+SUM(AV720:AV744)</f>
        <v>5071.88</v>
      </c>
    </row>
    <row r="742" spans="1:101" ht="41.4" x14ac:dyDescent="0.25">
      <c r="A742" s="65"/>
      <c r="B742" s="65" t="s">
        <v>102</v>
      </c>
      <c r="C742" s="65" t="s">
        <v>894</v>
      </c>
      <c r="D742" s="66" t="s">
        <v>761</v>
      </c>
      <c r="E742" s="67">
        <f>Source!BZ171</f>
        <v>117</v>
      </c>
      <c r="F742" s="67"/>
      <c r="G742" s="67">
        <f>Source!AT171</f>
        <v>117</v>
      </c>
      <c r="H742" s="69"/>
      <c r="I742" s="68"/>
      <c r="J742" s="69"/>
      <c r="K742" s="68"/>
      <c r="L742" s="69">
        <f>SUM(AZ720:AZ744)</f>
        <v>5934.1</v>
      </c>
    </row>
    <row r="743" spans="1:101" ht="41.4" x14ac:dyDescent="0.25">
      <c r="A743" s="75"/>
      <c r="B743" s="75" t="s">
        <v>103</v>
      </c>
      <c r="C743" s="75" t="s">
        <v>895</v>
      </c>
      <c r="D743" s="76" t="s">
        <v>761</v>
      </c>
      <c r="E743" s="77">
        <f>Source!CA171</f>
        <v>74</v>
      </c>
      <c r="F743" s="77"/>
      <c r="G743" s="77">
        <f>Source!AU171</f>
        <v>74</v>
      </c>
      <c r="H743" s="78"/>
      <c r="I743" s="79"/>
      <c r="J743" s="78"/>
      <c r="K743" s="79"/>
      <c r="L743" s="78">
        <f>SUM(BA720:BA744)</f>
        <v>3753.19</v>
      </c>
    </row>
    <row r="744" spans="1:101" ht="13.8" x14ac:dyDescent="0.25">
      <c r="C744" s="127" t="s">
        <v>868</v>
      </c>
      <c r="D744" s="127"/>
      <c r="E744" s="127"/>
      <c r="F744" s="127"/>
      <c r="G744" s="127"/>
      <c r="H744" s="127"/>
      <c r="I744" s="128">
        <f>IF(E720&lt;&gt;0,K744/E720, 0)</f>
        <v>37758.050000000003</v>
      </c>
      <c r="J744" s="128"/>
      <c r="K744" s="128">
        <f>L722+L727+L733+L742+L743+L728</f>
        <v>15103.220000000001</v>
      </c>
      <c r="L744" s="128"/>
      <c r="AD744">
        <f>ROUND((Source!AT171/100)*((ROUND(SUMIF(SmtRes!AQ193:'SmtRes'!AQ205,"=1",SmtRes!AD193:'SmtRes'!AD205)*Source!I171, 2)+ROUND(SUMIF(SmtRes!AQ193:'SmtRes'!AQ205,"=1",SmtRes!AC193:'SmtRes'!AC205)*Source!I171, 2))), 2)</f>
        <v>835.46</v>
      </c>
      <c r="AE744">
        <f>ROUND((Source!AU171/100)*((ROUND(SUMIF(SmtRes!AQ193:'SmtRes'!AQ205,"=1",SmtRes!AD193:'SmtRes'!AD205)*Source!I171, 2)+ROUND(SUMIF(SmtRes!AQ193:'SmtRes'!AQ205,"=1",SmtRes!AC193:'SmtRes'!AC205)*Source!I171, 2))), 2)</f>
        <v>528.41</v>
      </c>
      <c r="AN744" s="80">
        <f>L722+L727+L733+L742+L743+L728</f>
        <v>15103.220000000001</v>
      </c>
      <c r="AO744" s="80">
        <f>L727</f>
        <v>226.84000000000003</v>
      </c>
      <c r="AQ744" t="s">
        <v>869</v>
      </c>
      <c r="AR744" s="80">
        <f>L722</f>
        <v>5012.63</v>
      </c>
      <c r="AT744" s="80">
        <f>L728</f>
        <v>59.25</v>
      </c>
      <c r="AV744" t="s">
        <v>869</v>
      </c>
      <c r="AW744" s="80">
        <f>L733</f>
        <v>117.21</v>
      </c>
      <c r="AZ744">
        <f>Source!X171</f>
        <v>5934.1</v>
      </c>
      <c r="BA744">
        <f>Source!Y171</f>
        <v>3753.19</v>
      </c>
      <c r="CD744">
        <v>1</v>
      </c>
    </row>
    <row r="745" spans="1:101" ht="13.8" x14ac:dyDescent="0.25">
      <c r="C745" s="62" t="str">
        <f>Source!G172</f>
        <v>выход из канала</v>
      </c>
    </row>
    <row r="746" spans="1:101" ht="14.4" x14ac:dyDescent="0.25">
      <c r="A746" s="63" t="s">
        <v>338</v>
      </c>
      <c r="B746" s="65" t="s">
        <v>969</v>
      </c>
      <c r="C746" s="65" t="str">
        <f>Source!G173</f>
        <v>Кладка стен приямков и каналов</v>
      </c>
      <c r="D746" s="66" t="str">
        <f>Source!H173</f>
        <v>м3</v>
      </c>
      <c r="E746" s="67">
        <f>Source!K173</f>
        <v>0.3</v>
      </c>
      <c r="F746" s="67"/>
      <c r="G746" s="67">
        <f>Source!I173</f>
        <v>0.3</v>
      </c>
      <c r="H746" s="69"/>
      <c r="I746" s="68"/>
      <c r="J746" s="69"/>
      <c r="K746" s="68"/>
      <c r="L746" s="69"/>
    </row>
    <row r="747" spans="1:101" ht="39.6" x14ac:dyDescent="0.25">
      <c r="B747" s="70" t="s">
        <v>788</v>
      </c>
      <c r="C747" s="129" t="s">
        <v>871</v>
      </c>
      <c r="D747" s="129"/>
      <c r="E747" s="129"/>
      <c r="F747" s="129"/>
      <c r="G747" s="129"/>
      <c r="H747" s="129"/>
      <c r="I747" s="129"/>
      <c r="J747" s="129"/>
      <c r="K747" s="129"/>
      <c r="L747" s="129"/>
      <c r="CW747" s="71" t="s">
        <v>871</v>
      </c>
    </row>
    <row r="748" spans="1:101" ht="14.4" x14ac:dyDescent="0.25">
      <c r="A748" s="64"/>
      <c r="B748" s="67">
        <v>1</v>
      </c>
      <c r="C748" s="64" t="s">
        <v>863</v>
      </c>
      <c r="D748" s="66" t="s">
        <v>501</v>
      </c>
      <c r="E748" s="73"/>
      <c r="F748" s="67"/>
      <c r="G748" s="67">
        <f>Source!U173</f>
        <v>2.0527500000000001</v>
      </c>
      <c r="H748" s="67"/>
      <c r="I748" s="67"/>
      <c r="J748" s="67"/>
      <c r="K748" s="67"/>
      <c r="L748" s="74">
        <f>SUM(L749:L749)-SUMIF(CE749:CE749, 1, L749:L749)</f>
        <v>653.97</v>
      </c>
    </row>
    <row r="749" spans="1:101" ht="14.4" x14ac:dyDescent="0.25">
      <c r="A749" s="65"/>
      <c r="B749" s="65" t="s">
        <v>570</v>
      </c>
      <c r="C749" s="65" t="s">
        <v>571</v>
      </c>
      <c r="D749" s="66" t="s">
        <v>501</v>
      </c>
      <c r="E749" s="67">
        <v>5.95</v>
      </c>
      <c r="F749" s="67">
        <f>ROUND((0.15+1),7)</f>
        <v>1.1499999999999999</v>
      </c>
      <c r="G749" s="67">
        <f>SmtRes!CX206</f>
        <v>2.0527500000000001</v>
      </c>
      <c r="H749" s="69"/>
      <c r="I749" s="68"/>
      <c r="J749" s="69">
        <f>SmtRes!CZ206</f>
        <v>318.58</v>
      </c>
      <c r="K749" s="68"/>
      <c r="L749" s="69">
        <f>SmtRes!DI206</f>
        <v>653.97</v>
      </c>
    </row>
    <row r="750" spans="1:101" ht="14.4" x14ac:dyDescent="0.25">
      <c r="A750" s="64"/>
      <c r="B750" s="67">
        <v>2</v>
      </c>
      <c r="C750" s="64" t="s">
        <v>875</v>
      </c>
      <c r="D750" s="66"/>
      <c r="E750" s="73"/>
      <c r="F750" s="67"/>
      <c r="G750" s="67"/>
      <c r="H750" s="67"/>
      <c r="I750" s="67"/>
      <c r="J750" s="67"/>
      <c r="K750" s="67"/>
      <c r="L750" s="74">
        <f>SUM(L751:L753)-SUMIF(CE751:CE753, 1, L751:L753)</f>
        <v>130.62</v>
      </c>
    </row>
    <row r="751" spans="1:101" ht="14.4" x14ac:dyDescent="0.25">
      <c r="A751" s="64"/>
      <c r="B751" s="67"/>
      <c r="C751" s="64" t="s">
        <v>877</v>
      </c>
      <c r="D751" s="66" t="s">
        <v>501</v>
      </c>
      <c r="E751" s="73"/>
      <c r="F751" s="67"/>
      <c r="G751" s="67">
        <f>Source!V173</f>
        <v>0.1242</v>
      </c>
      <c r="H751" s="67"/>
      <c r="I751" s="67"/>
      <c r="J751" s="67"/>
      <c r="K751" s="67"/>
      <c r="L751" s="74">
        <f>SUMIF(CE752:CE753, 1, L752:L753)</f>
        <v>61.4</v>
      </c>
      <c r="CE751">
        <v>1</v>
      </c>
    </row>
    <row r="752" spans="1:101" ht="14.4" x14ac:dyDescent="0.25">
      <c r="A752" s="65"/>
      <c r="B752" s="65" t="s">
        <v>714</v>
      </c>
      <c r="C752" s="65" t="s">
        <v>716</v>
      </c>
      <c r="D752" s="66" t="s">
        <v>509</v>
      </c>
      <c r="E752" s="67">
        <v>0.36</v>
      </c>
      <c r="F752" s="67">
        <f>ROUND((0.15+1),7)</f>
        <v>1.1499999999999999</v>
      </c>
      <c r="G752" s="67">
        <f>SmtRes!CX208</f>
        <v>0.1242</v>
      </c>
      <c r="H752" s="69"/>
      <c r="I752" s="68"/>
      <c r="J752" s="69">
        <f>SmtRes!CZ208</f>
        <v>1051.72</v>
      </c>
      <c r="K752" s="68"/>
      <c r="L752" s="69">
        <f>SmtRes!DG208</f>
        <v>130.62</v>
      </c>
    </row>
    <row r="753" spans="1:101" ht="27.6" x14ac:dyDescent="0.25">
      <c r="A753" s="65"/>
      <c r="B753" s="65" t="s">
        <v>577</v>
      </c>
      <c r="C753" s="65" t="s">
        <v>935</v>
      </c>
      <c r="D753" s="66" t="s">
        <v>501</v>
      </c>
      <c r="E753" s="67">
        <f>SmtRes!DO208*SmtRes!AT208</f>
        <v>0.36</v>
      </c>
      <c r="F753" s="67">
        <f>ROUND((0.15+1),7)</f>
        <v>1.1499999999999999</v>
      </c>
      <c r="G753" s="67">
        <f>ROUND(E753*F753*G746, 7)</f>
        <v>0.1242</v>
      </c>
      <c r="H753" s="69"/>
      <c r="I753" s="68"/>
      <c r="J753" s="69">
        <f>ROUND(SmtRes!AG208/SmtRes!DO208, 2)</f>
        <v>494.35</v>
      </c>
      <c r="K753" s="68"/>
      <c r="L753" s="69">
        <f>SmtRes!DH208</f>
        <v>61.4</v>
      </c>
      <c r="CE753">
        <v>1</v>
      </c>
    </row>
    <row r="754" spans="1:101" ht="14.4" x14ac:dyDescent="0.25">
      <c r="A754" s="64"/>
      <c r="B754" s="67">
        <v>4</v>
      </c>
      <c r="C754" s="64" t="s">
        <v>893</v>
      </c>
      <c r="D754" s="66"/>
      <c r="E754" s="73"/>
      <c r="F754" s="67"/>
      <c r="G754" s="67"/>
      <c r="H754" s="67"/>
      <c r="I754" s="67"/>
      <c r="J754" s="67"/>
      <c r="K754" s="67"/>
      <c r="L754" s="74">
        <f>SUM(L755:L756)-SUMIF(CE755:CE756, 1, L755:L756)</f>
        <v>54.870000000000005</v>
      </c>
    </row>
    <row r="755" spans="1:101" ht="14.4" x14ac:dyDescent="0.25">
      <c r="A755" s="65"/>
      <c r="B755" s="65" t="s">
        <v>600</v>
      </c>
      <c r="C755" s="65" t="s">
        <v>602</v>
      </c>
      <c r="D755" s="66" t="s">
        <v>205</v>
      </c>
      <c r="E755" s="67">
        <v>0.46</v>
      </c>
      <c r="F755" s="67"/>
      <c r="G755" s="67">
        <f>SmtRes!CX209</f>
        <v>0.13800000000000001</v>
      </c>
      <c r="H755" s="69">
        <f>SmtRes!CZ209</f>
        <v>35.71</v>
      </c>
      <c r="I755" s="68">
        <f>SmtRes!AI209</f>
        <v>0.88</v>
      </c>
      <c r="J755" s="69">
        <f>ROUND(H755*I755, 2)</f>
        <v>31.42</v>
      </c>
      <c r="K755" s="68"/>
      <c r="L755" s="69">
        <f>SmtRes!DF209</f>
        <v>4.34</v>
      </c>
    </row>
    <row r="756" spans="1:101" ht="27.6" x14ac:dyDescent="0.25">
      <c r="A756" s="65"/>
      <c r="B756" s="65" t="s">
        <v>656</v>
      </c>
      <c r="C756" s="65" t="s">
        <v>658</v>
      </c>
      <c r="D756" s="66" t="s">
        <v>174</v>
      </c>
      <c r="E756" s="67">
        <v>2.3E-3</v>
      </c>
      <c r="F756" s="67"/>
      <c r="G756" s="67">
        <f>SmtRes!CX212</f>
        <v>6.8999999999999997E-4</v>
      </c>
      <c r="H756" s="69">
        <f>SmtRes!CZ212</f>
        <v>55898.18</v>
      </c>
      <c r="I756" s="68">
        <f>SmtRes!AI212</f>
        <v>1.31</v>
      </c>
      <c r="J756" s="69">
        <f>ROUND(H756*I756, 2)</f>
        <v>73226.62</v>
      </c>
      <c r="K756" s="68"/>
      <c r="L756" s="69">
        <f>SmtRes!DF212</f>
        <v>50.53</v>
      </c>
    </row>
    <row r="757" spans="1:101" ht="14.4" x14ac:dyDescent="0.25">
      <c r="A757" s="65"/>
      <c r="B757" s="65" t="str">
        <f>EtalonRes!I221</f>
        <v>04.3.01.09</v>
      </c>
      <c r="C757" s="65" t="str">
        <f>EtalonRes!K221</f>
        <v>Раствор готовый кладочный</v>
      </c>
      <c r="D757" s="66" t="str">
        <f>EtalonRes!O221</f>
        <v>м3</v>
      </c>
      <c r="E757" s="67">
        <f>EtalonRes!X221</f>
        <v>0.221</v>
      </c>
      <c r="F757" s="67"/>
      <c r="G757" s="67">
        <f>ROUND(EtalonRes!AG221*Source!I173, 7)</f>
        <v>6.6299999999999998E-2</v>
      </c>
      <c r="H757" s="69"/>
      <c r="I757" s="68"/>
      <c r="J757" s="69"/>
      <c r="K757" s="68"/>
      <c r="L757" s="69"/>
    </row>
    <row r="758" spans="1:101" ht="14.4" x14ac:dyDescent="0.25">
      <c r="A758" s="65"/>
      <c r="B758" s="65" t="str">
        <f>EtalonRes!I222</f>
        <v>06.1.01.05</v>
      </c>
      <c r="C758" s="75" t="str">
        <f>EtalonRes!K222</f>
        <v>Кирпич керамический или силикатный</v>
      </c>
      <c r="D758" s="76" t="str">
        <f>EtalonRes!O222</f>
        <v>1000 ШТ</v>
      </c>
      <c r="E758" s="77">
        <f>EtalonRes!X222</f>
        <v>0.4</v>
      </c>
      <c r="F758" s="77"/>
      <c r="G758" s="77">
        <f>ROUND(EtalonRes!AG222*Source!I173, 7)</f>
        <v>0.12</v>
      </c>
      <c r="H758" s="78"/>
      <c r="I758" s="79"/>
      <c r="J758" s="78"/>
      <c r="K758" s="79"/>
      <c r="L758" s="78"/>
    </row>
    <row r="759" spans="1:101" ht="14.4" x14ac:dyDescent="0.25">
      <c r="A759" s="65"/>
      <c r="B759" s="65"/>
      <c r="C759" s="81" t="s">
        <v>864</v>
      </c>
      <c r="D759" s="66"/>
      <c r="E759" s="67"/>
      <c r="F759" s="67"/>
      <c r="G759" s="67"/>
      <c r="H759" s="69"/>
      <c r="I759" s="68"/>
      <c r="J759" s="69"/>
      <c r="K759" s="68"/>
      <c r="L759" s="69">
        <f>L748+L750+L751+L754</f>
        <v>900.86</v>
      </c>
    </row>
    <row r="760" spans="1:101" ht="27.6" x14ac:dyDescent="0.25">
      <c r="A760" s="63" t="s">
        <v>970</v>
      </c>
      <c r="B760" s="65" t="str">
        <f>Source!F174</f>
        <v>04.3.01.09-0014</v>
      </c>
      <c r="C760" s="65" t="str">
        <f>Source!G174</f>
        <v>Раствор готовый кладочный, цементный, М100</v>
      </c>
      <c r="D760" s="66" t="str">
        <f>Source!H174</f>
        <v>м3</v>
      </c>
      <c r="E760" s="67">
        <f>SmtRes!AT210</f>
        <v>0.221</v>
      </c>
      <c r="F760" s="67"/>
      <c r="G760" s="67">
        <f>Source!I174</f>
        <v>6.6299999999999998E-2</v>
      </c>
      <c r="H760" s="69"/>
      <c r="I760" s="68"/>
      <c r="J760" s="69">
        <f>Source!AK174</f>
        <v>4988.2</v>
      </c>
      <c r="K760" s="68"/>
      <c r="L760" s="69">
        <f>Source!P174</f>
        <v>330.72</v>
      </c>
      <c r="AD760">
        <f>ROUND((Source!AT174/100)*((ROUND(ROUND(Source!AO174,2)*Source!I174, 2)+ROUND(ROUND(Source!AN174,2)*Source!I174, 2))), 2)</f>
        <v>0</v>
      </c>
      <c r="AE760">
        <f>ROUND((Source!AU174/100)*((ROUND(ROUND(Source!AO174,2)*Source!I174, 2)+ROUND(ROUND(Source!AN174,2)*Source!I174, 2))), 2)</f>
        <v>0</v>
      </c>
      <c r="AN760">
        <f>L760</f>
        <v>330.72</v>
      </c>
      <c r="AW760">
        <f>L760</f>
        <v>330.72</v>
      </c>
      <c r="AZ760">
        <f>Source!X174</f>
        <v>0</v>
      </c>
      <c r="BA760">
        <f>Source!Y174</f>
        <v>0</v>
      </c>
      <c r="CD760">
        <v>1</v>
      </c>
    </row>
    <row r="761" spans="1:101" ht="41.4" x14ac:dyDescent="0.25">
      <c r="A761" s="63" t="s">
        <v>971</v>
      </c>
      <c r="B761" s="65" t="str">
        <f>Source!F175</f>
        <v>06.1.01.05-0037</v>
      </c>
      <c r="C761" s="65" t="str">
        <f>Source!G175</f>
        <v>Кирпич керамический рядовой полнотелый одинарный, размеры 250х120х65 мм, марка М150</v>
      </c>
      <c r="D761" s="66" t="str">
        <f>Source!H175</f>
        <v>1000 ШТ</v>
      </c>
      <c r="E761" s="67">
        <f>SmtRes!AT211</f>
        <v>0.4</v>
      </c>
      <c r="F761" s="67"/>
      <c r="G761" s="67">
        <f>Source!I175</f>
        <v>0.12</v>
      </c>
      <c r="H761" s="69"/>
      <c r="I761" s="68"/>
      <c r="J761" s="69">
        <f>Source!AK175</f>
        <v>18991.84</v>
      </c>
      <c r="K761" s="68"/>
      <c r="L761" s="69">
        <f>Source!P175</f>
        <v>2279.02</v>
      </c>
      <c r="AD761">
        <f>ROUND((Source!AT175/100)*((ROUND(ROUND(Source!AO175,2)*Source!I175, 2)+ROUND(ROUND(Source!AN175,2)*Source!I175, 2))), 2)</f>
        <v>0</v>
      </c>
      <c r="AE761">
        <f>ROUND((Source!AU175/100)*((ROUND(ROUND(Source!AO175,2)*Source!I175, 2)+ROUND(ROUND(Source!AN175,2)*Source!I175, 2))), 2)</f>
        <v>0</v>
      </c>
      <c r="AN761">
        <f>L761</f>
        <v>2279.02</v>
      </c>
      <c r="AW761">
        <f>L761</f>
        <v>2279.02</v>
      </c>
      <c r="AZ761">
        <f>Source!X175</f>
        <v>0</v>
      </c>
      <c r="BA761">
        <f>Source!Y175</f>
        <v>0</v>
      </c>
      <c r="CD761">
        <v>1</v>
      </c>
    </row>
    <row r="762" spans="1:101" ht="14.4" x14ac:dyDescent="0.25">
      <c r="A762" s="65"/>
      <c r="B762" s="65"/>
      <c r="C762" s="65" t="s">
        <v>865</v>
      </c>
      <c r="D762" s="66"/>
      <c r="E762" s="67"/>
      <c r="F762" s="67"/>
      <c r="G762" s="67"/>
      <c r="H762" s="69"/>
      <c r="I762" s="68"/>
      <c r="J762" s="69"/>
      <c r="K762" s="68"/>
      <c r="L762" s="69">
        <f>SUM(AR746:AR765)+SUM(AS746:AS765)+SUM(AT746:AT765)+SUM(AU746:AU765)+SUM(AV746:AV765)</f>
        <v>715.37</v>
      </c>
    </row>
    <row r="763" spans="1:101" ht="14.4" x14ac:dyDescent="0.25">
      <c r="A763" s="65"/>
      <c r="B763" s="65" t="s">
        <v>344</v>
      </c>
      <c r="C763" s="65" t="s">
        <v>972</v>
      </c>
      <c r="D763" s="66" t="s">
        <v>761</v>
      </c>
      <c r="E763" s="67">
        <f>Source!BZ173</f>
        <v>110</v>
      </c>
      <c r="F763" s="67"/>
      <c r="G763" s="67">
        <f>Source!AT173</f>
        <v>110</v>
      </c>
      <c r="H763" s="69"/>
      <c r="I763" s="68"/>
      <c r="J763" s="69"/>
      <c r="K763" s="68"/>
      <c r="L763" s="69">
        <f>SUM(AZ746:AZ765)</f>
        <v>786.91</v>
      </c>
    </row>
    <row r="764" spans="1:101" ht="14.4" x14ac:dyDescent="0.25">
      <c r="A764" s="75"/>
      <c r="B764" s="75" t="s">
        <v>345</v>
      </c>
      <c r="C764" s="75" t="s">
        <v>973</v>
      </c>
      <c r="D764" s="76" t="s">
        <v>761</v>
      </c>
      <c r="E764" s="77">
        <f>Source!CA173</f>
        <v>69</v>
      </c>
      <c r="F764" s="77"/>
      <c r="G764" s="77">
        <f>Source!AU173</f>
        <v>69</v>
      </c>
      <c r="H764" s="78"/>
      <c r="I764" s="79"/>
      <c r="J764" s="78"/>
      <c r="K764" s="79"/>
      <c r="L764" s="78">
        <f>SUM(BA746:BA765)</f>
        <v>493.61</v>
      </c>
    </row>
    <row r="765" spans="1:101" ht="13.8" x14ac:dyDescent="0.25">
      <c r="C765" s="127" t="s">
        <v>868</v>
      </c>
      <c r="D765" s="127"/>
      <c r="E765" s="127"/>
      <c r="F765" s="127"/>
      <c r="G765" s="127"/>
      <c r="H765" s="127"/>
      <c r="I765" s="128">
        <f>IF(E746&lt;&gt;0,K765/E746, 0)</f>
        <v>15970.4</v>
      </c>
      <c r="J765" s="128"/>
      <c r="K765" s="128">
        <f>L748+L750+L754+L763+L764+L751+SUM(L760:L761)</f>
        <v>4791.12</v>
      </c>
      <c r="L765" s="128"/>
      <c r="AD765">
        <f>ROUND((Source!AT173/100)*((ROUND(SUMIF(SmtRes!AQ206:'SmtRes'!AQ212,"=1",SmtRes!AD206:'SmtRes'!AD212)*Source!I173, 2)+ROUND(SUMIF(SmtRes!AQ206:'SmtRes'!AQ212,"=1",SmtRes!AC206:'SmtRes'!AC212)*Source!I173, 2))), 2)</f>
        <v>268.27</v>
      </c>
      <c r="AE765">
        <f>ROUND((Source!AU173/100)*((ROUND(SUMIF(SmtRes!AQ206:'SmtRes'!AQ212,"=1",SmtRes!AD206:'SmtRes'!AD212)*Source!I173, 2)+ROUND(SUMIF(SmtRes!AQ206:'SmtRes'!AQ212,"=1",SmtRes!AC206:'SmtRes'!AC212)*Source!I173, 2))), 2)</f>
        <v>168.28</v>
      </c>
      <c r="AN765" s="80">
        <f>L748+L750+L754+L763+L764+L751</f>
        <v>2181.38</v>
      </c>
      <c r="AO765" s="80">
        <f>L750</f>
        <v>130.62</v>
      </c>
      <c r="AQ765" t="s">
        <v>869</v>
      </c>
      <c r="AR765" s="80">
        <f>L748</f>
        <v>653.97</v>
      </c>
      <c r="AT765" s="80">
        <f>L751</f>
        <v>61.4</v>
      </c>
      <c r="AV765" t="s">
        <v>869</v>
      </c>
      <c r="AW765" s="80">
        <f>L754</f>
        <v>54.870000000000005</v>
      </c>
      <c r="AZ765">
        <f>Source!X173</f>
        <v>786.91</v>
      </c>
      <c r="BA765">
        <f>Source!Y173</f>
        <v>493.61</v>
      </c>
      <c r="CD765">
        <v>1</v>
      </c>
    </row>
    <row r="766" spans="1:101" ht="27.6" x14ac:dyDescent="0.25">
      <c r="A766" s="63" t="s">
        <v>355</v>
      </c>
      <c r="B766" s="65" t="s">
        <v>974</v>
      </c>
      <c r="C766" s="65" t="str">
        <f>Source!G176</f>
        <v>Монтаж: лотков, решеток, затворов из полосовой и тонколистовой стали</v>
      </c>
      <c r="D766" s="66" t="str">
        <f>Source!H176</f>
        <v>т</v>
      </c>
      <c r="E766" s="67">
        <f>Source!K176</f>
        <v>0.05</v>
      </c>
      <c r="F766" s="67"/>
      <c r="G766" s="67">
        <f>Source!I176</f>
        <v>0.05</v>
      </c>
      <c r="H766" s="69"/>
      <c r="I766" s="68"/>
      <c r="J766" s="69"/>
      <c r="K766" s="68"/>
      <c r="L766" s="69"/>
    </row>
    <row r="767" spans="1:101" ht="39.6" x14ac:dyDescent="0.25">
      <c r="B767" s="70" t="s">
        <v>788</v>
      </c>
      <c r="C767" s="129" t="s">
        <v>871</v>
      </c>
      <c r="D767" s="129"/>
      <c r="E767" s="129"/>
      <c r="F767" s="129"/>
      <c r="G767" s="129"/>
      <c r="H767" s="129"/>
      <c r="I767" s="129"/>
      <c r="J767" s="129"/>
      <c r="K767" s="129"/>
      <c r="L767" s="129"/>
      <c r="CW767" s="71" t="s">
        <v>871</v>
      </c>
    </row>
    <row r="768" spans="1:101" ht="14.4" x14ac:dyDescent="0.25">
      <c r="A768" s="64"/>
      <c r="B768" s="67">
        <v>1</v>
      </c>
      <c r="C768" s="64" t="s">
        <v>863</v>
      </c>
      <c r="D768" s="66" t="s">
        <v>501</v>
      </c>
      <c r="E768" s="73"/>
      <c r="F768" s="67"/>
      <c r="G768" s="67">
        <f>Source!U176</f>
        <v>2.6795</v>
      </c>
      <c r="H768" s="67"/>
      <c r="I768" s="67"/>
      <c r="J768" s="67"/>
      <c r="K768" s="67"/>
      <c r="L768" s="74">
        <f>SUM(L769:L769)-SUMIF(CE769:CE769, 1, L769:L769)</f>
        <v>875.71</v>
      </c>
    </row>
    <row r="769" spans="1:83" ht="14.4" x14ac:dyDescent="0.25">
      <c r="A769" s="65"/>
      <c r="B769" s="65" t="s">
        <v>514</v>
      </c>
      <c r="C769" s="65" t="s">
        <v>515</v>
      </c>
      <c r="D769" s="66" t="s">
        <v>501</v>
      </c>
      <c r="E769" s="67">
        <v>46.6</v>
      </c>
      <c r="F769" s="67">
        <f>ROUND((0.15+1),7)</f>
        <v>1.1499999999999999</v>
      </c>
      <c r="G769" s="67">
        <f>SmtRes!CX213</f>
        <v>2.6795</v>
      </c>
      <c r="H769" s="69"/>
      <c r="I769" s="68"/>
      <c r="J769" s="69">
        <f>SmtRes!CZ213</f>
        <v>326.82</v>
      </c>
      <c r="K769" s="68"/>
      <c r="L769" s="69">
        <f>SmtRes!DI213</f>
        <v>875.71</v>
      </c>
    </row>
    <row r="770" spans="1:83" ht="14.4" x14ac:dyDescent="0.25">
      <c r="A770" s="64"/>
      <c r="B770" s="67">
        <v>2</v>
      </c>
      <c r="C770" s="64" t="s">
        <v>875</v>
      </c>
      <c r="D770" s="66"/>
      <c r="E770" s="73"/>
      <c r="F770" s="67"/>
      <c r="G770" s="67"/>
      <c r="H770" s="67"/>
      <c r="I770" s="67"/>
      <c r="J770" s="67"/>
      <c r="K770" s="67"/>
      <c r="L770" s="74">
        <f>SUM(L771:L778)-SUMIF(CE771:CE778, 1, L771:L778)</f>
        <v>37.379999999999995</v>
      </c>
    </row>
    <row r="771" spans="1:83" ht="14.4" x14ac:dyDescent="0.25">
      <c r="A771" s="64"/>
      <c r="B771" s="67"/>
      <c r="C771" s="64" t="s">
        <v>877</v>
      </c>
      <c r="D771" s="66" t="s">
        <v>501</v>
      </c>
      <c r="E771" s="73"/>
      <c r="F771" s="67"/>
      <c r="G771" s="67">
        <f>Source!V176</f>
        <v>1.7825000000000001E-2</v>
      </c>
      <c r="H771" s="67"/>
      <c r="I771" s="67"/>
      <c r="J771" s="67"/>
      <c r="K771" s="67"/>
      <c r="L771" s="74">
        <f>SUMIF(CE772:CE778, 1, L772:L778)</f>
        <v>7.43</v>
      </c>
      <c r="CE771">
        <v>1</v>
      </c>
    </row>
    <row r="772" spans="1:83" ht="27.6" x14ac:dyDescent="0.25">
      <c r="A772" s="65"/>
      <c r="B772" s="65" t="s">
        <v>574</v>
      </c>
      <c r="C772" s="65" t="s">
        <v>576</v>
      </c>
      <c r="D772" s="66" t="s">
        <v>509</v>
      </c>
      <c r="E772" s="67">
        <v>0.12</v>
      </c>
      <c r="F772" s="67">
        <f t="shared" ref="F772:F778" si="7">ROUND((0.15+1),7)</f>
        <v>1.1499999999999999</v>
      </c>
      <c r="G772" s="67">
        <f>SmtRes!CX215</f>
        <v>6.8999999999999999E-3</v>
      </c>
      <c r="H772" s="69"/>
      <c r="I772" s="68"/>
      <c r="J772" s="69">
        <f>SmtRes!CZ215</f>
        <v>1598.95</v>
      </c>
      <c r="K772" s="68"/>
      <c r="L772" s="69">
        <f>SmtRes!DG215</f>
        <v>11.03</v>
      </c>
    </row>
    <row r="773" spans="1:83" ht="27.6" x14ac:dyDescent="0.25">
      <c r="A773" s="65"/>
      <c r="B773" s="65" t="s">
        <v>577</v>
      </c>
      <c r="C773" s="65" t="s">
        <v>935</v>
      </c>
      <c r="D773" s="66" t="s">
        <v>501</v>
      </c>
      <c r="E773" s="67">
        <f>SmtRes!DO215*SmtRes!AT215</f>
        <v>0.12</v>
      </c>
      <c r="F773" s="67">
        <f t="shared" si="7"/>
        <v>1.1499999999999999</v>
      </c>
      <c r="G773" s="67">
        <f>ROUND(E773*F773*G766, 7)</f>
        <v>6.8999999999999999E-3</v>
      </c>
      <c r="H773" s="69"/>
      <c r="I773" s="68"/>
      <c r="J773" s="69">
        <f>ROUND(SmtRes!AG215/SmtRes!DO215, 2)</f>
        <v>494.35</v>
      </c>
      <c r="K773" s="68"/>
      <c r="L773" s="69">
        <f>SmtRes!DH215</f>
        <v>3.41</v>
      </c>
      <c r="CE773">
        <v>1</v>
      </c>
    </row>
    <row r="774" spans="1:83" ht="27.6" x14ac:dyDescent="0.25">
      <c r="A774" s="65"/>
      <c r="B774" s="65" t="s">
        <v>614</v>
      </c>
      <c r="C774" s="65" t="s">
        <v>616</v>
      </c>
      <c r="D774" s="66" t="s">
        <v>509</v>
      </c>
      <c r="E774" s="67">
        <v>9.08</v>
      </c>
      <c r="F774" s="67">
        <f t="shared" si="7"/>
        <v>1.1499999999999999</v>
      </c>
      <c r="G774" s="67">
        <f>SmtRes!CX216</f>
        <v>0.52210000000000001</v>
      </c>
      <c r="H774" s="69">
        <f>SmtRes!CZ216</f>
        <v>13.44</v>
      </c>
      <c r="I774" s="68">
        <f>SmtRes!AJ216</f>
        <v>1.52</v>
      </c>
      <c r="J774" s="69">
        <f>ROUND(H774*I774, 2)</f>
        <v>20.43</v>
      </c>
      <c r="K774" s="68"/>
      <c r="L774" s="69">
        <f>SmtRes!DG216</f>
        <v>10.67</v>
      </c>
    </row>
    <row r="775" spans="1:83" ht="27.6" x14ac:dyDescent="0.25">
      <c r="A775" s="65"/>
      <c r="B775" s="65" t="s">
        <v>527</v>
      </c>
      <c r="C775" s="65" t="s">
        <v>529</v>
      </c>
      <c r="D775" s="66" t="s">
        <v>509</v>
      </c>
      <c r="E775" s="67">
        <v>0.19</v>
      </c>
      <c r="F775" s="67">
        <f t="shared" si="7"/>
        <v>1.1499999999999999</v>
      </c>
      <c r="G775" s="67">
        <f>SmtRes!CX217</f>
        <v>1.0925000000000001E-2</v>
      </c>
      <c r="H775" s="69"/>
      <c r="I775" s="68"/>
      <c r="J775" s="69">
        <f>SmtRes!CZ217</f>
        <v>551.45000000000005</v>
      </c>
      <c r="K775" s="68"/>
      <c r="L775" s="69">
        <f>SmtRes!DG217</f>
        <v>6.02</v>
      </c>
    </row>
    <row r="776" spans="1:83" ht="27.6" x14ac:dyDescent="0.25">
      <c r="A776" s="65"/>
      <c r="B776" s="65" t="s">
        <v>522</v>
      </c>
      <c r="C776" s="65" t="s">
        <v>887</v>
      </c>
      <c r="D776" s="66" t="s">
        <v>501</v>
      </c>
      <c r="E776" s="67">
        <f>SmtRes!DO217*SmtRes!AT217</f>
        <v>0.19</v>
      </c>
      <c r="F776" s="67">
        <f t="shared" si="7"/>
        <v>1.1499999999999999</v>
      </c>
      <c r="G776" s="67">
        <f>ROUND(E776*F776*G766, 7)</f>
        <v>1.0925000000000001E-2</v>
      </c>
      <c r="H776" s="69"/>
      <c r="I776" s="68"/>
      <c r="J776" s="69">
        <f>ROUND(SmtRes!AG217/SmtRes!DO217, 2)</f>
        <v>368.02</v>
      </c>
      <c r="K776" s="68"/>
      <c r="L776" s="69">
        <f>SmtRes!DH217</f>
        <v>4.0199999999999996</v>
      </c>
      <c r="CE776">
        <v>1</v>
      </c>
    </row>
    <row r="777" spans="1:83" ht="14.4" x14ac:dyDescent="0.25">
      <c r="A777" s="65"/>
      <c r="B777" s="65" t="s">
        <v>578</v>
      </c>
      <c r="C777" s="65" t="s">
        <v>580</v>
      </c>
      <c r="D777" s="66" t="s">
        <v>509</v>
      </c>
      <c r="E777" s="67">
        <v>1.86</v>
      </c>
      <c r="F777" s="67">
        <f t="shared" si="7"/>
        <v>1.1499999999999999</v>
      </c>
      <c r="G777" s="67">
        <f>SmtRes!CX218</f>
        <v>0.10695</v>
      </c>
      <c r="H777" s="69">
        <f>SmtRes!CZ218</f>
        <v>4.3499999999999996</v>
      </c>
      <c r="I777" s="68">
        <f>SmtRes!AJ218</f>
        <v>1.23</v>
      </c>
      <c r="J777" s="69">
        <f>ROUND(H777*I777, 2)</f>
        <v>5.35</v>
      </c>
      <c r="K777" s="68"/>
      <c r="L777" s="69">
        <f>SmtRes!DG218</f>
        <v>0.56999999999999995</v>
      </c>
    </row>
    <row r="778" spans="1:83" ht="27.6" x14ac:dyDescent="0.25">
      <c r="A778" s="65"/>
      <c r="B778" s="65" t="s">
        <v>617</v>
      </c>
      <c r="C778" s="65" t="s">
        <v>619</v>
      </c>
      <c r="D778" s="66" t="s">
        <v>509</v>
      </c>
      <c r="E778" s="67">
        <v>1.75</v>
      </c>
      <c r="F778" s="67">
        <f t="shared" si="7"/>
        <v>1.1499999999999999</v>
      </c>
      <c r="G778" s="67">
        <f>SmtRes!CX219</f>
        <v>0.10062500000000001</v>
      </c>
      <c r="H778" s="69"/>
      <c r="I778" s="68"/>
      <c r="J778" s="69">
        <f>SmtRes!CZ219</f>
        <v>90.36</v>
      </c>
      <c r="K778" s="68"/>
      <c r="L778" s="69">
        <f>SmtRes!DG219</f>
        <v>9.09</v>
      </c>
    </row>
    <row r="779" spans="1:83" ht="14.4" x14ac:dyDescent="0.25">
      <c r="A779" s="64"/>
      <c r="B779" s="67">
        <v>4</v>
      </c>
      <c r="C779" s="64" t="s">
        <v>893</v>
      </c>
      <c r="D779" s="66"/>
      <c r="E779" s="73"/>
      <c r="F779" s="67"/>
      <c r="G779" s="67"/>
      <c r="H779" s="67"/>
      <c r="I779" s="67"/>
      <c r="J779" s="67"/>
      <c r="K779" s="67"/>
      <c r="L779" s="74">
        <f>SUM(L780:L791)-SUMIF(CE780:CE791, 1, L780:L791)</f>
        <v>71.160000000000011</v>
      </c>
    </row>
    <row r="780" spans="1:83" ht="14.4" x14ac:dyDescent="0.25">
      <c r="A780" s="65"/>
      <c r="B780" s="65" t="s">
        <v>581</v>
      </c>
      <c r="C780" s="65" t="s">
        <v>583</v>
      </c>
      <c r="D780" s="66" t="s">
        <v>205</v>
      </c>
      <c r="E780" s="67">
        <v>1.5</v>
      </c>
      <c r="F780" s="67"/>
      <c r="G780" s="67">
        <f>SmtRes!CX220</f>
        <v>7.4999999999999997E-2</v>
      </c>
      <c r="H780" s="69">
        <f>SmtRes!CZ220</f>
        <v>114.64</v>
      </c>
      <c r="I780" s="68">
        <f>SmtRes!AI220</f>
        <v>1.1000000000000001</v>
      </c>
      <c r="J780" s="69">
        <f>ROUND(H780*I780, 2)</f>
        <v>126.1</v>
      </c>
      <c r="K780" s="68"/>
      <c r="L780" s="69">
        <f>SmtRes!DF220</f>
        <v>9.4600000000000009</v>
      </c>
    </row>
    <row r="781" spans="1:83" ht="14.4" x14ac:dyDescent="0.25">
      <c r="A781" s="65"/>
      <c r="B781" s="65" t="s">
        <v>584</v>
      </c>
      <c r="C781" s="65" t="s">
        <v>586</v>
      </c>
      <c r="D781" s="66" t="s">
        <v>240</v>
      </c>
      <c r="E781" s="67">
        <v>0.45</v>
      </c>
      <c r="F781" s="67"/>
      <c r="G781" s="67">
        <f>SmtRes!CX221</f>
        <v>2.2499999999999999E-2</v>
      </c>
      <c r="H781" s="69">
        <f>SmtRes!CZ221</f>
        <v>41.38</v>
      </c>
      <c r="I781" s="68">
        <f>SmtRes!AI221</f>
        <v>1.51</v>
      </c>
      <c r="J781" s="69">
        <f>ROUND(H781*I781, 2)</f>
        <v>62.48</v>
      </c>
      <c r="K781" s="68"/>
      <c r="L781" s="69">
        <f>SmtRes!DF221</f>
        <v>1.41</v>
      </c>
    </row>
    <row r="782" spans="1:83" ht="14.4" x14ac:dyDescent="0.25">
      <c r="A782" s="65"/>
      <c r="B782" s="65" t="s">
        <v>560</v>
      </c>
      <c r="C782" s="65" t="s">
        <v>562</v>
      </c>
      <c r="D782" s="66" t="s">
        <v>563</v>
      </c>
      <c r="E782" s="67">
        <v>1.587</v>
      </c>
      <c r="F782" s="67"/>
      <c r="G782" s="67">
        <f>SmtRes!CX222</f>
        <v>7.9350000000000004E-2</v>
      </c>
      <c r="H782" s="69"/>
      <c r="I782" s="68"/>
      <c r="J782" s="69">
        <f>SmtRes!CZ222</f>
        <v>9.0399999999999991</v>
      </c>
      <c r="K782" s="68"/>
      <c r="L782" s="69">
        <f>SmtRes!DF222</f>
        <v>0.72</v>
      </c>
    </row>
    <row r="783" spans="1:83" ht="41.4" x14ac:dyDescent="0.25">
      <c r="A783" s="65"/>
      <c r="B783" s="65" t="s">
        <v>620</v>
      </c>
      <c r="C783" s="65" t="s">
        <v>622</v>
      </c>
      <c r="D783" s="66" t="s">
        <v>240</v>
      </c>
      <c r="E783" s="67">
        <v>1.4</v>
      </c>
      <c r="F783" s="67"/>
      <c r="G783" s="67">
        <f>SmtRes!CX223</f>
        <v>7.0000000000000007E-2</v>
      </c>
      <c r="H783" s="69">
        <f>SmtRes!CZ223</f>
        <v>142.68</v>
      </c>
      <c r="I783" s="68">
        <f>SmtRes!AI223</f>
        <v>0.85</v>
      </c>
      <c r="J783" s="69">
        <f t="shared" ref="J783:J791" si="8">ROUND(H783*I783, 2)</f>
        <v>121.28</v>
      </c>
      <c r="K783" s="68"/>
      <c r="L783" s="69">
        <f>SmtRes!DF223</f>
        <v>8.49</v>
      </c>
    </row>
    <row r="784" spans="1:83" ht="27.6" x14ac:dyDescent="0.25">
      <c r="A784" s="65"/>
      <c r="B784" s="65" t="s">
        <v>623</v>
      </c>
      <c r="C784" s="65" t="s">
        <v>625</v>
      </c>
      <c r="D784" s="66" t="s">
        <v>240</v>
      </c>
      <c r="E784" s="67">
        <v>3.3</v>
      </c>
      <c r="F784" s="67"/>
      <c r="G784" s="67">
        <f>SmtRes!CX224</f>
        <v>0.16500000000000001</v>
      </c>
      <c r="H784" s="69">
        <f>SmtRes!CZ224</f>
        <v>174.93</v>
      </c>
      <c r="I784" s="68">
        <f>SmtRes!AI224</f>
        <v>1.08</v>
      </c>
      <c r="J784" s="69">
        <f t="shared" si="8"/>
        <v>188.92</v>
      </c>
      <c r="K784" s="68"/>
      <c r="L784" s="69">
        <f>SmtRes!DF224</f>
        <v>31.17</v>
      </c>
    </row>
    <row r="785" spans="1:82" ht="14.4" x14ac:dyDescent="0.25">
      <c r="A785" s="65"/>
      <c r="B785" s="65" t="s">
        <v>530</v>
      </c>
      <c r="C785" s="65" t="s">
        <v>532</v>
      </c>
      <c r="D785" s="66" t="s">
        <v>174</v>
      </c>
      <c r="E785" s="67">
        <v>1.0000000000000001E-5</v>
      </c>
      <c r="F785" s="67"/>
      <c r="G785" s="67">
        <f>SmtRes!CX225</f>
        <v>4.9999999999999998E-7</v>
      </c>
      <c r="H785" s="69">
        <f>SmtRes!CZ225</f>
        <v>70296.2</v>
      </c>
      <c r="I785" s="68">
        <f>SmtRes!AI225</f>
        <v>1.32</v>
      </c>
      <c r="J785" s="69">
        <f t="shared" si="8"/>
        <v>92790.98</v>
      </c>
      <c r="K785" s="68"/>
      <c r="L785" s="69">
        <f>SmtRes!DF225</f>
        <v>0.05</v>
      </c>
    </row>
    <row r="786" spans="1:82" ht="27.6" x14ac:dyDescent="0.25">
      <c r="A786" s="65"/>
      <c r="B786" s="65" t="s">
        <v>626</v>
      </c>
      <c r="C786" s="65" t="s">
        <v>628</v>
      </c>
      <c r="D786" s="66" t="s">
        <v>174</v>
      </c>
      <c r="E786" s="67">
        <v>1E-4</v>
      </c>
      <c r="F786" s="67"/>
      <c r="G786" s="67">
        <f>SmtRes!CX226</f>
        <v>5.0000000000000004E-6</v>
      </c>
      <c r="H786" s="69">
        <f>SmtRes!CZ226</f>
        <v>231787.35</v>
      </c>
      <c r="I786" s="68">
        <f>SmtRes!AI226</f>
        <v>1.59</v>
      </c>
      <c r="J786" s="69">
        <f t="shared" si="8"/>
        <v>368541.89</v>
      </c>
      <c r="K786" s="68"/>
      <c r="L786" s="69">
        <f>SmtRes!DF226</f>
        <v>1.84</v>
      </c>
    </row>
    <row r="787" spans="1:82" ht="69" x14ac:dyDescent="0.25">
      <c r="A787" s="65"/>
      <c r="B787" s="65" t="s">
        <v>629</v>
      </c>
      <c r="C787" s="65" t="s">
        <v>631</v>
      </c>
      <c r="D787" s="66" t="s">
        <v>632</v>
      </c>
      <c r="E787" s="67">
        <v>1.8700000000000001E-2</v>
      </c>
      <c r="F787" s="67"/>
      <c r="G787" s="67">
        <f>SmtRes!CX227</f>
        <v>9.3499999999999996E-4</v>
      </c>
      <c r="H787" s="69">
        <f>SmtRes!CZ227</f>
        <v>307.83999999999997</v>
      </c>
      <c r="I787" s="68">
        <f>SmtRes!AI227</f>
        <v>0.72</v>
      </c>
      <c r="J787" s="69">
        <f t="shared" si="8"/>
        <v>221.64</v>
      </c>
      <c r="K787" s="68"/>
      <c r="L787" s="69">
        <f>SmtRes!DF227</f>
        <v>0.21</v>
      </c>
    </row>
    <row r="788" spans="1:82" ht="27.6" x14ac:dyDescent="0.25">
      <c r="A788" s="65"/>
      <c r="B788" s="65" t="s">
        <v>533</v>
      </c>
      <c r="C788" s="65" t="s">
        <v>535</v>
      </c>
      <c r="D788" s="66" t="s">
        <v>174</v>
      </c>
      <c r="E788" s="67">
        <v>3.0000000000000001E-5</v>
      </c>
      <c r="F788" s="67"/>
      <c r="G788" s="67">
        <f>SmtRes!CX228</f>
        <v>1.5E-6</v>
      </c>
      <c r="H788" s="69">
        <f>SmtRes!CZ228</f>
        <v>60258.2</v>
      </c>
      <c r="I788" s="68">
        <f>SmtRes!AI228</f>
        <v>0.87</v>
      </c>
      <c r="J788" s="69">
        <f t="shared" si="8"/>
        <v>52424.63</v>
      </c>
      <c r="K788" s="68"/>
      <c r="L788" s="69">
        <f>SmtRes!DF228</f>
        <v>0.08</v>
      </c>
    </row>
    <row r="789" spans="1:82" ht="27.6" x14ac:dyDescent="0.25">
      <c r="A789" s="65"/>
      <c r="B789" s="65" t="s">
        <v>633</v>
      </c>
      <c r="C789" s="65" t="s">
        <v>635</v>
      </c>
      <c r="D789" s="66" t="s">
        <v>174</v>
      </c>
      <c r="E789" s="67">
        <v>1.9400000000000001E-3</v>
      </c>
      <c r="F789" s="67"/>
      <c r="G789" s="67">
        <f>SmtRes!CX231</f>
        <v>9.7E-5</v>
      </c>
      <c r="H789" s="69">
        <f>SmtRes!CZ231</f>
        <v>136760</v>
      </c>
      <c r="I789" s="68">
        <f>SmtRes!AI231</f>
        <v>0.91</v>
      </c>
      <c r="J789" s="69">
        <f t="shared" si="8"/>
        <v>124451.6</v>
      </c>
      <c r="K789" s="68"/>
      <c r="L789" s="69">
        <f>SmtRes!DF231</f>
        <v>12.07</v>
      </c>
    </row>
    <row r="790" spans="1:82" ht="14.4" x14ac:dyDescent="0.25">
      <c r="A790" s="65"/>
      <c r="B790" s="65" t="s">
        <v>639</v>
      </c>
      <c r="C790" s="65" t="s">
        <v>641</v>
      </c>
      <c r="D790" s="66" t="s">
        <v>174</v>
      </c>
      <c r="E790" s="67">
        <v>3.1E-4</v>
      </c>
      <c r="F790" s="67"/>
      <c r="G790" s="67">
        <f>SmtRes!CX232</f>
        <v>1.5500000000000001E-5</v>
      </c>
      <c r="H790" s="69">
        <f>SmtRes!CZ232</f>
        <v>51280.15</v>
      </c>
      <c r="I790" s="68">
        <f>SmtRes!AI232</f>
        <v>1.59</v>
      </c>
      <c r="J790" s="69">
        <f t="shared" si="8"/>
        <v>81535.44</v>
      </c>
      <c r="K790" s="68"/>
      <c r="L790" s="69">
        <f>SmtRes!DF232</f>
        <v>1.26</v>
      </c>
    </row>
    <row r="791" spans="1:82" ht="14.4" x14ac:dyDescent="0.25">
      <c r="A791" s="65"/>
      <c r="B791" s="65" t="s">
        <v>642</v>
      </c>
      <c r="C791" s="65" t="s">
        <v>644</v>
      </c>
      <c r="D791" s="66" t="s">
        <v>174</v>
      </c>
      <c r="E791" s="67">
        <v>5.9999999999999995E-4</v>
      </c>
      <c r="F791" s="67"/>
      <c r="G791" s="67">
        <f>SmtRes!CX233</f>
        <v>3.0000000000000001E-5</v>
      </c>
      <c r="H791" s="69">
        <f>SmtRes!CZ233</f>
        <v>98526.45</v>
      </c>
      <c r="I791" s="68">
        <f>SmtRes!AI233</f>
        <v>1.49</v>
      </c>
      <c r="J791" s="69">
        <f t="shared" si="8"/>
        <v>146804.41</v>
      </c>
      <c r="K791" s="68"/>
      <c r="L791" s="69">
        <f>SmtRes!DF233</f>
        <v>4.4000000000000004</v>
      </c>
    </row>
    <row r="792" spans="1:82" ht="14.4" x14ac:dyDescent="0.25">
      <c r="A792" s="65"/>
      <c r="B792" s="65" t="str">
        <f>EtalonRes!I238</f>
        <v>07.2.07.13</v>
      </c>
      <c r="C792" s="75" t="str">
        <f>EtalonRes!K238</f>
        <v>Конструкции стальные</v>
      </c>
      <c r="D792" s="76" t="str">
        <f>EtalonRes!O238</f>
        <v>т</v>
      </c>
      <c r="E792" s="77">
        <f>EtalonRes!X238</f>
        <v>1</v>
      </c>
      <c r="F792" s="77"/>
      <c r="G792" s="77">
        <f>ROUND(EtalonRes!AG238*Source!I176, 7)</f>
        <v>0.05</v>
      </c>
      <c r="H792" s="78"/>
      <c r="I792" s="79"/>
      <c r="J792" s="78"/>
      <c r="K792" s="79"/>
      <c r="L792" s="78"/>
    </row>
    <row r="793" spans="1:82" ht="14.4" x14ac:dyDescent="0.25">
      <c r="A793" s="65"/>
      <c r="B793" s="65"/>
      <c r="C793" s="81" t="s">
        <v>864</v>
      </c>
      <c r="D793" s="66"/>
      <c r="E793" s="67"/>
      <c r="F793" s="67"/>
      <c r="G793" s="67"/>
      <c r="H793" s="69"/>
      <c r="I793" s="68"/>
      <c r="J793" s="69"/>
      <c r="K793" s="68"/>
      <c r="L793" s="69">
        <f>L768+L770+L771+L779</f>
        <v>991.68</v>
      </c>
    </row>
    <row r="794" spans="1:82" ht="69" x14ac:dyDescent="0.25">
      <c r="A794" s="63" t="s">
        <v>975</v>
      </c>
      <c r="B794" s="65" t="str">
        <f>Source!F177</f>
        <v>08.3.08.02-0058</v>
      </c>
      <c r="C794" s="65" t="str">
        <f>Source!G177</f>
        <v>Уголок стальной горячекатаный равнополочный, марки стали Ст3сп, Ст3пс, ширина полок 35-56 мм, толщина полки 3-5 мм (уголок 50х50х4 - 4м * 3,05кг=12,2 кг)</v>
      </c>
      <c r="D794" s="66" t="str">
        <f>Source!H177</f>
        <v>т</v>
      </c>
      <c r="E794" s="67">
        <f>SmtRes!AT230</f>
        <v>0.24399999999999999</v>
      </c>
      <c r="F794" s="67"/>
      <c r="G794" s="67">
        <f>Source!I177</f>
        <v>1.2200000000000001E-2</v>
      </c>
      <c r="H794" s="69"/>
      <c r="I794" s="68"/>
      <c r="J794" s="69">
        <f>Source!AK177</f>
        <v>42246.27</v>
      </c>
      <c r="K794" s="68"/>
      <c r="L794" s="69">
        <f>Source!P177</f>
        <v>515.4</v>
      </c>
      <c r="AD794">
        <f>ROUND((Source!AT177/100)*((ROUND(ROUND(Source!AO177,2)*Source!I177, 2)+ROUND(ROUND(Source!AN177,2)*Source!I177, 2))), 2)</f>
        <v>0</v>
      </c>
      <c r="AE794">
        <f>ROUND((Source!AU177/100)*((ROUND(ROUND(Source!AO177,2)*Source!I177, 2)+ROUND(ROUND(Source!AN177,2)*Source!I177, 2))), 2)</f>
        <v>0</v>
      </c>
      <c r="AN794">
        <f>L794</f>
        <v>515.4</v>
      </c>
      <c r="AW794">
        <f>L794</f>
        <v>515.4</v>
      </c>
      <c r="AZ794">
        <f>Source!X177</f>
        <v>0</v>
      </c>
      <c r="BA794">
        <f>Source!Y177</f>
        <v>0</v>
      </c>
      <c r="CD794">
        <v>1</v>
      </c>
    </row>
    <row r="795" spans="1:82" ht="55.2" x14ac:dyDescent="0.25">
      <c r="A795" s="63" t="s">
        <v>976</v>
      </c>
      <c r="B795" s="65" t="str">
        <f>Source!F178</f>
        <v>08.3.05.02-0021</v>
      </c>
      <c r="C795" s="65" t="str">
        <f>Source!G178</f>
        <v>Прокат листовой горячекатаный, марки стали Ст3сп, Ст3пс, ширина 1200-3000 мм, толщина 1-8 мм (лист т.5мм 1,2мх0,8м=0,96м2)</v>
      </c>
      <c r="D795" s="66" t="str">
        <f>Source!H178</f>
        <v>т</v>
      </c>
      <c r="E795" s="67">
        <f>SmtRes!AT229</f>
        <v>0.75600000000000001</v>
      </c>
      <c r="F795" s="67"/>
      <c r="G795" s="67">
        <f>Source!I178</f>
        <v>3.78E-2</v>
      </c>
      <c r="H795" s="69"/>
      <c r="I795" s="68"/>
      <c r="J795" s="69">
        <f>Source!AK178</f>
        <v>46372.91</v>
      </c>
      <c r="K795" s="68"/>
      <c r="L795" s="69">
        <f>Source!P178</f>
        <v>1752.9</v>
      </c>
      <c r="AD795">
        <f>ROUND((Source!AT178/100)*((ROUND(ROUND(Source!AO178,2)*Source!I178, 2)+ROUND(ROUND(Source!AN178,2)*Source!I178, 2))), 2)</f>
        <v>0</v>
      </c>
      <c r="AE795">
        <f>ROUND((Source!AU178/100)*((ROUND(ROUND(Source!AO178,2)*Source!I178, 2)+ROUND(ROUND(Source!AN178,2)*Source!I178, 2))), 2)</f>
        <v>0</v>
      </c>
      <c r="AN795">
        <f>L795</f>
        <v>1752.9</v>
      </c>
      <c r="AW795">
        <f>L795</f>
        <v>1752.9</v>
      </c>
      <c r="AZ795">
        <f>Source!X178</f>
        <v>0</v>
      </c>
      <c r="BA795">
        <f>Source!Y178</f>
        <v>0</v>
      </c>
      <c r="CD795">
        <v>1</v>
      </c>
    </row>
    <row r="796" spans="1:82" ht="14.4" x14ac:dyDescent="0.25">
      <c r="A796" s="65"/>
      <c r="B796" s="65"/>
      <c r="C796" s="65" t="s">
        <v>865</v>
      </c>
      <c r="D796" s="66"/>
      <c r="E796" s="67"/>
      <c r="F796" s="67"/>
      <c r="G796" s="67"/>
      <c r="H796" s="69"/>
      <c r="I796" s="68"/>
      <c r="J796" s="69"/>
      <c r="K796" s="68"/>
      <c r="L796" s="69">
        <f>SUM(AR766:AR799)+SUM(AS766:AS799)+SUM(AT766:AT799)+SUM(AU766:AU799)+SUM(AV766:AV799)</f>
        <v>883.14</v>
      </c>
    </row>
    <row r="797" spans="1:82" ht="27.6" x14ac:dyDescent="0.25">
      <c r="A797" s="65"/>
      <c r="B797" s="65" t="s">
        <v>257</v>
      </c>
      <c r="C797" s="65" t="s">
        <v>945</v>
      </c>
      <c r="D797" s="66" t="s">
        <v>761</v>
      </c>
      <c r="E797" s="67">
        <f>Source!BZ176</f>
        <v>93</v>
      </c>
      <c r="F797" s="67"/>
      <c r="G797" s="67">
        <f>Source!AT176</f>
        <v>93</v>
      </c>
      <c r="H797" s="69"/>
      <c r="I797" s="68"/>
      <c r="J797" s="69"/>
      <c r="K797" s="68"/>
      <c r="L797" s="69">
        <f>SUM(AZ766:AZ799)</f>
        <v>821.32</v>
      </c>
    </row>
    <row r="798" spans="1:82" ht="27.6" x14ac:dyDescent="0.25">
      <c r="A798" s="75"/>
      <c r="B798" s="75" t="s">
        <v>258</v>
      </c>
      <c r="C798" s="75" t="s">
        <v>946</v>
      </c>
      <c r="D798" s="76" t="s">
        <v>761</v>
      </c>
      <c r="E798" s="77">
        <f>Source!CA176</f>
        <v>62</v>
      </c>
      <c r="F798" s="77"/>
      <c r="G798" s="77">
        <f>Source!AU176</f>
        <v>62</v>
      </c>
      <c r="H798" s="78"/>
      <c r="I798" s="79"/>
      <c r="J798" s="78"/>
      <c r="K798" s="79"/>
      <c r="L798" s="78">
        <f>SUM(BA766:BA799)</f>
        <v>547.54999999999995</v>
      </c>
    </row>
    <row r="799" spans="1:82" ht="13.8" x14ac:dyDescent="0.25">
      <c r="C799" s="127" t="s">
        <v>868</v>
      </c>
      <c r="D799" s="127"/>
      <c r="E799" s="127"/>
      <c r="F799" s="127"/>
      <c r="G799" s="127"/>
      <c r="H799" s="127"/>
      <c r="I799" s="128">
        <f>IF(E766&lt;&gt;0,K799/E766, 0)</f>
        <v>92577</v>
      </c>
      <c r="J799" s="128"/>
      <c r="K799" s="128">
        <f>L768+L770+L779+L797+L798+L771+SUM(L794:L795)</f>
        <v>4628.8500000000004</v>
      </c>
      <c r="L799" s="128"/>
      <c r="AD799">
        <f>ROUND((Source!AT176/100)*((ROUND(SUMIF(SmtRes!AQ213:'SmtRes'!AQ233,"=1",SmtRes!AD213:'SmtRes'!AD233)*Source!I176, 2)+ROUND(SUMIF(SmtRes!AQ213:'SmtRes'!AQ233,"=1",SmtRes!AC213:'SmtRes'!AC233)*Source!I176, 2))), 2)</f>
        <v>55.3</v>
      </c>
      <c r="AE799">
        <f>ROUND((Source!AU176/100)*((ROUND(SUMIF(SmtRes!AQ213:'SmtRes'!AQ233,"=1",SmtRes!AD213:'SmtRes'!AD233)*Source!I176, 2)+ROUND(SUMIF(SmtRes!AQ213:'SmtRes'!AQ233,"=1",SmtRes!AC213:'SmtRes'!AC233)*Source!I176, 2))), 2)</f>
        <v>36.869999999999997</v>
      </c>
      <c r="AN799" s="80">
        <f>L768+L770+L779+L797+L798+L771</f>
        <v>2360.5499999999997</v>
      </c>
      <c r="AO799" s="80">
        <f>L770</f>
        <v>37.379999999999995</v>
      </c>
      <c r="AQ799" t="s">
        <v>869</v>
      </c>
      <c r="AR799" s="80">
        <f>L768</f>
        <v>875.71</v>
      </c>
      <c r="AT799" s="80">
        <f>L771</f>
        <v>7.43</v>
      </c>
      <c r="AV799" t="s">
        <v>869</v>
      </c>
      <c r="AW799" s="80">
        <f>L779</f>
        <v>71.160000000000011</v>
      </c>
      <c r="AZ799">
        <f>Source!X176</f>
        <v>821.32</v>
      </c>
      <c r="BA799">
        <f>Source!Y176</f>
        <v>547.54999999999995</v>
      </c>
      <c r="CD799">
        <v>1</v>
      </c>
    </row>
    <row r="800" spans="1:82" ht="107.4" x14ac:dyDescent="0.25">
      <c r="A800" s="63" t="s">
        <v>367</v>
      </c>
      <c r="B800" s="65" t="s">
        <v>977</v>
      </c>
      <c r="C800" s="65" t="s">
        <v>978</v>
      </c>
      <c r="D800" s="66" t="str">
        <f>Source!H179</f>
        <v>100 м2</v>
      </c>
      <c r="E800" s="67">
        <f>Source!K179</f>
        <v>0.04</v>
      </c>
      <c r="F800" s="67"/>
      <c r="G800" s="67">
        <f>Source!I179</f>
        <v>0.04</v>
      </c>
      <c r="H800" s="69"/>
      <c r="I800" s="68"/>
      <c r="J800" s="69"/>
      <c r="K800" s="68"/>
      <c r="L800" s="69"/>
    </row>
    <row r="801" spans="1:83" ht="132" x14ac:dyDescent="0.25">
      <c r="B801" s="70" t="str">
        <f>Source!EO179</f>
        <v>Поправка: 421/пр_2020_прил.10_т.5_п.9.1_гр.3</v>
      </c>
      <c r="C801" s="70" t="str">
        <f>Source!CN179</f>
        <v>Поправка: 421/пр_2020_прил.10_т.5_п.9.1_гр.3
Наименование: Производство ремонтно-строительных работ осуществляется в стесненных условиях населенных пунктов: отдельных конструктивных решений объектов капитального строительства (кроме указанных в п.п. 10.2 и 10.3), объектов капитального строительства в целом</v>
      </c>
    </row>
    <row r="802" spans="1:83" ht="14.4" x14ac:dyDescent="0.25">
      <c r="A802" s="64"/>
      <c r="B802" s="67">
        <v>1</v>
      </c>
      <c r="C802" s="64" t="s">
        <v>863</v>
      </c>
      <c r="D802" s="66" t="s">
        <v>501</v>
      </c>
      <c r="E802" s="73"/>
      <c r="F802" s="67"/>
      <c r="G802" s="67">
        <f>Source!U179</f>
        <v>0.23368</v>
      </c>
      <c r="H802" s="67"/>
      <c r="I802" s="67"/>
      <c r="J802" s="67"/>
      <c r="K802" s="67"/>
      <c r="L802" s="74">
        <f>SUM(L803:L803)-SUMIF(CE803:CE803, 1, L803:L803)</f>
        <v>81.19</v>
      </c>
    </row>
    <row r="803" spans="1:83" ht="14.4" x14ac:dyDescent="0.25">
      <c r="A803" s="65"/>
      <c r="B803" s="65" t="s">
        <v>612</v>
      </c>
      <c r="C803" s="65" t="s">
        <v>613</v>
      </c>
      <c r="D803" s="66" t="s">
        <v>501</v>
      </c>
      <c r="E803" s="67">
        <v>2.54</v>
      </c>
      <c r="F803" s="67">
        <f>ROUND((0.15+1)*2,7)</f>
        <v>2.2999999999999998</v>
      </c>
      <c r="G803" s="67">
        <f>SmtRes!CX234</f>
        <v>0.23368</v>
      </c>
      <c r="H803" s="69"/>
      <c r="I803" s="68"/>
      <c r="J803" s="69">
        <f>SmtRes!CZ234</f>
        <v>347.42</v>
      </c>
      <c r="K803" s="68"/>
      <c r="L803" s="69">
        <f>SmtRes!DI234</f>
        <v>81.19</v>
      </c>
    </row>
    <row r="804" spans="1:83" ht="14.4" x14ac:dyDescent="0.25">
      <c r="A804" s="64"/>
      <c r="B804" s="67">
        <v>2</v>
      </c>
      <c r="C804" s="64" t="s">
        <v>875</v>
      </c>
      <c r="D804" s="66"/>
      <c r="E804" s="73"/>
      <c r="F804" s="67"/>
      <c r="G804" s="67"/>
      <c r="H804" s="67"/>
      <c r="I804" s="67"/>
      <c r="J804" s="67"/>
      <c r="K804" s="67"/>
      <c r="L804" s="74">
        <f>SUM(L805:L811)-SUMIF(CE805:CE811, 1, L805:L811)</f>
        <v>3.620000000000001</v>
      </c>
    </row>
    <row r="805" spans="1:83" ht="14.4" x14ac:dyDescent="0.25">
      <c r="A805" s="64"/>
      <c r="B805" s="67"/>
      <c r="C805" s="64" t="s">
        <v>877</v>
      </c>
      <c r="D805" s="66" t="s">
        <v>501</v>
      </c>
      <c r="E805" s="73"/>
      <c r="F805" s="67"/>
      <c r="G805" s="67">
        <f>Source!V179</f>
        <v>3.6800000000000001E-3</v>
      </c>
      <c r="H805" s="67"/>
      <c r="I805" s="67"/>
      <c r="J805" s="67"/>
      <c r="K805" s="67"/>
      <c r="L805" s="74">
        <f>SUMIF(CE806:CE811, 1, L806:L811)</f>
        <v>1.4100000000000001</v>
      </c>
      <c r="CE805">
        <v>1</v>
      </c>
    </row>
    <row r="806" spans="1:83" ht="27.6" x14ac:dyDescent="0.25">
      <c r="A806" s="65"/>
      <c r="B806" s="65" t="s">
        <v>659</v>
      </c>
      <c r="C806" s="65" t="s">
        <v>661</v>
      </c>
      <c r="D806" s="66" t="s">
        <v>509</v>
      </c>
      <c r="E806" s="67">
        <v>0.01</v>
      </c>
      <c r="F806" s="67">
        <f t="shared" ref="F806:F811" si="9">ROUND((0.15+1)*2,7)</f>
        <v>2.2999999999999998</v>
      </c>
      <c r="G806" s="67">
        <f>SmtRes!CX236</f>
        <v>9.2000000000000003E-4</v>
      </c>
      <c r="H806" s="69">
        <f>SmtRes!CZ236</f>
        <v>6.62</v>
      </c>
      <c r="I806" s="68">
        <f>SmtRes!AJ236</f>
        <v>1.52</v>
      </c>
      <c r="J806" s="69">
        <f>ROUND(H806*I806, 2)</f>
        <v>10.06</v>
      </c>
      <c r="K806" s="68"/>
      <c r="L806" s="69">
        <f>SmtRes!DG236</f>
        <v>0.01</v>
      </c>
    </row>
    <row r="807" spans="1:83" ht="69" x14ac:dyDescent="0.25">
      <c r="A807" s="65"/>
      <c r="B807" s="65" t="s">
        <v>662</v>
      </c>
      <c r="C807" s="65" t="s">
        <v>664</v>
      </c>
      <c r="D807" s="66" t="s">
        <v>509</v>
      </c>
      <c r="E807" s="67">
        <v>0.01</v>
      </c>
      <c r="F807" s="67">
        <f t="shared" si="9"/>
        <v>2.2999999999999998</v>
      </c>
      <c r="G807" s="67">
        <f>SmtRes!CX237</f>
        <v>9.2000000000000003E-4</v>
      </c>
      <c r="H807" s="69"/>
      <c r="I807" s="68"/>
      <c r="J807" s="69">
        <f>SmtRes!CZ237</f>
        <v>1569.2</v>
      </c>
      <c r="K807" s="68"/>
      <c r="L807" s="69">
        <f>SmtRes!DG237</f>
        <v>1.44</v>
      </c>
    </row>
    <row r="808" spans="1:83" ht="27.6" x14ac:dyDescent="0.25">
      <c r="A808" s="65"/>
      <c r="B808" s="65" t="s">
        <v>510</v>
      </c>
      <c r="C808" s="65" t="s">
        <v>876</v>
      </c>
      <c r="D808" s="66" t="s">
        <v>501</v>
      </c>
      <c r="E808" s="67">
        <f>SmtRes!DO237*SmtRes!AT237</f>
        <v>0.01</v>
      </c>
      <c r="F808" s="67">
        <f t="shared" si="9"/>
        <v>2.2999999999999998</v>
      </c>
      <c r="G808" s="67">
        <f>ROUND(E808*F808*G800, 7)</f>
        <v>9.2000000000000003E-4</v>
      </c>
      <c r="H808" s="69"/>
      <c r="I808" s="68"/>
      <c r="J808" s="69">
        <f>ROUND(SmtRes!AG237/SmtRes!DO237, 2)</f>
        <v>422.95</v>
      </c>
      <c r="K808" s="68"/>
      <c r="L808" s="69">
        <f>SmtRes!DH237</f>
        <v>0.39</v>
      </c>
      <c r="CE808">
        <v>1</v>
      </c>
    </row>
    <row r="809" spans="1:83" ht="27.6" x14ac:dyDescent="0.25">
      <c r="A809" s="65"/>
      <c r="B809" s="65" t="s">
        <v>527</v>
      </c>
      <c r="C809" s="65" t="s">
        <v>529</v>
      </c>
      <c r="D809" s="66" t="s">
        <v>509</v>
      </c>
      <c r="E809" s="67">
        <v>0.03</v>
      </c>
      <c r="F809" s="67">
        <f t="shared" si="9"/>
        <v>2.2999999999999998</v>
      </c>
      <c r="G809" s="67">
        <f>SmtRes!CX238</f>
        <v>2.7599999999999999E-3</v>
      </c>
      <c r="H809" s="69"/>
      <c r="I809" s="68"/>
      <c r="J809" s="69">
        <f>SmtRes!CZ238</f>
        <v>551.45000000000005</v>
      </c>
      <c r="K809" s="68"/>
      <c r="L809" s="69">
        <f>SmtRes!DG238</f>
        <v>1.52</v>
      </c>
    </row>
    <row r="810" spans="1:83" ht="27.6" x14ac:dyDescent="0.25">
      <c r="A810" s="65"/>
      <c r="B810" s="65" t="s">
        <v>522</v>
      </c>
      <c r="C810" s="65" t="s">
        <v>887</v>
      </c>
      <c r="D810" s="66" t="s">
        <v>501</v>
      </c>
      <c r="E810" s="67">
        <f>SmtRes!DO238*SmtRes!AT238</f>
        <v>0.03</v>
      </c>
      <c r="F810" s="67">
        <f t="shared" si="9"/>
        <v>2.2999999999999998</v>
      </c>
      <c r="G810" s="67">
        <f>ROUND(E810*F810*G800, 7)</f>
        <v>2.7599999999999999E-3</v>
      </c>
      <c r="H810" s="69"/>
      <c r="I810" s="68"/>
      <c r="J810" s="69">
        <f>ROUND(SmtRes!AG238/SmtRes!DO238, 2)</f>
        <v>368.02</v>
      </c>
      <c r="K810" s="68"/>
      <c r="L810" s="69">
        <f>SmtRes!DH238</f>
        <v>1.02</v>
      </c>
      <c r="CE810">
        <v>1</v>
      </c>
    </row>
    <row r="811" spans="1:83" ht="41.4" x14ac:dyDescent="0.25">
      <c r="A811" s="65"/>
      <c r="B811" s="65" t="s">
        <v>665</v>
      </c>
      <c r="C811" s="65" t="s">
        <v>667</v>
      </c>
      <c r="D811" s="66" t="s">
        <v>509</v>
      </c>
      <c r="E811" s="67">
        <v>1.1200000000000001</v>
      </c>
      <c r="F811" s="67">
        <f t="shared" si="9"/>
        <v>2.2999999999999998</v>
      </c>
      <c r="G811" s="67">
        <f>SmtRes!CX239</f>
        <v>0.10304000000000001</v>
      </c>
      <c r="H811" s="69">
        <f>SmtRes!CZ239</f>
        <v>4.5199999999999996</v>
      </c>
      <c r="I811" s="68">
        <f>SmtRes!AJ239</f>
        <v>1.4</v>
      </c>
      <c r="J811" s="69">
        <f>ROUND(H811*I811, 2)</f>
        <v>6.33</v>
      </c>
      <c r="K811" s="68"/>
      <c r="L811" s="69">
        <f>SmtRes!DG239</f>
        <v>0.65</v>
      </c>
    </row>
    <row r="812" spans="1:83" ht="14.4" x14ac:dyDescent="0.25">
      <c r="A812" s="65"/>
      <c r="B812" s="65" t="str">
        <f>EtalonRes!I250</f>
        <v>14.2.01.01</v>
      </c>
      <c r="C812" s="65" t="str">
        <f>EtalonRes!K250</f>
        <v>Композиции органосиликатные</v>
      </c>
      <c r="D812" s="66" t="str">
        <f>EtalonRes!O250</f>
        <v>т</v>
      </c>
      <c r="E812" s="67">
        <f>EtalonRes!X250</f>
        <v>1.7999999999999999E-2</v>
      </c>
      <c r="F812" s="67">
        <f>ROUND(2,7)</f>
        <v>2</v>
      </c>
      <c r="G812" s="67">
        <f>ROUND(EtalonRes!AG250*Source!I179, 7)</f>
        <v>1.4400000000000001E-3</v>
      </c>
      <c r="H812" s="69"/>
      <c r="I812" s="68"/>
      <c r="J812" s="69"/>
      <c r="K812" s="68"/>
      <c r="L812" s="69"/>
    </row>
    <row r="813" spans="1:83" ht="14.4" x14ac:dyDescent="0.25">
      <c r="A813" s="65"/>
      <c r="B813" s="65" t="str">
        <f>EtalonRes!I251</f>
        <v>14.5.09.10</v>
      </c>
      <c r="C813" s="75" t="str">
        <f>EtalonRes!K251</f>
        <v>Растворители</v>
      </c>
      <c r="D813" s="76" t="str">
        <f>EtalonRes!O251</f>
        <v>т</v>
      </c>
      <c r="E813" s="77">
        <f>EtalonRes!X251</f>
        <v>2E-3</v>
      </c>
      <c r="F813" s="77">
        <f>ROUND(2,7)</f>
        <v>2</v>
      </c>
      <c r="G813" s="77">
        <f>ROUND(EtalonRes!AG251*Source!I179, 7)</f>
        <v>1.6000000000000001E-4</v>
      </c>
      <c r="H813" s="78"/>
      <c r="I813" s="79"/>
      <c r="J813" s="78"/>
      <c r="K813" s="79"/>
      <c r="L813" s="78"/>
    </row>
    <row r="814" spans="1:83" ht="14.4" x14ac:dyDescent="0.25">
      <c r="A814" s="65"/>
      <c r="B814" s="65"/>
      <c r="C814" s="81" t="s">
        <v>864</v>
      </c>
      <c r="D814" s="66"/>
      <c r="E814" s="67"/>
      <c r="F814" s="67"/>
      <c r="G814" s="67"/>
      <c r="H814" s="69"/>
      <c r="I814" s="68"/>
      <c r="J814" s="69"/>
      <c r="K814" s="68"/>
      <c r="L814" s="69">
        <f>L802+L804+L805</f>
        <v>86.22</v>
      </c>
    </row>
    <row r="815" spans="1:83" ht="14.4" x14ac:dyDescent="0.25">
      <c r="A815" s="63" t="s">
        <v>979</v>
      </c>
      <c r="B815" s="65" t="str">
        <f>Source!F180</f>
        <v>14.2.01.01-0003</v>
      </c>
      <c r="C815" s="65" t="str">
        <f>Source!G180</f>
        <v>Композиция органосиликатная ОС-12-03</v>
      </c>
      <c r="D815" s="66" t="str">
        <f>Source!H180</f>
        <v>т</v>
      </c>
      <c r="E815" s="67">
        <f>SmtRes!AT240</f>
        <v>1.7999999999999999E-2</v>
      </c>
      <c r="F815" s="67"/>
      <c r="G815" s="67">
        <f>Source!I180</f>
        <v>7.2000000000000005E-4</v>
      </c>
      <c r="H815" s="69">
        <f>Source!AL180+Source!AO180+Source!AM180+Source!AN180</f>
        <v>130472.1</v>
      </c>
      <c r="I815" s="68">
        <f>IF(Source!BC180&lt;&gt; 0, Source!BC180, 1)</f>
        <v>1.91</v>
      </c>
      <c r="J815" s="69">
        <f>ROUND(H815*I815, 2)</f>
        <v>249201.71</v>
      </c>
      <c r="K815" s="68"/>
      <c r="L815" s="69">
        <f>Source!P180</f>
        <v>179.43</v>
      </c>
      <c r="AD815">
        <f>ROUND((Source!AT180/100)*((ROUND(ROUND(Source!AO180,2)*Source!I180, 2)+ROUND(ROUND(Source!AN180,2)*Source!I180, 2))), 2)</f>
        <v>0</v>
      </c>
      <c r="AE815">
        <f>ROUND((Source!AU180/100)*((ROUND(ROUND(Source!AO180,2)*Source!I180, 2)+ROUND(ROUND(Source!AN180,2)*Source!I180, 2))), 2)</f>
        <v>0</v>
      </c>
      <c r="AN815">
        <f>L815</f>
        <v>179.43</v>
      </c>
      <c r="AW815">
        <f>L815</f>
        <v>179.43</v>
      </c>
      <c r="AZ815">
        <f>Source!X180</f>
        <v>0</v>
      </c>
      <c r="BA815">
        <f>Source!Y180</f>
        <v>0</v>
      </c>
      <c r="CD815">
        <v>1</v>
      </c>
    </row>
    <row r="816" spans="1:83" ht="27.6" x14ac:dyDescent="0.25">
      <c r="A816" s="63" t="s">
        <v>980</v>
      </c>
      <c r="B816" s="65" t="str">
        <f>Source!F181</f>
        <v>14.5.09.10-0001</v>
      </c>
      <c r="C816" s="65" t="str">
        <f>Source!G181</f>
        <v>Толуол каменноугольный и сланцевый, марки А, Б</v>
      </c>
      <c r="D816" s="66" t="str">
        <f>Source!H181</f>
        <v>т</v>
      </c>
      <c r="E816" s="67">
        <f>SmtRes!AT241</f>
        <v>2E-3</v>
      </c>
      <c r="F816" s="67"/>
      <c r="G816" s="67">
        <f>Source!I181</f>
        <v>8.0000000000000007E-5</v>
      </c>
      <c r="H816" s="69">
        <f>Source!AL181+Source!AO181+Source!AM181+Source!AN181</f>
        <v>74165.73</v>
      </c>
      <c r="I816" s="68">
        <f>IF(Source!BC181&lt;&gt; 0, Source!BC181, 1)</f>
        <v>1.49</v>
      </c>
      <c r="J816" s="69">
        <f>ROUND(H816*I816, 2)</f>
        <v>110506.94</v>
      </c>
      <c r="K816" s="68"/>
      <c r="L816" s="69">
        <f>Source!P181</f>
        <v>8.84</v>
      </c>
      <c r="AD816">
        <f>ROUND((Source!AT181/100)*((ROUND(ROUND(Source!AO181,2)*Source!I181, 2)+ROUND(ROUND(Source!AN181,2)*Source!I181, 2))), 2)</f>
        <v>0</v>
      </c>
      <c r="AE816">
        <f>ROUND((Source!AU181/100)*((ROUND(ROUND(Source!AO181,2)*Source!I181, 2)+ROUND(ROUND(Source!AN181,2)*Source!I181, 2))), 2)</f>
        <v>0</v>
      </c>
      <c r="AN816">
        <f>L816</f>
        <v>8.84</v>
      </c>
      <c r="AW816">
        <f>L816</f>
        <v>8.84</v>
      </c>
      <c r="AZ816">
        <f>Source!X181</f>
        <v>0</v>
      </c>
      <c r="BA816">
        <f>Source!Y181</f>
        <v>0</v>
      </c>
      <c r="CD816">
        <v>1</v>
      </c>
    </row>
    <row r="817" spans="1:101" ht="14.4" x14ac:dyDescent="0.25">
      <c r="A817" s="65"/>
      <c r="B817" s="65"/>
      <c r="C817" s="65" t="s">
        <v>865</v>
      </c>
      <c r="D817" s="66"/>
      <c r="E817" s="67"/>
      <c r="F817" s="67"/>
      <c r="G817" s="67"/>
      <c r="H817" s="69"/>
      <c r="I817" s="68"/>
      <c r="J817" s="69"/>
      <c r="K817" s="68"/>
      <c r="L817" s="69">
        <f>SUM(AR800:AR820)+SUM(AS800:AS820)+SUM(AT800:AT820)+SUM(AU800:AU820)+SUM(AV800:AV820)</f>
        <v>82.6</v>
      </c>
    </row>
    <row r="818" spans="1:101" ht="27.6" x14ac:dyDescent="0.25">
      <c r="A818" s="65"/>
      <c r="B818" s="65" t="s">
        <v>293</v>
      </c>
      <c r="C818" s="65" t="s">
        <v>956</v>
      </c>
      <c r="D818" s="66" t="s">
        <v>761</v>
      </c>
      <c r="E818" s="67">
        <f>Source!BZ179</f>
        <v>94</v>
      </c>
      <c r="F818" s="67"/>
      <c r="G818" s="67">
        <f>Source!AT179</f>
        <v>94</v>
      </c>
      <c r="H818" s="69"/>
      <c r="I818" s="68"/>
      <c r="J818" s="69"/>
      <c r="K818" s="68"/>
      <c r="L818" s="69">
        <f>SUM(AZ800:AZ820)</f>
        <v>77.64</v>
      </c>
    </row>
    <row r="819" spans="1:101" ht="27.6" x14ac:dyDescent="0.25">
      <c r="A819" s="75"/>
      <c r="B819" s="75" t="s">
        <v>294</v>
      </c>
      <c r="C819" s="75" t="s">
        <v>957</v>
      </c>
      <c r="D819" s="76" t="s">
        <v>761</v>
      </c>
      <c r="E819" s="77">
        <f>Source!CA179</f>
        <v>51</v>
      </c>
      <c r="F819" s="77"/>
      <c r="G819" s="77">
        <f>Source!AU179</f>
        <v>51</v>
      </c>
      <c r="H819" s="78"/>
      <c r="I819" s="79"/>
      <c r="J819" s="78"/>
      <c r="K819" s="79"/>
      <c r="L819" s="78">
        <f>SUM(BA800:BA820)</f>
        <v>42.13</v>
      </c>
    </row>
    <row r="820" spans="1:101" ht="13.8" x14ac:dyDescent="0.25">
      <c r="C820" s="127" t="s">
        <v>868</v>
      </c>
      <c r="D820" s="127"/>
      <c r="E820" s="127"/>
      <c r="F820" s="127"/>
      <c r="G820" s="127"/>
      <c r="H820" s="127"/>
      <c r="I820" s="128">
        <f>IF(E800&lt;&gt;0,K820/E800, 0)</f>
        <v>9856.5</v>
      </c>
      <c r="J820" s="128"/>
      <c r="K820" s="128">
        <f>L802+L804+L818+L819+L805+SUM(L815:L816)</f>
        <v>394.26</v>
      </c>
      <c r="L820" s="128"/>
      <c r="AD820">
        <f>ROUND((Source!AT179/100)*((ROUND(SUMIF(SmtRes!AQ234:'SmtRes'!AQ241,"=1",SmtRes!AD234:'SmtRes'!AD241)*Source!I179, 2)+ROUND(SUMIF(SmtRes!AQ234:'SmtRes'!AQ241,"=1",SmtRes!AC234:'SmtRes'!AC241)*Source!I179, 2))), 2)</f>
        <v>42.81</v>
      </c>
      <c r="AE820">
        <f>ROUND((Source!AU179/100)*((ROUND(SUMIF(SmtRes!AQ234:'SmtRes'!AQ241,"=1",SmtRes!AD234:'SmtRes'!AD241)*Source!I179, 2)+ROUND(SUMIF(SmtRes!AQ234:'SmtRes'!AQ241,"=1",SmtRes!AC234:'SmtRes'!AC241)*Source!I179, 2))), 2)</f>
        <v>23.23</v>
      </c>
      <c r="AN820" s="80">
        <f>L802+L804+L818+L819+L805</f>
        <v>205.98999999999998</v>
      </c>
      <c r="AO820" s="80">
        <f>L804</f>
        <v>3.620000000000001</v>
      </c>
      <c r="AQ820" t="s">
        <v>869</v>
      </c>
      <c r="AR820" s="80">
        <f>L802</f>
        <v>81.19</v>
      </c>
      <c r="AT820" s="80">
        <f>L805</f>
        <v>1.4100000000000001</v>
      </c>
      <c r="AV820" t="s">
        <v>869</v>
      </c>
      <c r="AW820">
        <f>0</f>
        <v>0</v>
      </c>
      <c r="AZ820">
        <f>Source!X179</f>
        <v>77.64</v>
      </c>
      <c r="BA820">
        <f>Source!Y179</f>
        <v>42.13</v>
      </c>
      <c r="CD820">
        <v>1</v>
      </c>
    </row>
    <row r="821" spans="1:101" ht="41.4" x14ac:dyDescent="0.25">
      <c r="A821" s="63" t="s">
        <v>379</v>
      </c>
      <c r="B821" s="65" t="s">
        <v>981</v>
      </c>
      <c r="C821" s="65" t="str">
        <f>Source!G182</f>
        <v>Улучшенная штукатурка фасадов цементно-известковым раствором по камню: стен</v>
      </c>
      <c r="D821" s="66" t="str">
        <f>Source!H182</f>
        <v>100 м2</v>
      </c>
      <c r="E821" s="67">
        <f>Source!K182</f>
        <v>0.02</v>
      </c>
      <c r="F821" s="67"/>
      <c r="G821" s="67">
        <f>Source!I182</f>
        <v>0.02</v>
      </c>
      <c r="H821" s="69"/>
      <c r="I821" s="68"/>
      <c r="J821" s="69"/>
      <c r="K821" s="68"/>
      <c r="L821" s="69"/>
    </row>
    <row r="822" spans="1:101" ht="39.6" x14ac:dyDescent="0.25">
      <c r="B822" s="70" t="s">
        <v>788</v>
      </c>
      <c r="C822" s="129" t="s">
        <v>871</v>
      </c>
      <c r="D822" s="129"/>
      <c r="E822" s="129"/>
      <c r="F822" s="129"/>
      <c r="G822" s="129"/>
      <c r="H822" s="129"/>
      <c r="I822" s="129"/>
      <c r="J822" s="129"/>
      <c r="K822" s="129"/>
      <c r="L822" s="129"/>
      <c r="CW822" s="71" t="s">
        <v>871</v>
      </c>
    </row>
    <row r="823" spans="1:101" ht="14.4" x14ac:dyDescent="0.25">
      <c r="A823" s="64"/>
      <c r="B823" s="67">
        <v>1</v>
      </c>
      <c r="C823" s="64" t="s">
        <v>863</v>
      </c>
      <c r="D823" s="66" t="s">
        <v>501</v>
      </c>
      <c r="E823" s="73"/>
      <c r="F823" s="67"/>
      <c r="G823" s="67">
        <f>Source!U182</f>
        <v>1.4053</v>
      </c>
      <c r="H823" s="67"/>
      <c r="I823" s="67"/>
      <c r="J823" s="67"/>
      <c r="K823" s="67"/>
      <c r="L823" s="74">
        <f>SUM(L824:L824)-SUMIF(CE824:CE824, 1, L824:L824)</f>
        <v>517.17999999999995</v>
      </c>
    </row>
    <row r="824" spans="1:101" ht="14.4" x14ac:dyDescent="0.25">
      <c r="A824" s="65"/>
      <c r="B824" s="65" t="s">
        <v>645</v>
      </c>
      <c r="C824" s="65" t="s">
        <v>646</v>
      </c>
      <c r="D824" s="66" t="s">
        <v>501</v>
      </c>
      <c r="E824" s="67">
        <v>61.1</v>
      </c>
      <c r="F824" s="67">
        <f>ROUND((0.15+1),7)</f>
        <v>1.1499999999999999</v>
      </c>
      <c r="G824" s="67">
        <f>SmtRes!CX242</f>
        <v>1.4053</v>
      </c>
      <c r="H824" s="69"/>
      <c r="I824" s="68"/>
      <c r="J824" s="69">
        <f>SmtRes!CZ242</f>
        <v>368.02</v>
      </c>
      <c r="K824" s="68"/>
      <c r="L824" s="69">
        <f>SmtRes!DI242</f>
        <v>517.17999999999995</v>
      </c>
    </row>
    <row r="825" spans="1:101" ht="14.4" x14ac:dyDescent="0.25">
      <c r="A825" s="64"/>
      <c r="B825" s="67">
        <v>2</v>
      </c>
      <c r="C825" s="64" t="s">
        <v>875</v>
      </c>
      <c r="D825" s="66"/>
      <c r="E825" s="73"/>
      <c r="F825" s="67"/>
      <c r="G825" s="67"/>
      <c r="H825" s="67"/>
      <c r="I825" s="67"/>
      <c r="J825" s="67"/>
      <c r="K825" s="67"/>
      <c r="L825" s="74">
        <f>SUM(L826:L828)-SUMIF(CE826:CE828, 1, L826:L828)</f>
        <v>1.62</v>
      </c>
    </row>
    <row r="826" spans="1:101" ht="14.4" x14ac:dyDescent="0.25">
      <c r="A826" s="64"/>
      <c r="B826" s="67"/>
      <c r="C826" s="64" t="s">
        <v>877</v>
      </c>
      <c r="D826" s="66" t="s">
        <v>501</v>
      </c>
      <c r="E826" s="73"/>
      <c r="F826" s="67"/>
      <c r="G826" s="67">
        <f>Source!V182</f>
        <v>0</v>
      </c>
      <c r="H826" s="67"/>
      <c r="I826" s="67"/>
      <c r="J826" s="67"/>
      <c r="K826" s="67"/>
      <c r="L826" s="74">
        <f>SUMIF(CE827:CE828, 1, L827:L828)</f>
        <v>0</v>
      </c>
      <c r="CE826">
        <v>1</v>
      </c>
    </row>
    <row r="827" spans="1:101" ht="27.6" x14ac:dyDescent="0.25">
      <c r="A827" s="65"/>
      <c r="B827" s="65" t="s">
        <v>717</v>
      </c>
      <c r="C827" s="65" t="s">
        <v>719</v>
      </c>
      <c r="D827" s="66" t="s">
        <v>509</v>
      </c>
      <c r="E827" s="67">
        <v>0.9</v>
      </c>
      <c r="F827" s="67">
        <f>ROUND((0.15+1),7)</f>
        <v>1.1499999999999999</v>
      </c>
      <c r="G827" s="67">
        <f>SmtRes!CX243</f>
        <v>2.07E-2</v>
      </c>
      <c r="H827" s="69">
        <f>SmtRes!CZ243</f>
        <v>8.84</v>
      </c>
      <c r="I827" s="68">
        <f>SmtRes!AJ243</f>
        <v>1.52</v>
      </c>
      <c r="J827" s="69">
        <f>ROUND(H827*I827, 2)</f>
        <v>13.44</v>
      </c>
      <c r="K827" s="68"/>
      <c r="L827" s="69">
        <f>SmtRes!DG243</f>
        <v>0.28000000000000003</v>
      </c>
    </row>
    <row r="828" spans="1:101" ht="27.6" x14ac:dyDescent="0.25">
      <c r="A828" s="65"/>
      <c r="B828" s="65" t="s">
        <v>720</v>
      </c>
      <c r="C828" s="65" t="s">
        <v>722</v>
      </c>
      <c r="D828" s="66" t="s">
        <v>509</v>
      </c>
      <c r="E828" s="67">
        <v>2.4</v>
      </c>
      <c r="F828" s="67">
        <f>ROUND((0.15+1),7)</f>
        <v>1.1499999999999999</v>
      </c>
      <c r="G828" s="67">
        <f>SmtRes!CX244</f>
        <v>5.5199999999999999E-2</v>
      </c>
      <c r="H828" s="69"/>
      <c r="I828" s="68"/>
      <c r="J828" s="69">
        <f>SmtRes!CZ244</f>
        <v>24.19</v>
      </c>
      <c r="K828" s="68"/>
      <c r="L828" s="69">
        <f>SmtRes!DG244</f>
        <v>1.34</v>
      </c>
    </row>
    <row r="829" spans="1:101" ht="14.4" x14ac:dyDescent="0.25">
      <c r="A829" s="64"/>
      <c r="B829" s="67">
        <v>4</v>
      </c>
      <c r="C829" s="64" t="s">
        <v>893</v>
      </c>
      <c r="D829" s="66"/>
      <c r="E829" s="73"/>
      <c r="F829" s="67"/>
      <c r="G829" s="67"/>
      <c r="H829" s="67"/>
      <c r="I829" s="67"/>
      <c r="J829" s="67"/>
      <c r="K829" s="67"/>
      <c r="L829" s="74">
        <f>SUM(L830:L830)-SUMIF(CE830:CE830, 1, L830:L830)</f>
        <v>0.22</v>
      </c>
    </row>
    <row r="830" spans="1:101" ht="14.4" x14ac:dyDescent="0.25">
      <c r="A830" s="65"/>
      <c r="B830" s="65" t="s">
        <v>600</v>
      </c>
      <c r="C830" s="65" t="s">
        <v>602</v>
      </c>
      <c r="D830" s="66" t="s">
        <v>205</v>
      </c>
      <c r="E830" s="67">
        <v>0.35</v>
      </c>
      <c r="F830" s="67"/>
      <c r="G830" s="67">
        <f>SmtRes!CX245</f>
        <v>7.0000000000000001E-3</v>
      </c>
      <c r="H830" s="69">
        <f>SmtRes!CZ245</f>
        <v>35.71</v>
      </c>
      <c r="I830" s="68">
        <f>SmtRes!AI245</f>
        <v>0.88</v>
      </c>
      <c r="J830" s="69">
        <f>ROUND(H830*I830, 2)</f>
        <v>31.42</v>
      </c>
      <c r="K830" s="68"/>
      <c r="L830" s="69">
        <f>SmtRes!DF245</f>
        <v>0.22</v>
      </c>
    </row>
    <row r="831" spans="1:101" ht="27.6" x14ac:dyDescent="0.25">
      <c r="A831" s="65"/>
      <c r="B831" s="65" t="str">
        <f>EtalonRes!I256</f>
        <v>04.3.01.12</v>
      </c>
      <c r="C831" s="75" t="str">
        <f>EtalonRes!K256</f>
        <v>Растворы отделочные цементно-известковые</v>
      </c>
      <c r="D831" s="76" t="str">
        <f>EtalonRes!O256</f>
        <v>м3</v>
      </c>
      <c r="E831" s="77">
        <f>EtalonRes!X256</f>
        <v>1.89</v>
      </c>
      <c r="F831" s="77"/>
      <c r="G831" s="77">
        <f>ROUND(EtalonRes!AG256*Source!I182, 7)</f>
        <v>3.78E-2</v>
      </c>
      <c r="H831" s="78"/>
      <c r="I831" s="79"/>
      <c r="J831" s="78"/>
      <c r="K831" s="79"/>
      <c r="L831" s="78"/>
    </row>
    <row r="832" spans="1:101" ht="14.4" x14ac:dyDescent="0.25">
      <c r="A832" s="65"/>
      <c r="B832" s="65"/>
      <c r="C832" s="81" t="s">
        <v>864</v>
      </c>
      <c r="D832" s="66"/>
      <c r="E832" s="67"/>
      <c r="F832" s="67"/>
      <c r="G832" s="67"/>
      <c r="H832" s="69"/>
      <c r="I832" s="68"/>
      <c r="J832" s="69"/>
      <c r="K832" s="68"/>
      <c r="L832" s="69">
        <f>L823+L825+L826+L829</f>
        <v>519.02</v>
      </c>
    </row>
    <row r="833" spans="1:101" ht="27.6" x14ac:dyDescent="0.25">
      <c r="A833" s="63" t="s">
        <v>982</v>
      </c>
      <c r="B833" s="65" t="str">
        <f>Source!F183</f>
        <v>04.3.01.12-0005</v>
      </c>
      <c r="C833" s="65" t="str">
        <f>Source!G183</f>
        <v>Раствор кладочный, цементно-известковый, М100</v>
      </c>
      <c r="D833" s="66" t="str">
        <f>Source!H183</f>
        <v>м3</v>
      </c>
      <c r="E833" s="67">
        <f>SmtRes!AT246</f>
        <v>1.89</v>
      </c>
      <c r="F833" s="67"/>
      <c r="G833" s="67">
        <f>Source!I183</f>
        <v>3.78E-2</v>
      </c>
      <c r="H833" s="69">
        <f>Source!AL183+Source!AO183+Source!AM183+Source!AN183</f>
        <v>3925.97</v>
      </c>
      <c r="I833" s="68">
        <f>IF(Source!BC183&lt;&gt; 0, Source!BC183, 1)</f>
        <v>1.54</v>
      </c>
      <c r="J833" s="69">
        <f>ROUND(H833*I833, 2)</f>
        <v>6045.99</v>
      </c>
      <c r="K833" s="68"/>
      <c r="L833" s="69">
        <f>Source!P183</f>
        <v>228.54</v>
      </c>
      <c r="AD833">
        <f>ROUND((Source!AT183/100)*((ROUND(ROUND(Source!AO183,2)*Source!I183, 2)+ROUND(ROUND(Source!AN183,2)*Source!I183, 2))), 2)</f>
        <v>0</v>
      </c>
      <c r="AE833">
        <f>ROUND((Source!AU183/100)*((ROUND(ROUND(Source!AO183,2)*Source!I183, 2)+ROUND(ROUND(Source!AN183,2)*Source!I183, 2))), 2)</f>
        <v>0</v>
      </c>
      <c r="AN833">
        <f>L833</f>
        <v>228.54</v>
      </c>
      <c r="AW833">
        <f>L833</f>
        <v>228.54</v>
      </c>
      <c r="AZ833">
        <f>Source!X183</f>
        <v>0</v>
      </c>
      <c r="BA833">
        <f>Source!Y183</f>
        <v>0</v>
      </c>
      <c r="CD833">
        <v>1</v>
      </c>
    </row>
    <row r="834" spans="1:101" ht="14.4" x14ac:dyDescent="0.25">
      <c r="A834" s="65"/>
      <c r="B834" s="65"/>
      <c r="C834" s="65" t="s">
        <v>865</v>
      </c>
      <c r="D834" s="66"/>
      <c r="E834" s="67"/>
      <c r="F834" s="67"/>
      <c r="G834" s="67"/>
      <c r="H834" s="69"/>
      <c r="I834" s="68"/>
      <c r="J834" s="69"/>
      <c r="K834" s="68"/>
      <c r="L834" s="69">
        <f>SUM(AR821:AR837)+SUM(AS821:AS837)+SUM(AT821:AT837)+SUM(AU821:AU837)+SUM(AV821:AV837)</f>
        <v>517.17999999999995</v>
      </c>
    </row>
    <row r="835" spans="1:101" ht="14.4" x14ac:dyDescent="0.25">
      <c r="A835" s="65"/>
      <c r="B835" s="65" t="s">
        <v>385</v>
      </c>
      <c r="C835" s="65" t="s">
        <v>983</v>
      </c>
      <c r="D835" s="66" t="s">
        <v>761</v>
      </c>
      <c r="E835" s="67">
        <f>Source!BZ182</f>
        <v>100</v>
      </c>
      <c r="F835" s="67"/>
      <c r="G835" s="67">
        <f>Source!AT182</f>
        <v>100</v>
      </c>
      <c r="H835" s="69"/>
      <c r="I835" s="68"/>
      <c r="J835" s="69"/>
      <c r="K835" s="68"/>
      <c r="L835" s="69">
        <f>SUM(AZ821:AZ837)</f>
        <v>517.17999999999995</v>
      </c>
    </row>
    <row r="836" spans="1:101" ht="14.4" x14ac:dyDescent="0.25">
      <c r="A836" s="75"/>
      <c r="B836" s="75" t="s">
        <v>386</v>
      </c>
      <c r="C836" s="75" t="s">
        <v>984</v>
      </c>
      <c r="D836" s="76" t="s">
        <v>761</v>
      </c>
      <c r="E836" s="77">
        <f>Source!CA182</f>
        <v>49</v>
      </c>
      <c r="F836" s="77"/>
      <c r="G836" s="77">
        <f>Source!AU182</f>
        <v>49</v>
      </c>
      <c r="H836" s="78"/>
      <c r="I836" s="79"/>
      <c r="J836" s="78"/>
      <c r="K836" s="79"/>
      <c r="L836" s="78">
        <f>SUM(BA821:BA837)</f>
        <v>253.42</v>
      </c>
    </row>
    <row r="837" spans="1:101" ht="13.8" x14ac:dyDescent="0.25">
      <c r="C837" s="127" t="s">
        <v>868</v>
      </c>
      <c r="D837" s="127"/>
      <c r="E837" s="127"/>
      <c r="F837" s="127"/>
      <c r="G837" s="127"/>
      <c r="H837" s="127"/>
      <c r="I837" s="128">
        <f>IF(E821&lt;&gt;0,K837/E821, 0)</f>
        <v>75907.999999999985</v>
      </c>
      <c r="J837" s="128"/>
      <c r="K837" s="128">
        <f>L823+L825+L829+L835+L836+L826+SUM(L833:L833)</f>
        <v>1518.1599999999999</v>
      </c>
      <c r="L837" s="128"/>
      <c r="AD837">
        <f>ROUND((Source!AT182/100)*((ROUND(SUMIF(SmtRes!AQ242:'SmtRes'!AQ246,"=1",SmtRes!AD242:'SmtRes'!AD246)*Source!I182, 2)+ROUND(SUMIF(SmtRes!AQ242:'SmtRes'!AQ246,"=1",SmtRes!AC242:'SmtRes'!AC246)*Source!I182, 2))), 2)</f>
        <v>7.36</v>
      </c>
      <c r="AE837">
        <f>ROUND((Source!AU182/100)*((ROUND(SUMIF(SmtRes!AQ242:'SmtRes'!AQ246,"=1",SmtRes!AD242:'SmtRes'!AD246)*Source!I182, 2)+ROUND(SUMIF(SmtRes!AQ242:'SmtRes'!AQ246,"=1",SmtRes!AC242:'SmtRes'!AC246)*Source!I182, 2))), 2)</f>
        <v>3.61</v>
      </c>
      <c r="AN837" s="80">
        <f>L823+L825+L829+L835+L836+L826</f>
        <v>1289.6199999999999</v>
      </c>
      <c r="AO837" s="80">
        <f>L825</f>
        <v>1.62</v>
      </c>
      <c r="AQ837" t="s">
        <v>869</v>
      </c>
      <c r="AR837" s="80">
        <f>L823</f>
        <v>517.17999999999995</v>
      </c>
      <c r="AT837" s="80">
        <f>L826</f>
        <v>0</v>
      </c>
      <c r="AV837" t="s">
        <v>869</v>
      </c>
      <c r="AW837" s="80">
        <f>L829</f>
        <v>0.22</v>
      </c>
      <c r="AZ837">
        <f>Source!X182</f>
        <v>517.17999999999995</v>
      </c>
      <c r="BA837">
        <f>Source!Y182</f>
        <v>253.42</v>
      </c>
      <c r="CD837">
        <v>1</v>
      </c>
    </row>
    <row r="838" spans="1:101" ht="55.2" x14ac:dyDescent="0.25">
      <c r="A838" s="63" t="s">
        <v>391</v>
      </c>
      <c r="B838" s="65" t="s">
        <v>985</v>
      </c>
      <c r="C838" s="65" t="str">
        <f>Source!G184</f>
        <v>Гидроизоляция боковая обмазочная битумная в 2 слоя по выровненной поверхности бутовой кладки, кирпичу, бетону</v>
      </c>
      <c r="D838" s="66" t="str">
        <f>Source!H184</f>
        <v>100 м2</v>
      </c>
      <c r="E838" s="67">
        <f>Source!K184</f>
        <v>0.02</v>
      </c>
      <c r="F838" s="67"/>
      <c r="G838" s="67">
        <f>Source!I184</f>
        <v>0.02</v>
      </c>
      <c r="H838" s="69"/>
      <c r="I838" s="68"/>
      <c r="J838" s="69"/>
      <c r="K838" s="68"/>
      <c r="L838" s="69"/>
    </row>
    <row r="839" spans="1:101" ht="39.6" x14ac:dyDescent="0.25">
      <c r="B839" s="70" t="s">
        <v>788</v>
      </c>
      <c r="C839" s="129" t="s">
        <v>871</v>
      </c>
      <c r="D839" s="129"/>
      <c r="E839" s="129"/>
      <c r="F839" s="129"/>
      <c r="G839" s="129"/>
      <c r="H839" s="129"/>
      <c r="I839" s="129"/>
      <c r="J839" s="129"/>
      <c r="K839" s="129"/>
      <c r="L839" s="129"/>
      <c r="CW839" s="71" t="s">
        <v>871</v>
      </c>
    </row>
    <row r="840" spans="1:101" ht="14.4" x14ac:dyDescent="0.25">
      <c r="A840" s="64"/>
      <c r="B840" s="67">
        <v>1</v>
      </c>
      <c r="C840" s="64" t="s">
        <v>863</v>
      </c>
      <c r="D840" s="66" t="s">
        <v>501</v>
      </c>
      <c r="E840" s="73"/>
      <c r="F840" s="67"/>
      <c r="G840" s="67">
        <f>Source!U184</f>
        <v>0.48759999999999998</v>
      </c>
      <c r="H840" s="67"/>
      <c r="I840" s="67"/>
      <c r="J840" s="67"/>
      <c r="K840" s="67"/>
      <c r="L840" s="74">
        <f>SUM(L841:L841)-SUMIF(CE841:CE841, 1, L841:L841)</f>
        <v>177.44</v>
      </c>
    </row>
    <row r="841" spans="1:101" ht="14.4" x14ac:dyDescent="0.25">
      <c r="A841" s="65"/>
      <c r="B841" s="65" t="s">
        <v>723</v>
      </c>
      <c r="C841" s="65" t="s">
        <v>724</v>
      </c>
      <c r="D841" s="66" t="s">
        <v>501</v>
      </c>
      <c r="E841" s="67">
        <v>21.2</v>
      </c>
      <c r="F841" s="67">
        <f>ROUND((0.15+1),7)</f>
        <v>1.1499999999999999</v>
      </c>
      <c r="G841" s="67">
        <f>SmtRes!CX247</f>
        <v>0.48759999999999998</v>
      </c>
      <c r="H841" s="69"/>
      <c r="I841" s="68"/>
      <c r="J841" s="69">
        <f>SmtRes!CZ247</f>
        <v>363.9</v>
      </c>
      <c r="K841" s="68"/>
      <c r="L841" s="69">
        <f>SmtRes!DI247</f>
        <v>177.44</v>
      </c>
    </row>
    <row r="842" spans="1:101" ht="14.4" x14ac:dyDescent="0.25">
      <c r="A842" s="64"/>
      <c r="B842" s="67">
        <v>2</v>
      </c>
      <c r="C842" s="64" t="s">
        <v>875</v>
      </c>
      <c r="D842" s="66"/>
      <c r="E842" s="73"/>
      <c r="F842" s="67"/>
      <c r="G842" s="67"/>
      <c r="H842" s="67"/>
      <c r="I842" s="67"/>
      <c r="J842" s="67"/>
      <c r="K842" s="67"/>
      <c r="L842" s="74">
        <f>SUM(L843:L846)-SUMIF(CE843:CE846, 1, L843:L846)</f>
        <v>9.3299999999999983</v>
      </c>
    </row>
    <row r="843" spans="1:101" ht="14.4" x14ac:dyDescent="0.25">
      <c r="A843" s="64"/>
      <c r="B843" s="67"/>
      <c r="C843" s="64" t="s">
        <v>877</v>
      </c>
      <c r="D843" s="66" t="s">
        <v>501</v>
      </c>
      <c r="E843" s="73"/>
      <c r="F843" s="67"/>
      <c r="G843" s="67">
        <f>Source!V184</f>
        <v>4.5999999999999999E-3</v>
      </c>
      <c r="H843" s="67"/>
      <c r="I843" s="67"/>
      <c r="J843" s="67"/>
      <c r="K843" s="67"/>
      <c r="L843" s="74">
        <f>SUMIF(CE844:CE846, 1, L844:L846)</f>
        <v>1.69</v>
      </c>
      <c r="CE843">
        <v>1</v>
      </c>
    </row>
    <row r="844" spans="1:101" ht="55.2" x14ac:dyDescent="0.25">
      <c r="A844" s="65"/>
      <c r="B844" s="65" t="s">
        <v>689</v>
      </c>
      <c r="C844" s="65" t="s">
        <v>691</v>
      </c>
      <c r="D844" s="66" t="s">
        <v>509</v>
      </c>
      <c r="E844" s="67">
        <v>1.95</v>
      </c>
      <c r="F844" s="67">
        <f>ROUND((0.15+1),7)</f>
        <v>1.1499999999999999</v>
      </c>
      <c r="G844" s="67">
        <f>SmtRes!CX249</f>
        <v>4.4850000000000001E-2</v>
      </c>
      <c r="H844" s="69">
        <f>SmtRes!CZ249</f>
        <v>95.25</v>
      </c>
      <c r="I844" s="68">
        <f>SmtRes!AJ249</f>
        <v>1.59</v>
      </c>
      <c r="J844" s="69">
        <f>ROUND(H844*I844, 2)</f>
        <v>151.44999999999999</v>
      </c>
      <c r="K844" s="68"/>
      <c r="L844" s="69">
        <f>SmtRes!DG249</f>
        <v>6.79</v>
      </c>
    </row>
    <row r="845" spans="1:101" ht="27.6" x14ac:dyDescent="0.25">
      <c r="A845" s="65"/>
      <c r="B845" s="65" t="s">
        <v>527</v>
      </c>
      <c r="C845" s="65" t="s">
        <v>529</v>
      </c>
      <c r="D845" s="66" t="s">
        <v>509</v>
      </c>
      <c r="E845" s="67">
        <v>0.2</v>
      </c>
      <c r="F845" s="67">
        <f>ROUND((0.15+1),7)</f>
        <v>1.1499999999999999</v>
      </c>
      <c r="G845" s="67">
        <f>SmtRes!CX250</f>
        <v>4.5999999999999999E-3</v>
      </c>
      <c r="H845" s="69"/>
      <c r="I845" s="68"/>
      <c r="J845" s="69">
        <f>SmtRes!CZ250</f>
        <v>551.45000000000005</v>
      </c>
      <c r="K845" s="68"/>
      <c r="L845" s="69">
        <f>SmtRes!DG250</f>
        <v>2.54</v>
      </c>
    </row>
    <row r="846" spans="1:101" ht="27.6" x14ac:dyDescent="0.25">
      <c r="A846" s="65"/>
      <c r="B846" s="65" t="s">
        <v>522</v>
      </c>
      <c r="C846" s="65" t="s">
        <v>887</v>
      </c>
      <c r="D846" s="66" t="s">
        <v>501</v>
      </c>
      <c r="E846" s="67">
        <f>SmtRes!DO250*SmtRes!AT250</f>
        <v>0.2</v>
      </c>
      <c r="F846" s="67">
        <f>ROUND((0.15+1),7)</f>
        <v>1.1499999999999999</v>
      </c>
      <c r="G846" s="67">
        <f>ROUND(E846*F846*G838, 7)</f>
        <v>4.5999999999999999E-3</v>
      </c>
      <c r="H846" s="69"/>
      <c r="I846" s="68"/>
      <c r="J846" s="69">
        <f>ROUND(SmtRes!AG250/SmtRes!DO250, 2)</f>
        <v>368.02</v>
      </c>
      <c r="K846" s="68"/>
      <c r="L846" s="69">
        <f>SmtRes!DH250</f>
        <v>1.69</v>
      </c>
      <c r="CE846">
        <v>1</v>
      </c>
    </row>
    <row r="847" spans="1:101" ht="14.4" x14ac:dyDescent="0.25">
      <c r="A847" s="64"/>
      <c r="B847" s="67">
        <v>4</v>
      </c>
      <c r="C847" s="64" t="s">
        <v>893</v>
      </c>
      <c r="D847" s="66"/>
      <c r="E847" s="73"/>
      <c r="F847" s="67"/>
      <c r="G847" s="67"/>
      <c r="H847" s="67"/>
      <c r="I847" s="67"/>
      <c r="J847" s="67"/>
      <c r="K847" s="67"/>
      <c r="L847" s="74">
        <f>SUM(L848:L849)-SUMIF(CE848:CE849, 1, L848:L849)</f>
        <v>33.61</v>
      </c>
    </row>
    <row r="848" spans="1:101" ht="14.4" x14ac:dyDescent="0.25">
      <c r="A848" s="65"/>
      <c r="B848" s="65" t="s">
        <v>725</v>
      </c>
      <c r="C848" s="65" t="s">
        <v>727</v>
      </c>
      <c r="D848" s="66" t="s">
        <v>174</v>
      </c>
      <c r="E848" s="67">
        <v>2.4E-2</v>
      </c>
      <c r="F848" s="67"/>
      <c r="G848" s="67">
        <f>SmtRes!CX253</f>
        <v>4.8000000000000001E-4</v>
      </c>
      <c r="H848" s="69">
        <f>SmtRes!CZ253</f>
        <v>62186.75</v>
      </c>
      <c r="I848" s="68">
        <f>SmtRes!AI253</f>
        <v>1.1200000000000001</v>
      </c>
      <c r="J848" s="69">
        <f>ROUND(H848*I848, 2)</f>
        <v>69649.16</v>
      </c>
      <c r="K848" s="68"/>
      <c r="L848" s="69">
        <f>SmtRes!DF253</f>
        <v>33.43</v>
      </c>
    </row>
    <row r="849" spans="1:82" ht="14.4" x14ac:dyDescent="0.25">
      <c r="A849" s="65"/>
      <c r="B849" s="65" t="s">
        <v>728</v>
      </c>
      <c r="C849" s="65" t="s">
        <v>730</v>
      </c>
      <c r="D849" s="66" t="s">
        <v>240</v>
      </c>
      <c r="E849" s="67">
        <v>0.1</v>
      </c>
      <c r="F849" s="67"/>
      <c r="G849" s="67">
        <f>SmtRes!CX254</f>
        <v>2E-3</v>
      </c>
      <c r="H849" s="69">
        <f>SmtRes!CZ254</f>
        <v>56.11</v>
      </c>
      <c r="I849" s="68">
        <f>SmtRes!AI254</f>
        <v>1.59</v>
      </c>
      <c r="J849" s="69">
        <f>ROUND(H849*I849, 2)</f>
        <v>89.21</v>
      </c>
      <c r="K849" s="68"/>
      <c r="L849" s="69">
        <f>SmtRes!DF254</f>
        <v>0.18</v>
      </c>
    </row>
    <row r="850" spans="1:82" ht="14.4" x14ac:dyDescent="0.25">
      <c r="A850" s="65"/>
      <c r="B850" s="65" t="str">
        <f>EtalonRes!I261</f>
        <v>01.2.01.02</v>
      </c>
      <c r="C850" s="65" t="str">
        <f>EtalonRes!K261</f>
        <v>Битум</v>
      </c>
      <c r="D850" s="66" t="str">
        <f>EtalonRes!O261</f>
        <v>т</v>
      </c>
      <c r="E850" s="67">
        <f>EtalonRes!X261</f>
        <v>1.6E-2</v>
      </c>
      <c r="F850" s="67"/>
      <c r="G850" s="67">
        <f>ROUND(EtalonRes!AG261*Source!I184, 7)</f>
        <v>3.2000000000000003E-4</v>
      </c>
      <c r="H850" s="69"/>
      <c r="I850" s="68"/>
      <c r="J850" s="69"/>
      <c r="K850" s="68"/>
      <c r="L850" s="69"/>
    </row>
    <row r="851" spans="1:82" ht="14.4" x14ac:dyDescent="0.25">
      <c r="A851" s="65"/>
      <c r="B851" s="65" t="str">
        <f>EtalonRes!I262</f>
        <v>01.2.03.03</v>
      </c>
      <c r="C851" s="75" t="str">
        <f>EtalonRes!K262</f>
        <v>Мастика</v>
      </c>
      <c r="D851" s="76" t="str">
        <f>EtalonRes!O262</f>
        <v>т</v>
      </c>
      <c r="E851" s="77">
        <f>EtalonRes!X262</f>
        <v>0.24</v>
      </c>
      <c r="F851" s="77"/>
      <c r="G851" s="77">
        <f>ROUND(EtalonRes!AG262*Source!I184, 7)</f>
        <v>4.7999999999999996E-3</v>
      </c>
      <c r="H851" s="78"/>
      <c r="I851" s="79"/>
      <c r="J851" s="78"/>
      <c r="K851" s="79"/>
      <c r="L851" s="78"/>
    </row>
    <row r="852" spans="1:82" ht="14.4" x14ac:dyDescent="0.25">
      <c r="A852" s="65"/>
      <c r="B852" s="65"/>
      <c r="C852" s="81" t="s">
        <v>864</v>
      </c>
      <c r="D852" s="66"/>
      <c r="E852" s="67"/>
      <c r="F852" s="67"/>
      <c r="G852" s="67"/>
      <c r="H852" s="69"/>
      <c r="I852" s="68"/>
      <c r="J852" s="69"/>
      <c r="K852" s="68"/>
      <c r="L852" s="69">
        <f>L840+L842+L843+L847</f>
        <v>222.07</v>
      </c>
    </row>
    <row r="853" spans="1:82" ht="27.6" x14ac:dyDescent="0.25">
      <c r="A853" s="63" t="s">
        <v>986</v>
      </c>
      <c r="B853" s="65" t="str">
        <f>Source!F185</f>
        <v>01.2.01.02-0042</v>
      </c>
      <c r="C853" s="65" t="str">
        <f>Source!G185</f>
        <v>Битум нефтяной строительный кровельный БНК-90/30</v>
      </c>
      <c r="D853" s="66" t="str">
        <f>Source!H185</f>
        <v>т</v>
      </c>
      <c r="E853" s="67">
        <f>SmtRes!AT251</f>
        <v>1.6E-2</v>
      </c>
      <c r="F853" s="67"/>
      <c r="G853" s="67">
        <f>Source!I185</f>
        <v>3.2000000000000003E-4</v>
      </c>
      <c r="H853" s="69">
        <f>Source!AL185+Source!AO185+Source!AM185+Source!AN185</f>
        <v>23356.13</v>
      </c>
      <c r="I853" s="68">
        <f>IF(Source!BC185&lt;&gt; 0, Source!BC185, 1)</f>
        <v>0.77</v>
      </c>
      <c r="J853" s="69">
        <f>ROUND(H853*I853, 2)</f>
        <v>17984.22</v>
      </c>
      <c r="K853" s="68"/>
      <c r="L853" s="69">
        <f>Source!P185</f>
        <v>5.75</v>
      </c>
      <c r="AD853">
        <f>ROUND((Source!AT185/100)*((ROUND(ROUND(Source!AO185,2)*Source!I185, 2)+ROUND(ROUND(Source!AN185,2)*Source!I185, 2))), 2)</f>
        <v>0</v>
      </c>
      <c r="AE853">
        <f>ROUND((Source!AU185/100)*((ROUND(ROUND(Source!AO185,2)*Source!I185, 2)+ROUND(ROUND(Source!AN185,2)*Source!I185, 2))), 2)</f>
        <v>0</v>
      </c>
      <c r="AN853">
        <f>L853</f>
        <v>5.75</v>
      </c>
      <c r="AW853">
        <f>L853</f>
        <v>5.75</v>
      </c>
      <c r="AZ853">
        <f>Source!X185</f>
        <v>0</v>
      </c>
      <c r="BA853">
        <f>Source!Y185</f>
        <v>0</v>
      </c>
      <c r="CD853">
        <v>1</v>
      </c>
    </row>
    <row r="854" spans="1:82" ht="41.4" x14ac:dyDescent="0.25">
      <c r="A854" s="63" t="s">
        <v>987</v>
      </c>
      <c r="B854" s="65" t="str">
        <f>Source!F186</f>
        <v>01.2.03.03-0014</v>
      </c>
      <c r="C854" s="65" t="str">
        <f>Source!G186</f>
        <v>Мастика битумная кровельная горячая МБК-Г-55, МБК-Г-65, МБК-Г-75, МБК-Г-85, МБК-Г-100</v>
      </c>
      <c r="D854" s="66" t="str">
        <f>Source!H186</f>
        <v>т</v>
      </c>
      <c r="E854" s="67">
        <f>SmtRes!AT252</f>
        <v>0.24</v>
      </c>
      <c r="F854" s="67"/>
      <c r="G854" s="67">
        <f>Source!I186</f>
        <v>4.7999999999999996E-3</v>
      </c>
      <c r="H854" s="69">
        <f>Source!AL186+Source!AO186+Source!AM186+Source!AN186</f>
        <v>24767.25</v>
      </c>
      <c r="I854" s="68">
        <f>IF(Source!BC186&lt;&gt; 0, Source!BC186, 1)</f>
        <v>1.53</v>
      </c>
      <c r="J854" s="69">
        <f>ROUND(H854*I854, 2)</f>
        <v>37893.89</v>
      </c>
      <c r="K854" s="68"/>
      <c r="L854" s="69">
        <f>Source!P186</f>
        <v>181.89</v>
      </c>
      <c r="AD854">
        <f>ROUND((Source!AT186/100)*((ROUND(ROUND(Source!AO186,2)*Source!I186, 2)+ROUND(ROUND(Source!AN186,2)*Source!I186, 2))), 2)</f>
        <v>0</v>
      </c>
      <c r="AE854">
        <f>ROUND((Source!AU186/100)*((ROUND(ROUND(Source!AO186,2)*Source!I186, 2)+ROUND(ROUND(Source!AN186,2)*Source!I186, 2))), 2)</f>
        <v>0</v>
      </c>
      <c r="AN854">
        <f>L854</f>
        <v>181.89</v>
      </c>
      <c r="AW854">
        <f>L854</f>
        <v>181.89</v>
      </c>
      <c r="AZ854">
        <f>Source!X186</f>
        <v>0</v>
      </c>
      <c r="BA854">
        <f>Source!Y186</f>
        <v>0</v>
      </c>
      <c r="CD854">
        <v>1</v>
      </c>
    </row>
    <row r="855" spans="1:82" ht="14.4" x14ac:dyDescent="0.25">
      <c r="A855" s="65"/>
      <c r="B855" s="65"/>
      <c r="C855" s="65" t="s">
        <v>865</v>
      </c>
      <c r="D855" s="66"/>
      <c r="E855" s="67"/>
      <c r="F855" s="67"/>
      <c r="G855" s="67"/>
      <c r="H855" s="69"/>
      <c r="I855" s="68"/>
      <c r="J855" s="69"/>
      <c r="K855" s="68"/>
      <c r="L855" s="69">
        <f>SUM(AR838:AR858)+SUM(AS838:AS858)+SUM(AT838:AT858)+SUM(AU838:AU858)+SUM(AV838:AV858)</f>
        <v>179.13</v>
      </c>
    </row>
    <row r="856" spans="1:82" ht="14.4" x14ac:dyDescent="0.25">
      <c r="A856" s="65"/>
      <c r="B856" s="65" t="s">
        <v>344</v>
      </c>
      <c r="C856" s="65" t="s">
        <v>972</v>
      </c>
      <c r="D856" s="66" t="s">
        <v>761</v>
      </c>
      <c r="E856" s="67">
        <f>Source!BZ184</f>
        <v>110</v>
      </c>
      <c r="F856" s="67"/>
      <c r="G856" s="67">
        <f>Source!AT184</f>
        <v>110</v>
      </c>
      <c r="H856" s="69"/>
      <c r="I856" s="68"/>
      <c r="J856" s="69"/>
      <c r="K856" s="68"/>
      <c r="L856" s="69">
        <f>SUM(AZ838:AZ858)</f>
        <v>197.04</v>
      </c>
    </row>
    <row r="857" spans="1:82" ht="14.4" x14ac:dyDescent="0.25">
      <c r="A857" s="75"/>
      <c r="B857" s="75" t="s">
        <v>345</v>
      </c>
      <c r="C857" s="75" t="s">
        <v>973</v>
      </c>
      <c r="D857" s="76" t="s">
        <v>761</v>
      </c>
      <c r="E857" s="77">
        <f>Source!CA184</f>
        <v>69</v>
      </c>
      <c r="F857" s="77"/>
      <c r="G857" s="77">
        <f>Source!AU184</f>
        <v>69</v>
      </c>
      <c r="H857" s="78"/>
      <c r="I857" s="79"/>
      <c r="J857" s="78"/>
      <c r="K857" s="79"/>
      <c r="L857" s="78">
        <f>SUM(BA838:BA858)</f>
        <v>123.6</v>
      </c>
    </row>
    <row r="858" spans="1:82" ht="13.8" x14ac:dyDescent="0.25">
      <c r="C858" s="127" t="s">
        <v>868</v>
      </c>
      <c r="D858" s="127"/>
      <c r="E858" s="127"/>
      <c r="F858" s="127"/>
      <c r="G858" s="127"/>
      <c r="H858" s="127"/>
      <c r="I858" s="128">
        <f>IF(E838&lt;&gt;0,K858/E838, 0)</f>
        <v>36517.5</v>
      </c>
      <c r="J858" s="128"/>
      <c r="K858" s="128">
        <f>L840+L842+L847+L856+L857+L843+SUM(L853:L854)</f>
        <v>730.35</v>
      </c>
      <c r="L858" s="128"/>
      <c r="AD858">
        <f>ROUND((Source!AT184/100)*((ROUND(SUMIF(SmtRes!AQ247:'SmtRes'!AQ254,"=1",SmtRes!AD247:'SmtRes'!AD254)*Source!I184, 2)+ROUND(SUMIF(SmtRes!AQ247:'SmtRes'!AQ254,"=1",SmtRes!AC247:'SmtRes'!AC254)*Source!I184, 2))), 2)</f>
        <v>16.100000000000001</v>
      </c>
      <c r="AE858">
        <f>ROUND((Source!AU184/100)*((ROUND(SUMIF(SmtRes!AQ247:'SmtRes'!AQ254,"=1",SmtRes!AD247:'SmtRes'!AD254)*Source!I184, 2)+ROUND(SUMIF(SmtRes!AQ247:'SmtRes'!AQ254,"=1",SmtRes!AC247:'SmtRes'!AC254)*Source!I184, 2))), 2)</f>
        <v>10.1</v>
      </c>
      <c r="AN858" s="80">
        <f>L840+L842+L847+L856+L857+L843</f>
        <v>542.71</v>
      </c>
      <c r="AO858" s="80">
        <f>L842</f>
        <v>9.3299999999999983</v>
      </c>
      <c r="AQ858" t="s">
        <v>869</v>
      </c>
      <c r="AR858" s="80">
        <f>L840</f>
        <v>177.44</v>
      </c>
      <c r="AT858" s="80">
        <f>L843</f>
        <v>1.69</v>
      </c>
      <c r="AV858" t="s">
        <v>869</v>
      </c>
      <c r="AW858" s="80">
        <f>L847</f>
        <v>33.61</v>
      </c>
      <c r="AZ858">
        <f>Source!X184</f>
        <v>197.04</v>
      </c>
      <c r="BA858">
        <f>Source!Y184</f>
        <v>123.6</v>
      </c>
      <c r="CD858">
        <v>1</v>
      </c>
    </row>
    <row r="860" spans="1:82" ht="13.8" x14ac:dyDescent="0.25">
      <c r="A860" s="83"/>
      <c r="B860" s="84"/>
      <c r="C860" s="141" t="s">
        <v>896</v>
      </c>
      <c r="D860" s="141"/>
      <c r="E860" s="141"/>
      <c r="F860" s="141"/>
      <c r="G860" s="141"/>
      <c r="H860" s="141"/>
      <c r="I860" s="74"/>
      <c r="J860" s="83"/>
      <c r="K860" s="85"/>
      <c r="L860" s="74">
        <f>L862+L863+L869+L873</f>
        <v>131626.81000000003</v>
      </c>
    </row>
    <row r="861" spans="1:82" ht="13.8" x14ac:dyDescent="0.25">
      <c r="A861" s="61"/>
      <c r="B861" s="82"/>
      <c r="C861" s="142" t="s">
        <v>897</v>
      </c>
      <c r="D861" s="143"/>
      <c r="E861" s="143"/>
      <c r="F861" s="143"/>
      <c r="G861" s="143"/>
      <c r="H861" s="143"/>
      <c r="I861" s="69"/>
      <c r="J861" s="61"/>
      <c r="K861" s="67"/>
      <c r="L861" s="69"/>
    </row>
    <row r="862" spans="1:82" ht="13.8" x14ac:dyDescent="0.25">
      <c r="A862" s="61"/>
      <c r="B862" s="82"/>
      <c r="C862" s="143" t="s">
        <v>898</v>
      </c>
      <c r="D862" s="143"/>
      <c r="E862" s="143"/>
      <c r="F862" s="143"/>
      <c r="G862" s="143"/>
      <c r="H862" s="143"/>
      <c r="I862" s="69"/>
      <c r="J862" s="61"/>
      <c r="K862" s="67"/>
      <c r="L862" s="69">
        <f>SUM(AR452:AR858)</f>
        <v>63421.060000000019</v>
      </c>
    </row>
    <row r="863" spans="1:82" ht="13.8" hidden="1" x14ac:dyDescent="0.25">
      <c r="A863" s="61"/>
      <c r="B863" s="82"/>
      <c r="C863" s="143" t="s">
        <v>899</v>
      </c>
      <c r="D863" s="143"/>
      <c r="E863" s="143"/>
      <c r="F863" s="143"/>
      <c r="G863" s="143"/>
      <c r="H863" s="143"/>
      <c r="I863" s="69"/>
      <c r="J863" s="61"/>
      <c r="K863" s="67"/>
      <c r="L863" s="69">
        <f>L865+L868+L867</f>
        <v>8920.48</v>
      </c>
    </row>
    <row r="864" spans="1:82" ht="13.8" hidden="1" x14ac:dyDescent="0.25">
      <c r="A864" s="61"/>
      <c r="B864" s="82"/>
      <c r="C864" s="142" t="s">
        <v>900</v>
      </c>
      <c r="D864" s="143"/>
      <c r="E864" s="143"/>
      <c r="F864" s="143"/>
      <c r="G864" s="143"/>
      <c r="H864" s="143"/>
      <c r="I864" s="69"/>
      <c r="J864" s="61"/>
      <c r="K864" s="67"/>
      <c r="L864" s="69"/>
    </row>
    <row r="865" spans="1:12" ht="13.8" x14ac:dyDescent="0.25">
      <c r="A865" s="61"/>
      <c r="B865" s="82"/>
      <c r="C865" s="143" t="s">
        <v>899</v>
      </c>
      <c r="D865" s="143"/>
      <c r="E865" s="143"/>
      <c r="F865" s="143"/>
      <c r="G865" s="143"/>
      <c r="H865" s="143"/>
      <c r="I865" s="69"/>
      <c r="J865" s="61"/>
      <c r="K865" s="67"/>
      <c r="L865" s="69">
        <f>SUM(AO452:AO858)</f>
        <v>6705.2499999999991</v>
      </c>
    </row>
    <row r="866" spans="1:12" ht="13.8" hidden="1" x14ac:dyDescent="0.25">
      <c r="A866" s="61"/>
      <c r="B866" s="82"/>
      <c r="C866" s="142" t="s">
        <v>901</v>
      </c>
      <c r="D866" s="143"/>
      <c r="E866" s="143"/>
      <c r="F866" s="143"/>
      <c r="G866" s="143"/>
      <c r="H866" s="143"/>
      <c r="I866" s="69"/>
      <c r="J866" s="61"/>
      <c r="K866" s="67"/>
      <c r="L866" s="69"/>
    </row>
    <row r="867" spans="1:12" ht="13.8" x14ac:dyDescent="0.25">
      <c r="A867" s="61"/>
      <c r="B867" s="82"/>
      <c r="C867" s="143" t="s">
        <v>921</v>
      </c>
      <c r="D867" s="143"/>
      <c r="E867" s="143"/>
      <c r="F867" s="143"/>
      <c r="G867" s="143"/>
      <c r="H867" s="143"/>
      <c r="I867" s="69"/>
      <c r="J867" s="61"/>
      <c r="K867" s="67"/>
      <c r="L867" s="69">
        <f>SUM(AT452:AT858)</f>
        <v>2215.23</v>
      </c>
    </row>
    <row r="868" spans="1:12" ht="13.8" hidden="1" x14ac:dyDescent="0.25">
      <c r="A868" s="61"/>
      <c r="B868" s="82"/>
      <c r="C868" s="143" t="s">
        <v>902</v>
      </c>
      <c r="D868" s="143"/>
      <c r="E868" s="143"/>
      <c r="F868" s="143"/>
      <c r="G868" s="143"/>
      <c r="H868" s="143"/>
      <c r="I868" s="69"/>
      <c r="J868" s="61"/>
      <c r="K868" s="67"/>
      <c r="L868" s="69">
        <f>SUM(AV452:AV858)</f>
        <v>0</v>
      </c>
    </row>
    <row r="869" spans="1:12" ht="13.8" x14ac:dyDescent="0.25">
      <c r="A869" s="61"/>
      <c r="B869" s="82"/>
      <c r="C869" s="143" t="s">
        <v>903</v>
      </c>
      <c r="D869" s="143"/>
      <c r="E869" s="143"/>
      <c r="F869" s="143"/>
      <c r="G869" s="143"/>
      <c r="H869" s="143"/>
      <c r="I869" s="69"/>
      <c r="J869" s="61"/>
      <c r="K869" s="67"/>
      <c r="L869" s="69">
        <f>L871+L872</f>
        <v>59285.27</v>
      </c>
    </row>
    <row r="870" spans="1:12" ht="13.8" x14ac:dyDescent="0.25">
      <c r="A870" s="61"/>
      <c r="B870" s="82"/>
      <c r="C870" s="142" t="s">
        <v>900</v>
      </c>
      <c r="D870" s="143"/>
      <c r="E870" s="143"/>
      <c r="F870" s="143"/>
      <c r="G870" s="143"/>
      <c r="H870" s="143"/>
      <c r="I870" s="69"/>
      <c r="J870" s="61"/>
      <c r="K870" s="67"/>
      <c r="L870" s="69"/>
    </row>
    <row r="871" spans="1:12" ht="13.8" x14ac:dyDescent="0.25">
      <c r="A871" s="61"/>
      <c r="B871" s="82"/>
      <c r="C871" s="143" t="s">
        <v>904</v>
      </c>
      <c r="D871" s="143"/>
      <c r="E871" s="143"/>
      <c r="F871" s="143"/>
      <c r="G871" s="143"/>
      <c r="H871" s="143"/>
      <c r="I871" s="69"/>
      <c r="J871" s="61"/>
      <c r="K871" s="67"/>
      <c r="L871" s="69">
        <f>SUM(AW452:AW858)-SUM(BK452:BK858)</f>
        <v>59285.27</v>
      </c>
    </row>
    <row r="872" spans="1:12" ht="13.8" hidden="1" x14ac:dyDescent="0.25">
      <c r="A872" s="61"/>
      <c r="B872" s="82"/>
      <c r="C872" s="143" t="s">
        <v>905</v>
      </c>
      <c r="D872" s="143"/>
      <c r="E872" s="143"/>
      <c r="F872" s="143"/>
      <c r="G872" s="143"/>
      <c r="H872" s="143"/>
      <c r="I872" s="69"/>
      <c r="J872" s="61"/>
      <c r="K872" s="67"/>
      <c r="L872" s="69">
        <f>SUM(BC452:BC858)</f>
        <v>0</v>
      </c>
    </row>
    <row r="873" spans="1:12" ht="13.8" hidden="1" x14ac:dyDescent="0.25">
      <c r="A873" s="61"/>
      <c r="B873" s="82"/>
      <c r="C873" s="143" t="s">
        <v>906</v>
      </c>
      <c r="D873" s="143"/>
      <c r="E873" s="143"/>
      <c r="F873" s="143"/>
      <c r="G873" s="143"/>
      <c r="H873" s="143"/>
      <c r="I873" s="69"/>
      <c r="J873" s="61"/>
      <c r="K873" s="67"/>
      <c r="L873" s="69">
        <f>SUM(BB452:BB858)</f>
        <v>0</v>
      </c>
    </row>
    <row r="874" spans="1:12" ht="13.8" x14ac:dyDescent="0.25">
      <c r="A874" s="61"/>
      <c r="B874" s="82"/>
      <c r="C874" s="143" t="s">
        <v>907</v>
      </c>
      <c r="D874" s="143"/>
      <c r="E874" s="143"/>
      <c r="F874" s="143"/>
      <c r="G874" s="143"/>
      <c r="H874" s="143"/>
      <c r="I874" s="69"/>
      <c r="J874" s="61"/>
      <c r="K874" s="67"/>
      <c r="L874" s="69">
        <f>SUM(AR452:AR858)+SUM(AT452:AT858)+SUM(AV452:AV858)</f>
        <v>65636.290000000023</v>
      </c>
    </row>
    <row r="875" spans="1:12" ht="13.8" x14ac:dyDescent="0.25">
      <c r="A875" s="61"/>
      <c r="B875" s="82"/>
      <c r="C875" s="143" t="s">
        <v>908</v>
      </c>
      <c r="D875" s="143"/>
      <c r="E875" s="143"/>
      <c r="F875" s="143"/>
      <c r="G875" s="143"/>
      <c r="H875" s="143"/>
      <c r="I875" s="69"/>
      <c r="J875" s="61"/>
      <c r="K875" s="67"/>
      <c r="L875" s="69">
        <f>SUM(AZ452:AZ858)</f>
        <v>69614.770000000019</v>
      </c>
    </row>
    <row r="876" spans="1:12" ht="13.8" x14ac:dyDescent="0.25">
      <c r="A876" s="61"/>
      <c r="B876" s="82"/>
      <c r="C876" s="143" t="s">
        <v>909</v>
      </c>
      <c r="D876" s="143"/>
      <c r="E876" s="143"/>
      <c r="F876" s="143"/>
      <c r="G876" s="143"/>
      <c r="H876" s="143"/>
      <c r="I876" s="69"/>
      <c r="J876" s="61"/>
      <c r="K876" s="67"/>
      <c r="L876" s="69">
        <f>SUM(BA452:BA858)</f>
        <v>41506.449999999997</v>
      </c>
    </row>
    <row r="877" spans="1:12" ht="13.8" hidden="1" x14ac:dyDescent="0.25">
      <c r="A877" s="61"/>
      <c r="B877" s="82"/>
      <c r="C877" s="143" t="s">
        <v>910</v>
      </c>
      <c r="D877" s="143"/>
      <c r="E877" s="143"/>
      <c r="F877" s="143"/>
      <c r="G877" s="143"/>
      <c r="H877" s="143"/>
      <c r="I877" s="69"/>
      <c r="J877" s="61"/>
      <c r="K877" s="67"/>
      <c r="L877" s="69">
        <f>L879+L880</f>
        <v>0</v>
      </c>
    </row>
    <row r="878" spans="1:12" ht="13.8" hidden="1" x14ac:dyDescent="0.25">
      <c r="A878" s="61"/>
      <c r="B878" s="82"/>
      <c r="C878" s="142" t="s">
        <v>897</v>
      </c>
      <c r="D878" s="143"/>
      <c r="E878" s="143"/>
      <c r="F878" s="143"/>
      <c r="G878" s="143"/>
      <c r="H878" s="143"/>
      <c r="I878" s="69"/>
      <c r="J878" s="61"/>
      <c r="K878" s="67"/>
      <c r="L878" s="69"/>
    </row>
    <row r="879" spans="1:12" ht="13.8" hidden="1" x14ac:dyDescent="0.25">
      <c r="A879" s="61"/>
      <c r="B879" s="82"/>
      <c r="C879" s="143" t="s">
        <v>911</v>
      </c>
      <c r="D879" s="143"/>
      <c r="E879" s="143"/>
      <c r="F879" s="143"/>
      <c r="G879" s="143"/>
      <c r="H879" s="143"/>
      <c r="I879" s="69"/>
      <c r="J879" s="61"/>
      <c r="K879" s="67"/>
      <c r="L879" s="69">
        <f>SUM(BK452:BK858)</f>
        <v>0</v>
      </c>
    </row>
    <row r="880" spans="1:12" ht="13.8" hidden="1" x14ac:dyDescent="0.25">
      <c r="A880" s="61"/>
      <c r="B880" s="82"/>
      <c r="C880" s="143" t="s">
        <v>912</v>
      </c>
      <c r="D880" s="143"/>
      <c r="E880" s="143"/>
      <c r="F880" s="143"/>
      <c r="G880" s="143"/>
      <c r="H880" s="143"/>
      <c r="I880" s="69"/>
      <c r="J880" s="61"/>
      <c r="K880" s="67"/>
      <c r="L880" s="69">
        <f>SUM(BD452:BD858)</f>
        <v>0</v>
      </c>
    </row>
    <row r="881" spans="1:101" ht="13.8" hidden="1" x14ac:dyDescent="0.25">
      <c r="A881" s="61"/>
      <c r="B881" s="82"/>
      <c r="C881" s="143" t="s">
        <v>913</v>
      </c>
      <c r="D881" s="143"/>
      <c r="E881" s="143"/>
      <c r="F881" s="143"/>
      <c r="G881" s="143"/>
      <c r="H881" s="143"/>
      <c r="I881" s="69"/>
      <c r="J881" s="61"/>
      <c r="K881" s="67"/>
      <c r="L881" s="69"/>
    </row>
    <row r="882" spans="1:101" ht="13.8" hidden="1" x14ac:dyDescent="0.25">
      <c r="A882" s="61"/>
      <c r="B882" s="82"/>
      <c r="C882" s="143" t="s">
        <v>913</v>
      </c>
      <c r="D882" s="143"/>
      <c r="E882" s="143"/>
      <c r="F882" s="143"/>
      <c r="G882" s="143"/>
      <c r="H882" s="143"/>
      <c r="I882" s="69"/>
      <c r="J882" s="61"/>
      <c r="K882" s="67"/>
      <c r="L882" s="69">
        <f>SUM(BQ452:BQ858)</f>
        <v>0</v>
      </c>
    </row>
    <row r="883" spans="1:101" ht="13.8" hidden="1" x14ac:dyDescent="0.25">
      <c r="A883" s="61"/>
      <c r="B883" s="82"/>
      <c r="C883" s="143" t="s">
        <v>914</v>
      </c>
      <c r="D883" s="143"/>
      <c r="E883" s="143"/>
      <c r="F883" s="143"/>
      <c r="G883" s="143"/>
      <c r="H883" s="143"/>
      <c r="I883" s="69"/>
      <c r="J883" s="61"/>
      <c r="K883" s="67"/>
      <c r="L883" s="69">
        <f>SUM(BO452:BO858)</f>
        <v>0</v>
      </c>
    </row>
    <row r="884" spans="1:101" ht="13.8" x14ac:dyDescent="0.25">
      <c r="A884" s="83"/>
      <c r="B884" s="84"/>
      <c r="C884" s="141" t="s">
        <v>915</v>
      </c>
      <c r="D884" s="141"/>
      <c r="E884" s="141"/>
      <c r="F884" s="141"/>
      <c r="G884" s="141"/>
      <c r="H884" s="141"/>
      <c r="I884" s="74"/>
      <c r="J884" s="83"/>
      <c r="K884" s="85"/>
      <c r="L884" s="74">
        <f>L860+L875+L876+L877+L882+L883</f>
        <v>242748.03000000003</v>
      </c>
    </row>
    <row r="885" spans="1:101" ht="13.8" x14ac:dyDescent="0.25">
      <c r="A885" s="61"/>
      <c r="B885" s="82"/>
      <c r="C885" s="142" t="s">
        <v>916</v>
      </c>
      <c r="D885" s="143"/>
      <c r="E885" s="143"/>
      <c r="F885" s="143"/>
      <c r="G885" s="143"/>
      <c r="H885" s="143"/>
      <c r="I885" s="69"/>
      <c r="J885" s="61"/>
      <c r="K885" s="67"/>
      <c r="L885" s="69"/>
    </row>
    <row r="886" spans="1:101" ht="13.8" hidden="1" x14ac:dyDescent="0.25">
      <c r="A886" s="61"/>
      <c r="B886" s="82"/>
      <c r="C886" s="143" t="s">
        <v>917</v>
      </c>
      <c r="D886" s="143"/>
      <c r="E886" s="143"/>
      <c r="F886" s="143"/>
      <c r="G886" s="143"/>
      <c r="H886" s="143"/>
      <c r="I886" s="69"/>
      <c r="J886" s="61"/>
      <c r="K886" s="67"/>
      <c r="L886" s="69">
        <f>SUM(AX452:AX858)</f>
        <v>0</v>
      </c>
    </row>
    <row r="887" spans="1:101" ht="13.8" hidden="1" x14ac:dyDescent="0.25">
      <c r="A887" s="61"/>
      <c r="B887" s="82"/>
      <c r="C887" s="143" t="s">
        <v>918</v>
      </c>
      <c r="D887" s="143"/>
      <c r="E887" s="143"/>
      <c r="F887" s="143"/>
      <c r="G887" s="143"/>
      <c r="H887" s="143"/>
      <c r="I887" s="69"/>
      <c r="J887" s="61"/>
      <c r="K887" s="67"/>
      <c r="L887" s="69">
        <f>SUM(AY452:AY858)</f>
        <v>0</v>
      </c>
    </row>
    <row r="888" spans="1:101" ht="13.8" x14ac:dyDescent="0.25">
      <c r="A888" s="61"/>
      <c r="B888" s="82"/>
      <c r="C888" s="143" t="s">
        <v>919</v>
      </c>
      <c r="D888" s="143"/>
      <c r="E888" s="143"/>
      <c r="F888" s="144"/>
      <c r="G888" s="73">
        <f>Source!F210</f>
        <v>170.92850200000001</v>
      </c>
      <c r="H888" s="61"/>
      <c r="I888" s="61"/>
      <c r="J888" s="61"/>
      <c r="K888" s="61"/>
      <c r="L888" s="61"/>
    </row>
    <row r="889" spans="1:101" ht="13.8" x14ac:dyDescent="0.25">
      <c r="A889" s="61"/>
      <c r="B889" s="82"/>
      <c r="C889" s="143" t="s">
        <v>920</v>
      </c>
      <c r="D889" s="143"/>
      <c r="E889" s="143"/>
      <c r="F889" s="144"/>
      <c r="G889" s="73">
        <f>Source!F211</f>
        <v>5.7175108000000003</v>
      </c>
      <c r="H889" s="61"/>
      <c r="I889" s="61"/>
      <c r="J889" s="61"/>
      <c r="K889" s="61"/>
      <c r="L889" s="61"/>
    </row>
    <row r="891" spans="1:101" ht="16.8" x14ac:dyDescent="0.25">
      <c r="A891" s="139" t="s">
        <v>988</v>
      </c>
      <c r="B891" s="139"/>
      <c r="C891" s="139"/>
      <c r="D891" s="139"/>
      <c r="E891" s="139"/>
      <c r="F891" s="139"/>
      <c r="G891" s="139"/>
      <c r="H891" s="139"/>
      <c r="I891" s="139"/>
      <c r="J891" s="139"/>
      <c r="K891" s="139"/>
      <c r="L891" s="139"/>
    </row>
    <row r="892" spans="1:101" ht="55.2" x14ac:dyDescent="0.25">
      <c r="A892" s="63" t="s">
        <v>404</v>
      </c>
      <c r="B892" s="65" t="s">
        <v>989</v>
      </c>
      <c r="C892" s="65" t="str">
        <f>Source!G224</f>
        <v>Подготовка почвы для устройства партерного и обыкновенного газона с внесением растительной земли слоем 15 см: механизированным способом</v>
      </c>
      <c r="D892" s="66" t="str">
        <f>Source!H224</f>
        <v>100 м2</v>
      </c>
      <c r="E892" s="67">
        <f>Source!K224</f>
        <v>0.4</v>
      </c>
      <c r="F892" s="67"/>
      <c r="G892" s="67">
        <f>Source!I224</f>
        <v>0.4</v>
      </c>
      <c r="H892" s="69"/>
      <c r="I892" s="68"/>
      <c r="J892" s="69"/>
      <c r="K892" s="68"/>
      <c r="L892" s="69"/>
    </row>
    <row r="893" spans="1:101" ht="39.6" x14ac:dyDescent="0.25">
      <c r="B893" s="70" t="s">
        <v>788</v>
      </c>
      <c r="C893" s="129" t="s">
        <v>871</v>
      </c>
      <c r="D893" s="129"/>
      <c r="E893" s="129"/>
      <c r="F893" s="129"/>
      <c r="G893" s="129"/>
      <c r="H893" s="129"/>
      <c r="I893" s="129"/>
      <c r="J893" s="129"/>
      <c r="K893" s="129"/>
      <c r="L893" s="129"/>
      <c r="CW893" s="71" t="s">
        <v>871</v>
      </c>
    </row>
    <row r="894" spans="1:101" ht="14.4" x14ac:dyDescent="0.25">
      <c r="A894" s="64"/>
      <c r="B894" s="67">
        <v>1</v>
      </c>
      <c r="C894" s="64" t="s">
        <v>863</v>
      </c>
      <c r="D894" s="66" t="s">
        <v>501</v>
      </c>
      <c r="E894" s="73"/>
      <c r="F894" s="67"/>
      <c r="G894" s="67">
        <f>Source!U224</f>
        <v>12.3188</v>
      </c>
      <c r="H894" s="67"/>
      <c r="I894" s="67"/>
      <c r="J894" s="67"/>
      <c r="K894" s="67"/>
      <c r="L894" s="74">
        <f>SUM(L895:L895)-SUMIF(CE895:CE895, 1, L895:L895)</f>
        <v>3755.39</v>
      </c>
    </row>
    <row r="895" spans="1:101" ht="14.4" x14ac:dyDescent="0.25">
      <c r="A895" s="65"/>
      <c r="B895" s="65" t="s">
        <v>731</v>
      </c>
      <c r="C895" s="65" t="s">
        <v>732</v>
      </c>
      <c r="D895" s="66" t="s">
        <v>501</v>
      </c>
      <c r="E895" s="67">
        <v>26.78</v>
      </c>
      <c r="F895" s="67">
        <f>ROUND((0.15+1),7)</f>
        <v>1.1499999999999999</v>
      </c>
      <c r="G895" s="67">
        <f>SmtRes!CX255</f>
        <v>12.3188</v>
      </c>
      <c r="H895" s="69"/>
      <c r="I895" s="68"/>
      <c r="J895" s="69">
        <f>SmtRes!CZ255</f>
        <v>304.85000000000002</v>
      </c>
      <c r="K895" s="68"/>
      <c r="L895" s="69">
        <f>SmtRes!DI255</f>
        <v>3755.39</v>
      </c>
    </row>
    <row r="896" spans="1:101" ht="14.4" x14ac:dyDescent="0.25">
      <c r="A896" s="64"/>
      <c r="B896" s="67">
        <v>2</v>
      </c>
      <c r="C896" s="64" t="s">
        <v>875</v>
      </c>
      <c r="D896" s="66"/>
      <c r="E896" s="73"/>
      <c r="F896" s="67"/>
      <c r="G896" s="67"/>
      <c r="H896" s="67"/>
      <c r="I896" s="67"/>
      <c r="J896" s="67"/>
      <c r="K896" s="67"/>
      <c r="L896" s="74">
        <f>SUM(L897:L900)-SUMIF(CE897:CE900, 1, L897:L900)</f>
        <v>19.810000000000002</v>
      </c>
    </row>
    <row r="897" spans="1:101" ht="14.4" x14ac:dyDescent="0.25">
      <c r="A897" s="64"/>
      <c r="B897" s="67"/>
      <c r="C897" s="64" t="s">
        <v>877</v>
      </c>
      <c r="D897" s="66" t="s">
        <v>501</v>
      </c>
      <c r="E897" s="73"/>
      <c r="F897" s="67"/>
      <c r="G897" s="67">
        <f>Source!V224</f>
        <v>2.3E-2</v>
      </c>
      <c r="H897" s="67"/>
      <c r="I897" s="67"/>
      <c r="J897" s="67"/>
      <c r="K897" s="67"/>
      <c r="L897" s="74">
        <f>SUMIF(CE898:CE900, 1, L898:L900)</f>
        <v>8.4600000000000009</v>
      </c>
      <c r="CE897">
        <v>1</v>
      </c>
    </row>
    <row r="898" spans="1:101" ht="14.4" x14ac:dyDescent="0.25">
      <c r="A898" s="65"/>
      <c r="B898" s="65" t="s">
        <v>733</v>
      </c>
      <c r="C898" s="65" t="s">
        <v>735</v>
      </c>
      <c r="D898" s="66" t="s">
        <v>509</v>
      </c>
      <c r="E898" s="67">
        <v>0.14000000000000001</v>
      </c>
      <c r="F898" s="67">
        <f>ROUND((0.15+1),7)</f>
        <v>1.1499999999999999</v>
      </c>
      <c r="G898" s="67">
        <f>SmtRes!CX257</f>
        <v>6.4399999999999999E-2</v>
      </c>
      <c r="H898" s="69">
        <f>SmtRes!CZ257</f>
        <v>50.89</v>
      </c>
      <c r="I898" s="68">
        <f>SmtRes!AJ257</f>
        <v>1.48</v>
      </c>
      <c r="J898" s="69">
        <f>ROUND(H898*I898, 2)</f>
        <v>75.319999999999993</v>
      </c>
      <c r="K898" s="68"/>
      <c r="L898" s="69">
        <f>SmtRes!DG257</f>
        <v>4.8499999999999996</v>
      </c>
    </row>
    <row r="899" spans="1:101" ht="27.6" x14ac:dyDescent="0.25">
      <c r="A899" s="65"/>
      <c r="B899" s="65" t="s">
        <v>736</v>
      </c>
      <c r="C899" s="65" t="s">
        <v>738</v>
      </c>
      <c r="D899" s="66" t="s">
        <v>509</v>
      </c>
      <c r="E899" s="67">
        <v>0.05</v>
      </c>
      <c r="F899" s="67">
        <f>ROUND((0.15+1),7)</f>
        <v>1.1499999999999999</v>
      </c>
      <c r="G899" s="67">
        <f>SmtRes!CX258</f>
        <v>2.3E-2</v>
      </c>
      <c r="H899" s="69"/>
      <c r="I899" s="68"/>
      <c r="J899" s="69">
        <f>SmtRes!CZ258</f>
        <v>650.61</v>
      </c>
      <c r="K899" s="68"/>
      <c r="L899" s="69">
        <f>SmtRes!DG258</f>
        <v>14.96</v>
      </c>
    </row>
    <row r="900" spans="1:101" ht="27.6" x14ac:dyDescent="0.25">
      <c r="A900" s="65"/>
      <c r="B900" s="65" t="s">
        <v>522</v>
      </c>
      <c r="C900" s="65" t="s">
        <v>887</v>
      </c>
      <c r="D900" s="66" t="s">
        <v>501</v>
      </c>
      <c r="E900" s="67">
        <f>SmtRes!DO258*SmtRes!AT258</f>
        <v>0.05</v>
      </c>
      <c r="F900" s="67">
        <f>ROUND((0.15+1),7)</f>
        <v>1.1499999999999999</v>
      </c>
      <c r="G900" s="67">
        <f>ROUND(E900*F900*G892, 7)</f>
        <v>2.3E-2</v>
      </c>
      <c r="H900" s="69"/>
      <c r="I900" s="68"/>
      <c r="J900" s="69">
        <f>ROUND(SmtRes!AG258/SmtRes!DO258, 2)</f>
        <v>368.02</v>
      </c>
      <c r="K900" s="68"/>
      <c r="L900" s="69">
        <f>SmtRes!DH258</f>
        <v>8.4600000000000009</v>
      </c>
      <c r="CE900">
        <v>1</v>
      </c>
    </row>
    <row r="901" spans="1:101" ht="14.4" x14ac:dyDescent="0.25">
      <c r="A901" s="65"/>
      <c r="B901" s="65" t="str">
        <f>EtalonRes!I269</f>
        <v>16.2.01.02</v>
      </c>
      <c r="C901" s="75" t="str">
        <f>EtalonRes!K269</f>
        <v>Земля растительная</v>
      </c>
      <c r="D901" s="76" t="str">
        <f>EtalonRes!O269</f>
        <v>м3</v>
      </c>
      <c r="E901" s="77">
        <f>EtalonRes!X269</f>
        <v>15</v>
      </c>
      <c r="F901" s="77"/>
      <c r="G901" s="77">
        <f>ROUND(EtalonRes!AG269*Source!I224, 7)</f>
        <v>6</v>
      </c>
      <c r="H901" s="78"/>
      <c r="I901" s="79"/>
      <c r="J901" s="78"/>
      <c r="K901" s="79"/>
      <c r="L901" s="78"/>
    </row>
    <row r="902" spans="1:101" ht="14.4" x14ac:dyDescent="0.25">
      <c r="A902" s="65"/>
      <c r="B902" s="65"/>
      <c r="C902" s="81" t="s">
        <v>864</v>
      </c>
      <c r="D902" s="66"/>
      <c r="E902" s="67"/>
      <c r="F902" s="67"/>
      <c r="G902" s="67"/>
      <c r="H902" s="69"/>
      <c r="I902" s="68"/>
      <c r="J902" s="69"/>
      <c r="K902" s="68"/>
      <c r="L902" s="69">
        <f>L894+L896+L897</f>
        <v>3783.66</v>
      </c>
    </row>
    <row r="903" spans="1:101" ht="14.4" x14ac:dyDescent="0.25">
      <c r="A903" s="63" t="s">
        <v>990</v>
      </c>
      <c r="B903" s="65" t="str">
        <f>Source!F225</f>
        <v>16.2.01.02-0001</v>
      </c>
      <c r="C903" s="65" t="str">
        <f>Source!G225</f>
        <v>Земля растительная</v>
      </c>
      <c r="D903" s="66" t="str">
        <f>Source!H225</f>
        <v>м3</v>
      </c>
      <c r="E903" s="67">
        <f>SmtRes!AT259</f>
        <v>15</v>
      </c>
      <c r="F903" s="67"/>
      <c r="G903" s="67">
        <f>Source!I225</f>
        <v>6</v>
      </c>
      <c r="H903" s="69">
        <f>Source!AL225+Source!AO225+Source!AM225+Source!AN225</f>
        <v>1062.45</v>
      </c>
      <c r="I903" s="68">
        <f>IF(Source!BC225&lt;&gt; 0, Source!BC225, 1)</f>
        <v>1.34</v>
      </c>
      <c r="J903" s="69">
        <f>ROUND(H903*I903, 2)</f>
        <v>1423.68</v>
      </c>
      <c r="K903" s="68"/>
      <c r="L903" s="69">
        <f>Source!P225</f>
        <v>8542.08</v>
      </c>
      <c r="AD903">
        <f>ROUND((Source!AT225/100)*((ROUND(ROUND(Source!AO225,2)*Source!I225, 2)+ROUND(ROUND(Source!AN225,2)*Source!I225, 2))), 2)</f>
        <v>0</v>
      </c>
      <c r="AE903">
        <f>ROUND((Source!AU225/100)*((ROUND(ROUND(Source!AO225,2)*Source!I225, 2)+ROUND(ROUND(Source!AN225,2)*Source!I225, 2))), 2)</f>
        <v>0</v>
      </c>
      <c r="AN903">
        <f>L903</f>
        <v>8542.08</v>
      </c>
      <c r="AW903">
        <f>L903</f>
        <v>8542.08</v>
      </c>
      <c r="AZ903">
        <f>Source!X225</f>
        <v>0</v>
      </c>
      <c r="BA903">
        <f>Source!Y225</f>
        <v>0</v>
      </c>
      <c r="CD903">
        <v>1</v>
      </c>
    </row>
    <row r="904" spans="1:101" ht="14.4" x14ac:dyDescent="0.25">
      <c r="A904" s="65"/>
      <c r="B904" s="65"/>
      <c r="C904" s="65" t="s">
        <v>865</v>
      </c>
      <c r="D904" s="66"/>
      <c r="E904" s="67"/>
      <c r="F904" s="67"/>
      <c r="G904" s="67"/>
      <c r="H904" s="69"/>
      <c r="I904" s="68"/>
      <c r="J904" s="69"/>
      <c r="K904" s="68"/>
      <c r="L904" s="69">
        <f>SUM(AR892:AR907)+SUM(AS892:AS907)+SUM(AT892:AT907)+SUM(AU892:AU907)+SUM(AV892:AV907)</f>
        <v>3763.85</v>
      </c>
    </row>
    <row r="905" spans="1:101" ht="27.6" x14ac:dyDescent="0.25">
      <c r="A905" s="65"/>
      <c r="B905" s="65" t="s">
        <v>410</v>
      </c>
      <c r="C905" s="65" t="s">
        <v>991</v>
      </c>
      <c r="D905" s="66" t="s">
        <v>761</v>
      </c>
      <c r="E905" s="67">
        <f>Source!BZ224</f>
        <v>103</v>
      </c>
      <c r="F905" s="67"/>
      <c r="G905" s="67">
        <f>Source!AT224</f>
        <v>103</v>
      </c>
      <c r="H905" s="69"/>
      <c r="I905" s="68"/>
      <c r="J905" s="69"/>
      <c r="K905" s="68"/>
      <c r="L905" s="69">
        <f>SUM(AZ892:AZ907)</f>
        <v>3876.77</v>
      </c>
    </row>
    <row r="906" spans="1:101" ht="27.6" x14ac:dyDescent="0.25">
      <c r="A906" s="75"/>
      <c r="B906" s="75" t="s">
        <v>411</v>
      </c>
      <c r="C906" s="75" t="s">
        <v>992</v>
      </c>
      <c r="D906" s="76" t="s">
        <v>761</v>
      </c>
      <c r="E906" s="77">
        <f>Source!CA224</f>
        <v>72</v>
      </c>
      <c r="F906" s="77"/>
      <c r="G906" s="77">
        <f>Source!AU224</f>
        <v>72</v>
      </c>
      <c r="H906" s="78"/>
      <c r="I906" s="79"/>
      <c r="J906" s="78"/>
      <c r="K906" s="79"/>
      <c r="L906" s="78">
        <f>SUM(BA892:BA907)</f>
        <v>2709.97</v>
      </c>
    </row>
    <row r="907" spans="1:101" ht="13.8" x14ac:dyDescent="0.25">
      <c r="C907" s="127" t="s">
        <v>868</v>
      </c>
      <c r="D907" s="127"/>
      <c r="E907" s="127"/>
      <c r="F907" s="127"/>
      <c r="G907" s="127"/>
      <c r="H907" s="127"/>
      <c r="I907" s="128">
        <f>IF(E892&lt;&gt;0,K907/E892, 0)</f>
        <v>47281.19999999999</v>
      </c>
      <c r="J907" s="128"/>
      <c r="K907" s="128">
        <f>L894+L896+L905+L906+L897+SUM(L903:L903)</f>
        <v>18912.479999999996</v>
      </c>
      <c r="L907" s="128"/>
      <c r="AD907">
        <f>ROUND((Source!AT224/100)*((ROUND(SUMIF(SmtRes!AQ255:'SmtRes'!AQ259,"=1",SmtRes!AD255:'SmtRes'!AD259)*Source!I224, 2)+ROUND(SUMIF(SmtRes!AQ255:'SmtRes'!AQ259,"=1",SmtRes!AC255:'SmtRes'!AC259)*Source!I224, 2))), 2)</f>
        <v>277.22000000000003</v>
      </c>
      <c r="AE907">
        <f>ROUND((Source!AU224/100)*((ROUND(SUMIF(SmtRes!AQ255:'SmtRes'!AQ259,"=1",SmtRes!AD255:'SmtRes'!AD259)*Source!I224, 2)+ROUND(SUMIF(SmtRes!AQ255:'SmtRes'!AQ259,"=1",SmtRes!AC255:'SmtRes'!AC259)*Source!I224, 2))), 2)</f>
        <v>193.79</v>
      </c>
      <c r="AN907" s="80">
        <f>L894+L896+L905+L906+L897</f>
        <v>10370.399999999998</v>
      </c>
      <c r="AO907" s="80">
        <f>L896</f>
        <v>19.810000000000002</v>
      </c>
      <c r="AQ907" t="s">
        <v>869</v>
      </c>
      <c r="AR907" s="80">
        <f>L894</f>
        <v>3755.39</v>
      </c>
      <c r="AT907" s="80">
        <f>L897</f>
        <v>8.4600000000000009</v>
      </c>
      <c r="AV907" t="s">
        <v>869</v>
      </c>
      <c r="AW907">
        <f>0</f>
        <v>0</v>
      </c>
      <c r="AZ907">
        <f>Source!X224</f>
        <v>3876.77</v>
      </c>
      <c r="BA907">
        <f>Source!Y224</f>
        <v>2709.97</v>
      </c>
      <c r="CD907">
        <v>1</v>
      </c>
    </row>
    <row r="908" spans="1:101" ht="13.8" x14ac:dyDescent="0.25">
      <c r="C908" s="62" t="str">
        <f>Source!G226</f>
        <v>до 10 см</v>
      </c>
    </row>
    <row r="909" spans="1:101" ht="41.4" x14ac:dyDescent="0.25">
      <c r="A909" s="63" t="s">
        <v>417</v>
      </c>
      <c r="B909" s="65" t="s">
        <v>993</v>
      </c>
      <c r="C909" s="65" t="str">
        <f>Source!G227</f>
        <v>На каждые 5 см изменения толщины слоя добавлять или исключать к нормам с 47-01-046-01 по 47-01-046-04 до 10 см</v>
      </c>
      <c r="D909" s="66" t="str">
        <f>Source!H227</f>
        <v>100 м2</v>
      </c>
      <c r="E909" s="67">
        <f>Source!K227</f>
        <v>-0.4</v>
      </c>
      <c r="F909" s="67"/>
      <c r="G909" s="67">
        <f>Source!I227</f>
        <v>-0.4</v>
      </c>
      <c r="H909" s="69"/>
      <c r="I909" s="68"/>
      <c r="J909" s="69"/>
      <c r="K909" s="68"/>
      <c r="L909" s="69"/>
    </row>
    <row r="910" spans="1:101" ht="39.6" x14ac:dyDescent="0.25">
      <c r="B910" s="70" t="s">
        <v>788</v>
      </c>
      <c r="C910" s="129" t="s">
        <v>871</v>
      </c>
      <c r="D910" s="129"/>
      <c r="E910" s="129"/>
      <c r="F910" s="129"/>
      <c r="G910" s="129"/>
      <c r="H910" s="129"/>
      <c r="I910" s="129"/>
      <c r="J910" s="129"/>
      <c r="K910" s="129"/>
      <c r="L910" s="129"/>
      <c r="CW910" s="71" t="s">
        <v>871</v>
      </c>
    </row>
    <row r="911" spans="1:101" ht="14.4" x14ac:dyDescent="0.25">
      <c r="A911" s="64"/>
      <c r="B911" s="67">
        <v>1</v>
      </c>
      <c r="C911" s="64" t="s">
        <v>863</v>
      </c>
      <c r="D911" s="66" t="s">
        <v>501</v>
      </c>
      <c r="E911" s="73"/>
      <c r="F911" s="67"/>
      <c r="G911" s="67">
        <f>Source!U227</f>
        <v>-2.5162</v>
      </c>
      <c r="H911" s="67"/>
      <c r="I911" s="67"/>
      <c r="J911" s="67"/>
      <c r="K911" s="67"/>
      <c r="L911" s="74">
        <f>SUM(L912:L912)-SUMIF(CE912:CE912, 1, L912:L912)</f>
        <v>-767.06</v>
      </c>
    </row>
    <row r="912" spans="1:101" ht="14.4" x14ac:dyDescent="0.25">
      <c r="A912" s="65"/>
      <c r="B912" s="65" t="s">
        <v>731</v>
      </c>
      <c r="C912" s="65" t="s">
        <v>732</v>
      </c>
      <c r="D912" s="66" t="s">
        <v>501</v>
      </c>
      <c r="E912" s="67">
        <v>5.47</v>
      </c>
      <c r="F912" s="67">
        <f>ROUND((0.15+1),7)</f>
        <v>1.1499999999999999</v>
      </c>
      <c r="G912" s="67">
        <f>SmtRes!CX260</f>
        <v>-2.5162</v>
      </c>
      <c r="H912" s="69"/>
      <c r="I912" s="68"/>
      <c r="J912" s="69">
        <f>SmtRes!CZ260</f>
        <v>304.85000000000002</v>
      </c>
      <c r="K912" s="68"/>
      <c r="L912" s="69">
        <f>SmtRes!DI260</f>
        <v>-767.06</v>
      </c>
    </row>
    <row r="913" spans="1:82" ht="14.4" x14ac:dyDescent="0.25">
      <c r="A913" s="65"/>
      <c r="B913" s="65" t="str">
        <f>EtalonRes!I271</f>
        <v>16.2.01.02</v>
      </c>
      <c r="C913" s="75" t="str">
        <f>EtalonRes!K271</f>
        <v>Земля растительная</v>
      </c>
      <c r="D913" s="76" t="str">
        <f>EtalonRes!O271</f>
        <v>м3</v>
      </c>
      <c r="E913" s="77">
        <f>EtalonRes!X271</f>
        <v>5</v>
      </c>
      <c r="F913" s="77"/>
      <c r="G913" s="77">
        <f>ROUND(EtalonRes!AG271*Source!I227, 7)</f>
        <v>-2</v>
      </c>
      <c r="H913" s="78"/>
      <c r="I913" s="79"/>
      <c r="J913" s="78"/>
      <c r="K913" s="79"/>
      <c r="L913" s="78"/>
    </row>
    <row r="914" spans="1:82" ht="14.4" x14ac:dyDescent="0.25">
      <c r="A914" s="65"/>
      <c r="B914" s="65"/>
      <c r="C914" s="81" t="s">
        <v>864</v>
      </c>
      <c r="D914" s="66"/>
      <c r="E914" s="67"/>
      <c r="F914" s="67"/>
      <c r="G914" s="67"/>
      <c r="H914" s="69"/>
      <c r="I914" s="68"/>
      <c r="J914" s="69"/>
      <c r="K914" s="68"/>
      <c r="L914" s="69">
        <f>L911</f>
        <v>-767.06</v>
      </c>
    </row>
    <row r="915" spans="1:82" ht="27.6" x14ac:dyDescent="0.25">
      <c r="A915" s="63" t="s">
        <v>994</v>
      </c>
      <c r="B915" s="65" t="str">
        <f>Source!F228</f>
        <v>16.2.01.02-0001</v>
      </c>
      <c r="C915" s="65" t="s">
        <v>995</v>
      </c>
      <c r="D915" s="66" t="str">
        <f>Source!H228</f>
        <v>м3</v>
      </c>
      <c r="E915" s="67">
        <f>SmtRes!AT261</f>
        <v>5</v>
      </c>
      <c r="F915" s="67"/>
      <c r="G915" s="67">
        <f>Source!I228</f>
        <v>-2</v>
      </c>
      <c r="H915" s="69">
        <f>Source!AL228+Source!AO228+Source!AM228+Source!AN228</f>
        <v>1062.45</v>
      </c>
      <c r="I915" s="68">
        <f>IF(Source!BC228&lt;&gt; 0, Source!BC228, 1)</f>
        <v>1.34</v>
      </c>
      <c r="J915" s="69">
        <f>ROUND(H915*I915, 2)</f>
        <v>1423.68</v>
      </c>
      <c r="K915" s="68"/>
      <c r="L915" s="69">
        <f>Source!P228</f>
        <v>-2847.36</v>
      </c>
      <c r="AD915">
        <f>ROUND((Source!AT228/100)*((ROUND(ROUND(Source!AO228,2)*Source!I228, 2)+ROUND(ROUND(Source!AN228,2)*Source!I228, 2))), 2)</f>
        <v>0</v>
      </c>
      <c r="AE915">
        <f>ROUND((Source!AU228/100)*((ROUND(ROUND(Source!AO228,2)*Source!I228, 2)+ROUND(ROUND(Source!AN228,2)*Source!I228, 2))), 2)</f>
        <v>0</v>
      </c>
      <c r="AN915">
        <f>L915</f>
        <v>-2847.36</v>
      </c>
      <c r="AW915">
        <f>L915</f>
        <v>-2847.36</v>
      </c>
      <c r="AZ915">
        <f>Source!X228</f>
        <v>0</v>
      </c>
      <c r="BA915">
        <f>Source!Y228</f>
        <v>0</v>
      </c>
      <c r="CD915">
        <v>1</v>
      </c>
    </row>
    <row r="916" spans="1:82" ht="14.4" x14ac:dyDescent="0.25">
      <c r="A916" s="65"/>
      <c r="B916" s="65"/>
      <c r="C916" s="65" t="s">
        <v>865</v>
      </c>
      <c r="D916" s="66"/>
      <c r="E916" s="67"/>
      <c r="F916" s="67"/>
      <c r="G916" s="67"/>
      <c r="H916" s="69"/>
      <c r="I916" s="68"/>
      <c r="J916" s="69"/>
      <c r="K916" s="68"/>
      <c r="L916" s="69">
        <f>SUM(AR909:AR919)+SUM(AS909:AS919)+SUM(AT909:AT919)+SUM(AU909:AU919)+SUM(AV909:AV919)</f>
        <v>-767.06</v>
      </c>
    </row>
    <row r="917" spans="1:82" ht="27.6" x14ac:dyDescent="0.25">
      <c r="A917" s="65"/>
      <c r="B917" s="65" t="s">
        <v>410</v>
      </c>
      <c r="C917" s="65" t="s">
        <v>991</v>
      </c>
      <c r="D917" s="66" t="s">
        <v>761</v>
      </c>
      <c r="E917" s="67">
        <f>Source!BZ227</f>
        <v>103</v>
      </c>
      <c r="F917" s="67"/>
      <c r="G917" s="67">
        <f>Source!AT227</f>
        <v>103</v>
      </c>
      <c r="H917" s="69"/>
      <c r="I917" s="68"/>
      <c r="J917" s="69"/>
      <c r="K917" s="68"/>
      <c r="L917" s="69">
        <f>SUM(AZ909:AZ919)</f>
        <v>-790.07</v>
      </c>
    </row>
    <row r="918" spans="1:82" ht="27.6" x14ac:dyDescent="0.25">
      <c r="A918" s="75"/>
      <c r="B918" s="75" t="s">
        <v>411</v>
      </c>
      <c r="C918" s="75" t="s">
        <v>992</v>
      </c>
      <c r="D918" s="76" t="s">
        <v>761</v>
      </c>
      <c r="E918" s="77">
        <f>Source!CA227</f>
        <v>72</v>
      </c>
      <c r="F918" s="77"/>
      <c r="G918" s="77">
        <f>Source!AU227</f>
        <v>72</v>
      </c>
      <c r="H918" s="78"/>
      <c r="I918" s="79"/>
      <c r="J918" s="78"/>
      <c r="K918" s="79"/>
      <c r="L918" s="78">
        <f>SUM(BA909:BA919)</f>
        <v>-552.28</v>
      </c>
    </row>
    <row r="919" spans="1:82" ht="13.8" x14ac:dyDescent="0.25">
      <c r="C919" s="127" t="s">
        <v>868</v>
      </c>
      <c r="D919" s="127"/>
      <c r="E919" s="127"/>
      <c r="F919" s="127"/>
      <c r="G919" s="127"/>
      <c r="H919" s="127"/>
      <c r="I919" s="128">
        <f>IF(E909&lt;&gt;0,K919/E909, 0)</f>
        <v>12391.925000000001</v>
      </c>
      <c r="J919" s="128"/>
      <c r="K919" s="128">
        <f>L911+L917+L918+SUM(L915:L915)</f>
        <v>-4956.7700000000004</v>
      </c>
      <c r="L919" s="128"/>
      <c r="AD919">
        <f>ROUND((Source!AT227/100)*((ROUND(SUMIF(SmtRes!AQ260:'SmtRes'!AQ261,"=1",SmtRes!AD260:'SmtRes'!AD261)*Source!I227, 2)+ROUND(SUMIF(SmtRes!AQ260:'SmtRes'!AQ261,"=1",SmtRes!AC260:'SmtRes'!AC261)*Source!I227, 2))), 2)</f>
        <v>-125.6</v>
      </c>
      <c r="AE919">
        <f>ROUND((Source!AU227/100)*((ROUND(SUMIF(SmtRes!AQ260:'SmtRes'!AQ261,"=1",SmtRes!AD260:'SmtRes'!AD261)*Source!I227, 2)+ROUND(SUMIF(SmtRes!AQ260:'SmtRes'!AQ261,"=1",SmtRes!AC260:'SmtRes'!AC261)*Source!I227, 2))), 2)</f>
        <v>-87.8</v>
      </c>
      <c r="AN919" s="80">
        <f>L911+L917+L918</f>
        <v>-2109.41</v>
      </c>
      <c r="AO919">
        <f>0</f>
        <v>0</v>
      </c>
      <c r="AQ919" t="s">
        <v>869</v>
      </c>
      <c r="AR919" s="80">
        <f>L911</f>
        <v>-767.06</v>
      </c>
      <c r="AT919">
        <f>0</f>
        <v>0</v>
      </c>
      <c r="AV919" t="s">
        <v>869</v>
      </c>
      <c r="AW919">
        <f>0</f>
        <v>0</v>
      </c>
      <c r="AZ919">
        <f>Source!X227</f>
        <v>-790.07</v>
      </c>
      <c r="BA919">
        <f>Source!Y227</f>
        <v>-552.28</v>
      </c>
      <c r="CD919">
        <v>1</v>
      </c>
    </row>
    <row r="921" spans="1:82" ht="13.8" x14ac:dyDescent="0.25">
      <c r="A921" s="83"/>
      <c r="B921" s="84"/>
      <c r="C921" s="141" t="s">
        <v>896</v>
      </c>
      <c r="D921" s="141"/>
      <c r="E921" s="141"/>
      <c r="F921" s="141"/>
      <c r="G921" s="141"/>
      <c r="H921" s="141"/>
      <c r="I921" s="74"/>
      <c r="J921" s="83"/>
      <c r="K921" s="85"/>
      <c r="L921" s="74">
        <f>L923+L924+L930+L934</f>
        <v>8711.32</v>
      </c>
    </row>
    <row r="922" spans="1:82" ht="13.8" x14ac:dyDescent="0.25">
      <c r="A922" s="61"/>
      <c r="B922" s="82"/>
      <c r="C922" s="142" t="s">
        <v>897</v>
      </c>
      <c r="D922" s="143"/>
      <c r="E922" s="143"/>
      <c r="F922" s="143"/>
      <c r="G922" s="143"/>
      <c r="H922" s="143"/>
      <c r="I922" s="69"/>
      <c r="J922" s="61"/>
      <c r="K922" s="67"/>
      <c r="L922" s="69"/>
    </row>
    <row r="923" spans="1:82" ht="13.8" x14ac:dyDescent="0.25">
      <c r="A923" s="61"/>
      <c r="B923" s="82"/>
      <c r="C923" s="143" t="s">
        <v>898</v>
      </c>
      <c r="D923" s="143"/>
      <c r="E923" s="143"/>
      <c r="F923" s="143"/>
      <c r="G923" s="143"/>
      <c r="H923" s="143"/>
      <c r="I923" s="69"/>
      <c r="J923" s="61"/>
      <c r="K923" s="67"/>
      <c r="L923" s="69">
        <f>SUM(AR891:AR919)</f>
        <v>2988.33</v>
      </c>
    </row>
    <row r="924" spans="1:82" ht="13.8" hidden="1" x14ac:dyDescent="0.25">
      <c r="A924" s="61"/>
      <c r="B924" s="82"/>
      <c r="C924" s="143" t="s">
        <v>899</v>
      </c>
      <c r="D924" s="143"/>
      <c r="E924" s="143"/>
      <c r="F924" s="143"/>
      <c r="G924" s="143"/>
      <c r="H924" s="143"/>
      <c r="I924" s="69"/>
      <c r="J924" s="61"/>
      <c r="K924" s="67"/>
      <c r="L924" s="69">
        <f>L926+L929+L928</f>
        <v>28.270000000000003</v>
      </c>
    </row>
    <row r="925" spans="1:82" ht="13.8" hidden="1" x14ac:dyDescent="0.25">
      <c r="A925" s="61"/>
      <c r="B925" s="82"/>
      <c r="C925" s="142" t="s">
        <v>900</v>
      </c>
      <c r="D925" s="143"/>
      <c r="E925" s="143"/>
      <c r="F925" s="143"/>
      <c r="G925" s="143"/>
      <c r="H925" s="143"/>
      <c r="I925" s="69"/>
      <c r="J925" s="61"/>
      <c r="K925" s="67"/>
      <c r="L925" s="69"/>
    </row>
    <row r="926" spans="1:82" ht="13.8" x14ac:dyDescent="0.25">
      <c r="A926" s="61"/>
      <c r="B926" s="82"/>
      <c r="C926" s="143" t="s">
        <v>899</v>
      </c>
      <c r="D926" s="143"/>
      <c r="E926" s="143"/>
      <c r="F926" s="143"/>
      <c r="G926" s="143"/>
      <c r="H926" s="143"/>
      <c r="I926" s="69"/>
      <c r="J926" s="61"/>
      <c r="K926" s="67"/>
      <c r="L926" s="69">
        <f>SUM(AO891:AO919)</f>
        <v>19.810000000000002</v>
      </c>
    </row>
    <row r="927" spans="1:82" ht="13.8" hidden="1" x14ac:dyDescent="0.25">
      <c r="A927" s="61"/>
      <c r="B927" s="82"/>
      <c r="C927" s="142" t="s">
        <v>901</v>
      </c>
      <c r="D927" s="143"/>
      <c r="E927" s="143"/>
      <c r="F927" s="143"/>
      <c r="G927" s="143"/>
      <c r="H927" s="143"/>
      <c r="I927" s="69"/>
      <c r="J927" s="61"/>
      <c r="K927" s="67"/>
      <c r="L927" s="69"/>
    </row>
    <row r="928" spans="1:82" ht="13.8" x14ac:dyDescent="0.25">
      <c r="A928" s="61"/>
      <c r="B928" s="82"/>
      <c r="C928" s="143" t="s">
        <v>921</v>
      </c>
      <c r="D928" s="143"/>
      <c r="E928" s="143"/>
      <c r="F928" s="143"/>
      <c r="G928" s="143"/>
      <c r="H928" s="143"/>
      <c r="I928" s="69"/>
      <c r="J928" s="61"/>
      <c r="K928" s="67"/>
      <c r="L928" s="69">
        <f>SUM(AT891:AT919)</f>
        <v>8.4600000000000009</v>
      </c>
    </row>
    <row r="929" spans="1:12" ht="13.8" hidden="1" x14ac:dyDescent="0.25">
      <c r="A929" s="61"/>
      <c r="B929" s="82"/>
      <c r="C929" s="143" t="s">
        <v>902</v>
      </c>
      <c r="D929" s="143"/>
      <c r="E929" s="143"/>
      <c r="F929" s="143"/>
      <c r="G929" s="143"/>
      <c r="H929" s="143"/>
      <c r="I929" s="69"/>
      <c r="J929" s="61"/>
      <c r="K929" s="67"/>
      <c r="L929" s="69">
        <f>SUM(AV891:AV919)</f>
        <v>0</v>
      </c>
    </row>
    <row r="930" spans="1:12" ht="13.8" x14ac:dyDescent="0.25">
      <c r="A930" s="61"/>
      <c r="B930" s="82"/>
      <c r="C930" s="143" t="s">
        <v>903</v>
      </c>
      <c r="D930" s="143"/>
      <c r="E930" s="143"/>
      <c r="F930" s="143"/>
      <c r="G930" s="143"/>
      <c r="H930" s="143"/>
      <c r="I930" s="69"/>
      <c r="J930" s="61"/>
      <c r="K930" s="67"/>
      <c r="L930" s="69">
        <f>L932+L933</f>
        <v>5694.7199999999993</v>
      </c>
    </row>
    <row r="931" spans="1:12" ht="13.8" x14ac:dyDescent="0.25">
      <c r="A931" s="61"/>
      <c r="B931" s="82"/>
      <c r="C931" s="142" t="s">
        <v>900</v>
      </c>
      <c r="D931" s="143"/>
      <c r="E931" s="143"/>
      <c r="F931" s="143"/>
      <c r="G931" s="143"/>
      <c r="H931" s="143"/>
      <c r="I931" s="69"/>
      <c r="J931" s="61"/>
      <c r="K931" s="67"/>
      <c r="L931" s="69"/>
    </row>
    <row r="932" spans="1:12" ht="13.8" x14ac:dyDescent="0.25">
      <c r="A932" s="61"/>
      <c r="B932" s="82"/>
      <c r="C932" s="143" t="s">
        <v>904</v>
      </c>
      <c r="D932" s="143"/>
      <c r="E932" s="143"/>
      <c r="F932" s="143"/>
      <c r="G932" s="143"/>
      <c r="H932" s="143"/>
      <c r="I932" s="69"/>
      <c r="J932" s="61"/>
      <c r="K932" s="67"/>
      <c r="L932" s="69">
        <f>SUM(AW891:AW919)-SUM(BK891:BK919)</f>
        <v>5694.7199999999993</v>
      </c>
    </row>
    <row r="933" spans="1:12" ht="13.8" hidden="1" x14ac:dyDescent="0.25">
      <c r="A933" s="61"/>
      <c r="B933" s="82"/>
      <c r="C933" s="143" t="s">
        <v>905</v>
      </c>
      <c r="D933" s="143"/>
      <c r="E933" s="143"/>
      <c r="F933" s="143"/>
      <c r="G933" s="143"/>
      <c r="H933" s="143"/>
      <c r="I933" s="69"/>
      <c r="J933" s="61"/>
      <c r="K933" s="67"/>
      <c r="L933" s="69">
        <f>SUM(BC891:BC919)</f>
        <v>0</v>
      </c>
    </row>
    <row r="934" spans="1:12" ht="13.8" hidden="1" x14ac:dyDescent="0.25">
      <c r="A934" s="61"/>
      <c r="B934" s="82"/>
      <c r="C934" s="143" t="s">
        <v>906</v>
      </c>
      <c r="D934" s="143"/>
      <c r="E934" s="143"/>
      <c r="F934" s="143"/>
      <c r="G934" s="143"/>
      <c r="H934" s="143"/>
      <c r="I934" s="69"/>
      <c r="J934" s="61"/>
      <c r="K934" s="67"/>
      <c r="L934" s="69">
        <f>SUM(BB891:BB919)</f>
        <v>0</v>
      </c>
    </row>
    <row r="935" spans="1:12" ht="13.8" x14ac:dyDescent="0.25">
      <c r="A935" s="61"/>
      <c r="B935" s="82"/>
      <c r="C935" s="143" t="s">
        <v>907</v>
      </c>
      <c r="D935" s="143"/>
      <c r="E935" s="143"/>
      <c r="F935" s="143"/>
      <c r="G935" s="143"/>
      <c r="H935" s="143"/>
      <c r="I935" s="69"/>
      <c r="J935" s="61"/>
      <c r="K935" s="67"/>
      <c r="L935" s="69">
        <f>SUM(AR891:AR919)+SUM(AT891:AT919)+SUM(AV891:AV919)</f>
        <v>2996.79</v>
      </c>
    </row>
    <row r="936" spans="1:12" ht="13.8" x14ac:dyDescent="0.25">
      <c r="A936" s="61"/>
      <c r="B936" s="82"/>
      <c r="C936" s="143" t="s">
        <v>908</v>
      </c>
      <c r="D936" s="143"/>
      <c r="E936" s="143"/>
      <c r="F936" s="143"/>
      <c r="G936" s="143"/>
      <c r="H936" s="143"/>
      <c r="I936" s="69"/>
      <c r="J936" s="61"/>
      <c r="K936" s="67"/>
      <c r="L936" s="69">
        <f>SUM(AZ891:AZ919)</f>
        <v>3086.7</v>
      </c>
    </row>
    <row r="937" spans="1:12" ht="13.8" x14ac:dyDescent="0.25">
      <c r="A937" s="61"/>
      <c r="B937" s="82"/>
      <c r="C937" s="143" t="s">
        <v>909</v>
      </c>
      <c r="D937" s="143"/>
      <c r="E937" s="143"/>
      <c r="F937" s="143"/>
      <c r="G937" s="143"/>
      <c r="H937" s="143"/>
      <c r="I937" s="69"/>
      <c r="J937" s="61"/>
      <c r="K937" s="67"/>
      <c r="L937" s="69">
        <f>SUM(BA891:BA919)</f>
        <v>2157.6899999999996</v>
      </c>
    </row>
    <row r="938" spans="1:12" ht="13.8" hidden="1" x14ac:dyDescent="0.25">
      <c r="A938" s="61"/>
      <c r="B938" s="82"/>
      <c r="C938" s="143" t="s">
        <v>910</v>
      </c>
      <c r="D938" s="143"/>
      <c r="E938" s="143"/>
      <c r="F938" s="143"/>
      <c r="G938" s="143"/>
      <c r="H938" s="143"/>
      <c r="I938" s="69"/>
      <c r="J938" s="61"/>
      <c r="K938" s="67"/>
      <c r="L938" s="69">
        <f>L940+L941</f>
        <v>0</v>
      </c>
    </row>
    <row r="939" spans="1:12" ht="13.8" hidden="1" x14ac:dyDescent="0.25">
      <c r="A939" s="61"/>
      <c r="B939" s="82"/>
      <c r="C939" s="142" t="s">
        <v>897</v>
      </c>
      <c r="D939" s="143"/>
      <c r="E939" s="143"/>
      <c r="F939" s="143"/>
      <c r="G939" s="143"/>
      <c r="H939" s="143"/>
      <c r="I939" s="69"/>
      <c r="J939" s="61"/>
      <c r="K939" s="67"/>
      <c r="L939" s="69"/>
    </row>
    <row r="940" spans="1:12" ht="13.8" hidden="1" x14ac:dyDescent="0.25">
      <c r="A940" s="61"/>
      <c r="B940" s="82"/>
      <c r="C940" s="143" t="s">
        <v>911</v>
      </c>
      <c r="D940" s="143"/>
      <c r="E940" s="143"/>
      <c r="F940" s="143"/>
      <c r="G940" s="143"/>
      <c r="H940" s="143"/>
      <c r="I940" s="69"/>
      <c r="J940" s="61"/>
      <c r="K940" s="67"/>
      <c r="L940" s="69">
        <f>SUM(BK891:BK919)</f>
        <v>0</v>
      </c>
    </row>
    <row r="941" spans="1:12" ht="13.8" hidden="1" x14ac:dyDescent="0.25">
      <c r="A941" s="61"/>
      <c r="B941" s="82"/>
      <c r="C941" s="143" t="s">
        <v>912</v>
      </c>
      <c r="D941" s="143"/>
      <c r="E941" s="143"/>
      <c r="F941" s="143"/>
      <c r="G941" s="143"/>
      <c r="H941" s="143"/>
      <c r="I941" s="69"/>
      <c r="J941" s="61"/>
      <c r="K941" s="67"/>
      <c r="L941" s="69">
        <f>SUM(BD891:BD919)</f>
        <v>0</v>
      </c>
    </row>
    <row r="942" spans="1:12" ht="13.8" hidden="1" x14ac:dyDescent="0.25">
      <c r="A942" s="61"/>
      <c r="B942" s="82"/>
      <c r="C942" s="143" t="s">
        <v>913</v>
      </c>
      <c r="D942" s="143"/>
      <c r="E942" s="143"/>
      <c r="F942" s="143"/>
      <c r="G942" s="143"/>
      <c r="H942" s="143"/>
      <c r="I942" s="69"/>
      <c r="J942" s="61"/>
      <c r="K942" s="67"/>
      <c r="L942" s="69"/>
    </row>
    <row r="943" spans="1:12" ht="13.8" hidden="1" x14ac:dyDescent="0.25">
      <c r="A943" s="61"/>
      <c r="B943" s="82"/>
      <c r="C943" s="143" t="s">
        <v>913</v>
      </c>
      <c r="D943" s="143"/>
      <c r="E943" s="143"/>
      <c r="F943" s="143"/>
      <c r="G943" s="143"/>
      <c r="H943" s="143"/>
      <c r="I943" s="69"/>
      <c r="J943" s="61"/>
      <c r="K943" s="67"/>
      <c r="L943" s="69">
        <f>SUM(BQ891:BQ919)</f>
        <v>0</v>
      </c>
    </row>
    <row r="944" spans="1:12" ht="13.8" hidden="1" x14ac:dyDescent="0.25">
      <c r="A944" s="61"/>
      <c r="B944" s="82"/>
      <c r="C944" s="143" t="s">
        <v>914</v>
      </c>
      <c r="D944" s="143"/>
      <c r="E944" s="143"/>
      <c r="F944" s="143"/>
      <c r="G944" s="143"/>
      <c r="H944" s="143"/>
      <c r="I944" s="69"/>
      <c r="J944" s="61"/>
      <c r="K944" s="67"/>
      <c r="L944" s="69">
        <f>SUM(BO891:BO919)</f>
        <v>0</v>
      </c>
    </row>
    <row r="945" spans="1:12" ht="13.8" x14ac:dyDescent="0.25">
      <c r="A945" s="83"/>
      <c r="B945" s="84"/>
      <c r="C945" s="141" t="s">
        <v>915</v>
      </c>
      <c r="D945" s="141"/>
      <c r="E945" s="141"/>
      <c r="F945" s="141"/>
      <c r="G945" s="141"/>
      <c r="H945" s="141"/>
      <c r="I945" s="74"/>
      <c r="J945" s="83"/>
      <c r="K945" s="85"/>
      <c r="L945" s="74">
        <f>L921+L936+L937+L938+L943+L944</f>
        <v>13955.71</v>
      </c>
    </row>
    <row r="946" spans="1:12" ht="13.8" x14ac:dyDescent="0.25">
      <c r="A946" s="61"/>
      <c r="B946" s="82"/>
      <c r="C946" s="142" t="s">
        <v>916</v>
      </c>
      <c r="D946" s="143"/>
      <c r="E946" s="143"/>
      <c r="F946" s="143"/>
      <c r="G946" s="143"/>
      <c r="H946" s="143"/>
      <c r="I946" s="69"/>
      <c r="J946" s="61"/>
      <c r="K946" s="67"/>
      <c r="L946" s="69"/>
    </row>
    <row r="947" spans="1:12" ht="13.8" hidden="1" x14ac:dyDescent="0.25">
      <c r="A947" s="61"/>
      <c r="B947" s="82"/>
      <c r="C947" s="143" t="s">
        <v>917</v>
      </c>
      <c r="D947" s="143"/>
      <c r="E947" s="143"/>
      <c r="F947" s="143"/>
      <c r="G947" s="143"/>
      <c r="H947" s="143"/>
      <c r="I947" s="69"/>
      <c r="J947" s="61"/>
      <c r="K947" s="67"/>
      <c r="L947" s="69">
        <f>SUM(AX891:AX919)</f>
        <v>0</v>
      </c>
    </row>
    <row r="948" spans="1:12" ht="13.8" hidden="1" x14ac:dyDescent="0.25">
      <c r="A948" s="61"/>
      <c r="B948" s="82"/>
      <c r="C948" s="143" t="s">
        <v>918</v>
      </c>
      <c r="D948" s="143"/>
      <c r="E948" s="143"/>
      <c r="F948" s="143"/>
      <c r="G948" s="143"/>
      <c r="H948" s="143"/>
      <c r="I948" s="69"/>
      <c r="J948" s="61"/>
      <c r="K948" s="67"/>
      <c r="L948" s="69">
        <f>SUM(AY891:AY919)</f>
        <v>0</v>
      </c>
    </row>
    <row r="949" spans="1:12" ht="13.8" x14ac:dyDescent="0.25">
      <c r="A949" s="61"/>
      <c r="B949" s="82"/>
      <c r="C949" s="143" t="s">
        <v>919</v>
      </c>
      <c r="D949" s="143"/>
      <c r="E949" s="143"/>
      <c r="F949" s="144"/>
      <c r="G949" s="73">
        <f>Source!F252</f>
        <v>9.8026</v>
      </c>
      <c r="H949" s="61"/>
      <c r="I949" s="61"/>
      <c r="J949" s="61"/>
      <c r="K949" s="61"/>
      <c r="L949" s="61"/>
    </row>
    <row r="950" spans="1:12" ht="13.8" x14ac:dyDescent="0.25">
      <c r="A950" s="61"/>
      <c r="B950" s="82"/>
      <c r="C950" s="143" t="s">
        <v>920</v>
      </c>
      <c r="D950" s="143"/>
      <c r="E950" s="143"/>
      <c r="F950" s="144"/>
      <c r="G950" s="73">
        <f>Source!F253</f>
        <v>2.3E-2</v>
      </c>
      <c r="H950" s="61"/>
      <c r="I950" s="61"/>
      <c r="J950" s="61"/>
      <c r="K950" s="61"/>
      <c r="L950" s="61"/>
    </row>
    <row r="952" spans="1:12" ht="13.8" x14ac:dyDescent="0.25">
      <c r="A952" s="86"/>
      <c r="B952" s="87"/>
      <c r="C952" s="145" t="s">
        <v>996</v>
      </c>
      <c r="D952" s="145"/>
      <c r="E952" s="145"/>
      <c r="F952" s="145"/>
      <c r="G952" s="145"/>
      <c r="H952" s="145"/>
      <c r="I952" s="88"/>
      <c r="J952" s="86"/>
      <c r="K952" s="89"/>
      <c r="L952" s="88"/>
    </row>
    <row r="954" spans="1:12" ht="13.8" x14ac:dyDescent="0.25">
      <c r="A954" s="83"/>
      <c r="B954" s="84"/>
      <c r="C954" s="141" t="s">
        <v>997</v>
      </c>
      <c r="D954" s="141"/>
      <c r="E954" s="141"/>
      <c r="F954" s="141"/>
      <c r="G954" s="141"/>
      <c r="H954" s="141"/>
      <c r="I954" s="74"/>
      <c r="J954" s="83"/>
      <c r="K954" s="85"/>
      <c r="L954" s="74">
        <f>L956+L971+L972</f>
        <v>454034.62</v>
      </c>
    </row>
    <row r="955" spans="1:12" ht="13.8" x14ac:dyDescent="0.25">
      <c r="A955" s="61"/>
      <c r="B955" s="82"/>
      <c r="C955" s="142" t="s">
        <v>897</v>
      </c>
      <c r="D955" s="143"/>
      <c r="E955" s="143"/>
      <c r="F955" s="143"/>
      <c r="G955" s="143"/>
      <c r="H955" s="143"/>
      <c r="I955" s="69"/>
      <c r="J955" s="61"/>
      <c r="K955" s="67"/>
      <c r="L955" s="69"/>
    </row>
    <row r="956" spans="1:12" ht="13.8" x14ac:dyDescent="0.25">
      <c r="A956" s="61"/>
      <c r="B956" s="82"/>
      <c r="C956" s="143" t="s">
        <v>998</v>
      </c>
      <c r="D956" s="143"/>
      <c r="E956" s="143"/>
      <c r="F956" s="143"/>
      <c r="G956" s="143"/>
      <c r="H956" s="143"/>
      <c r="I956" s="69"/>
      <c r="J956" s="61"/>
      <c r="K956" s="67"/>
      <c r="L956" s="69">
        <f>L958+L959+L965+L969</f>
        <v>274543.79000000004</v>
      </c>
    </row>
    <row r="957" spans="1:12" ht="13.8" x14ac:dyDescent="0.25">
      <c r="A957" s="61"/>
      <c r="B957" s="82"/>
      <c r="C957" s="142" t="s">
        <v>897</v>
      </c>
      <c r="D957" s="143"/>
      <c r="E957" s="143"/>
      <c r="F957" s="143"/>
      <c r="G957" s="143"/>
      <c r="H957" s="143"/>
      <c r="I957" s="69"/>
      <c r="J957" s="61"/>
      <c r="K957" s="67"/>
      <c r="L957" s="69"/>
    </row>
    <row r="958" spans="1:12" ht="13.8" x14ac:dyDescent="0.25">
      <c r="A958" s="61"/>
      <c r="B958" s="82"/>
      <c r="C958" s="143" t="s">
        <v>999</v>
      </c>
      <c r="D958" s="143"/>
      <c r="E958" s="143"/>
      <c r="F958" s="143"/>
      <c r="G958" s="143"/>
      <c r="H958" s="143"/>
      <c r="I958" s="69"/>
      <c r="J958" s="61"/>
      <c r="K958" s="67"/>
      <c r="L958" s="69">
        <f>SUMIF(CD60:CD951, 1, AR60:AR951)</f>
        <v>102353.52000000003</v>
      </c>
    </row>
    <row r="959" spans="1:12" ht="13.8" hidden="1" x14ac:dyDescent="0.25">
      <c r="A959" s="61"/>
      <c r="B959" s="82"/>
      <c r="C959" s="143" t="s">
        <v>899</v>
      </c>
      <c r="D959" s="143"/>
      <c r="E959" s="143"/>
      <c r="F959" s="143"/>
      <c r="G959" s="143"/>
      <c r="H959" s="143"/>
      <c r="I959" s="69"/>
      <c r="J959" s="61"/>
      <c r="K959" s="67"/>
      <c r="L959" s="69">
        <f>L961+L964+L963</f>
        <v>39832.28</v>
      </c>
    </row>
    <row r="960" spans="1:12" ht="13.8" hidden="1" x14ac:dyDescent="0.25">
      <c r="A960" s="61"/>
      <c r="B960" s="82"/>
      <c r="C960" s="142" t="s">
        <v>900</v>
      </c>
      <c r="D960" s="143"/>
      <c r="E960" s="143"/>
      <c r="F960" s="143"/>
      <c r="G960" s="143"/>
      <c r="H960" s="143"/>
      <c r="I960" s="69"/>
      <c r="J960" s="61"/>
      <c r="K960" s="67"/>
      <c r="L960" s="69"/>
    </row>
    <row r="961" spans="1:12" ht="13.8" x14ac:dyDescent="0.25">
      <c r="A961" s="61"/>
      <c r="B961" s="82"/>
      <c r="C961" s="143" t="s">
        <v>899</v>
      </c>
      <c r="D961" s="143"/>
      <c r="E961" s="143"/>
      <c r="F961" s="143"/>
      <c r="G961" s="143"/>
      <c r="H961" s="143"/>
      <c r="I961" s="69"/>
      <c r="J961" s="61"/>
      <c r="K961" s="67"/>
      <c r="L961" s="69">
        <f>SUMIF(CD60:CD951, 1, AO60:AO951)</f>
        <v>29676.669999999995</v>
      </c>
    </row>
    <row r="962" spans="1:12" ht="13.8" hidden="1" x14ac:dyDescent="0.25">
      <c r="A962" s="61"/>
      <c r="B962" s="82"/>
      <c r="C962" s="142" t="s">
        <v>901</v>
      </c>
      <c r="D962" s="143"/>
      <c r="E962" s="143"/>
      <c r="F962" s="143"/>
      <c r="G962" s="143"/>
      <c r="H962" s="143"/>
      <c r="I962" s="69"/>
      <c r="J962" s="61"/>
      <c r="K962" s="67"/>
      <c r="L962" s="69"/>
    </row>
    <row r="963" spans="1:12" ht="13.8" x14ac:dyDescent="0.25">
      <c r="A963" s="61"/>
      <c r="B963" s="82"/>
      <c r="C963" s="143" t="s">
        <v>921</v>
      </c>
      <c r="D963" s="143"/>
      <c r="E963" s="143"/>
      <c r="F963" s="143"/>
      <c r="G963" s="143"/>
      <c r="H963" s="143"/>
      <c r="I963" s="69"/>
      <c r="J963" s="61"/>
      <c r="K963" s="67"/>
      <c r="L963" s="69">
        <f>SUMIF(CD60:CD951, 1, AT60:AT951)</f>
        <v>10155.61</v>
      </c>
    </row>
    <row r="964" spans="1:12" ht="13.8" hidden="1" x14ac:dyDescent="0.25">
      <c r="A964" s="61"/>
      <c r="B964" s="82"/>
      <c r="C964" s="143" t="s">
        <v>902</v>
      </c>
      <c r="D964" s="143"/>
      <c r="E964" s="143"/>
      <c r="F964" s="143"/>
      <c r="G964" s="143"/>
      <c r="H964" s="143"/>
      <c r="I964" s="69"/>
      <c r="J964" s="61"/>
      <c r="K964" s="67"/>
      <c r="L964" s="69">
        <f>SUMIF(CD60:CD951, 1, AV60:AV951)</f>
        <v>0</v>
      </c>
    </row>
    <row r="965" spans="1:12" ht="13.8" x14ac:dyDescent="0.25">
      <c r="A965" s="61"/>
      <c r="B965" s="82"/>
      <c r="C965" s="143" t="s">
        <v>903</v>
      </c>
      <c r="D965" s="143"/>
      <c r="E965" s="143"/>
      <c r="F965" s="143"/>
      <c r="G965" s="143"/>
      <c r="H965" s="143"/>
      <c r="I965" s="69"/>
      <c r="J965" s="61"/>
      <c r="K965" s="67"/>
      <c r="L965" s="69">
        <f>L967+L968</f>
        <v>69120.44</v>
      </c>
    </row>
    <row r="966" spans="1:12" ht="13.8" x14ac:dyDescent="0.25">
      <c r="A966" s="61"/>
      <c r="B966" s="82"/>
      <c r="C966" s="142" t="s">
        <v>900</v>
      </c>
      <c r="D966" s="143"/>
      <c r="E966" s="143"/>
      <c r="F966" s="143"/>
      <c r="G966" s="143"/>
      <c r="H966" s="143"/>
      <c r="I966" s="69"/>
      <c r="J966" s="61"/>
      <c r="K966" s="67"/>
      <c r="L966" s="69"/>
    </row>
    <row r="967" spans="1:12" ht="13.8" x14ac:dyDescent="0.25">
      <c r="A967" s="61"/>
      <c r="B967" s="82"/>
      <c r="C967" s="143" t="s">
        <v>904</v>
      </c>
      <c r="D967" s="143"/>
      <c r="E967" s="143"/>
      <c r="F967" s="143"/>
      <c r="G967" s="143"/>
      <c r="H967" s="143"/>
      <c r="I967" s="69"/>
      <c r="J967" s="61"/>
      <c r="K967" s="67"/>
      <c r="L967" s="69">
        <f>SUMIF(CD60:CD951, 1, AW60:AW951)-SUMIF(CD60:CD951, 1, BK60:BK951)</f>
        <v>69120.44</v>
      </c>
    </row>
    <row r="968" spans="1:12" ht="13.8" hidden="1" x14ac:dyDescent="0.25">
      <c r="A968" s="61"/>
      <c r="B968" s="82"/>
      <c r="C968" s="143" t="s">
        <v>905</v>
      </c>
      <c r="D968" s="143"/>
      <c r="E968" s="143"/>
      <c r="F968" s="143"/>
      <c r="G968" s="143"/>
      <c r="H968" s="143"/>
      <c r="I968" s="69"/>
      <c r="J968" s="61"/>
      <c r="K968" s="67"/>
      <c r="L968" s="69">
        <f>SUMIF(CD60:CD951, 1, BC60:BC951)</f>
        <v>0</v>
      </c>
    </row>
    <row r="969" spans="1:12" ht="13.8" x14ac:dyDescent="0.25">
      <c r="A969" s="61"/>
      <c r="B969" s="82"/>
      <c r="C969" s="143" t="s">
        <v>906</v>
      </c>
      <c r="D969" s="143"/>
      <c r="E969" s="143"/>
      <c r="F969" s="143"/>
      <c r="G969" s="143"/>
      <c r="H969" s="143"/>
      <c r="I969" s="69"/>
      <c r="J969" s="61"/>
      <c r="K969" s="67"/>
      <c r="L969" s="69">
        <f>SUMIF(CD60:CD951, 1, BB60:BB951)</f>
        <v>63237.55000000001</v>
      </c>
    </row>
    <row r="970" spans="1:12" ht="13.8" x14ac:dyDescent="0.25">
      <c r="A970" s="61"/>
      <c r="B970" s="82"/>
      <c r="C970" s="143" t="s">
        <v>1000</v>
      </c>
      <c r="D970" s="143"/>
      <c r="E970" s="143"/>
      <c r="F970" s="143"/>
      <c r="G970" s="143"/>
      <c r="H970" s="143"/>
      <c r="I970" s="69"/>
      <c r="J970" s="61"/>
      <c r="K970" s="67"/>
      <c r="L970" s="69">
        <f>SUMIF(CD60:CD951, 1, AR60:AR951)+SUMIF(CD60:CD951, 1, AT60:AT951)+SUMIF(CD60:CD951, 1, AV60:AV951)</f>
        <v>112509.13000000003</v>
      </c>
    </row>
    <row r="971" spans="1:12" ht="13.8" x14ac:dyDescent="0.25">
      <c r="A971" s="61"/>
      <c r="B971" s="82"/>
      <c r="C971" s="143" t="s">
        <v>1001</v>
      </c>
      <c r="D971" s="143"/>
      <c r="E971" s="143"/>
      <c r="F971" s="143"/>
      <c r="G971" s="143"/>
      <c r="H971" s="143"/>
      <c r="I971" s="69"/>
      <c r="J971" s="61"/>
      <c r="K971" s="67"/>
      <c r="L971" s="69">
        <f>SUMIF(CD60:CD951, 1, AZ60:AZ951)</f>
        <v>114579.79999999996</v>
      </c>
    </row>
    <row r="972" spans="1:12" ht="13.8" x14ac:dyDescent="0.25">
      <c r="A972" s="61"/>
      <c r="B972" s="82"/>
      <c r="C972" s="143" t="s">
        <v>1002</v>
      </c>
      <c r="D972" s="143"/>
      <c r="E972" s="143"/>
      <c r="F972" s="143"/>
      <c r="G972" s="143"/>
      <c r="H972" s="143"/>
      <c r="I972" s="69"/>
      <c r="J972" s="61"/>
      <c r="K972" s="67"/>
      <c r="L972" s="69">
        <f>SUMIF(CD60:CD951, 1, BA60:BA951)-0.18</f>
        <v>64911.030000000021</v>
      </c>
    </row>
    <row r="974" spans="1:12" ht="13.8" x14ac:dyDescent="0.25">
      <c r="A974" s="83"/>
      <c r="B974" s="84"/>
      <c r="C974" s="141" t="s">
        <v>1003</v>
      </c>
      <c r="D974" s="141"/>
      <c r="E974" s="141"/>
      <c r="F974" s="141"/>
      <c r="G974" s="141"/>
      <c r="H974" s="141"/>
      <c r="I974" s="74"/>
      <c r="J974" s="83"/>
      <c r="K974" s="85"/>
      <c r="L974" s="74">
        <f>L976+L991+L992</f>
        <v>37686.689999999995</v>
      </c>
    </row>
    <row r="975" spans="1:12" ht="13.8" x14ac:dyDescent="0.25">
      <c r="A975" s="61"/>
      <c r="B975" s="82"/>
      <c r="C975" s="142" t="s">
        <v>897</v>
      </c>
      <c r="D975" s="143"/>
      <c r="E975" s="143"/>
      <c r="F975" s="143"/>
      <c r="G975" s="143"/>
      <c r="H975" s="143"/>
      <c r="I975" s="69"/>
      <c r="J975" s="61"/>
      <c r="K975" s="67"/>
      <c r="L975" s="69"/>
    </row>
    <row r="976" spans="1:12" ht="13.8" x14ac:dyDescent="0.25">
      <c r="A976" s="61"/>
      <c r="B976" s="82"/>
      <c r="C976" s="143" t="s">
        <v>998</v>
      </c>
      <c r="D976" s="143"/>
      <c r="E976" s="143"/>
      <c r="F976" s="143"/>
      <c r="G976" s="143"/>
      <c r="H976" s="143"/>
      <c r="I976" s="69"/>
      <c r="J976" s="61"/>
      <c r="K976" s="67"/>
      <c r="L976" s="69">
        <f>L978+L979+L985+L989</f>
        <v>16338.63</v>
      </c>
    </row>
    <row r="977" spans="1:12" ht="13.8" x14ac:dyDescent="0.25">
      <c r="A977" s="61"/>
      <c r="B977" s="82"/>
      <c r="C977" s="142" t="s">
        <v>897</v>
      </c>
      <c r="D977" s="143"/>
      <c r="E977" s="143"/>
      <c r="F977" s="143"/>
      <c r="G977" s="143"/>
      <c r="H977" s="143"/>
      <c r="I977" s="69"/>
      <c r="J977" s="61"/>
      <c r="K977" s="67"/>
      <c r="L977" s="69"/>
    </row>
    <row r="978" spans="1:12" ht="13.8" x14ac:dyDescent="0.25">
      <c r="A978" s="61"/>
      <c r="B978" s="82"/>
      <c r="C978" s="143" t="s">
        <v>999</v>
      </c>
      <c r="D978" s="143"/>
      <c r="E978" s="143"/>
      <c r="F978" s="143"/>
      <c r="G978" s="143"/>
      <c r="H978" s="143"/>
      <c r="I978" s="69"/>
      <c r="J978" s="61"/>
      <c r="K978" s="67"/>
      <c r="L978" s="69">
        <f>SUMIF(CD60:CD972, 2, AR60:AR972)</f>
        <v>15697.1</v>
      </c>
    </row>
    <row r="979" spans="1:12" ht="13.8" hidden="1" x14ac:dyDescent="0.25">
      <c r="A979" s="61"/>
      <c r="B979" s="82"/>
      <c r="C979" s="143" t="s">
        <v>899</v>
      </c>
      <c r="D979" s="143"/>
      <c r="E979" s="143"/>
      <c r="F979" s="143"/>
      <c r="G979" s="143"/>
      <c r="H979" s="143"/>
      <c r="I979" s="69"/>
      <c r="J979" s="61"/>
      <c r="K979" s="67"/>
      <c r="L979" s="69">
        <f>L981+L984+L983</f>
        <v>77.8</v>
      </c>
    </row>
    <row r="980" spans="1:12" ht="13.8" hidden="1" x14ac:dyDescent="0.25">
      <c r="A980" s="61"/>
      <c r="B980" s="82"/>
      <c r="C980" s="142" t="s">
        <v>900</v>
      </c>
      <c r="D980" s="143"/>
      <c r="E980" s="143"/>
      <c r="F980" s="143"/>
      <c r="G980" s="143"/>
      <c r="H980" s="143"/>
      <c r="I980" s="69"/>
      <c r="J980" s="61"/>
      <c r="K980" s="67"/>
      <c r="L980" s="69"/>
    </row>
    <row r="981" spans="1:12" ht="13.8" x14ac:dyDescent="0.25">
      <c r="A981" s="61"/>
      <c r="B981" s="82"/>
      <c r="C981" s="143" t="s">
        <v>899</v>
      </c>
      <c r="D981" s="143"/>
      <c r="E981" s="143"/>
      <c r="F981" s="143"/>
      <c r="G981" s="143"/>
      <c r="H981" s="143"/>
      <c r="I981" s="69"/>
      <c r="J981" s="61"/>
      <c r="K981" s="67"/>
      <c r="L981" s="69">
        <f>SUMIF(CD60:CD972, 2, AO60:AO972)</f>
        <v>77.8</v>
      </c>
    </row>
    <row r="982" spans="1:12" ht="13.8" hidden="1" x14ac:dyDescent="0.25">
      <c r="A982" s="61"/>
      <c r="B982" s="82"/>
      <c r="C982" s="142" t="s">
        <v>901</v>
      </c>
      <c r="D982" s="143"/>
      <c r="E982" s="143"/>
      <c r="F982" s="143"/>
      <c r="G982" s="143"/>
      <c r="H982" s="143"/>
      <c r="I982" s="69"/>
      <c r="J982" s="61"/>
      <c r="K982" s="67"/>
      <c r="L982" s="69"/>
    </row>
    <row r="983" spans="1:12" ht="13.8" hidden="1" x14ac:dyDescent="0.25">
      <c r="A983" s="61"/>
      <c r="B983" s="82"/>
      <c r="C983" s="143" t="s">
        <v>921</v>
      </c>
      <c r="D983" s="143"/>
      <c r="E983" s="143"/>
      <c r="F983" s="143"/>
      <c r="G983" s="143"/>
      <c r="H983" s="143"/>
      <c r="I983" s="69"/>
      <c r="J983" s="61"/>
      <c r="K983" s="67"/>
      <c r="L983" s="69">
        <f>SUMIF(CD60:CD972, 2, AT60:AT972)</f>
        <v>0</v>
      </c>
    </row>
    <row r="984" spans="1:12" ht="13.8" hidden="1" x14ac:dyDescent="0.25">
      <c r="A984" s="61"/>
      <c r="B984" s="82"/>
      <c r="C984" s="143" t="s">
        <v>902</v>
      </c>
      <c r="D984" s="143"/>
      <c r="E984" s="143"/>
      <c r="F984" s="143"/>
      <c r="G984" s="143"/>
      <c r="H984" s="143"/>
      <c r="I984" s="69"/>
      <c r="J984" s="61"/>
      <c r="K984" s="67"/>
      <c r="L984" s="69">
        <f>SUMIF(CD60:CD972, 2, AV60:AV972)</f>
        <v>0</v>
      </c>
    </row>
    <row r="985" spans="1:12" ht="13.8" x14ac:dyDescent="0.25">
      <c r="A985" s="61"/>
      <c r="B985" s="82"/>
      <c r="C985" s="143" t="s">
        <v>903</v>
      </c>
      <c r="D985" s="143"/>
      <c r="E985" s="143"/>
      <c r="F985" s="143"/>
      <c r="G985" s="143"/>
      <c r="H985" s="143"/>
      <c r="I985" s="69"/>
      <c r="J985" s="61"/>
      <c r="K985" s="67"/>
      <c r="L985" s="69">
        <f>L987+L988</f>
        <v>563.73</v>
      </c>
    </row>
    <row r="986" spans="1:12" ht="13.8" x14ac:dyDescent="0.25">
      <c r="A986" s="61"/>
      <c r="B986" s="82"/>
      <c r="C986" s="142" t="s">
        <v>900</v>
      </c>
      <c r="D986" s="143"/>
      <c r="E986" s="143"/>
      <c r="F986" s="143"/>
      <c r="G986" s="143"/>
      <c r="H986" s="143"/>
      <c r="I986" s="69"/>
      <c r="J986" s="61"/>
      <c r="K986" s="67"/>
      <c r="L986" s="69"/>
    </row>
    <row r="987" spans="1:12" ht="13.8" x14ac:dyDescent="0.25">
      <c r="A987" s="61"/>
      <c r="B987" s="82"/>
      <c r="C987" s="143" t="s">
        <v>904</v>
      </c>
      <c r="D987" s="143"/>
      <c r="E987" s="143"/>
      <c r="F987" s="143"/>
      <c r="G987" s="143"/>
      <c r="H987" s="143"/>
      <c r="I987" s="69"/>
      <c r="J987" s="61"/>
      <c r="K987" s="67"/>
      <c r="L987" s="69">
        <f>SUMIF(CD60:CD972, 2, AW60:AW972)-SUMIF(CD60:CD972, 2, BK60:BK972)</f>
        <v>563.73</v>
      </c>
    </row>
    <row r="988" spans="1:12" ht="13.8" hidden="1" x14ac:dyDescent="0.25">
      <c r="A988" s="61"/>
      <c r="B988" s="82"/>
      <c r="C988" s="143" t="s">
        <v>905</v>
      </c>
      <c r="D988" s="143"/>
      <c r="E988" s="143"/>
      <c r="F988" s="143"/>
      <c r="G988" s="143"/>
      <c r="H988" s="143"/>
      <c r="I988" s="69"/>
      <c r="J988" s="61"/>
      <c r="K988" s="67"/>
      <c r="L988" s="69">
        <f>SUMIF(CD60:CD972, 2, BC60:BC972)</f>
        <v>0</v>
      </c>
    </row>
    <row r="989" spans="1:12" ht="13.8" hidden="1" x14ac:dyDescent="0.25">
      <c r="A989" s="61"/>
      <c r="B989" s="82"/>
      <c r="C989" s="143" t="s">
        <v>906</v>
      </c>
      <c r="D989" s="143"/>
      <c r="E989" s="143"/>
      <c r="F989" s="143"/>
      <c r="G989" s="143"/>
      <c r="H989" s="143"/>
      <c r="I989" s="69"/>
      <c r="J989" s="61"/>
      <c r="K989" s="67"/>
      <c r="L989" s="69">
        <f>SUMIF(CD60:CD972, 2, BB60:BB972)</f>
        <v>0</v>
      </c>
    </row>
    <row r="990" spans="1:12" ht="13.8" x14ac:dyDescent="0.25">
      <c r="A990" s="61"/>
      <c r="B990" s="82"/>
      <c r="C990" s="143" t="s">
        <v>1000</v>
      </c>
      <c r="D990" s="143"/>
      <c r="E990" s="143"/>
      <c r="F990" s="143"/>
      <c r="G990" s="143"/>
      <c r="H990" s="143"/>
      <c r="I990" s="69"/>
      <c r="J990" s="61"/>
      <c r="K990" s="67"/>
      <c r="L990" s="69">
        <f>SUMIF(CD60:CD972, 2, AR60:AR972)+SUMIF(CD60:CD972, 2, AT60:AT972)+SUMIF(CD60:CD972, 2, AV60:AV972)</f>
        <v>15697.1</v>
      </c>
    </row>
    <row r="991" spans="1:12" ht="13.8" x14ac:dyDescent="0.25">
      <c r="A991" s="61"/>
      <c r="B991" s="82"/>
      <c r="C991" s="143" t="s">
        <v>1001</v>
      </c>
      <c r="D991" s="143"/>
      <c r="E991" s="143"/>
      <c r="F991" s="143"/>
      <c r="G991" s="143"/>
      <c r="H991" s="143"/>
      <c r="I991" s="69"/>
      <c r="J991" s="61"/>
      <c r="K991" s="67"/>
      <c r="L991" s="69">
        <f>SUMIF(CD60:CD972, 2, AZ60:AZ972)</f>
        <v>14127.39</v>
      </c>
    </row>
    <row r="992" spans="1:12" ht="13.8" x14ac:dyDescent="0.25">
      <c r="A992" s="61"/>
      <c r="B992" s="82"/>
      <c r="C992" s="143" t="s">
        <v>1002</v>
      </c>
      <c r="D992" s="143"/>
      <c r="E992" s="143"/>
      <c r="F992" s="143"/>
      <c r="G992" s="143"/>
      <c r="H992" s="143"/>
      <c r="I992" s="69"/>
      <c r="J992" s="61"/>
      <c r="K992" s="67"/>
      <c r="L992" s="69">
        <f>SUMIF(CD60:CD972, 2, BA60:BA972)</f>
        <v>7220.67</v>
      </c>
    </row>
    <row r="993" spans="1:12" hidden="1" x14ac:dyDescent="0.25"/>
    <row r="994" spans="1:12" ht="13.8" hidden="1" x14ac:dyDescent="0.25">
      <c r="A994" s="83"/>
      <c r="B994" s="84"/>
      <c r="C994" s="141" t="s">
        <v>1004</v>
      </c>
      <c r="D994" s="141"/>
      <c r="E994" s="141"/>
      <c r="F994" s="141"/>
      <c r="G994" s="141"/>
      <c r="H994" s="141"/>
      <c r="I994" s="74"/>
      <c r="J994" s="83"/>
      <c r="K994" s="85"/>
      <c r="L994" s="74">
        <f>L996+L997</f>
        <v>0</v>
      </c>
    </row>
    <row r="995" spans="1:12" ht="13.8" hidden="1" x14ac:dyDescent="0.25">
      <c r="A995" s="61"/>
      <c r="B995" s="82"/>
      <c r="C995" s="142" t="s">
        <v>897</v>
      </c>
      <c r="D995" s="143"/>
      <c r="E995" s="143"/>
      <c r="F995" s="143"/>
      <c r="G995" s="143"/>
      <c r="H995" s="143"/>
      <c r="I995" s="69"/>
      <c r="J995" s="61"/>
      <c r="K995" s="67"/>
      <c r="L995" s="69"/>
    </row>
    <row r="996" spans="1:12" ht="13.8" hidden="1" x14ac:dyDescent="0.25">
      <c r="A996" s="61"/>
      <c r="B996" s="82"/>
      <c r="C996" s="143" t="s">
        <v>911</v>
      </c>
      <c r="D996" s="143"/>
      <c r="E996" s="143"/>
      <c r="F996" s="143"/>
      <c r="G996" s="143"/>
      <c r="H996" s="143"/>
      <c r="I996" s="69"/>
      <c r="J996" s="61"/>
      <c r="K996" s="67"/>
      <c r="L996" s="69">
        <f>SUMIF(CD60:CD992, 3, BK60:BK992)</f>
        <v>0</v>
      </c>
    </row>
    <row r="997" spans="1:12" ht="13.8" hidden="1" x14ac:dyDescent="0.25">
      <c r="A997" s="61"/>
      <c r="B997" s="82"/>
      <c r="C997" s="143" t="s">
        <v>912</v>
      </c>
      <c r="D997" s="143"/>
      <c r="E997" s="143"/>
      <c r="F997" s="143"/>
      <c r="G997" s="143"/>
      <c r="H997" s="143"/>
      <c r="I997" s="69"/>
      <c r="J997" s="61"/>
      <c r="K997" s="67"/>
      <c r="L997" s="69">
        <f>SUMIF(CD60:CD992, 3, BD60:BD992)</f>
        <v>0</v>
      </c>
    </row>
    <row r="998" spans="1:12" hidden="1" x14ac:dyDescent="0.25"/>
    <row r="999" spans="1:12" ht="13.8" hidden="1" x14ac:dyDescent="0.25">
      <c r="A999" s="83"/>
      <c r="B999" s="84"/>
      <c r="C999" s="141" t="s">
        <v>1005</v>
      </c>
      <c r="D999" s="141"/>
      <c r="E999" s="141"/>
      <c r="F999" s="141"/>
      <c r="G999" s="141"/>
      <c r="H999" s="141"/>
      <c r="I999" s="74"/>
      <c r="J999" s="83"/>
      <c r="K999" s="85"/>
      <c r="L999" s="74">
        <f>L1007+L1022+L1023+L1001+L1002+L1003+L1004</f>
        <v>0</v>
      </c>
    </row>
    <row r="1000" spans="1:12" ht="13.8" hidden="1" x14ac:dyDescent="0.25">
      <c r="A1000" s="61"/>
      <c r="B1000" s="82"/>
      <c r="C1000" s="142" t="s">
        <v>897</v>
      </c>
      <c r="D1000" s="143"/>
      <c r="E1000" s="143"/>
      <c r="F1000" s="143"/>
      <c r="G1000" s="143"/>
      <c r="H1000" s="143"/>
      <c r="I1000" s="69"/>
      <c r="J1000" s="61"/>
      <c r="K1000" s="67"/>
      <c r="L1000" s="69"/>
    </row>
    <row r="1001" spans="1:12" ht="13.8" hidden="1" x14ac:dyDescent="0.25">
      <c r="A1001" s="61"/>
      <c r="B1001" s="82"/>
      <c r="C1001" s="143" t="s">
        <v>1006</v>
      </c>
      <c r="D1001" s="143"/>
      <c r="E1001" s="143"/>
      <c r="F1001" s="143"/>
      <c r="G1001" s="143"/>
      <c r="H1001" s="143"/>
      <c r="I1001" s="69"/>
      <c r="J1001" s="61"/>
      <c r="K1001" s="67"/>
      <c r="L1001" s="69"/>
    </row>
    <row r="1002" spans="1:12" ht="13.8" hidden="1" x14ac:dyDescent="0.25">
      <c r="A1002" s="61"/>
      <c r="B1002" s="82"/>
      <c r="C1002" s="143" t="s">
        <v>1006</v>
      </c>
      <c r="D1002" s="143"/>
      <c r="E1002" s="143"/>
      <c r="F1002" s="143"/>
      <c r="G1002" s="143"/>
      <c r="H1002" s="143"/>
      <c r="I1002" s="69"/>
      <c r="J1002" s="61"/>
      <c r="K1002" s="67"/>
      <c r="L1002" s="69">
        <f>SUM(BQ60:BQ997)</f>
        <v>0</v>
      </c>
    </row>
    <row r="1003" spans="1:12" ht="13.8" hidden="1" x14ac:dyDescent="0.25">
      <c r="A1003" s="61"/>
      <c r="B1003" s="82"/>
      <c r="C1003" s="143" t="s">
        <v>1007</v>
      </c>
      <c r="D1003" s="143"/>
      <c r="E1003" s="143"/>
      <c r="F1003" s="143"/>
      <c r="G1003" s="143"/>
      <c r="H1003" s="143"/>
      <c r="I1003" s="69"/>
      <c r="J1003" s="61"/>
      <c r="K1003" s="67"/>
      <c r="L1003" s="69">
        <f>SUMIF(CD60:CD997, 4, BB60:BB997)+SUMIF(CD60:CD997, 4, BC60:BC997)+SUMIF(CD60:CD997, 4, BD60:BD997)</f>
        <v>0</v>
      </c>
    </row>
    <row r="1004" spans="1:12" ht="13.8" hidden="1" x14ac:dyDescent="0.25">
      <c r="A1004" s="61"/>
      <c r="B1004" s="82"/>
      <c r="C1004" s="143" t="s">
        <v>1008</v>
      </c>
      <c r="D1004" s="143"/>
      <c r="E1004" s="143"/>
      <c r="F1004" s="143"/>
      <c r="G1004" s="143"/>
      <c r="H1004" s="143"/>
      <c r="I1004" s="69"/>
      <c r="J1004" s="61"/>
      <c r="K1004" s="67"/>
      <c r="L1004" s="69">
        <f>SUM(BO60:BO997)</f>
        <v>0</v>
      </c>
    </row>
    <row r="1005" spans="1:12" ht="13.8" hidden="1" x14ac:dyDescent="0.25">
      <c r="A1005" s="61"/>
      <c r="B1005" s="82"/>
      <c r="C1005" s="143" t="s">
        <v>1009</v>
      </c>
      <c r="D1005" s="143"/>
      <c r="E1005" s="143"/>
      <c r="F1005" s="143"/>
      <c r="G1005" s="143"/>
      <c r="H1005" s="143"/>
      <c r="I1005" s="69"/>
      <c r="J1005" s="61"/>
      <c r="K1005" s="67"/>
      <c r="L1005" s="69">
        <f>L1007+L1022+L1023</f>
        <v>0</v>
      </c>
    </row>
    <row r="1006" spans="1:12" ht="13.8" hidden="1" x14ac:dyDescent="0.25">
      <c r="A1006" s="61"/>
      <c r="B1006" s="82"/>
      <c r="C1006" s="142" t="s">
        <v>897</v>
      </c>
      <c r="D1006" s="143"/>
      <c r="E1006" s="143"/>
      <c r="F1006" s="143"/>
      <c r="G1006" s="143"/>
      <c r="H1006" s="143"/>
      <c r="I1006" s="69"/>
      <c r="J1006" s="61"/>
      <c r="K1006" s="67"/>
      <c r="L1006" s="69"/>
    </row>
    <row r="1007" spans="1:12" ht="13.8" hidden="1" x14ac:dyDescent="0.25">
      <c r="A1007" s="61"/>
      <c r="B1007" s="82"/>
      <c r="C1007" s="143" t="s">
        <v>998</v>
      </c>
      <c r="D1007" s="143"/>
      <c r="E1007" s="143"/>
      <c r="F1007" s="143"/>
      <c r="G1007" s="143"/>
      <c r="H1007" s="143"/>
      <c r="I1007" s="69"/>
      <c r="J1007" s="61"/>
      <c r="K1007" s="67"/>
      <c r="L1007" s="69">
        <f>L1009+L1010+L1016+L1020</f>
        <v>0</v>
      </c>
    </row>
    <row r="1008" spans="1:12" ht="13.8" hidden="1" x14ac:dyDescent="0.25">
      <c r="A1008" s="61"/>
      <c r="B1008" s="82"/>
      <c r="C1008" s="142" t="s">
        <v>897</v>
      </c>
      <c r="D1008" s="143"/>
      <c r="E1008" s="143"/>
      <c r="F1008" s="143"/>
      <c r="G1008" s="143"/>
      <c r="H1008" s="143"/>
      <c r="I1008" s="69"/>
      <c r="J1008" s="61"/>
      <c r="K1008" s="67"/>
      <c r="L1008" s="69"/>
    </row>
    <row r="1009" spans="1:12" ht="13.8" hidden="1" x14ac:dyDescent="0.25">
      <c r="A1009" s="61"/>
      <c r="B1009" s="82"/>
      <c r="C1009" s="143" t="s">
        <v>999</v>
      </c>
      <c r="D1009" s="143"/>
      <c r="E1009" s="143"/>
      <c r="F1009" s="143"/>
      <c r="G1009" s="143"/>
      <c r="H1009" s="143"/>
      <c r="I1009" s="69"/>
      <c r="J1009" s="61"/>
      <c r="K1009" s="67"/>
      <c r="L1009" s="69">
        <f>SUMIF(CD60:CD997, 4, AR60:AR997)</f>
        <v>0</v>
      </c>
    </row>
    <row r="1010" spans="1:12" ht="13.8" hidden="1" x14ac:dyDescent="0.25">
      <c r="A1010" s="61"/>
      <c r="B1010" s="82"/>
      <c r="C1010" s="143" t="s">
        <v>899</v>
      </c>
      <c r="D1010" s="143"/>
      <c r="E1010" s="143"/>
      <c r="F1010" s="143"/>
      <c r="G1010" s="143"/>
      <c r="H1010" s="143"/>
      <c r="I1010" s="69"/>
      <c r="J1010" s="61"/>
      <c r="K1010" s="67"/>
      <c r="L1010" s="69">
        <f>L1012+L1015+L1014</f>
        <v>0</v>
      </c>
    </row>
    <row r="1011" spans="1:12" ht="13.8" hidden="1" x14ac:dyDescent="0.25">
      <c r="A1011" s="61"/>
      <c r="B1011" s="82"/>
      <c r="C1011" s="142" t="s">
        <v>900</v>
      </c>
      <c r="D1011" s="143"/>
      <c r="E1011" s="143"/>
      <c r="F1011" s="143"/>
      <c r="G1011" s="143"/>
      <c r="H1011" s="143"/>
      <c r="I1011" s="69"/>
      <c r="J1011" s="61"/>
      <c r="K1011" s="67"/>
      <c r="L1011" s="69"/>
    </row>
    <row r="1012" spans="1:12" ht="13.8" hidden="1" x14ac:dyDescent="0.25">
      <c r="A1012" s="61"/>
      <c r="B1012" s="82"/>
      <c r="C1012" s="143" t="s">
        <v>899</v>
      </c>
      <c r="D1012" s="143"/>
      <c r="E1012" s="143"/>
      <c r="F1012" s="143"/>
      <c r="G1012" s="143"/>
      <c r="H1012" s="143"/>
      <c r="I1012" s="69"/>
      <c r="J1012" s="61"/>
      <c r="K1012" s="67"/>
      <c r="L1012" s="69">
        <f>SUMIF(CD60:CD997, 4, AO60:AO997)</f>
        <v>0</v>
      </c>
    </row>
    <row r="1013" spans="1:12" ht="13.8" hidden="1" x14ac:dyDescent="0.25">
      <c r="A1013" s="61"/>
      <c r="B1013" s="82"/>
      <c r="C1013" s="142" t="s">
        <v>901</v>
      </c>
      <c r="D1013" s="143"/>
      <c r="E1013" s="143"/>
      <c r="F1013" s="143"/>
      <c r="G1013" s="143"/>
      <c r="H1013" s="143"/>
      <c r="I1013" s="69"/>
      <c r="J1013" s="61"/>
      <c r="K1013" s="67"/>
      <c r="L1013" s="69"/>
    </row>
    <row r="1014" spans="1:12" ht="13.8" hidden="1" x14ac:dyDescent="0.25">
      <c r="A1014" s="61"/>
      <c r="B1014" s="82"/>
      <c r="C1014" s="143" t="s">
        <v>921</v>
      </c>
      <c r="D1014" s="143"/>
      <c r="E1014" s="143"/>
      <c r="F1014" s="143"/>
      <c r="G1014" s="143"/>
      <c r="H1014" s="143"/>
      <c r="I1014" s="69"/>
      <c r="J1014" s="61"/>
      <c r="K1014" s="67"/>
      <c r="L1014" s="69">
        <f>SUMIF(CD60:CD997, 4, AT60:AT997)</f>
        <v>0</v>
      </c>
    </row>
    <row r="1015" spans="1:12" ht="13.8" hidden="1" x14ac:dyDescent="0.25">
      <c r="A1015" s="61"/>
      <c r="B1015" s="82"/>
      <c r="C1015" s="143" t="s">
        <v>902</v>
      </c>
      <c r="D1015" s="143"/>
      <c r="E1015" s="143"/>
      <c r="F1015" s="143"/>
      <c r="G1015" s="143"/>
      <c r="H1015" s="143"/>
      <c r="I1015" s="69"/>
      <c r="J1015" s="61"/>
      <c r="K1015" s="67"/>
      <c r="L1015" s="69">
        <f>SUMIF(CD60:CD997, 4, AV60:AV997)</f>
        <v>0</v>
      </c>
    </row>
    <row r="1016" spans="1:12" ht="13.8" hidden="1" x14ac:dyDescent="0.25">
      <c r="A1016" s="61"/>
      <c r="B1016" s="82"/>
      <c r="C1016" s="143" t="s">
        <v>903</v>
      </c>
      <c r="D1016" s="143"/>
      <c r="E1016" s="143"/>
      <c r="F1016" s="143"/>
      <c r="G1016" s="143"/>
      <c r="H1016" s="143"/>
      <c r="I1016" s="69"/>
      <c r="J1016" s="61"/>
      <c r="K1016" s="67"/>
      <c r="L1016" s="69">
        <f>L1018+L1019</f>
        <v>0</v>
      </c>
    </row>
    <row r="1017" spans="1:12" ht="13.8" hidden="1" x14ac:dyDescent="0.25">
      <c r="A1017" s="61"/>
      <c r="B1017" s="82"/>
      <c r="C1017" s="142" t="s">
        <v>900</v>
      </c>
      <c r="D1017" s="143"/>
      <c r="E1017" s="143"/>
      <c r="F1017" s="143"/>
      <c r="G1017" s="143"/>
      <c r="H1017" s="143"/>
      <c r="I1017" s="69"/>
      <c r="J1017" s="61"/>
      <c r="K1017" s="67"/>
      <c r="L1017" s="69"/>
    </row>
    <row r="1018" spans="1:12" ht="13.8" hidden="1" x14ac:dyDescent="0.25">
      <c r="A1018" s="61"/>
      <c r="B1018" s="82"/>
      <c r="C1018" s="143" t="s">
        <v>904</v>
      </c>
      <c r="D1018" s="143"/>
      <c r="E1018" s="143"/>
      <c r="F1018" s="143"/>
      <c r="G1018" s="143"/>
      <c r="H1018" s="143"/>
      <c r="I1018" s="69"/>
      <c r="J1018" s="61"/>
      <c r="K1018" s="67"/>
      <c r="L1018" s="69">
        <f>SUMIF(CD60:CD997, 4, AW60:AW997)-SUMIF(CD60:CD997, 4, BK60:BK997)</f>
        <v>0</v>
      </c>
    </row>
    <row r="1019" spans="1:12" ht="13.8" hidden="1" x14ac:dyDescent="0.25">
      <c r="A1019" s="61"/>
      <c r="B1019" s="82"/>
      <c r="C1019" s="143" t="s">
        <v>905</v>
      </c>
      <c r="D1019" s="143"/>
      <c r="E1019" s="143"/>
      <c r="F1019" s="143"/>
      <c r="G1019" s="143"/>
      <c r="H1019" s="143"/>
      <c r="I1019" s="69"/>
      <c r="J1019" s="61"/>
      <c r="K1019" s="67"/>
      <c r="L1019" s="69">
        <f>SUMIF(CD60:CD997, 4, BC60:BC997)</f>
        <v>0</v>
      </c>
    </row>
    <row r="1020" spans="1:12" ht="13.8" hidden="1" x14ac:dyDescent="0.25">
      <c r="A1020" s="61"/>
      <c r="B1020" s="82"/>
      <c r="C1020" s="143" t="s">
        <v>906</v>
      </c>
      <c r="D1020" s="143"/>
      <c r="E1020" s="143"/>
      <c r="F1020" s="143"/>
      <c r="G1020" s="143"/>
      <c r="H1020" s="143"/>
      <c r="I1020" s="69"/>
      <c r="J1020" s="61"/>
      <c r="K1020" s="67"/>
      <c r="L1020" s="69">
        <f>SUMIF(CD60:CD997, 4, BB60:BB997)</f>
        <v>0</v>
      </c>
    </row>
    <row r="1021" spans="1:12" ht="13.8" hidden="1" x14ac:dyDescent="0.25">
      <c r="A1021" s="61"/>
      <c r="B1021" s="82"/>
      <c r="C1021" s="143" t="s">
        <v>1000</v>
      </c>
      <c r="D1021" s="143"/>
      <c r="E1021" s="143"/>
      <c r="F1021" s="143"/>
      <c r="G1021" s="143"/>
      <c r="H1021" s="143"/>
      <c r="I1021" s="69"/>
      <c r="J1021" s="61"/>
      <c r="K1021" s="67"/>
      <c r="L1021" s="69">
        <f>SUMIF(CD60:CD997, 4, AR60:AR997)+SUMIF(CD60:CD997, 4, AT60:AT997)+SUMIF(CD60:CD997, 4, AV60:AV997)</f>
        <v>0</v>
      </c>
    </row>
    <row r="1022" spans="1:12" ht="13.8" hidden="1" x14ac:dyDescent="0.25">
      <c r="A1022" s="61"/>
      <c r="B1022" s="82"/>
      <c r="C1022" s="143" t="s">
        <v>1001</v>
      </c>
      <c r="D1022" s="143"/>
      <c r="E1022" s="143"/>
      <c r="F1022" s="143"/>
      <c r="G1022" s="143"/>
      <c r="H1022" s="143"/>
      <c r="I1022" s="69"/>
      <c r="J1022" s="61"/>
      <c r="K1022" s="67"/>
      <c r="L1022" s="69">
        <f>SUMIF(CD60:CD997, 4, AZ60:AZ997)</f>
        <v>0</v>
      </c>
    </row>
    <row r="1023" spans="1:12" ht="13.8" hidden="1" x14ac:dyDescent="0.25">
      <c r="A1023" s="61"/>
      <c r="B1023" s="82"/>
      <c r="C1023" s="143" t="s">
        <v>1002</v>
      </c>
      <c r="D1023" s="143"/>
      <c r="E1023" s="143"/>
      <c r="F1023" s="143"/>
      <c r="G1023" s="143"/>
      <c r="H1023" s="143"/>
      <c r="I1023" s="69"/>
      <c r="J1023" s="61"/>
      <c r="K1023" s="67"/>
      <c r="L1023" s="69">
        <f>SUMIF(CD60:CD997, 4, BA60:BA997)</f>
        <v>0</v>
      </c>
    </row>
    <row r="1025" spans="1:12" ht="13.8" x14ac:dyDescent="0.25">
      <c r="A1025" s="83"/>
      <c r="B1025" s="84"/>
      <c r="C1025" s="141" t="s">
        <v>1010</v>
      </c>
      <c r="D1025" s="141"/>
      <c r="E1025" s="141"/>
      <c r="F1025" s="141"/>
      <c r="G1025" s="141"/>
      <c r="H1025" s="141"/>
      <c r="I1025" s="74"/>
      <c r="J1025" s="83"/>
      <c r="K1025" s="85"/>
      <c r="L1025" s="74">
        <f>L954+L974+L994+L999</f>
        <v>491721.31</v>
      </c>
    </row>
    <row r="1026" spans="1:12" ht="13.8" x14ac:dyDescent="0.25">
      <c r="A1026" s="61"/>
      <c r="B1026" s="82"/>
      <c r="C1026" s="142" t="s">
        <v>897</v>
      </c>
      <c r="D1026" s="143"/>
      <c r="E1026" s="143"/>
      <c r="F1026" s="143"/>
      <c r="G1026" s="143"/>
      <c r="H1026" s="143"/>
      <c r="I1026" s="69"/>
      <c r="J1026" s="61"/>
      <c r="K1026" s="67"/>
      <c r="L1026" s="69"/>
    </row>
    <row r="1027" spans="1:12" ht="13.8" x14ac:dyDescent="0.25">
      <c r="A1027" s="61"/>
      <c r="B1027" s="82"/>
      <c r="C1027" s="143" t="s">
        <v>998</v>
      </c>
      <c r="D1027" s="143"/>
      <c r="E1027" s="143"/>
      <c r="F1027" s="143"/>
      <c r="G1027" s="143"/>
      <c r="H1027" s="143"/>
      <c r="I1027" s="69"/>
      <c r="J1027" s="61"/>
      <c r="K1027" s="67"/>
      <c r="L1027" s="69">
        <f>L1029+L1030+L1036+L1040</f>
        <v>290882.42000000004</v>
      </c>
    </row>
    <row r="1028" spans="1:12" ht="13.8" x14ac:dyDescent="0.25">
      <c r="A1028" s="61"/>
      <c r="B1028" s="82"/>
      <c r="C1028" s="142" t="s">
        <v>897</v>
      </c>
      <c r="D1028" s="143"/>
      <c r="E1028" s="143"/>
      <c r="F1028" s="143"/>
      <c r="G1028" s="143"/>
      <c r="H1028" s="143"/>
      <c r="I1028" s="69"/>
      <c r="J1028" s="61"/>
      <c r="K1028" s="67"/>
      <c r="L1028" s="69"/>
    </row>
    <row r="1029" spans="1:12" ht="13.8" x14ac:dyDescent="0.25">
      <c r="A1029" s="61"/>
      <c r="B1029" s="82"/>
      <c r="C1029" s="143" t="s">
        <v>999</v>
      </c>
      <c r="D1029" s="143"/>
      <c r="E1029" s="143"/>
      <c r="F1029" s="143"/>
      <c r="G1029" s="143"/>
      <c r="H1029" s="143"/>
      <c r="I1029" s="69"/>
      <c r="J1029" s="61"/>
      <c r="K1029" s="67"/>
      <c r="L1029" s="69">
        <f>SUM(AR60:AR1023)</f>
        <v>118050.62000000004</v>
      </c>
    </row>
    <row r="1030" spans="1:12" ht="13.8" hidden="1" x14ac:dyDescent="0.25">
      <c r="A1030" s="61"/>
      <c r="B1030" s="82"/>
      <c r="C1030" s="143" t="s">
        <v>899</v>
      </c>
      <c r="D1030" s="143"/>
      <c r="E1030" s="143"/>
      <c r="F1030" s="143"/>
      <c r="G1030" s="143"/>
      <c r="H1030" s="143"/>
      <c r="I1030" s="69"/>
      <c r="J1030" s="61"/>
      <c r="K1030" s="67"/>
      <c r="L1030" s="69">
        <f>L1032+L1035+L1034</f>
        <v>39910.079999999994</v>
      </c>
    </row>
    <row r="1031" spans="1:12" ht="13.8" hidden="1" x14ac:dyDescent="0.25">
      <c r="A1031" s="61"/>
      <c r="B1031" s="82"/>
      <c r="C1031" s="142" t="s">
        <v>900</v>
      </c>
      <c r="D1031" s="143"/>
      <c r="E1031" s="143"/>
      <c r="F1031" s="143"/>
      <c r="G1031" s="143"/>
      <c r="H1031" s="143"/>
      <c r="I1031" s="69"/>
      <c r="J1031" s="61"/>
      <c r="K1031" s="67"/>
      <c r="L1031" s="69"/>
    </row>
    <row r="1032" spans="1:12" ht="13.8" x14ac:dyDescent="0.25">
      <c r="A1032" s="61"/>
      <c r="B1032" s="82"/>
      <c r="C1032" s="143" t="s">
        <v>899</v>
      </c>
      <c r="D1032" s="143"/>
      <c r="E1032" s="143"/>
      <c r="F1032" s="143"/>
      <c r="G1032" s="143"/>
      <c r="H1032" s="143"/>
      <c r="I1032" s="69"/>
      <c r="J1032" s="61"/>
      <c r="K1032" s="67"/>
      <c r="L1032" s="69">
        <f>SUM(AO60:AO1023)</f>
        <v>29754.469999999994</v>
      </c>
    </row>
    <row r="1033" spans="1:12" ht="13.8" hidden="1" x14ac:dyDescent="0.25">
      <c r="A1033" s="61"/>
      <c r="B1033" s="82"/>
      <c r="C1033" s="142" t="s">
        <v>901</v>
      </c>
      <c r="D1033" s="143"/>
      <c r="E1033" s="143"/>
      <c r="F1033" s="143"/>
      <c r="G1033" s="143"/>
      <c r="H1033" s="143"/>
      <c r="I1033" s="69"/>
      <c r="J1033" s="61"/>
      <c r="K1033" s="67"/>
      <c r="L1033" s="69"/>
    </row>
    <row r="1034" spans="1:12" ht="13.8" x14ac:dyDescent="0.25">
      <c r="A1034" s="61"/>
      <c r="B1034" s="82"/>
      <c r="C1034" s="143" t="s">
        <v>921</v>
      </c>
      <c r="D1034" s="143"/>
      <c r="E1034" s="143"/>
      <c r="F1034" s="143"/>
      <c r="G1034" s="143"/>
      <c r="H1034" s="143"/>
      <c r="I1034" s="69"/>
      <c r="J1034" s="61"/>
      <c r="K1034" s="67"/>
      <c r="L1034" s="69">
        <f>SUM(AT60:AT1023)</f>
        <v>10155.61</v>
      </c>
    </row>
    <row r="1035" spans="1:12" ht="13.8" hidden="1" x14ac:dyDescent="0.25">
      <c r="A1035" s="61"/>
      <c r="B1035" s="82"/>
      <c r="C1035" s="143" t="s">
        <v>902</v>
      </c>
      <c r="D1035" s="143"/>
      <c r="E1035" s="143"/>
      <c r="F1035" s="143"/>
      <c r="G1035" s="143"/>
      <c r="H1035" s="143"/>
      <c r="I1035" s="69"/>
      <c r="J1035" s="61"/>
      <c r="K1035" s="67"/>
      <c r="L1035" s="69">
        <f>SUM(AV60:AV1023)</f>
        <v>0</v>
      </c>
    </row>
    <row r="1036" spans="1:12" ht="13.8" x14ac:dyDescent="0.25">
      <c r="A1036" s="61"/>
      <c r="B1036" s="82"/>
      <c r="C1036" s="143" t="s">
        <v>903</v>
      </c>
      <c r="D1036" s="143"/>
      <c r="E1036" s="143"/>
      <c r="F1036" s="143"/>
      <c r="G1036" s="143"/>
      <c r="H1036" s="143"/>
      <c r="I1036" s="69"/>
      <c r="J1036" s="61"/>
      <c r="K1036" s="67"/>
      <c r="L1036" s="69">
        <f>L1038+L1039</f>
        <v>69684.17</v>
      </c>
    </row>
    <row r="1037" spans="1:12" ht="13.8" x14ac:dyDescent="0.25">
      <c r="A1037" s="61"/>
      <c r="B1037" s="82"/>
      <c r="C1037" s="142" t="s">
        <v>900</v>
      </c>
      <c r="D1037" s="143"/>
      <c r="E1037" s="143"/>
      <c r="F1037" s="143"/>
      <c r="G1037" s="143"/>
      <c r="H1037" s="143"/>
      <c r="I1037" s="69"/>
      <c r="J1037" s="61"/>
      <c r="K1037" s="67"/>
      <c r="L1037" s="69"/>
    </row>
    <row r="1038" spans="1:12" ht="13.8" x14ac:dyDescent="0.25">
      <c r="A1038" s="61"/>
      <c r="B1038" s="82"/>
      <c r="C1038" s="143" t="s">
        <v>904</v>
      </c>
      <c r="D1038" s="143"/>
      <c r="E1038" s="143"/>
      <c r="F1038" s="143"/>
      <c r="G1038" s="143"/>
      <c r="H1038" s="143"/>
      <c r="I1038" s="69"/>
      <c r="J1038" s="61"/>
      <c r="K1038" s="67"/>
      <c r="L1038" s="69">
        <f>SUM(AW60:AW1023)-SUM(BK60:BK1023)</f>
        <v>69684.17</v>
      </c>
    </row>
    <row r="1039" spans="1:12" ht="13.8" hidden="1" x14ac:dyDescent="0.25">
      <c r="A1039" s="61"/>
      <c r="B1039" s="82"/>
      <c r="C1039" s="143" t="s">
        <v>905</v>
      </c>
      <c r="D1039" s="143"/>
      <c r="E1039" s="143"/>
      <c r="F1039" s="143"/>
      <c r="G1039" s="143"/>
      <c r="H1039" s="143"/>
      <c r="I1039" s="69"/>
      <c r="J1039" s="61"/>
      <c r="K1039" s="67"/>
      <c r="L1039" s="69">
        <f>SUM(BC60:BC1023)</f>
        <v>0</v>
      </c>
    </row>
    <row r="1040" spans="1:12" ht="13.8" x14ac:dyDescent="0.25">
      <c r="A1040" s="61"/>
      <c r="B1040" s="82"/>
      <c r="C1040" s="143" t="s">
        <v>906</v>
      </c>
      <c r="D1040" s="143"/>
      <c r="E1040" s="143"/>
      <c r="F1040" s="143"/>
      <c r="G1040" s="143"/>
      <c r="H1040" s="143"/>
      <c r="I1040" s="69"/>
      <c r="J1040" s="61"/>
      <c r="K1040" s="67"/>
      <c r="L1040" s="69">
        <f>SUM(BB60:BB1023)</f>
        <v>63237.55000000001</v>
      </c>
    </row>
    <row r="1041" spans="1:12" ht="13.8" x14ac:dyDescent="0.25">
      <c r="A1041" s="61"/>
      <c r="B1041" s="82"/>
      <c r="C1041" s="143" t="s">
        <v>907</v>
      </c>
      <c r="D1041" s="143"/>
      <c r="E1041" s="143"/>
      <c r="F1041" s="143"/>
      <c r="G1041" s="143"/>
      <c r="H1041" s="143"/>
      <c r="I1041" s="69"/>
      <c r="J1041" s="61"/>
      <c r="K1041" s="67"/>
      <c r="L1041" s="69">
        <f>SUM(AR60:AR1023)+SUM(AT60:AT1023)+SUM(AV60:AV1023)</f>
        <v>128206.23000000004</v>
      </c>
    </row>
    <row r="1042" spans="1:12" ht="13.8" x14ac:dyDescent="0.25">
      <c r="A1042" s="61"/>
      <c r="B1042" s="82"/>
      <c r="C1042" s="143" t="s">
        <v>908</v>
      </c>
      <c r="D1042" s="143"/>
      <c r="E1042" s="143"/>
      <c r="F1042" s="143"/>
      <c r="G1042" s="143"/>
      <c r="H1042" s="143"/>
      <c r="I1042" s="69"/>
      <c r="J1042" s="61"/>
      <c r="K1042" s="67"/>
      <c r="L1042" s="69">
        <f>SUM(AZ60:AZ1023)</f>
        <v>128707.18999999996</v>
      </c>
    </row>
    <row r="1043" spans="1:12" ht="13.8" x14ac:dyDescent="0.25">
      <c r="A1043" s="61"/>
      <c r="B1043" s="82"/>
      <c r="C1043" s="143" t="s">
        <v>909</v>
      </c>
      <c r="D1043" s="143"/>
      <c r="E1043" s="143"/>
      <c r="F1043" s="143"/>
      <c r="G1043" s="143"/>
      <c r="H1043" s="143"/>
      <c r="I1043" s="69"/>
      <c r="J1043" s="61"/>
      <c r="K1043" s="67"/>
      <c r="L1043" s="69">
        <f>SUM(BA60:BA1023)</f>
        <v>72131.880000000034</v>
      </c>
    </row>
    <row r="1044" spans="1:12" ht="13.8" hidden="1" x14ac:dyDescent="0.25">
      <c r="A1044" s="61"/>
      <c r="B1044" s="82"/>
      <c r="C1044" s="143" t="s">
        <v>1011</v>
      </c>
      <c r="D1044" s="143"/>
      <c r="E1044" s="143"/>
      <c r="F1044" s="143"/>
      <c r="G1044" s="143"/>
      <c r="H1044" s="143"/>
      <c r="I1044" s="69"/>
      <c r="J1044" s="61"/>
      <c r="K1044" s="67"/>
      <c r="L1044" s="69">
        <f>L1046+L1047</f>
        <v>0</v>
      </c>
    </row>
    <row r="1045" spans="1:12" ht="13.8" hidden="1" x14ac:dyDescent="0.25">
      <c r="A1045" s="61"/>
      <c r="B1045" s="82"/>
      <c r="C1045" s="142" t="s">
        <v>897</v>
      </c>
      <c r="D1045" s="143"/>
      <c r="E1045" s="143"/>
      <c r="F1045" s="143"/>
      <c r="G1045" s="143"/>
      <c r="H1045" s="143"/>
      <c r="I1045" s="69"/>
      <c r="J1045" s="61"/>
      <c r="K1045" s="67"/>
      <c r="L1045" s="69"/>
    </row>
    <row r="1046" spans="1:12" ht="13.8" hidden="1" x14ac:dyDescent="0.25">
      <c r="A1046" s="61"/>
      <c r="B1046" s="82"/>
      <c r="C1046" s="143" t="s">
        <v>911</v>
      </c>
      <c r="D1046" s="143"/>
      <c r="E1046" s="143"/>
      <c r="F1046" s="143"/>
      <c r="G1046" s="143"/>
      <c r="H1046" s="143"/>
      <c r="I1046" s="69"/>
      <c r="J1046" s="61"/>
      <c r="K1046" s="67"/>
      <c r="L1046" s="69">
        <f>SUM(BK60:BK1023)</f>
        <v>0</v>
      </c>
    </row>
    <row r="1047" spans="1:12" ht="13.8" hidden="1" x14ac:dyDescent="0.25">
      <c r="A1047" s="61"/>
      <c r="B1047" s="82"/>
      <c r="C1047" s="143" t="s">
        <v>912</v>
      </c>
      <c r="D1047" s="143"/>
      <c r="E1047" s="143"/>
      <c r="F1047" s="143"/>
      <c r="G1047" s="143"/>
      <c r="H1047" s="143"/>
      <c r="I1047" s="69"/>
      <c r="J1047" s="61"/>
      <c r="K1047" s="67"/>
      <c r="L1047" s="69">
        <f>SUM(BD60:BD1023)</f>
        <v>0</v>
      </c>
    </row>
    <row r="1048" spans="1:12" ht="13.8" hidden="1" x14ac:dyDescent="0.25">
      <c r="A1048" s="61"/>
      <c r="B1048" s="82"/>
      <c r="C1048" s="143" t="s">
        <v>1012</v>
      </c>
      <c r="D1048" s="143"/>
      <c r="E1048" s="143"/>
      <c r="F1048" s="143"/>
      <c r="G1048" s="143"/>
      <c r="H1048" s="143"/>
      <c r="I1048" s="69"/>
      <c r="J1048" s="61"/>
      <c r="K1048" s="67"/>
      <c r="L1048" s="69">
        <f>L999</f>
        <v>0</v>
      </c>
    </row>
    <row r="1049" spans="1:12" ht="13.8" x14ac:dyDescent="0.25">
      <c r="A1049" s="61"/>
      <c r="B1049" s="82"/>
      <c r="C1049" s="141" t="s">
        <v>916</v>
      </c>
      <c r="D1049" s="143"/>
      <c r="E1049" s="143"/>
      <c r="F1049" s="143"/>
      <c r="G1049" s="143"/>
      <c r="H1049" s="143"/>
      <c r="I1049" s="69"/>
      <c r="J1049" s="61"/>
      <c r="K1049" s="67"/>
      <c r="L1049" s="69"/>
    </row>
    <row r="1050" spans="1:12" ht="13.8" hidden="1" x14ac:dyDescent="0.25">
      <c r="A1050" s="61"/>
      <c r="B1050" s="82"/>
      <c r="C1050" s="143" t="s">
        <v>917</v>
      </c>
      <c r="D1050" s="143"/>
      <c r="E1050" s="143"/>
      <c r="F1050" s="143"/>
      <c r="G1050" s="143"/>
      <c r="H1050" s="143"/>
      <c r="I1050" s="69"/>
      <c r="J1050" s="61"/>
      <c r="K1050" s="67"/>
      <c r="L1050" s="69">
        <f>SUM(AX60:AX1023)</f>
        <v>0</v>
      </c>
    </row>
    <row r="1051" spans="1:12" ht="13.8" hidden="1" x14ac:dyDescent="0.25">
      <c r="A1051" s="61"/>
      <c r="B1051" s="82"/>
      <c r="C1051" s="143" t="s">
        <v>918</v>
      </c>
      <c r="D1051" s="143"/>
      <c r="E1051" s="143"/>
      <c r="F1051" s="143"/>
      <c r="G1051" s="143"/>
      <c r="H1051" s="143"/>
      <c r="I1051" s="69"/>
      <c r="J1051" s="61"/>
      <c r="K1051" s="67"/>
      <c r="L1051" s="69">
        <f>SUM(AY60:AY1023)</f>
        <v>0</v>
      </c>
    </row>
    <row r="1052" spans="1:12" ht="13.8" x14ac:dyDescent="0.25">
      <c r="A1052" s="61"/>
      <c r="B1052" s="82"/>
      <c r="C1052" s="143" t="s">
        <v>919</v>
      </c>
      <c r="D1052" s="143"/>
      <c r="E1052" s="143"/>
      <c r="F1052" s="144"/>
      <c r="G1052" s="73">
        <f>Source!F284</f>
        <v>345.98412400000001</v>
      </c>
      <c r="H1052" s="61"/>
      <c r="I1052" s="61"/>
      <c r="J1052" s="61"/>
      <c r="K1052" s="61"/>
      <c r="L1052" s="61"/>
    </row>
    <row r="1053" spans="1:12" ht="13.8" x14ac:dyDescent="0.25">
      <c r="A1053" s="61"/>
      <c r="B1053" s="82"/>
      <c r="C1053" s="143" t="s">
        <v>920</v>
      </c>
      <c r="D1053" s="143"/>
      <c r="E1053" s="143"/>
      <c r="F1053" s="144"/>
      <c r="G1053" s="73">
        <f>Source!F285</f>
        <v>24.553015800000001</v>
      </c>
      <c r="H1053" s="61"/>
      <c r="I1053" s="61"/>
      <c r="J1053" s="61"/>
      <c r="K1053" s="61"/>
      <c r="L1053" s="61"/>
    </row>
    <row r="1055" spans="1:12" s="109" customFormat="1" ht="13.8" x14ac:dyDescent="0.25">
      <c r="C1055" s="109" t="s">
        <v>1081</v>
      </c>
      <c r="L1055" s="112">
        <f>L1025</f>
        <v>491721.31</v>
      </c>
    </row>
    <row r="1056" spans="1:12" s="109" customFormat="1" ht="13.8" x14ac:dyDescent="0.25">
      <c r="C1056" s="109" t="s">
        <v>158</v>
      </c>
      <c r="L1056" s="112">
        <f>L1055*0.22</f>
        <v>108178.6882</v>
      </c>
    </row>
    <row r="1057" spans="1:12" s="109" customFormat="1" ht="13.8" x14ac:dyDescent="0.25">
      <c r="C1057" s="109" t="s">
        <v>1080</v>
      </c>
      <c r="L1057" s="112">
        <f>SUM(L1055:L1056)</f>
        <v>599899.99820000003</v>
      </c>
    </row>
    <row r="1061" spans="1:12" ht="13.95" customHeight="1" x14ac:dyDescent="0.25">
      <c r="A1061" s="94"/>
      <c r="B1061" s="95" t="s">
        <v>1013</v>
      </c>
      <c r="C1061" s="96" t="str">
        <f>IF(Source!AC12&lt;&gt;"", Source!AC12," ")</f>
        <v xml:space="preserve"> </v>
      </c>
      <c r="D1061" s="53"/>
      <c r="E1061" s="53"/>
      <c r="F1061" s="53"/>
      <c r="G1061" s="53"/>
      <c r="H1061" s="33" t="str">
        <f>IF(Source!AB12&lt;&gt;"", Source!AB12," ")</f>
        <v xml:space="preserve"> </v>
      </c>
      <c r="I1061" s="43"/>
      <c r="J1061" s="43"/>
      <c r="K1061" s="57"/>
      <c r="L1061" s="57"/>
    </row>
    <row r="1062" spans="1:12" ht="13.95" customHeight="1" x14ac:dyDescent="0.25">
      <c r="A1062" s="94"/>
      <c r="B1062" s="97"/>
      <c r="C1062" s="146" t="s">
        <v>1014</v>
      </c>
      <c r="D1062" s="146"/>
      <c r="E1062" s="146"/>
      <c r="F1062" s="146"/>
      <c r="G1062" s="146"/>
      <c r="H1062" s="43"/>
      <c r="I1062" s="43"/>
      <c r="J1062" s="43"/>
      <c r="K1062" s="57"/>
      <c r="L1062" s="57"/>
    </row>
    <row r="1063" spans="1:12" ht="13.95" customHeight="1" x14ac:dyDescent="0.25">
      <c r="A1063" s="94"/>
      <c r="B1063" s="97"/>
      <c r="C1063" s="32"/>
      <c r="D1063" s="32"/>
      <c r="E1063" s="32"/>
      <c r="F1063" s="32"/>
      <c r="G1063" s="32"/>
      <c r="H1063" s="43"/>
      <c r="I1063" s="43"/>
      <c r="J1063" s="43"/>
      <c r="K1063" s="57"/>
      <c r="L1063" s="57"/>
    </row>
    <row r="1064" spans="1:12" ht="13.95" customHeight="1" x14ac:dyDescent="0.25">
      <c r="A1064" s="94"/>
      <c r="B1064" s="95" t="s">
        <v>1015</v>
      </c>
      <c r="C1064" s="96" t="str">
        <f>IF(Source!AE12&lt;&gt;"", Source!AE12," ")</f>
        <v xml:space="preserve"> </v>
      </c>
      <c r="D1064" s="53"/>
      <c r="E1064" s="53"/>
      <c r="F1064" s="53"/>
      <c r="G1064" s="53"/>
      <c r="H1064" s="33" t="str">
        <f>IF(Source!AD12&lt;&gt;"", Source!AD12," ")</f>
        <v xml:space="preserve"> </v>
      </c>
      <c r="I1064" s="43"/>
      <c r="J1064" s="43"/>
      <c r="K1064" s="57"/>
      <c r="L1064" s="57"/>
    </row>
    <row r="1065" spans="1:12" ht="13.95" customHeight="1" x14ac:dyDescent="0.25">
      <c r="A1065" s="32"/>
      <c r="B1065" s="32"/>
      <c r="C1065" s="146" t="s">
        <v>1014</v>
      </c>
      <c r="D1065" s="146"/>
      <c r="E1065" s="146"/>
      <c r="F1065" s="146"/>
      <c r="G1065" s="146"/>
      <c r="H1065" s="43"/>
      <c r="I1065" s="43"/>
      <c r="J1065" s="43"/>
      <c r="K1065" s="57"/>
      <c r="L1065" s="57"/>
    </row>
  </sheetData>
  <mergeCells count="449">
    <mergeCell ref="C1036:H1036"/>
    <mergeCell ref="C1037:H1037"/>
    <mergeCell ref="C1038:H1038"/>
    <mergeCell ref="C1039:H1039"/>
    <mergeCell ref="C1040:H1040"/>
    <mergeCell ref="C1041:H1041"/>
    <mergeCell ref="C1030:H1030"/>
    <mergeCell ref="C1031:H1031"/>
    <mergeCell ref="C1032:H1032"/>
    <mergeCell ref="C1033:H1033"/>
    <mergeCell ref="C1034:H1034"/>
    <mergeCell ref="C1035:H1035"/>
    <mergeCell ref="C1062:G1062"/>
    <mergeCell ref="C1065:G1065"/>
    <mergeCell ref="C1048:H1048"/>
    <mergeCell ref="C1049:H1049"/>
    <mergeCell ref="C1050:H1050"/>
    <mergeCell ref="C1051:H1051"/>
    <mergeCell ref="C1052:F1052"/>
    <mergeCell ref="C1053:F1053"/>
    <mergeCell ref="C1042:H1042"/>
    <mergeCell ref="C1043:H1043"/>
    <mergeCell ref="C1044:H1044"/>
    <mergeCell ref="C1045:H1045"/>
    <mergeCell ref="C1046:H1046"/>
    <mergeCell ref="C1047:H1047"/>
    <mergeCell ref="C1023:H1023"/>
    <mergeCell ref="C1025:H1025"/>
    <mergeCell ref="C1026:H1026"/>
    <mergeCell ref="C1027:H1027"/>
    <mergeCell ref="C1028:H1028"/>
    <mergeCell ref="C1029:H1029"/>
    <mergeCell ref="C1017:H1017"/>
    <mergeCell ref="C1018:H1018"/>
    <mergeCell ref="C1019:H1019"/>
    <mergeCell ref="C1020:H1020"/>
    <mergeCell ref="C1021:H1021"/>
    <mergeCell ref="C1022:H1022"/>
    <mergeCell ref="C1011:H1011"/>
    <mergeCell ref="C1012:H1012"/>
    <mergeCell ref="C1013:H1013"/>
    <mergeCell ref="C1014:H1014"/>
    <mergeCell ref="C1015:H1015"/>
    <mergeCell ref="C1016:H1016"/>
    <mergeCell ref="C1005:H1005"/>
    <mergeCell ref="C1006:H1006"/>
    <mergeCell ref="C1007:H1007"/>
    <mergeCell ref="C1008:H1008"/>
    <mergeCell ref="C1009:H1009"/>
    <mergeCell ref="C1010:H1010"/>
    <mergeCell ref="C999:H999"/>
    <mergeCell ref="C1000:H1000"/>
    <mergeCell ref="C1001:H1001"/>
    <mergeCell ref="C1002:H1002"/>
    <mergeCell ref="C1003:H1003"/>
    <mergeCell ref="C1004:H1004"/>
    <mergeCell ref="C991:H991"/>
    <mergeCell ref="C992:H992"/>
    <mergeCell ref="C994:H994"/>
    <mergeCell ref="C995:H995"/>
    <mergeCell ref="C996:H996"/>
    <mergeCell ref="C997:H997"/>
    <mergeCell ref="C985:H985"/>
    <mergeCell ref="C986:H986"/>
    <mergeCell ref="C987:H987"/>
    <mergeCell ref="C988:H988"/>
    <mergeCell ref="C989:H989"/>
    <mergeCell ref="C990:H990"/>
    <mergeCell ref="C979:H979"/>
    <mergeCell ref="C980:H980"/>
    <mergeCell ref="C981:H981"/>
    <mergeCell ref="C982:H982"/>
    <mergeCell ref="C983:H983"/>
    <mergeCell ref="C984:H984"/>
    <mergeCell ref="C972:H972"/>
    <mergeCell ref="C974:H974"/>
    <mergeCell ref="C975:H975"/>
    <mergeCell ref="C976:H976"/>
    <mergeCell ref="C977:H977"/>
    <mergeCell ref="C978:H978"/>
    <mergeCell ref="C966:H966"/>
    <mergeCell ref="C967:H967"/>
    <mergeCell ref="C968:H968"/>
    <mergeCell ref="C969:H969"/>
    <mergeCell ref="C970:H970"/>
    <mergeCell ref="C971:H971"/>
    <mergeCell ref="C960:H960"/>
    <mergeCell ref="C961:H961"/>
    <mergeCell ref="C962:H962"/>
    <mergeCell ref="C963:H963"/>
    <mergeCell ref="C964:H964"/>
    <mergeCell ref="C965:H965"/>
    <mergeCell ref="C954:H954"/>
    <mergeCell ref="C955:H955"/>
    <mergeCell ref="C956:H956"/>
    <mergeCell ref="C957:H957"/>
    <mergeCell ref="C958:H958"/>
    <mergeCell ref="C959:H959"/>
    <mergeCell ref="C948:H948"/>
    <mergeCell ref="C949:F949"/>
    <mergeCell ref="C950:F950"/>
    <mergeCell ref="C952:H952"/>
    <mergeCell ref="C942:H942"/>
    <mergeCell ref="C943:H943"/>
    <mergeCell ref="C944:H944"/>
    <mergeCell ref="C945:H945"/>
    <mergeCell ref="C946:H946"/>
    <mergeCell ref="C947:H947"/>
    <mergeCell ref="C936:H936"/>
    <mergeCell ref="C937:H937"/>
    <mergeCell ref="C938:H938"/>
    <mergeCell ref="C939:H939"/>
    <mergeCell ref="C940:H940"/>
    <mergeCell ref="C941:H941"/>
    <mergeCell ref="C930:H930"/>
    <mergeCell ref="C931:H931"/>
    <mergeCell ref="C932:H932"/>
    <mergeCell ref="C933:H933"/>
    <mergeCell ref="C934:H934"/>
    <mergeCell ref="C935:H935"/>
    <mergeCell ref="C924:H924"/>
    <mergeCell ref="C925:H925"/>
    <mergeCell ref="C926:H926"/>
    <mergeCell ref="C927:H927"/>
    <mergeCell ref="C928:H928"/>
    <mergeCell ref="C929:H929"/>
    <mergeCell ref="C919:H919"/>
    <mergeCell ref="I919:J919"/>
    <mergeCell ref="K919:L919"/>
    <mergeCell ref="C921:H921"/>
    <mergeCell ref="C922:H922"/>
    <mergeCell ref="C923:H923"/>
    <mergeCell ref="A891:L891"/>
    <mergeCell ref="C893:L893"/>
    <mergeCell ref="C907:H907"/>
    <mergeCell ref="I907:J907"/>
    <mergeCell ref="K907:L907"/>
    <mergeCell ref="C910:L910"/>
    <mergeCell ref="C886:H886"/>
    <mergeCell ref="C887:H887"/>
    <mergeCell ref="C888:F888"/>
    <mergeCell ref="C889:F889"/>
    <mergeCell ref="C880:H880"/>
    <mergeCell ref="C881:H881"/>
    <mergeCell ref="C882:H882"/>
    <mergeCell ref="C883:H883"/>
    <mergeCell ref="C884:H884"/>
    <mergeCell ref="C885:H885"/>
    <mergeCell ref="C874:H874"/>
    <mergeCell ref="C875:H875"/>
    <mergeCell ref="C876:H876"/>
    <mergeCell ref="C877:H877"/>
    <mergeCell ref="C878:H878"/>
    <mergeCell ref="C879:H879"/>
    <mergeCell ref="C868:H868"/>
    <mergeCell ref="C869:H869"/>
    <mergeCell ref="C870:H870"/>
    <mergeCell ref="C871:H871"/>
    <mergeCell ref="C872:H872"/>
    <mergeCell ref="C873:H873"/>
    <mergeCell ref="C862:H862"/>
    <mergeCell ref="C863:H863"/>
    <mergeCell ref="C864:H864"/>
    <mergeCell ref="C865:H865"/>
    <mergeCell ref="C866:H866"/>
    <mergeCell ref="C867:H867"/>
    <mergeCell ref="C839:L839"/>
    <mergeCell ref="C858:H858"/>
    <mergeCell ref="I858:J858"/>
    <mergeCell ref="K858:L858"/>
    <mergeCell ref="C860:H860"/>
    <mergeCell ref="C861:H861"/>
    <mergeCell ref="C820:H820"/>
    <mergeCell ref="I820:J820"/>
    <mergeCell ref="K820:L820"/>
    <mergeCell ref="C822:L822"/>
    <mergeCell ref="C837:H837"/>
    <mergeCell ref="I837:J837"/>
    <mergeCell ref="K837:L837"/>
    <mergeCell ref="C747:L747"/>
    <mergeCell ref="C765:H765"/>
    <mergeCell ref="I765:J765"/>
    <mergeCell ref="K765:L765"/>
    <mergeCell ref="C767:L767"/>
    <mergeCell ref="C799:H799"/>
    <mergeCell ref="I799:J799"/>
    <mergeCell ref="K799:L799"/>
    <mergeCell ref="C703:L703"/>
    <mergeCell ref="C718:H718"/>
    <mergeCell ref="I718:J718"/>
    <mergeCell ref="K718:L718"/>
    <mergeCell ref="C721:L721"/>
    <mergeCell ref="C744:H744"/>
    <mergeCell ref="I744:J744"/>
    <mergeCell ref="K744:L744"/>
    <mergeCell ref="C663:L663"/>
    <mergeCell ref="C683:H683"/>
    <mergeCell ref="I683:J683"/>
    <mergeCell ref="K683:L683"/>
    <mergeCell ref="C686:L686"/>
    <mergeCell ref="C701:H701"/>
    <mergeCell ref="I701:J701"/>
    <mergeCell ref="K701:L701"/>
    <mergeCell ref="C637:H637"/>
    <mergeCell ref="I637:J637"/>
    <mergeCell ref="K637:L637"/>
    <mergeCell ref="C639:L639"/>
    <mergeCell ref="C661:H661"/>
    <mergeCell ref="I661:J661"/>
    <mergeCell ref="K661:L661"/>
    <mergeCell ref="C565:L565"/>
    <mergeCell ref="C597:H597"/>
    <mergeCell ref="I597:J597"/>
    <mergeCell ref="K597:L597"/>
    <mergeCell ref="C616:H616"/>
    <mergeCell ref="I616:J616"/>
    <mergeCell ref="K616:L616"/>
    <mergeCell ref="C493:L493"/>
    <mergeCell ref="C525:H525"/>
    <mergeCell ref="I525:J525"/>
    <mergeCell ref="K525:L525"/>
    <mergeCell ref="C528:L528"/>
    <mergeCell ref="C562:H562"/>
    <mergeCell ref="I562:J562"/>
    <mergeCell ref="K562:L562"/>
    <mergeCell ref="A452:L452"/>
    <mergeCell ref="C456:L456"/>
    <mergeCell ref="C490:H490"/>
    <mergeCell ref="I490:J490"/>
    <mergeCell ref="K490:L490"/>
    <mergeCell ref="C444:H444"/>
    <mergeCell ref="C445:H445"/>
    <mergeCell ref="C446:H446"/>
    <mergeCell ref="C447:H447"/>
    <mergeCell ref="C448:F448"/>
    <mergeCell ref="C449:F449"/>
    <mergeCell ref="C438:H438"/>
    <mergeCell ref="C439:H439"/>
    <mergeCell ref="C440:H440"/>
    <mergeCell ref="C441:H441"/>
    <mergeCell ref="C442:H442"/>
    <mergeCell ref="C443:H443"/>
    <mergeCell ref="C432:H432"/>
    <mergeCell ref="C433:H433"/>
    <mergeCell ref="C434:H434"/>
    <mergeCell ref="C435:H435"/>
    <mergeCell ref="C436:H436"/>
    <mergeCell ref="C437:H437"/>
    <mergeCell ref="C426:H426"/>
    <mergeCell ref="C427:H427"/>
    <mergeCell ref="C428:H428"/>
    <mergeCell ref="C429:H429"/>
    <mergeCell ref="C430:H430"/>
    <mergeCell ref="C431:H431"/>
    <mergeCell ref="C420:H420"/>
    <mergeCell ref="C421:H421"/>
    <mergeCell ref="C422:H422"/>
    <mergeCell ref="C423:H423"/>
    <mergeCell ref="C424:H424"/>
    <mergeCell ref="C425:H425"/>
    <mergeCell ref="C413:H413"/>
    <mergeCell ref="I413:J413"/>
    <mergeCell ref="K413:L413"/>
    <mergeCell ref="C418:H418"/>
    <mergeCell ref="I418:J418"/>
    <mergeCell ref="K418:L418"/>
    <mergeCell ref="C378:L378"/>
    <mergeCell ref="C395:H395"/>
    <mergeCell ref="I395:J395"/>
    <mergeCell ref="K395:L395"/>
    <mergeCell ref="C397:L397"/>
    <mergeCell ref="C408:H408"/>
    <mergeCell ref="I408:J408"/>
    <mergeCell ref="K408:L408"/>
    <mergeCell ref="C356:H356"/>
    <mergeCell ref="I356:J356"/>
    <mergeCell ref="K356:L356"/>
    <mergeCell ref="C359:L359"/>
    <mergeCell ref="C376:H376"/>
    <mergeCell ref="I376:J376"/>
    <mergeCell ref="K376:L376"/>
    <mergeCell ref="C335:L335"/>
    <mergeCell ref="C342:H342"/>
    <mergeCell ref="I342:J342"/>
    <mergeCell ref="K342:L342"/>
    <mergeCell ref="C344:L344"/>
    <mergeCell ref="C351:H351"/>
    <mergeCell ref="I351:J351"/>
    <mergeCell ref="K351:L351"/>
    <mergeCell ref="C328:H328"/>
    <mergeCell ref="I328:J328"/>
    <mergeCell ref="K328:L328"/>
    <mergeCell ref="C333:H333"/>
    <mergeCell ref="I333:J333"/>
    <mergeCell ref="K333:L333"/>
    <mergeCell ref="C292:F292"/>
    <mergeCell ref="C313:H313"/>
    <mergeCell ref="I313:J313"/>
    <mergeCell ref="K313:L313"/>
    <mergeCell ref="C316:L316"/>
    <mergeCell ref="C323:H323"/>
    <mergeCell ref="I323:J323"/>
    <mergeCell ref="K323:L323"/>
    <mergeCell ref="C266:L266"/>
    <mergeCell ref="C288:H288"/>
    <mergeCell ref="I288:J288"/>
    <mergeCell ref="K288:L288"/>
    <mergeCell ref="C290:L290"/>
    <mergeCell ref="C291:L291"/>
    <mergeCell ref="A251:L251"/>
    <mergeCell ref="C253:L253"/>
    <mergeCell ref="C263:H263"/>
    <mergeCell ref="I263:J263"/>
    <mergeCell ref="K263:L263"/>
    <mergeCell ref="C243:H243"/>
    <mergeCell ref="C244:H244"/>
    <mergeCell ref="C245:H245"/>
    <mergeCell ref="C246:H246"/>
    <mergeCell ref="C247:F247"/>
    <mergeCell ref="C248:F248"/>
    <mergeCell ref="C237:H237"/>
    <mergeCell ref="C238:H238"/>
    <mergeCell ref="C239:H239"/>
    <mergeCell ref="C240:H240"/>
    <mergeCell ref="C241:H241"/>
    <mergeCell ref="C242:H242"/>
    <mergeCell ref="C231:H231"/>
    <mergeCell ref="C232:H232"/>
    <mergeCell ref="C233:H233"/>
    <mergeCell ref="C234:H234"/>
    <mergeCell ref="C235:H235"/>
    <mergeCell ref="C236:H236"/>
    <mergeCell ref="C225:H225"/>
    <mergeCell ref="C226:H226"/>
    <mergeCell ref="C227:H227"/>
    <mergeCell ref="C228:H228"/>
    <mergeCell ref="C229:H229"/>
    <mergeCell ref="C230:H230"/>
    <mergeCell ref="C219:H219"/>
    <mergeCell ref="C220:H220"/>
    <mergeCell ref="C221:H221"/>
    <mergeCell ref="C222:H222"/>
    <mergeCell ref="C223:H223"/>
    <mergeCell ref="C224:H224"/>
    <mergeCell ref="C189:L189"/>
    <mergeCell ref="C196:H196"/>
    <mergeCell ref="I196:J196"/>
    <mergeCell ref="K196:L196"/>
    <mergeCell ref="C198:L198"/>
    <mergeCell ref="C217:H217"/>
    <mergeCell ref="I217:J217"/>
    <mergeCell ref="K217:L217"/>
    <mergeCell ref="C173:H173"/>
    <mergeCell ref="I173:J173"/>
    <mergeCell ref="K173:L173"/>
    <mergeCell ref="C175:L175"/>
    <mergeCell ref="C187:H187"/>
    <mergeCell ref="I187:J187"/>
    <mergeCell ref="K187:L187"/>
    <mergeCell ref="C143:L143"/>
    <mergeCell ref="C150:H150"/>
    <mergeCell ref="I150:J150"/>
    <mergeCell ref="K150:L150"/>
    <mergeCell ref="C152:L152"/>
    <mergeCell ref="C159:H159"/>
    <mergeCell ref="I159:J159"/>
    <mergeCell ref="K159:L159"/>
    <mergeCell ref="C127:L127"/>
    <mergeCell ref="C136:H136"/>
    <mergeCell ref="I136:J136"/>
    <mergeCell ref="K136:L136"/>
    <mergeCell ref="C141:H141"/>
    <mergeCell ref="I141:J141"/>
    <mergeCell ref="K141:L141"/>
    <mergeCell ref="C111:L111"/>
    <mergeCell ref="C118:H118"/>
    <mergeCell ref="I118:J118"/>
    <mergeCell ref="K118:L118"/>
    <mergeCell ref="C123:H123"/>
    <mergeCell ref="I123:J123"/>
    <mergeCell ref="K123:L123"/>
    <mergeCell ref="C100:L100"/>
    <mergeCell ref="C101:L101"/>
    <mergeCell ref="C102:F102"/>
    <mergeCell ref="C109:H109"/>
    <mergeCell ref="I109:J109"/>
    <mergeCell ref="K109:L109"/>
    <mergeCell ref="C86:H86"/>
    <mergeCell ref="I86:J86"/>
    <mergeCell ref="K86:L86"/>
    <mergeCell ref="C89:L89"/>
    <mergeCell ref="C98:H98"/>
    <mergeCell ref="I98:J98"/>
    <mergeCell ref="K98:L98"/>
    <mergeCell ref="C72:H72"/>
    <mergeCell ref="I72:J72"/>
    <mergeCell ref="K72:L72"/>
    <mergeCell ref="C74:L74"/>
    <mergeCell ref="C81:H81"/>
    <mergeCell ref="I81:J81"/>
    <mergeCell ref="K81:L81"/>
    <mergeCell ref="E54:G57"/>
    <mergeCell ref="H54:L57"/>
    <mergeCell ref="A60:L60"/>
    <mergeCell ref="C63:L63"/>
    <mergeCell ref="C64:L64"/>
    <mergeCell ref="C65:F65"/>
    <mergeCell ref="C51:D51"/>
    <mergeCell ref="C52:D52"/>
    <mergeCell ref="A54:A58"/>
    <mergeCell ref="B54:B58"/>
    <mergeCell ref="C54:C58"/>
    <mergeCell ref="D54:D58"/>
    <mergeCell ref="A36:L36"/>
    <mergeCell ref="C41:L41"/>
    <mergeCell ref="C42:L42"/>
    <mergeCell ref="C46:D46"/>
    <mergeCell ref="C49:D49"/>
    <mergeCell ref="C50:D50"/>
    <mergeCell ref="A27:L27"/>
    <mergeCell ref="A28:L28"/>
    <mergeCell ref="A30:L30"/>
    <mergeCell ref="A31:L31"/>
    <mergeCell ref="A33:L33"/>
    <mergeCell ref="A35:L35"/>
    <mergeCell ref="A20:E20"/>
    <mergeCell ref="F20:L20"/>
    <mergeCell ref="A22:E22"/>
    <mergeCell ref="A24:E24"/>
    <mergeCell ref="F24:L24"/>
    <mergeCell ref="A18:E18"/>
    <mergeCell ref="F18:L18"/>
    <mergeCell ref="F22:L22"/>
    <mergeCell ref="B7:E7"/>
    <mergeCell ref="H7:L7"/>
    <mergeCell ref="A10:E10"/>
    <mergeCell ref="F10:L10"/>
    <mergeCell ref="A12:E12"/>
    <mergeCell ref="F12:L12"/>
    <mergeCell ref="B3:E3"/>
    <mergeCell ref="H3:L3"/>
    <mergeCell ref="B4:E4"/>
    <mergeCell ref="H4:L4"/>
    <mergeCell ref="B6:E6"/>
    <mergeCell ref="H6:L6"/>
    <mergeCell ref="A14:E14"/>
    <mergeCell ref="F14:L14"/>
    <mergeCell ref="A16:E16"/>
    <mergeCell ref="F16:L16"/>
  </mergeCells>
  <pageMargins left="0.39370078740157483" right="0.19685039370078741" top="0.19685039370078741" bottom="0.39370078740157483" header="0.19685039370078741" footer="0.19685039370078741"/>
  <pageSetup paperSize="9" scale="71" fitToHeight="0" orientation="landscape" verticalDpi="0" r:id="rId1"/>
  <headerFooter>
    <oddHeader>&amp;L&amp;8</oddHeader>
    <oddFooter>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38"/>
  <sheetViews>
    <sheetView workbookViewId="0"/>
  </sheetViews>
  <sheetFormatPr defaultColWidth="9.21875" defaultRowHeight="13.2" x14ac:dyDescent="0.25"/>
  <cols>
    <col min="1" max="256" width="9.21875" customWidth="1"/>
  </cols>
  <sheetData>
    <row r="1" spans="1:21" x14ac:dyDescent="0.25">
      <c r="A1">
        <v>31</v>
      </c>
      <c r="B1">
        <v>1</v>
      </c>
      <c r="C1" t="s">
        <v>3</v>
      </c>
      <c r="D1" t="s">
        <v>3</v>
      </c>
      <c r="E1" t="s">
        <v>780</v>
      </c>
      <c r="F1" t="s">
        <v>780</v>
      </c>
      <c r="G1" t="s">
        <v>780</v>
      </c>
      <c r="H1" t="s">
        <v>3</v>
      </c>
      <c r="I1" t="s">
        <v>780</v>
      </c>
      <c r="J1" t="s">
        <v>780</v>
      </c>
      <c r="K1" t="s">
        <v>3</v>
      </c>
      <c r="L1" t="s">
        <v>3</v>
      </c>
      <c r="M1" t="s">
        <v>3</v>
      </c>
      <c r="N1" t="s">
        <v>3</v>
      </c>
      <c r="O1" t="s">
        <v>780</v>
      </c>
      <c r="P1" t="s">
        <v>3</v>
      </c>
      <c r="Q1" t="s">
        <v>3</v>
      </c>
      <c r="R1" t="s">
        <v>3</v>
      </c>
      <c r="S1" t="s">
        <v>781</v>
      </c>
      <c r="T1" t="s">
        <v>782</v>
      </c>
      <c r="U1" t="s">
        <v>783</v>
      </c>
    </row>
    <row r="2" spans="1:21" x14ac:dyDescent="0.25">
      <c r="A2">
        <v>31</v>
      </c>
      <c r="B2">
        <v>1</v>
      </c>
      <c r="C2" t="s">
        <v>3</v>
      </c>
      <c r="D2" t="s">
        <v>3</v>
      </c>
      <c r="E2" t="s">
        <v>3</v>
      </c>
      <c r="F2" t="s">
        <v>3</v>
      </c>
      <c r="G2" t="s">
        <v>784</v>
      </c>
      <c r="H2" t="s">
        <v>3</v>
      </c>
      <c r="I2" t="s">
        <v>784</v>
      </c>
      <c r="J2" t="s">
        <v>3</v>
      </c>
      <c r="K2" t="s">
        <v>3</v>
      </c>
      <c r="L2" t="s">
        <v>3</v>
      </c>
      <c r="M2" t="s">
        <v>3</v>
      </c>
      <c r="N2" t="s">
        <v>3</v>
      </c>
      <c r="O2" t="s">
        <v>3</v>
      </c>
      <c r="P2" t="s">
        <v>3</v>
      </c>
      <c r="Q2" t="s">
        <v>3</v>
      </c>
      <c r="R2" t="s">
        <v>3</v>
      </c>
      <c r="S2" t="s">
        <v>785</v>
      </c>
      <c r="T2" t="s">
        <v>786</v>
      </c>
      <c r="U2" t="s">
        <v>787</v>
      </c>
    </row>
    <row r="3" spans="1:21" x14ac:dyDescent="0.25">
      <c r="A3">
        <v>32</v>
      </c>
      <c r="B3">
        <v>1</v>
      </c>
      <c r="C3" t="s">
        <v>3</v>
      </c>
      <c r="D3" t="s">
        <v>3</v>
      </c>
      <c r="E3" t="s">
        <v>780</v>
      </c>
      <c r="F3" t="s">
        <v>780</v>
      </c>
      <c r="G3" t="s">
        <v>780</v>
      </c>
      <c r="H3" t="s">
        <v>3</v>
      </c>
      <c r="I3" t="s">
        <v>780</v>
      </c>
      <c r="J3" t="s">
        <v>780</v>
      </c>
      <c r="K3" t="s">
        <v>3</v>
      </c>
      <c r="L3" t="s">
        <v>3</v>
      </c>
      <c r="M3" t="s">
        <v>3</v>
      </c>
      <c r="N3" t="s">
        <v>3</v>
      </c>
      <c r="O3" t="s">
        <v>780</v>
      </c>
      <c r="P3" t="s">
        <v>3</v>
      </c>
      <c r="Q3" t="s">
        <v>3</v>
      </c>
      <c r="R3" t="s">
        <v>3</v>
      </c>
      <c r="S3" t="s">
        <v>788</v>
      </c>
      <c r="T3" t="s">
        <v>789</v>
      </c>
      <c r="U3" t="s">
        <v>790</v>
      </c>
    </row>
    <row r="4" spans="1:21" x14ac:dyDescent="0.25">
      <c r="A4">
        <v>35</v>
      </c>
      <c r="B4">
        <v>1</v>
      </c>
      <c r="C4" t="s">
        <v>3</v>
      </c>
      <c r="D4" t="s">
        <v>3</v>
      </c>
      <c r="E4" t="s">
        <v>780</v>
      </c>
      <c r="F4" t="s">
        <v>780</v>
      </c>
      <c r="G4" t="s">
        <v>780</v>
      </c>
      <c r="H4" t="s">
        <v>3</v>
      </c>
      <c r="I4" t="s">
        <v>780</v>
      </c>
      <c r="J4" t="s">
        <v>780</v>
      </c>
      <c r="K4" t="s">
        <v>3</v>
      </c>
      <c r="L4" t="s">
        <v>3</v>
      </c>
      <c r="M4" t="s">
        <v>3</v>
      </c>
      <c r="N4" t="s">
        <v>3</v>
      </c>
      <c r="O4" t="s">
        <v>780</v>
      </c>
      <c r="P4" t="s">
        <v>3</v>
      </c>
      <c r="Q4" t="s">
        <v>3</v>
      </c>
      <c r="R4" t="s">
        <v>3</v>
      </c>
      <c r="S4" t="s">
        <v>788</v>
      </c>
      <c r="T4" t="s">
        <v>789</v>
      </c>
      <c r="U4" t="s">
        <v>790</v>
      </c>
    </row>
    <row r="5" spans="1:21" x14ac:dyDescent="0.25">
      <c r="A5">
        <v>36</v>
      </c>
      <c r="B5">
        <v>1</v>
      </c>
      <c r="C5" t="s">
        <v>3</v>
      </c>
      <c r="D5" t="s">
        <v>3</v>
      </c>
      <c r="E5" t="s">
        <v>780</v>
      </c>
      <c r="F5" t="s">
        <v>780</v>
      </c>
      <c r="G5" t="s">
        <v>780</v>
      </c>
      <c r="H5" t="s">
        <v>3</v>
      </c>
      <c r="I5" t="s">
        <v>780</v>
      </c>
      <c r="J5" t="s">
        <v>780</v>
      </c>
      <c r="K5" t="s">
        <v>3</v>
      </c>
      <c r="L5" t="s">
        <v>3</v>
      </c>
      <c r="M5" t="s">
        <v>3</v>
      </c>
      <c r="N5" t="s">
        <v>3</v>
      </c>
      <c r="O5" t="s">
        <v>780</v>
      </c>
      <c r="P5" t="s">
        <v>3</v>
      </c>
      <c r="Q5" t="s">
        <v>3</v>
      </c>
      <c r="R5" t="s">
        <v>3</v>
      </c>
      <c r="S5" t="s">
        <v>788</v>
      </c>
      <c r="T5" t="s">
        <v>789</v>
      </c>
      <c r="U5" t="s">
        <v>790</v>
      </c>
    </row>
    <row r="6" spans="1:21" x14ac:dyDescent="0.25">
      <c r="A6">
        <v>36</v>
      </c>
      <c r="B6">
        <v>1</v>
      </c>
      <c r="C6" t="s">
        <v>3</v>
      </c>
      <c r="D6" t="s">
        <v>3</v>
      </c>
      <c r="E6" t="s">
        <v>3</v>
      </c>
      <c r="F6" t="s">
        <v>3</v>
      </c>
      <c r="G6" t="s">
        <v>791</v>
      </c>
      <c r="H6" t="s">
        <v>3</v>
      </c>
      <c r="I6" t="s">
        <v>791</v>
      </c>
      <c r="J6" t="s">
        <v>3</v>
      </c>
      <c r="K6" t="s">
        <v>3</v>
      </c>
      <c r="L6" t="s">
        <v>3</v>
      </c>
      <c r="M6" t="s">
        <v>3</v>
      </c>
      <c r="N6" t="s">
        <v>3</v>
      </c>
      <c r="O6" t="s">
        <v>3</v>
      </c>
      <c r="P6" t="s">
        <v>3</v>
      </c>
      <c r="Q6" t="s">
        <v>3</v>
      </c>
      <c r="R6" t="s">
        <v>3</v>
      </c>
      <c r="S6" t="s">
        <v>792</v>
      </c>
      <c r="T6" t="s">
        <v>793</v>
      </c>
      <c r="U6" t="s">
        <v>787</v>
      </c>
    </row>
    <row r="7" spans="1:21" x14ac:dyDescent="0.25">
      <c r="A7">
        <v>37</v>
      </c>
      <c r="B7">
        <v>1</v>
      </c>
      <c r="C7" t="s">
        <v>3</v>
      </c>
      <c r="D7" t="s">
        <v>3</v>
      </c>
      <c r="E7" t="s">
        <v>780</v>
      </c>
      <c r="F7" t="s">
        <v>780</v>
      </c>
      <c r="G7" t="s">
        <v>780</v>
      </c>
      <c r="H7" t="s">
        <v>3</v>
      </c>
      <c r="I7" t="s">
        <v>780</v>
      </c>
      <c r="J7" t="s">
        <v>780</v>
      </c>
      <c r="K7" t="s">
        <v>3</v>
      </c>
      <c r="L7" t="s">
        <v>3</v>
      </c>
      <c r="M7" t="s">
        <v>3</v>
      </c>
      <c r="N7" t="s">
        <v>3</v>
      </c>
      <c r="O7" t="s">
        <v>780</v>
      </c>
      <c r="P7" t="s">
        <v>3</v>
      </c>
      <c r="Q7" t="s">
        <v>3</v>
      </c>
      <c r="R7" t="s">
        <v>3</v>
      </c>
      <c r="S7" t="s">
        <v>788</v>
      </c>
      <c r="T7" t="s">
        <v>789</v>
      </c>
      <c r="U7" t="s">
        <v>790</v>
      </c>
    </row>
    <row r="8" spans="1:21" x14ac:dyDescent="0.25">
      <c r="A8">
        <v>41</v>
      </c>
      <c r="B8">
        <v>1</v>
      </c>
      <c r="C8" t="s">
        <v>3</v>
      </c>
      <c r="D8" t="s">
        <v>3</v>
      </c>
      <c r="E8" t="s">
        <v>780</v>
      </c>
      <c r="F8" t="s">
        <v>780</v>
      </c>
      <c r="G8" t="s">
        <v>780</v>
      </c>
      <c r="H8" t="s">
        <v>3</v>
      </c>
      <c r="I8" t="s">
        <v>780</v>
      </c>
      <c r="J8" t="s">
        <v>780</v>
      </c>
      <c r="K8" t="s">
        <v>3</v>
      </c>
      <c r="L8" t="s">
        <v>3</v>
      </c>
      <c r="M8" t="s">
        <v>3</v>
      </c>
      <c r="N8" t="s">
        <v>3</v>
      </c>
      <c r="O8" t="s">
        <v>780</v>
      </c>
      <c r="P8" t="s">
        <v>3</v>
      </c>
      <c r="Q8" t="s">
        <v>3</v>
      </c>
      <c r="R8" t="s">
        <v>3</v>
      </c>
      <c r="S8" t="s">
        <v>788</v>
      </c>
      <c r="T8" t="s">
        <v>789</v>
      </c>
      <c r="U8" t="s">
        <v>790</v>
      </c>
    </row>
    <row r="9" spans="1:21" x14ac:dyDescent="0.25">
      <c r="A9">
        <v>43</v>
      </c>
      <c r="B9">
        <v>1</v>
      </c>
      <c r="C9" t="s">
        <v>3</v>
      </c>
      <c r="D9" t="s">
        <v>3</v>
      </c>
      <c r="E9" t="s">
        <v>780</v>
      </c>
      <c r="F9" t="s">
        <v>780</v>
      </c>
      <c r="G9" t="s">
        <v>780</v>
      </c>
      <c r="H9" t="s">
        <v>3</v>
      </c>
      <c r="I9" t="s">
        <v>780</v>
      </c>
      <c r="J9" t="s">
        <v>780</v>
      </c>
      <c r="K9" t="s">
        <v>3</v>
      </c>
      <c r="L9" t="s">
        <v>3</v>
      </c>
      <c r="M9" t="s">
        <v>3</v>
      </c>
      <c r="N9" t="s">
        <v>3</v>
      </c>
      <c r="O9" t="s">
        <v>780</v>
      </c>
      <c r="P9" t="s">
        <v>3</v>
      </c>
      <c r="Q9" t="s">
        <v>3</v>
      </c>
      <c r="R9" t="s">
        <v>3</v>
      </c>
      <c r="S9" t="s">
        <v>788</v>
      </c>
      <c r="T9" t="s">
        <v>789</v>
      </c>
      <c r="U9" t="s">
        <v>790</v>
      </c>
    </row>
    <row r="10" spans="1:21" x14ac:dyDescent="0.25">
      <c r="A10">
        <v>44</v>
      </c>
      <c r="B10">
        <v>1</v>
      </c>
      <c r="C10" t="s">
        <v>3</v>
      </c>
      <c r="D10" t="s">
        <v>3</v>
      </c>
      <c r="E10" t="s">
        <v>780</v>
      </c>
      <c r="F10" t="s">
        <v>780</v>
      </c>
      <c r="G10" t="s">
        <v>780</v>
      </c>
      <c r="H10" t="s">
        <v>3</v>
      </c>
      <c r="I10" t="s">
        <v>780</v>
      </c>
      <c r="J10" t="s">
        <v>780</v>
      </c>
      <c r="K10" t="s">
        <v>3</v>
      </c>
      <c r="L10" t="s">
        <v>3</v>
      </c>
      <c r="M10" t="s">
        <v>3</v>
      </c>
      <c r="N10" t="s">
        <v>3</v>
      </c>
      <c r="O10" t="s">
        <v>780</v>
      </c>
      <c r="P10" t="s">
        <v>3</v>
      </c>
      <c r="Q10" t="s">
        <v>3</v>
      </c>
      <c r="R10" t="s">
        <v>3</v>
      </c>
      <c r="S10" t="s">
        <v>788</v>
      </c>
      <c r="T10" t="s">
        <v>789</v>
      </c>
      <c r="U10" t="s">
        <v>790</v>
      </c>
    </row>
    <row r="11" spans="1:21" x14ac:dyDescent="0.25">
      <c r="A11">
        <v>47</v>
      </c>
      <c r="B11">
        <v>1</v>
      </c>
      <c r="C11" t="s">
        <v>3</v>
      </c>
      <c r="D11" t="s">
        <v>3</v>
      </c>
      <c r="E11" t="s">
        <v>780</v>
      </c>
      <c r="F11" t="s">
        <v>780</v>
      </c>
      <c r="G11" t="s">
        <v>780</v>
      </c>
      <c r="H11" t="s">
        <v>3</v>
      </c>
      <c r="I11" t="s">
        <v>780</v>
      </c>
      <c r="J11" t="s">
        <v>780</v>
      </c>
      <c r="K11" t="s">
        <v>3</v>
      </c>
      <c r="L11" t="s">
        <v>3</v>
      </c>
      <c r="M11" t="s">
        <v>3</v>
      </c>
      <c r="N11" t="s">
        <v>3</v>
      </c>
      <c r="O11" t="s">
        <v>780</v>
      </c>
      <c r="P11" t="s">
        <v>3</v>
      </c>
      <c r="Q11" t="s">
        <v>3</v>
      </c>
      <c r="R11" t="s">
        <v>3</v>
      </c>
      <c r="S11" t="s">
        <v>788</v>
      </c>
      <c r="T11" t="s">
        <v>789</v>
      </c>
      <c r="U11" t="s">
        <v>790</v>
      </c>
    </row>
    <row r="12" spans="1:21" x14ac:dyDescent="0.25">
      <c r="A12">
        <v>48</v>
      </c>
      <c r="B12">
        <v>1</v>
      </c>
      <c r="C12" t="s">
        <v>3</v>
      </c>
      <c r="D12" t="s">
        <v>3</v>
      </c>
      <c r="E12" t="s">
        <v>780</v>
      </c>
      <c r="F12" t="s">
        <v>780</v>
      </c>
      <c r="G12" t="s">
        <v>780</v>
      </c>
      <c r="H12" t="s">
        <v>3</v>
      </c>
      <c r="I12" t="s">
        <v>780</v>
      </c>
      <c r="J12" t="s">
        <v>780</v>
      </c>
      <c r="K12" t="s">
        <v>3</v>
      </c>
      <c r="L12" t="s">
        <v>3</v>
      </c>
      <c r="M12" t="s">
        <v>3</v>
      </c>
      <c r="N12" t="s">
        <v>3</v>
      </c>
      <c r="O12" t="s">
        <v>780</v>
      </c>
      <c r="P12" t="s">
        <v>3</v>
      </c>
      <c r="Q12" t="s">
        <v>3</v>
      </c>
      <c r="R12" t="s">
        <v>3</v>
      </c>
      <c r="S12" t="s">
        <v>788</v>
      </c>
      <c r="T12" t="s">
        <v>789</v>
      </c>
      <c r="U12" t="s">
        <v>790</v>
      </c>
    </row>
    <row r="13" spans="1:21" x14ac:dyDescent="0.25">
      <c r="A13">
        <v>49</v>
      </c>
      <c r="B13">
        <v>1</v>
      </c>
      <c r="C13" t="s">
        <v>3</v>
      </c>
      <c r="D13" t="s">
        <v>3</v>
      </c>
      <c r="E13" t="s">
        <v>780</v>
      </c>
      <c r="F13" t="s">
        <v>780</v>
      </c>
      <c r="G13" t="s">
        <v>780</v>
      </c>
      <c r="H13" t="s">
        <v>3</v>
      </c>
      <c r="I13" t="s">
        <v>780</v>
      </c>
      <c r="J13" t="s">
        <v>780</v>
      </c>
      <c r="K13" t="s">
        <v>3</v>
      </c>
      <c r="L13" t="s">
        <v>3</v>
      </c>
      <c r="M13" t="s">
        <v>3</v>
      </c>
      <c r="N13" t="s">
        <v>3</v>
      </c>
      <c r="O13" t="s">
        <v>780</v>
      </c>
      <c r="P13" t="s">
        <v>3</v>
      </c>
      <c r="Q13" t="s">
        <v>3</v>
      </c>
      <c r="R13" t="s">
        <v>3</v>
      </c>
      <c r="S13" t="s">
        <v>788</v>
      </c>
      <c r="T13" t="s">
        <v>789</v>
      </c>
      <c r="U13" t="s">
        <v>790</v>
      </c>
    </row>
    <row r="14" spans="1:21" x14ac:dyDescent="0.25">
      <c r="A14">
        <v>87</v>
      </c>
      <c r="B14">
        <v>1</v>
      </c>
      <c r="C14" t="s">
        <v>3</v>
      </c>
      <c r="D14" t="s">
        <v>3</v>
      </c>
      <c r="E14" t="s">
        <v>780</v>
      </c>
      <c r="F14" t="s">
        <v>780</v>
      </c>
      <c r="G14" t="s">
        <v>780</v>
      </c>
      <c r="H14" t="s">
        <v>3</v>
      </c>
      <c r="I14" t="s">
        <v>780</v>
      </c>
      <c r="J14" t="s">
        <v>780</v>
      </c>
      <c r="K14" t="s">
        <v>3</v>
      </c>
      <c r="L14" t="s">
        <v>3</v>
      </c>
      <c r="M14" t="s">
        <v>3</v>
      </c>
      <c r="N14" t="s">
        <v>3</v>
      </c>
      <c r="O14" t="s">
        <v>780</v>
      </c>
      <c r="P14" t="s">
        <v>3</v>
      </c>
      <c r="Q14" t="s">
        <v>3</v>
      </c>
      <c r="R14" t="s">
        <v>3</v>
      </c>
      <c r="S14" t="s">
        <v>788</v>
      </c>
      <c r="T14" t="s">
        <v>789</v>
      </c>
      <c r="U14" t="s">
        <v>790</v>
      </c>
    </row>
    <row r="15" spans="1:21" x14ac:dyDescent="0.25">
      <c r="A15">
        <v>89</v>
      </c>
      <c r="B15">
        <v>1</v>
      </c>
      <c r="C15" t="s">
        <v>3</v>
      </c>
      <c r="D15" t="s">
        <v>3</v>
      </c>
      <c r="E15" t="s">
        <v>780</v>
      </c>
      <c r="F15" t="s">
        <v>780</v>
      </c>
      <c r="G15" t="s">
        <v>780</v>
      </c>
      <c r="H15" t="s">
        <v>3</v>
      </c>
      <c r="I15" t="s">
        <v>780</v>
      </c>
      <c r="J15" t="s">
        <v>780</v>
      </c>
      <c r="K15" t="s">
        <v>3</v>
      </c>
      <c r="L15" t="s">
        <v>3</v>
      </c>
      <c r="M15" t="s">
        <v>3</v>
      </c>
      <c r="N15" t="s">
        <v>3</v>
      </c>
      <c r="O15" t="s">
        <v>780</v>
      </c>
      <c r="P15" t="s">
        <v>3</v>
      </c>
      <c r="Q15" t="s">
        <v>3</v>
      </c>
      <c r="R15" t="s">
        <v>3</v>
      </c>
      <c r="S15" t="s">
        <v>788</v>
      </c>
      <c r="T15" t="s">
        <v>789</v>
      </c>
      <c r="U15" t="s">
        <v>790</v>
      </c>
    </row>
    <row r="16" spans="1:21" x14ac:dyDescent="0.25">
      <c r="A16">
        <v>91</v>
      </c>
      <c r="B16">
        <v>1</v>
      </c>
      <c r="C16" t="s">
        <v>3</v>
      </c>
      <c r="D16" t="s">
        <v>3</v>
      </c>
      <c r="E16" t="s">
        <v>780</v>
      </c>
      <c r="F16" t="s">
        <v>780</v>
      </c>
      <c r="G16" t="s">
        <v>780</v>
      </c>
      <c r="H16" t="s">
        <v>3</v>
      </c>
      <c r="I16" t="s">
        <v>780</v>
      </c>
      <c r="J16" t="s">
        <v>780</v>
      </c>
      <c r="K16" t="s">
        <v>3</v>
      </c>
      <c r="L16" t="s">
        <v>3</v>
      </c>
      <c r="M16" t="s">
        <v>3</v>
      </c>
      <c r="N16" t="s">
        <v>3</v>
      </c>
      <c r="O16" t="s">
        <v>780</v>
      </c>
      <c r="P16" t="s">
        <v>3</v>
      </c>
      <c r="Q16" t="s">
        <v>3</v>
      </c>
      <c r="R16" t="s">
        <v>3</v>
      </c>
      <c r="S16" t="s">
        <v>788</v>
      </c>
      <c r="T16" t="s">
        <v>789</v>
      </c>
      <c r="U16" t="s">
        <v>790</v>
      </c>
    </row>
    <row r="17" spans="1:21" x14ac:dyDescent="0.25">
      <c r="A17">
        <v>91</v>
      </c>
      <c r="B17">
        <v>1</v>
      </c>
      <c r="C17" t="s">
        <v>3</v>
      </c>
      <c r="D17" t="s">
        <v>178</v>
      </c>
      <c r="E17" t="s">
        <v>794</v>
      </c>
      <c r="F17" t="s">
        <v>794</v>
      </c>
      <c r="G17" t="s">
        <v>794</v>
      </c>
      <c r="H17" t="s">
        <v>3</v>
      </c>
      <c r="I17" t="s">
        <v>794</v>
      </c>
      <c r="J17" t="s">
        <v>794</v>
      </c>
      <c r="K17" t="s">
        <v>3</v>
      </c>
      <c r="L17" t="s">
        <v>3</v>
      </c>
      <c r="M17" t="s">
        <v>3</v>
      </c>
      <c r="N17" t="s">
        <v>178</v>
      </c>
      <c r="O17" t="s">
        <v>794</v>
      </c>
      <c r="P17" t="s">
        <v>3</v>
      </c>
      <c r="Q17" t="s">
        <v>3</v>
      </c>
      <c r="R17" t="s">
        <v>3</v>
      </c>
      <c r="S17" t="s">
        <v>795</v>
      </c>
      <c r="T17" t="s">
        <v>796</v>
      </c>
      <c r="U17" t="s">
        <v>797</v>
      </c>
    </row>
    <row r="18" spans="1:21" x14ac:dyDescent="0.25">
      <c r="A18">
        <v>93</v>
      </c>
      <c r="B18">
        <v>1</v>
      </c>
      <c r="C18" t="s">
        <v>3</v>
      </c>
      <c r="D18" t="s">
        <v>3</v>
      </c>
      <c r="E18" t="s">
        <v>780</v>
      </c>
      <c r="F18" t="s">
        <v>780</v>
      </c>
      <c r="G18" t="s">
        <v>780</v>
      </c>
      <c r="H18" t="s">
        <v>3</v>
      </c>
      <c r="I18" t="s">
        <v>780</v>
      </c>
      <c r="J18" t="s">
        <v>780</v>
      </c>
      <c r="K18" t="s">
        <v>3</v>
      </c>
      <c r="L18" t="s">
        <v>3</v>
      </c>
      <c r="M18" t="s">
        <v>3</v>
      </c>
      <c r="N18" t="s">
        <v>3</v>
      </c>
      <c r="O18" t="s">
        <v>780</v>
      </c>
      <c r="P18" t="s">
        <v>3</v>
      </c>
      <c r="Q18" t="s">
        <v>3</v>
      </c>
      <c r="R18" t="s">
        <v>3</v>
      </c>
      <c r="S18" t="s">
        <v>798</v>
      </c>
      <c r="T18" t="s">
        <v>789</v>
      </c>
      <c r="U18" t="s">
        <v>790</v>
      </c>
    </row>
    <row r="19" spans="1:21" x14ac:dyDescent="0.25">
      <c r="A19">
        <v>96</v>
      </c>
      <c r="B19">
        <v>1</v>
      </c>
      <c r="C19" t="s">
        <v>3</v>
      </c>
      <c r="D19" t="s">
        <v>3</v>
      </c>
      <c r="E19" t="s">
        <v>780</v>
      </c>
      <c r="F19" t="s">
        <v>780</v>
      </c>
      <c r="G19" t="s">
        <v>780</v>
      </c>
      <c r="H19" t="s">
        <v>3</v>
      </c>
      <c r="I19" t="s">
        <v>780</v>
      </c>
      <c r="J19" t="s">
        <v>780</v>
      </c>
      <c r="K19" t="s">
        <v>3</v>
      </c>
      <c r="L19" t="s">
        <v>3</v>
      </c>
      <c r="M19" t="s">
        <v>3</v>
      </c>
      <c r="N19" t="s">
        <v>3</v>
      </c>
      <c r="O19" t="s">
        <v>780</v>
      </c>
      <c r="P19" t="s">
        <v>3</v>
      </c>
      <c r="Q19" t="s">
        <v>3</v>
      </c>
      <c r="R19" t="s">
        <v>3</v>
      </c>
      <c r="S19" t="s">
        <v>798</v>
      </c>
      <c r="T19" t="s">
        <v>789</v>
      </c>
      <c r="U19" t="s">
        <v>790</v>
      </c>
    </row>
    <row r="20" spans="1:21" x14ac:dyDescent="0.25">
      <c r="A20">
        <v>97</v>
      </c>
      <c r="B20">
        <v>1</v>
      </c>
      <c r="C20" t="s">
        <v>3</v>
      </c>
      <c r="D20" t="s">
        <v>3</v>
      </c>
      <c r="E20" t="s">
        <v>780</v>
      </c>
      <c r="F20" t="s">
        <v>780</v>
      </c>
      <c r="G20" t="s">
        <v>780</v>
      </c>
      <c r="H20" t="s">
        <v>3</v>
      </c>
      <c r="I20" t="s">
        <v>780</v>
      </c>
      <c r="J20" t="s">
        <v>780</v>
      </c>
      <c r="K20" t="s">
        <v>3</v>
      </c>
      <c r="L20" t="s">
        <v>3</v>
      </c>
      <c r="M20" t="s">
        <v>3</v>
      </c>
      <c r="N20" t="s">
        <v>3</v>
      </c>
      <c r="O20" t="s">
        <v>780</v>
      </c>
      <c r="P20" t="s">
        <v>3</v>
      </c>
      <c r="Q20" t="s">
        <v>3</v>
      </c>
      <c r="R20" t="s">
        <v>3</v>
      </c>
      <c r="S20" t="s">
        <v>788</v>
      </c>
      <c r="T20" t="s">
        <v>789</v>
      </c>
      <c r="U20" t="s">
        <v>790</v>
      </c>
    </row>
    <row r="21" spans="1:21" x14ac:dyDescent="0.25">
      <c r="A21">
        <v>100</v>
      </c>
      <c r="B21">
        <v>1</v>
      </c>
      <c r="C21" t="s">
        <v>3</v>
      </c>
      <c r="D21" t="s">
        <v>3</v>
      </c>
      <c r="E21" t="s">
        <v>780</v>
      </c>
      <c r="F21" t="s">
        <v>780</v>
      </c>
      <c r="G21" t="s">
        <v>780</v>
      </c>
      <c r="H21" t="s">
        <v>3</v>
      </c>
      <c r="I21" t="s">
        <v>780</v>
      </c>
      <c r="J21" t="s">
        <v>780</v>
      </c>
      <c r="K21" t="s">
        <v>3</v>
      </c>
      <c r="L21" t="s">
        <v>3</v>
      </c>
      <c r="M21" t="s">
        <v>3</v>
      </c>
      <c r="N21" t="s">
        <v>3</v>
      </c>
      <c r="O21" t="s">
        <v>780</v>
      </c>
      <c r="P21" t="s">
        <v>3</v>
      </c>
      <c r="Q21" t="s">
        <v>3</v>
      </c>
      <c r="R21" t="s">
        <v>3</v>
      </c>
      <c r="S21" t="s">
        <v>798</v>
      </c>
      <c r="T21" t="s">
        <v>789</v>
      </c>
      <c r="U21" t="s">
        <v>790</v>
      </c>
    </row>
    <row r="22" spans="1:21" x14ac:dyDescent="0.25">
      <c r="A22">
        <v>101</v>
      </c>
      <c r="B22">
        <v>1</v>
      </c>
      <c r="C22" t="s">
        <v>3</v>
      </c>
      <c r="D22" t="s">
        <v>3</v>
      </c>
      <c r="E22" t="s">
        <v>780</v>
      </c>
      <c r="F22" t="s">
        <v>780</v>
      </c>
      <c r="G22" t="s">
        <v>780</v>
      </c>
      <c r="H22" t="s">
        <v>3</v>
      </c>
      <c r="I22" t="s">
        <v>780</v>
      </c>
      <c r="J22" t="s">
        <v>780</v>
      </c>
      <c r="K22" t="s">
        <v>3</v>
      </c>
      <c r="L22" t="s">
        <v>3</v>
      </c>
      <c r="M22" t="s">
        <v>3</v>
      </c>
      <c r="N22" t="s">
        <v>3</v>
      </c>
      <c r="O22" t="s">
        <v>780</v>
      </c>
      <c r="P22" t="s">
        <v>3</v>
      </c>
      <c r="Q22" t="s">
        <v>3</v>
      </c>
      <c r="R22" t="s">
        <v>3</v>
      </c>
      <c r="S22" t="s">
        <v>798</v>
      </c>
      <c r="T22" t="s">
        <v>789</v>
      </c>
      <c r="U22" t="s">
        <v>790</v>
      </c>
    </row>
    <row r="23" spans="1:21" x14ac:dyDescent="0.25">
      <c r="A23">
        <v>102</v>
      </c>
      <c r="B23">
        <v>1</v>
      </c>
      <c r="C23" t="s">
        <v>3</v>
      </c>
      <c r="D23" t="s">
        <v>3</v>
      </c>
      <c r="E23" t="s">
        <v>780</v>
      </c>
      <c r="F23" t="s">
        <v>780</v>
      </c>
      <c r="G23" t="s">
        <v>780</v>
      </c>
      <c r="H23" t="s">
        <v>3</v>
      </c>
      <c r="I23" t="s">
        <v>780</v>
      </c>
      <c r="J23" t="s">
        <v>780</v>
      </c>
      <c r="K23" t="s">
        <v>3</v>
      </c>
      <c r="L23" t="s">
        <v>3</v>
      </c>
      <c r="M23" t="s">
        <v>3</v>
      </c>
      <c r="N23" t="s">
        <v>3</v>
      </c>
      <c r="O23" t="s">
        <v>780</v>
      </c>
      <c r="P23" t="s">
        <v>3</v>
      </c>
      <c r="Q23" t="s">
        <v>3</v>
      </c>
      <c r="R23" t="s">
        <v>3</v>
      </c>
      <c r="S23" t="s">
        <v>798</v>
      </c>
      <c r="T23" t="s">
        <v>789</v>
      </c>
      <c r="U23" t="s">
        <v>790</v>
      </c>
    </row>
    <row r="24" spans="1:21" x14ac:dyDescent="0.25">
      <c r="A24">
        <v>144</v>
      </c>
      <c r="B24">
        <v>1</v>
      </c>
      <c r="C24" t="s">
        <v>3</v>
      </c>
      <c r="D24" t="s">
        <v>3</v>
      </c>
      <c r="E24" t="s">
        <v>780</v>
      </c>
      <c r="F24" t="s">
        <v>780</v>
      </c>
      <c r="G24" t="s">
        <v>780</v>
      </c>
      <c r="H24" t="s">
        <v>3</v>
      </c>
      <c r="I24" t="s">
        <v>780</v>
      </c>
      <c r="J24" t="s">
        <v>780</v>
      </c>
      <c r="K24" t="s">
        <v>3</v>
      </c>
      <c r="L24" t="s">
        <v>3</v>
      </c>
      <c r="M24" t="s">
        <v>3</v>
      </c>
      <c r="N24" t="s">
        <v>3</v>
      </c>
      <c r="O24" t="s">
        <v>780</v>
      </c>
      <c r="P24" t="s">
        <v>3</v>
      </c>
      <c r="Q24" t="s">
        <v>3</v>
      </c>
      <c r="R24" t="s">
        <v>3</v>
      </c>
      <c r="S24" t="s">
        <v>788</v>
      </c>
      <c r="T24" t="s">
        <v>789</v>
      </c>
      <c r="U24" t="s">
        <v>790</v>
      </c>
    </row>
    <row r="25" spans="1:21" x14ac:dyDescent="0.25">
      <c r="A25">
        <v>149</v>
      </c>
      <c r="B25">
        <v>1</v>
      </c>
      <c r="C25" t="s">
        <v>3</v>
      </c>
      <c r="D25" t="s">
        <v>3</v>
      </c>
      <c r="E25" t="s">
        <v>780</v>
      </c>
      <c r="F25" t="s">
        <v>780</v>
      </c>
      <c r="G25" t="s">
        <v>780</v>
      </c>
      <c r="H25" t="s">
        <v>3</v>
      </c>
      <c r="I25" t="s">
        <v>780</v>
      </c>
      <c r="J25" t="s">
        <v>780</v>
      </c>
      <c r="K25" t="s">
        <v>3</v>
      </c>
      <c r="L25" t="s">
        <v>3</v>
      </c>
      <c r="M25" t="s">
        <v>3</v>
      </c>
      <c r="N25" t="s">
        <v>3</v>
      </c>
      <c r="O25" t="s">
        <v>780</v>
      </c>
      <c r="P25" t="s">
        <v>3</v>
      </c>
      <c r="Q25" t="s">
        <v>3</v>
      </c>
      <c r="R25" t="s">
        <v>3</v>
      </c>
      <c r="S25" t="s">
        <v>788</v>
      </c>
      <c r="T25" t="s">
        <v>789</v>
      </c>
      <c r="U25" t="s">
        <v>790</v>
      </c>
    </row>
    <row r="26" spans="1:21" x14ac:dyDescent="0.25">
      <c r="A26">
        <v>152</v>
      </c>
      <c r="B26">
        <v>1</v>
      </c>
      <c r="C26" t="s">
        <v>3</v>
      </c>
      <c r="D26" t="s">
        <v>3</v>
      </c>
      <c r="E26" t="s">
        <v>780</v>
      </c>
      <c r="F26" t="s">
        <v>780</v>
      </c>
      <c r="G26" t="s">
        <v>780</v>
      </c>
      <c r="H26" t="s">
        <v>3</v>
      </c>
      <c r="I26" t="s">
        <v>780</v>
      </c>
      <c r="J26" t="s">
        <v>780</v>
      </c>
      <c r="K26" t="s">
        <v>3</v>
      </c>
      <c r="L26" t="s">
        <v>3</v>
      </c>
      <c r="M26" t="s">
        <v>3</v>
      </c>
      <c r="N26" t="s">
        <v>3</v>
      </c>
      <c r="O26" t="s">
        <v>780</v>
      </c>
      <c r="P26" t="s">
        <v>3</v>
      </c>
      <c r="Q26" t="s">
        <v>3</v>
      </c>
      <c r="R26" t="s">
        <v>3</v>
      </c>
      <c r="S26" t="s">
        <v>788</v>
      </c>
      <c r="T26" t="s">
        <v>789</v>
      </c>
      <c r="U26" t="s">
        <v>790</v>
      </c>
    </row>
    <row r="27" spans="1:21" x14ac:dyDescent="0.25">
      <c r="A27">
        <v>157</v>
      </c>
      <c r="B27">
        <v>1</v>
      </c>
      <c r="C27" t="s">
        <v>3</v>
      </c>
      <c r="D27" t="s">
        <v>3</v>
      </c>
      <c r="E27" t="s">
        <v>780</v>
      </c>
      <c r="F27" t="s">
        <v>780</v>
      </c>
      <c r="G27" t="s">
        <v>780</v>
      </c>
      <c r="H27" t="s">
        <v>3</v>
      </c>
      <c r="I27" t="s">
        <v>780</v>
      </c>
      <c r="J27" t="s">
        <v>780</v>
      </c>
      <c r="K27" t="s">
        <v>3</v>
      </c>
      <c r="L27" t="s">
        <v>3</v>
      </c>
      <c r="M27" t="s">
        <v>3</v>
      </c>
      <c r="N27" t="s">
        <v>3</v>
      </c>
      <c r="O27" t="s">
        <v>780</v>
      </c>
      <c r="P27" t="s">
        <v>3</v>
      </c>
      <c r="Q27" t="s">
        <v>3</v>
      </c>
      <c r="R27" t="s">
        <v>3</v>
      </c>
      <c r="S27" t="s">
        <v>788</v>
      </c>
      <c r="T27" t="s">
        <v>789</v>
      </c>
      <c r="U27" t="s">
        <v>790</v>
      </c>
    </row>
    <row r="28" spans="1:21" x14ac:dyDescent="0.25">
      <c r="A28">
        <v>163</v>
      </c>
      <c r="B28">
        <v>1</v>
      </c>
      <c r="C28" t="s">
        <v>3</v>
      </c>
      <c r="D28" t="s">
        <v>3</v>
      </c>
      <c r="E28" t="s">
        <v>780</v>
      </c>
      <c r="F28" t="s">
        <v>780</v>
      </c>
      <c r="G28" t="s">
        <v>780</v>
      </c>
      <c r="H28" t="s">
        <v>3</v>
      </c>
      <c r="I28" t="s">
        <v>780</v>
      </c>
      <c r="J28" t="s">
        <v>780</v>
      </c>
      <c r="K28" t="s">
        <v>3</v>
      </c>
      <c r="L28" t="s">
        <v>3</v>
      </c>
      <c r="M28" t="s">
        <v>3</v>
      </c>
      <c r="N28" t="s">
        <v>3</v>
      </c>
      <c r="O28" t="s">
        <v>780</v>
      </c>
      <c r="P28" t="s">
        <v>3</v>
      </c>
      <c r="Q28" t="s">
        <v>3</v>
      </c>
      <c r="R28" t="s">
        <v>3</v>
      </c>
      <c r="S28" t="s">
        <v>788</v>
      </c>
      <c r="T28" t="s">
        <v>789</v>
      </c>
      <c r="U28" t="s">
        <v>790</v>
      </c>
    </row>
    <row r="29" spans="1:21" x14ac:dyDescent="0.25">
      <c r="A29">
        <v>165</v>
      </c>
      <c r="B29">
        <v>1</v>
      </c>
      <c r="C29" t="s">
        <v>3</v>
      </c>
      <c r="D29" t="s">
        <v>3</v>
      </c>
      <c r="E29" t="s">
        <v>780</v>
      </c>
      <c r="F29" t="s">
        <v>780</v>
      </c>
      <c r="G29" t="s">
        <v>780</v>
      </c>
      <c r="H29" t="s">
        <v>3</v>
      </c>
      <c r="I29" t="s">
        <v>780</v>
      </c>
      <c r="J29" t="s">
        <v>780</v>
      </c>
      <c r="K29" t="s">
        <v>3</v>
      </c>
      <c r="L29" t="s">
        <v>3</v>
      </c>
      <c r="M29" t="s">
        <v>3</v>
      </c>
      <c r="N29" t="s">
        <v>3</v>
      </c>
      <c r="O29" t="s">
        <v>780</v>
      </c>
      <c r="P29" t="s">
        <v>3</v>
      </c>
      <c r="Q29" t="s">
        <v>3</v>
      </c>
      <c r="R29" t="s">
        <v>3</v>
      </c>
      <c r="S29" t="s">
        <v>788</v>
      </c>
      <c r="T29" t="s">
        <v>789</v>
      </c>
      <c r="U29" t="s">
        <v>790</v>
      </c>
    </row>
    <row r="30" spans="1:21" x14ac:dyDescent="0.25">
      <c r="A30">
        <v>168</v>
      </c>
      <c r="B30">
        <v>1</v>
      </c>
      <c r="C30" t="s">
        <v>3</v>
      </c>
      <c r="D30" t="s">
        <v>3</v>
      </c>
      <c r="E30" t="s">
        <v>780</v>
      </c>
      <c r="F30" t="s">
        <v>780</v>
      </c>
      <c r="G30" t="s">
        <v>780</v>
      </c>
      <c r="H30" t="s">
        <v>3</v>
      </c>
      <c r="I30" t="s">
        <v>780</v>
      </c>
      <c r="J30" t="s">
        <v>780</v>
      </c>
      <c r="K30" t="s">
        <v>3</v>
      </c>
      <c r="L30" t="s">
        <v>3</v>
      </c>
      <c r="M30" t="s">
        <v>3</v>
      </c>
      <c r="N30" t="s">
        <v>3</v>
      </c>
      <c r="O30" t="s">
        <v>780</v>
      </c>
      <c r="P30" t="s">
        <v>3</v>
      </c>
      <c r="Q30" t="s">
        <v>3</v>
      </c>
      <c r="R30" t="s">
        <v>3</v>
      </c>
      <c r="S30" t="s">
        <v>799</v>
      </c>
      <c r="T30" t="s">
        <v>789</v>
      </c>
      <c r="U30" t="s">
        <v>790</v>
      </c>
    </row>
    <row r="31" spans="1:21" x14ac:dyDescent="0.25">
      <c r="A31">
        <v>169</v>
      </c>
      <c r="B31">
        <v>1</v>
      </c>
      <c r="C31" t="s">
        <v>3</v>
      </c>
      <c r="D31" t="s">
        <v>3</v>
      </c>
      <c r="E31" t="s">
        <v>780</v>
      </c>
      <c r="F31" t="s">
        <v>780</v>
      </c>
      <c r="G31" t="s">
        <v>780</v>
      </c>
      <c r="H31" t="s">
        <v>3</v>
      </c>
      <c r="I31" t="s">
        <v>780</v>
      </c>
      <c r="J31" t="s">
        <v>780</v>
      </c>
      <c r="K31" t="s">
        <v>3</v>
      </c>
      <c r="L31" t="s">
        <v>3</v>
      </c>
      <c r="M31" t="s">
        <v>3</v>
      </c>
      <c r="N31" t="s">
        <v>3</v>
      </c>
      <c r="O31" t="s">
        <v>780</v>
      </c>
      <c r="P31" t="s">
        <v>3</v>
      </c>
      <c r="Q31" t="s">
        <v>3</v>
      </c>
      <c r="R31" t="s">
        <v>3</v>
      </c>
      <c r="S31" t="s">
        <v>799</v>
      </c>
      <c r="T31" t="s">
        <v>789</v>
      </c>
      <c r="U31" t="s">
        <v>790</v>
      </c>
    </row>
    <row r="32" spans="1:21" x14ac:dyDescent="0.25">
      <c r="A32">
        <v>171</v>
      </c>
      <c r="B32">
        <v>1</v>
      </c>
      <c r="C32" t="s">
        <v>3</v>
      </c>
      <c r="D32" t="s">
        <v>3</v>
      </c>
      <c r="E32" t="s">
        <v>780</v>
      </c>
      <c r="F32" t="s">
        <v>780</v>
      </c>
      <c r="G32" t="s">
        <v>780</v>
      </c>
      <c r="H32" t="s">
        <v>3</v>
      </c>
      <c r="I32" t="s">
        <v>780</v>
      </c>
      <c r="J32" t="s">
        <v>780</v>
      </c>
      <c r="K32" t="s">
        <v>3</v>
      </c>
      <c r="L32" t="s">
        <v>3</v>
      </c>
      <c r="M32" t="s">
        <v>3</v>
      </c>
      <c r="N32" t="s">
        <v>3</v>
      </c>
      <c r="O32" t="s">
        <v>780</v>
      </c>
      <c r="P32" t="s">
        <v>3</v>
      </c>
      <c r="Q32" t="s">
        <v>3</v>
      </c>
      <c r="R32" t="s">
        <v>3</v>
      </c>
      <c r="S32" t="s">
        <v>788</v>
      </c>
      <c r="T32" t="s">
        <v>789</v>
      </c>
      <c r="U32" t="s">
        <v>790</v>
      </c>
    </row>
    <row r="33" spans="1:21" x14ac:dyDescent="0.25">
      <c r="A33">
        <v>173</v>
      </c>
      <c r="B33">
        <v>1</v>
      </c>
      <c r="C33" t="s">
        <v>3</v>
      </c>
      <c r="D33" t="s">
        <v>3</v>
      </c>
      <c r="E33" t="s">
        <v>780</v>
      </c>
      <c r="F33" t="s">
        <v>780</v>
      </c>
      <c r="G33" t="s">
        <v>780</v>
      </c>
      <c r="H33" t="s">
        <v>3</v>
      </c>
      <c r="I33" t="s">
        <v>780</v>
      </c>
      <c r="J33" t="s">
        <v>780</v>
      </c>
      <c r="K33" t="s">
        <v>3</v>
      </c>
      <c r="L33" t="s">
        <v>3</v>
      </c>
      <c r="M33" t="s">
        <v>3</v>
      </c>
      <c r="N33" t="s">
        <v>3</v>
      </c>
      <c r="O33" t="s">
        <v>780</v>
      </c>
      <c r="P33" t="s">
        <v>3</v>
      </c>
      <c r="Q33" t="s">
        <v>3</v>
      </c>
      <c r="R33" t="s">
        <v>3</v>
      </c>
      <c r="S33" t="s">
        <v>788</v>
      </c>
      <c r="T33" t="s">
        <v>789</v>
      </c>
      <c r="U33" t="s">
        <v>790</v>
      </c>
    </row>
    <row r="34" spans="1:21" x14ac:dyDescent="0.25">
      <c r="A34">
        <v>176</v>
      </c>
      <c r="B34">
        <v>1</v>
      </c>
      <c r="C34" t="s">
        <v>3</v>
      </c>
      <c r="D34" t="s">
        <v>3</v>
      </c>
      <c r="E34" t="s">
        <v>780</v>
      </c>
      <c r="F34" t="s">
        <v>780</v>
      </c>
      <c r="G34" t="s">
        <v>780</v>
      </c>
      <c r="H34" t="s">
        <v>3</v>
      </c>
      <c r="I34" t="s">
        <v>780</v>
      </c>
      <c r="J34" t="s">
        <v>780</v>
      </c>
      <c r="K34" t="s">
        <v>3</v>
      </c>
      <c r="L34" t="s">
        <v>3</v>
      </c>
      <c r="M34" t="s">
        <v>3</v>
      </c>
      <c r="N34" t="s">
        <v>3</v>
      </c>
      <c r="O34" t="s">
        <v>780</v>
      </c>
      <c r="P34" t="s">
        <v>3</v>
      </c>
      <c r="Q34" t="s">
        <v>3</v>
      </c>
      <c r="R34" t="s">
        <v>3</v>
      </c>
      <c r="S34" t="s">
        <v>788</v>
      </c>
      <c r="T34" t="s">
        <v>789</v>
      </c>
      <c r="U34" t="s">
        <v>790</v>
      </c>
    </row>
    <row r="35" spans="1:21" x14ac:dyDescent="0.25">
      <c r="A35">
        <v>182</v>
      </c>
      <c r="B35">
        <v>1</v>
      </c>
      <c r="C35" t="s">
        <v>3</v>
      </c>
      <c r="D35" t="s">
        <v>3</v>
      </c>
      <c r="E35" t="s">
        <v>780</v>
      </c>
      <c r="F35" t="s">
        <v>780</v>
      </c>
      <c r="G35" t="s">
        <v>780</v>
      </c>
      <c r="H35" t="s">
        <v>3</v>
      </c>
      <c r="I35" t="s">
        <v>780</v>
      </c>
      <c r="J35" t="s">
        <v>780</v>
      </c>
      <c r="K35" t="s">
        <v>3</v>
      </c>
      <c r="L35" t="s">
        <v>3</v>
      </c>
      <c r="M35" t="s">
        <v>3</v>
      </c>
      <c r="N35" t="s">
        <v>3</v>
      </c>
      <c r="O35" t="s">
        <v>780</v>
      </c>
      <c r="P35" t="s">
        <v>3</v>
      </c>
      <c r="Q35" t="s">
        <v>3</v>
      </c>
      <c r="R35" t="s">
        <v>3</v>
      </c>
      <c r="S35" t="s">
        <v>788</v>
      </c>
      <c r="T35" t="s">
        <v>789</v>
      </c>
      <c r="U35" t="s">
        <v>790</v>
      </c>
    </row>
    <row r="36" spans="1:21" x14ac:dyDescent="0.25">
      <c r="A36">
        <v>184</v>
      </c>
      <c r="B36">
        <v>1</v>
      </c>
      <c r="C36" t="s">
        <v>3</v>
      </c>
      <c r="D36" t="s">
        <v>3</v>
      </c>
      <c r="E36" t="s">
        <v>780</v>
      </c>
      <c r="F36" t="s">
        <v>780</v>
      </c>
      <c r="G36" t="s">
        <v>780</v>
      </c>
      <c r="H36" t="s">
        <v>3</v>
      </c>
      <c r="I36" t="s">
        <v>780</v>
      </c>
      <c r="J36" t="s">
        <v>780</v>
      </c>
      <c r="K36" t="s">
        <v>3</v>
      </c>
      <c r="L36" t="s">
        <v>3</v>
      </c>
      <c r="M36" t="s">
        <v>3</v>
      </c>
      <c r="N36" t="s">
        <v>3</v>
      </c>
      <c r="O36" t="s">
        <v>780</v>
      </c>
      <c r="P36" t="s">
        <v>3</v>
      </c>
      <c r="Q36" t="s">
        <v>3</v>
      </c>
      <c r="R36" t="s">
        <v>3</v>
      </c>
      <c r="S36" t="s">
        <v>788</v>
      </c>
      <c r="T36" t="s">
        <v>789</v>
      </c>
      <c r="U36" t="s">
        <v>790</v>
      </c>
    </row>
    <row r="37" spans="1:21" x14ac:dyDescent="0.25">
      <c r="A37">
        <v>224</v>
      </c>
      <c r="B37">
        <v>1</v>
      </c>
      <c r="C37" t="s">
        <v>3</v>
      </c>
      <c r="D37" t="s">
        <v>3</v>
      </c>
      <c r="E37" t="s">
        <v>780</v>
      </c>
      <c r="F37" t="s">
        <v>780</v>
      </c>
      <c r="G37" t="s">
        <v>780</v>
      </c>
      <c r="H37" t="s">
        <v>3</v>
      </c>
      <c r="I37" t="s">
        <v>780</v>
      </c>
      <c r="J37" t="s">
        <v>780</v>
      </c>
      <c r="K37" t="s">
        <v>3</v>
      </c>
      <c r="L37" t="s">
        <v>3</v>
      </c>
      <c r="M37" t="s">
        <v>3</v>
      </c>
      <c r="N37" t="s">
        <v>3</v>
      </c>
      <c r="O37" t="s">
        <v>780</v>
      </c>
      <c r="P37" t="s">
        <v>3</v>
      </c>
      <c r="Q37" t="s">
        <v>3</v>
      </c>
      <c r="R37" t="s">
        <v>3</v>
      </c>
      <c r="S37" t="s">
        <v>788</v>
      </c>
      <c r="T37" t="s">
        <v>789</v>
      </c>
      <c r="U37" t="s">
        <v>790</v>
      </c>
    </row>
    <row r="38" spans="1:21" x14ac:dyDescent="0.25">
      <c r="A38">
        <v>227</v>
      </c>
      <c r="B38">
        <v>1</v>
      </c>
      <c r="C38" t="s">
        <v>3</v>
      </c>
      <c r="D38" t="s">
        <v>3</v>
      </c>
      <c r="E38" t="s">
        <v>780</v>
      </c>
      <c r="F38" t="s">
        <v>780</v>
      </c>
      <c r="G38" t="s">
        <v>780</v>
      </c>
      <c r="H38" t="s">
        <v>3</v>
      </c>
      <c r="I38" t="s">
        <v>780</v>
      </c>
      <c r="J38" t="s">
        <v>780</v>
      </c>
      <c r="K38" t="s">
        <v>3</v>
      </c>
      <c r="L38" t="s">
        <v>3</v>
      </c>
      <c r="M38" t="s">
        <v>3</v>
      </c>
      <c r="N38" t="s">
        <v>3</v>
      </c>
      <c r="O38" t="s">
        <v>780</v>
      </c>
      <c r="P38" t="s">
        <v>3</v>
      </c>
      <c r="Q38" t="s">
        <v>3</v>
      </c>
      <c r="R38" t="s">
        <v>3</v>
      </c>
      <c r="S38" t="s">
        <v>788</v>
      </c>
      <c r="T38" t="s">
        <v>789</v>
      </c>
      <c r="U38" t="s">
        <v>790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Y12"/>
  <sheetViews>
    <sheetView workbookViewId="0"/>
  </sheetViews>
  <sheetFormatPr defaultColWidth="9.21875" defaultRowHeight="13.2" x14ac:dyDescent="0.25"/>
  <cols>
    <col min="1" max="256" width="9.21875" customWidth="1"/>
  </cols>
  <sheetData>
    <row r="1" spans="1:103" x14ac:dyDescent="0.25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73345</v>
      </c>
      <c r="M1">
        <v>10</v>
      </c>
      <c r="N1">
        <v>12</v>
      </c>
      <c r="O1">
        <v>1</v>
      </c>
      <c r="P1">
        <v>0</v>
      </c>
      <c r="Q1">
        <v>4</v>
      </c>
    </row>
    <row r="12" spans="1:103" x14ac:dyDescent="0.25">
      <c r="F12" t="str">
        <f>Source!F12</f>
        <v>01-02-01</v>
      </c>
      <c r="G12">
        <f>Source!G12</f>
        <v>0</v>
      </c>
      <c r="AB12" t="s">
        <v>3</v>
      </c>
      <c r="AC12" t="s">
        <v>3</v>
      </c>
      <c r="AD12" t="s">
        <v>3</v>
      </c>
      <c r="AE12" t="s">
        <v>3</v>
      </c>
      <c r="AF12" t="s">
        <v>3</v>
      </c>
      <c r="AG12" t="s">
        <v>3</v>
      </c>
      <c r="AH12" t="s">
        <v>3</v>
      </c>
      <c r="AI12" t="s">
        <v>3</v>
      </c>
      <c r="AJ12">
        <v>0</v>
      </c>
      <c r="AK12" t="s">
        <v>3</v>
      </c>
      <c r="AL12" t="s">
        <v>3</v>
      </c>
      <c r="AM12" t="s">
        <v>3</v>
      </c>
      <c r="CY12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114"/>
  <sheetViews>
    <sheetView tabSelected="1" topLeftCell="A106" zoomScaleNormal="100" workbookViewId="0">
      <selection activeCell="C112" sqref="C112"/>
    </sheetView>
  </sheetViews>
  <sheetFormatPr defaultRowHeight="13.2" x14ac:dyDescent="0.25"/>
  <cols>
    <col min="1" max="2" width="6.6640625" customWidth="1"/>
    <col min="3" max="3" width="75.6640625" customWidth="1"/>
    <col min="4" max="8" width="15.6640625" customWidth="1"/>
    <col min="30" max="31" width="0" hidden="1" customWidth="1"/>
    <col min="32" max="32" width="165.6640625" hidden="1" customWidth="1"/>
  </cols>
  <sheetData>
    <row r="1" spans="1:8" x14ac:dyDescent="0.25">
      <c r="A1" s="15" t="str">
        <f>Source!B1</f>
        <v>Smeta.RU  (495) 974-1589</v>
      </c>
    </row>
    <row r="2" spans="1:8" ht="13.8" x14ac:dyDescent="0.25">
      <c r="C2" s="16"/>
      <c r="D2" s="16"/>
      <c r="E2" s="16"/>
    </row>
    <row r="3" spans="1:8" ht="13.8" x14ac:dyDescent="0.25">
      <c r="C3" s="17" t="s">
        <v>807</v>
      </c>
      <c r="D3" s="16"/>
      <c r="E3" s="18" t="s">
        <v>809</v>
      </c>
    </row>
    <row r="4" spans="1:8" ht="13.8" x14ac:dyDescent="0.25">
      <c r="C4" s="16"/>
      <c r="D4" s="18"/>
      <c r="E4" s="18"/>
    </row>
    <row r="5" spans="1:8" ht="13.8" x14ac:dyDescent="0.25">
      <c r="C5" s="17" t="s">
        <v>808</v>
      </c>
      <c r="D5" s="149" t="s">
        <v>808</v>
      </c>
      <c r="E5" s="149"/>
    </row>
    <row r="6" spans="1:8" ht="13.8" x14ac:dyDescent="0.25">
      <c r="C6" s="16"/>
      <c r="D6" s="19"/>
      <c r="E6" s="19"/>
    </row>
    <row r="7" spans="1:8" ht="13.8" x14ac:dyDescent="0.25">
      <c r="C7" s="17" t="s">
        <v>808</v>
      </c>
      <c r="D7" s="149" t="s">
        <v>808</v>
      </c>
      <c r="E7" s="149"/>
    </row>
    <row r="8" spans="1:8" ht="13.8" x14ac:dyDescent="0.25">
      <c r="C8" s="16"/>
      <c r="D8" s="19"/>
      <c r="E8" s="19"/>
    </row>
    <row r="9" spans="1:8" ht="13.8" x14ac:dyDescent="0.25">
      <c r="D9" s="18" t="s">
        <v>1082</v>
      </c>
      <c r="E9" s="16"/>
    </row>
    <row r="10" spans="1:8" ht="13.8" x14ac:dyDescent="0.25">
      <c r="D10" s="16"/>
      <c r="E10" s="16"/>
    </row>
    <row r="12" spans="1:8" ht="15.6" x14ac:dyDescent="0.25">
      <c r="B12" s="150" t="str">
        <f>CONCATENATE("Ведомость объемов работ ", IF(Source!AN15&lt;&gt;"", Source!AN15," "))</f>
        <v xml:space="preserve">Ведомость объемов работ  </v>
      </c>
      <c r="C12" s="150"/>
      <c r="D12" s="150"/>
      <c r="E12" s="150"/>
    </row>
    <row r="13" spans="1:8" ht="34.950000000000003" customHeight="1" x14ac:dyDescent="0.25">
      <c r="A13" s="148" t="s">
        <v>1084</v>
      </c>
      <c r="B13" s="148"/>
      <c r="C13" s="148"/>
      <c r="D13" s="148"/>
      <c r="E13" s="148"/>
      <c r="F13" s="148"/>
      <c r="G13" s="148"/>
      <c r="H13" s="148"/>
    </row>
    <row r="14" spans="1:8" hidden="1" x14ac:dyDescent="0.25"/>
    <row r="16" spans="1:8" ht="82.8" x14ac:dyDescent="0.25">
      <c r="A16" s="21" t="s">
        <v>811</v>
      </c>
      <c r="B16" s="21" t="s">
        <v>812</v>
      </c>
      <c r="C16" s="21" t="s">
        <v>813</v>
      </c>
      <c r="D16" s="21" t="s">
        <v>814</v>
      </c>
      <c r="E16" s="21" t="s">
        <v>815</v>
      </c>
      <c r="F16" s="21" t="s">
        <v>816</v>
      </c>
      <c r="G16" s="21" t="s">
        <v>817</v>
      </c>
      <c r="H16" s="21" t="s">
        <v>818</v>
      </c>
    </row>
    <row r="17" spans="1:8" ht="13.8" x14ac:dyDescent="0.25">
      <c r="A17" s="21">
        <v>1</v>
      </c>
      <c r="B17" s="21">
        <v>2</v>
      </c>
      <c r="C17" s="21">
        <v>3</v>
      </c>
      <c r="D17" s="21">
        <v>4</v>
      </c>
      <c r="E17" s="21">
        <v>5</v>
      </c>
      <c r="F17" s="21">
        <v>6</v>
      </c>
      <c r="G17" s="21">
        <v>7</v>
      </c>
      <c r="H17" s="21">
        <v>8</v>
      </c>
    </row>
    <row r="18" spans="1:8" ht="16.8" x14ac:dyDescent="0.3">
      <c r="A18" s="147" t="str">
        <f>CONCATENATE("Раздел: ", Source!G26)</f>
        <v>Раздел: Раздел 1. Земляные работы</v>
      </c>
      <c r="B18" s="147"/>
      <c r="C18" s="147"/>
      <c r="D18" s="147"/>
      <c r="E18" s="147"/>
      <c r="F18" s="147"/>
      <c r="G18" s="147"/>
      <c r="H18" s="147"/>
    </row>
    <row r="19" spans="1:8" ht="14.4" x14ac:dyDescent="0.25">
      <c r="A19" s="22"/>
      <c r="B19" s="22"/>
      <c r="C19" s="23" t="str">
        <f>Source!G30</f>
        <v>Шурфовка коммуникаций</v>
      </c>
      <c r="D19" s="22"/>
      <c r="E19" s="22"/>
      <c r="F19" s="22"/>
      <c r="G19" s="22"/>
      <c r="H19" s="22"/>
    </row>
    <row r="20" spans="1:8" ht="27.6" x14ac:dyDescent="0.25">
      <c r="A20" s="21">
        <v>1</v>
      </c>
      <c r="B20" s="21" t="str">
        <f>Source!E31</f>
        <v>1</v>
      </c>
      <c r="C20" s="26" t="str">
        <f>Source!G31</f>
        <v>Разработка грунта вручную в траншеях глубиной до 2 м без креплений с откосами, группа грунтов: 2</v>
      </c>
      <c r="D20" s="21" t="s">
        <v>25</v>
      </c>
      <c r="E20" s="27">
        <f>Source!I31</f>
        <v>0.05</v>
      </c>
      <c r="F20" s="21" t="str">
        <f>Source!U26</f>
        <v/>
      </c>
      <c r="G20" s="21">
        <f>Source!I31</f>
        <v>0.05</v>
      </c>
      <c r="H20" s="26"/>
    </row>
    <row r="21" spans="1:8" ht="27.6" x14ac:dyDescent="0.25">
      <c r="A21" s="21">
        <v>2</v>
      </c>
      <c r="B21" s="21" t="str">
        <f>Source!E32</f>
        <v>2</v>
      </c>
      <c r="C21" s="26" t="str">
        <f>Source!G32</f>
        <v>Погрузка вручную неуплотненного грунта из штабелей и отвалов в транспортные средства, группа грунтов: 1</v>
      </c>
      <c r="D21" s="21" t="s">
        <v>25</v>
      </c>
      <c r="E21" s="27">
        <f>Source!I32</f>
        <v>0.05</v>
      </c>
      <c r="F21" s="21" t="str">
        <f>Source!U26</f>
        <v/>
      </c>
      <c r="G21" s="21">
        <f>Source!I32</f>
        <v>0.05</v>
      </c>
      <c r="H21" s="26"/>
    </row>
    <row r="22" spans="1:8" ht="55.2" x14ac:dyDescent="0.25">
      <c r="A22" s="21">
        <v>3</v>
      </c>
      <c r="B22" s="21" t="str">
        <f>Source!E33</f>
        <v>3</v>
      </c>
      <c r="C22" s="26" t="str">
        <f>Source!G33</f>
        <v>Перевозка грузов I класса автомобилями-самосвалами грузоподъемностью до 15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 14 км</v>
      </c>
      <c r="D22" s="21" t="s">
        <v>43</v>
      </c>
      <c r="E22" s="27">
        <f>Source!I33</f>
        <v>8.75</v>
      </c>
      <c r="F22" s="21" t="str">
        <f>Source!U26</f>
        <v/>
      </c>
      <c r="G22" s="21">
        <f>Source!I33</f>
        <v>8.75</v>
      </c>
      <c r="H22" s="26"/>
    </row>
    <row r="23" spans="1:8" ht="14.4" x14ac:dyDescent="0.25">
      <c r="A23" s="22"/>
      <c r="B23" s="22"/>
      <c r="C23" s="23" t="str">
        <f>Source!G34</f>
        <v>разработка грунта на вывоз</v>
      </c>
      <c r="D23" s="22"/>
      <c r="E23" s="22"/>
      <c r="F23" s="22"/>
      <c r="G23" s="22"/>
      <c r="H23" s="22"/>
    </row>
    <row r="24" spans="1:8" ht="41.4" x14ac:dyDescent="0.25">
      <c r="A24" s="21">
        <v>4</v>
      </c>
      <c r="B24" s="21" t="str">
        <f>Source!E35</f>
        <v>4</v>
      </c>
      <c r="C24" s="26" t="str">
        <f>Source!G35</f>
        <v>Разработка грунта с погрузкой на автомобили-самосвалы в траншеях экскаватором «обратная лопата» с ковшом вместимостью 0,25 м3, группа грунтов: 2</v>
      </c>
      <c r="D24" s="21" t="s">
        <v>54</v>
      </c>
      <c r="E24" s="27">
        <f>Source!I35</f>
        <v>0.06</v>
      </c>
      <c r="F24" s="21" t="str">
        <f>Source!U26</f>
        <v/>
      </c>
      <c r="G24" s="21">
        <f>Source!I35</f>
        <v>0.06</v>
      </c>
      <c r="H24" s="26"/>
    </row>
    <row r="25" spans="1:8" ht="27.6" x14ac:dyDescent="0.25">
      <c r="A25" s="21">
        <v>5</v>
      </c>
      <c r="B25" s="21" t="str">
        <f>Source!E36</f>
        <v>5</v>
      </c>
      <c r="C25" s="26" t="str">
        <f>Source!G36</f>
        <v>Разработка грунта вручную в траншеях глубиной до 2 м без креплений с откосами, группа грунтов: 2</v>
      </c>
      <c r="D25" s="21" t="s">
        <v>25</v>
      </c>
      <c r="E25" s="27">
        <f>Source!I36</f>
        <v>0.04</v>
      </c>
      <c r="F25" s="21" t="str">
        <f>Source!U26</f>
        <v/>
      </c>
      <c r="G25" s="21">
        <f>Source!I36</f>
        <v>0.04</v>
      </c>
      <c r="H25" s="26"/>
    </row>
    <row r="26" spans="1:8" ht="27.6" x14ac:dyDescent="0.25">
      <c r="A26" s="21">
        <v>6</v>
      </c>
      <c r="B26" s="21" t="str">
        <f>Source!E37</f>
        <v>6</v>
      </c>
      <c r="C26" s="26" t="str">
        <f>Source!G37</f>
        <v>Погрузка вручную неуплотненного грунта из штабелей и отвалов в транспортные средства, группа грунтов: 1</v>
      </c>
      <c r="D26" s="21" t="s">
        <v>25</v>
      </c>
      <c r="E26" s="27">
        <f>Source!I37</f>
        <v>0.04</v>
      </c>
      <c r="F26" s="21" t="str">
        <f>Source!U26</f>
        <v/>
      </c>
      <c r="G26" s="21">
        <f>Source!I37</f>
        <v>0.04</v>
      </c>
      <c r="H26" s="26"/>
    </row>
    <row r="27" spans="1:8" ht="55.2" x14ac:dyDescent="0.25">
      <c r="A27" s="21">
        <v>7</v>
      </c>
      <c r="B27" s="21" t="str">
        <f>Source!E38</f>
        <v>7</v>
      </c>
      <c r="C27" s="26" t="str">
        <f>Source!G38</f>
        <v>Перевозка грузов I класса автомобилями-самосвалами грузоподъемностью до 15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 14 км</v>
      </c>
      <c r="D27" s="21" t="s">
        <v>43</v>
      </c>
      <c r="E27" s="27">
        <f>Source!I38</f>
        <v>112</v>
      </c>
      <c r="F27" s="21" t="str">
        <f>Source!U26</f>
        <v/>
      </c>
      <c r="G27" s="21">
        <f>Source!I38</f>
        <v>112</v>
      </c>
      <c r="H27" s="26"/>
    </row>
    <row r="28" spans="1:8" ht="28.8" x14ac:dyDescent="0.25">
      <c r="A28" s="22"/>
      <c r="B28" s="22"/>
      <c r="C28" s="23" t="str">
        <f>Source!G39</f>
        <v>обратная засыпка грунтом, привезенным с площадки временного хранения грунта</v>
      </c>
      <c r="D28" s="22"/>
      <c r="E28" s="22"/>
      <c r="F28" s="22"/>
      <c r="G28" s="22"/>
      <c r="H28" s="22"/>
    </row>
    <row r="29" spans="1:8" ht="14.4" x14ac:dyDescent="0.25">
      <c r="A29" s="22"/>
      <c r="B29" s="22"/>
      <c r="C29" s="23" t="str">
        <f>Source!G40</f>
        <v>погрузка грунта в а/с для обратной засыпки</v>
      </c>
      <c r="D29" s="22"/>
      <c r="E29" s="22"/>
      <c r="F29" s="22"/>
      <c r="G29" s="22"/>
      <c r="H29" s="22"/>
    </row>
    <row r="30" spans="1:8" ht="27.6" x14ac:dyDescent="0.25">
      <c r="A30" s="21">
        <v>8</v>
      </c>
      <c r="B30" s="21" t="str">
        <f>Source!E41</f>
        <v>8</v>
      </c>
      <c r="C30" s="26" t="str">
        <f>Source!G41</f>
        <v>Разработка грунта с погрузкой на автомобили-самосвалы в траншеях экскаватором «обратная лопата» с ковшом вместимостью 0,25 м3</v>
      </c>
      <c r="D30" s="21" t="s">
        <v>54</v>
      </c>
      <c r="E30" s="27">
        <f>Source!I41</f>
        <v>6.9000000000000006E-2</v>
      </c>
      <c r="F30" s="21" t="str">
        <f>Source!U26</f>
        <v/>
      </c>
      <c r="G30" s="21">
        <f>Source!I41</f>
        <v>6.9000000000000006E-2</v>
      </c>
      <c r="H30" s="26"/>
    </row>
    <row r="31" spans="1:8" ht="55.2" x14ac:dyDescent="0.25">
      <c r="A31" s="21">
        <v>9</v>
      </c>
      <c r="B31" s="21" t="str">
        <f>Source!E42</f>
        <v>9</v>
      </c>
      <c r="C31" s="26" t="str">
        <f>Source!G42</f>
        <v>Перевозка грузов I класса автомобилями-самосвалами грузоподъемностью до 15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 14 км</v>
      </c>
      <c r="D31" s="21" t="s">
        <v>43</v>
      </c>
      <c r="E31" s="27">
        <f>Source!I42</f>
        <v>120.75</v>
      </c>
      <c r="F31" s="21" t="str">
        <f>Source!U26</f>
        <v/>
      </c>
      <c r="G31" s="21">
        <f>Source!I42</f>
        <v>120.75</v>
      </c>
      <c r="H31" s="26"/>
    </row>
    <row r="32" spans="1:8" ht="27.6" x14ac:dyDescent="0.25">
      <c r="A32" s="21">
        <v>10</v>
      </c>
      <c r="B32" s="21" t="str">
        <f>Source!E43</f>
        <v>10</v>
      </c>
      <c r="C32" s="26" t="str">
        <f>Source!G43</f>
        <v>Засыпка вручную траншей, пазух котлованов и ям, группа грунтов: 1 (мест пересечений с существующими подземными коммуникациями )</v>
      </c>
      <c r="D32" s="21" t="s">
        <v>25</v>
      </c>
      <c r="E32" s="27">
        <f>Source!I43</f>
        <v>0.05</v>
      </c>
      <c r="F32" s="21" t="str">
        <f>Source!U26</f>
        <v/>
      </c>
      <c r="G32" s="21">
        <f>Source!I43</f>
        <v>0.05</v>
      </c>
      <c r="H32" s="26"/>
    </row>
    <row r="33" spans="1:8" ht="13.8" x14ac:dyDescent="0.25">
      <c r="A33" s="21">
        <v>11</v>
      </c>
      <c r="B33" s="21" t="str">
        <f>Source!E44</f>
        <v>11</v>
      </c>
      <c r="C33" s="26" t="str">
        <f>Source!G44</f>
        <v>Засыпка вручную траншей, пазух котлованов и ям, группа грунтов: 1</v>
      </c>
      <c r="D33" s="21" t="s">
        <v>25</v>
      </c>
      <c r="E33" s="27">
        <f>Source!I44</f>
        <v>0.04</v>
      </c>
      <c r="F33" s="21" t="str">
        <f>Source!U26</f>
        <v/>
      </c>
      <c r="G33" s="21">
        <f>Source!I44</f>
        <v>0.04</v>
      </c>
      <c r="H33" s="26"/>
    </row>
    <row r="34" spans="1:8" ht="14.4" x14ac:dyDescent="0.25">
      <c r="A34" s="22"/>
      <c r="B34" s="22"/>
      <c r="C34" s="23" t="str">
        <f>Source!G45</f>
        <v>обратная засыпка траншеи экскаватором к=0,5</v>
      </c>
      <c r="D34" s="22"/>
      <c r="E34" s="22"/>
      <c r="F34" s="22"/>
      <c r="G34" s="22"/>
      <c r="H34" s="22"/>
    </row>
    <row r="35" spans="1:8" ht="27.6" x14ac:dyDescent="0.25">
      <c r="A35" s="21">
        <v>12</v>
      </c>
      <c r="B35" s="21" t="str">
        <f>Source!E46</f>
        <v>12</v>
      </c>
      <c r="C35" s="26" t="str">
        <f>Source!G46</f>
        <v>Разработка грунта в отвал экскаваторами, вместимость ковша 0,25 м3, группа грунтов: 1</v>
      </c>
      <c r="D35" s="21" t="s">
        <v>54</v>
      </c>
      <c r="E35" s="27">
        <f>Source!I46</f>
        <v>0.06</v>
      </c>
      <c r="F35" s="21" t="str">
        <f>Source!U26</f>
        <v/>
      </c>
      <c r="G35" s="21">
        <f>Source!I46</f>
        <v>0.06</v>
      </c>
      <c r="H35" s="26"/>
    </row>
    <row r="36" spans="1:8" ht="13.8" x14ac:dyDescent="0.25">
      <c r="A36" s="21">
        <v>13</v>
      </c>
      <c r="B36" s="21" t="str">
        <f>Source!E47</f>
        <v>13</v>
      </c>
      <c r="C36" s="26" t="str">
        <f>Source!G47</f>
        <v>Уплотнение грунта пневматическими трамбовками, группа грунтов: 1-2</v>
      </c>
      <c r="D36" s="21" t="s">
        <v>25</v>
      </c>
      <c r="E36" s="27">
        <f>Source!I47</f>
        <v>0.6</v>
      </c>
      <c r="F36" s="21" t="str">
        <f>Source!U26</f>
        <v/>
      </c>
      <c r="G36" s="21">
        <f>Source!I47</f>
        <v>0.6</v>
      </c>
      <c r="H36" s="26"/>
    </row>
    <row r="37" spans="1:8" ht="27.6" x14ac:dyDescent="0.25">
      <c r="A37" s="21">
        <v>14</v>
      </c>
      <c r="B37" s="21" t="str">
        <f>Source!E48</f>
        <v>14</v>
      </c>
      <c r="C37" s="26" t="str">
        <f>Source!G48</f>
        <v>Планировка площадей: ручным способом, группа грунтов 1 (зоны производства работ, зеленая зона в черте города )</v>
      </c>
      <c r="D37" s="21" t="s">
        <v>89</v>
      </c>
      <c r="E37" s="27">
        <f>Source!I48</f>
        <v>0.1</v>
      </c>
      <c r="F37" s="21" t="str">
        <f>Source!U26</f>
        <v/>
      </c>
      <c r="G37" s="21">
        <f>Source!I48</f>
        <v>0.1</v>
      </c>
      <c r="H37" s="26"/>
    </row>
    <row r="38" spans="1:8" ht="27.6" x14ac:dyDescent="0.25">
      <c r="A38" s="21">
        <v>15</v>
      </c>
      <c r="B38" s="21" t="str">
        <f>Source!E49</f>
        <v>15</v>
      </c>
      <c r="C38" s="26" t="str">
        <f>Source!G49</f>
        <v>Подвешивание коробов подземных коммуникаций при пересечении их трассой трубопровода, площадь сечения коробов: до 0,25 м2</v>
      </c>
      <c r="D38" s="21" t="s">
        <v>98</v>
      </c>
      <c r="E38" s="27">
        <f>Source!I49</f>
        <v>5</v>
      </c>
      <c r="F38" s="21" t="str">
        <f>Source!U26</f>
        <v/>
      </c>
      <c r="G38" s="21">
        <f>Source!I49</f>
        <v>5</v>
      </c>
      <c r="H38" s="26"/>
    </row>
    <row r="39" spans="1:8" ht="16.8" x14ac:dyDescent="0.3">
      <c r="A39" s="147" t="str">
        <f>CONCATENATE("Раздел: ", Source!G83)</f>
        <v>Раздел: Раздел 2. Демонтажные работы</v>
      </c>
      <c r="B39" s="147"/>
      <c r="C39" s="147"/>
      <c r="D39" s="147"/>
      <c r="E39" s="147"/>
      <c r="F39" s="147"/>
      <c r="G39" s="147"/>
      <c r="H39" s="147"/>
    </row>
    <row r="40" spans="1:8" ht="13.8" x14ac:dyDescent="0.25">
      <c r="A40" s="21">
        <v>16</v>
      </c>
      <c r="B40" s="21" t="str">
        <f>Source!E87</f>
        <v>16</v>
      </c>
      <c r="C40" s="26" t="str">
        <f>Source!G87</f>
        <v>Водоотлив: из траншей (многократная откачка воды)</v>
      </c>
      <c r="D40" s="21" t="s">
        <v>25</v>
      </c>
      <c r="E40" s="27">
        <f>Source!I87</f>
        <v>0.36</v>
      </c>
      <c r="F40" s="21" t="str">
        <f>Source!U83</f>
        <v/>
      </c>
      <c r="G40" s="21">
        <f>Source!I87</f>
        <v>0.36</v>
      </c>
      <c r="H40" s="26"/>
    </row>
    <row r="41" spans="1:8" ht="14.4" x14ac:dyDescent="0.25">
      <c r="A41" s="22"/>
      <c r="B41" s="22"/>
      <c r="C41" s="23" t="str">
        <f>Source!G88</f>
        <v>Заглушки д76мм-3шт, д57-1шт</v>
      </c>
      <c r="D41" s="22"/>
      <c r="E41" s="22"/>
      <c r="F41" s="22"/>
      <c r="G41" s="22"/>
      <c r="H41" s="22"/>
    </row>
    <row r="42" spans="1:8" ht="41.4" x14ac:dyDescent="0.25">
      <c r="A42" s="21">
        <v>17</v>
      </c>
      <c r="B42" s="21" t="str">
        <f>Source!E89</f>
        <v>17</v>
      </c>
      <c r="C42" s="26" t="str">
        <f>Source!G89</f>
        <v>Установка фасонных частей стальных сварным соединением с трубопроводом отводы, колена, патрубки и переходы диаметром: до 100 мм (заглушки)</v>
      </c>
      <c r="D42" s="21" t="s">
        <v>169</v>
      </c>
      <c r="E42" s="27">
        <f>Source!I89</f>
        <v>0.4</v>
      </c>
      <c r="F42" s="21" t="str">
        <f>Source!U83</f>
        <v/>
      </c>
      <c r="G42" s="21">
        <f>Source!I89</f>
        <v>0.4</v>
      </c>
      <c r="H42" s="26"/>
    </row>
    <row r="43" spans="1:8" ht="27.6" x14ac:dyDescent="0.25">
      <c r="A43" s="21">
        <v>17.100000000000001</v>
      </c>
      <c r="B43" s="21" t="str">
        <f>Source!E90</f>
        <v>17,1</v>
      </c>
      <c r="C43" s="26" t="str">
        <f>Source!G90</f>
        <v>Прокат листовой горячекатаный, марка стали 09Г2С, 12Г2С, ширина 1200-3000 мм, толщина 1-8 мм</v>
      </c>
      <c r="D43" s="21" t="s">
        <v>174</v>
      </c>
      <c r="E43" s="27">
        <f>Source!I90</f>
        <v>5.0000000000000001E-3</v>
      </c>
      <c r="F43" s="21" t="str">
        <f>Source!U83</f>
        <v/>
      </c>
      <c r="G43" s="21"/>
      <c r="H43" s="26"/>
    </row>
    <row r="44" spans="1:8" ht="41.4" x14ac:dyDescent="0.25">
      <c r="A44" s="21">
        <v>18</v>
      </c>
      <c r="B44" s="21" t="str">
        <f>Source!E91</f>
        <v>18</v>
      </c>
      <c r="C44" s="26" t="str">
        <f>Source!G91</f>
        <v>Установка фасонных частей стальных сварным соединением с трубопроводом отводы, колена, патрубки и переходы диаметром: до 100 мм (Демонтаж заглушек)</v>
      </c>
      <c r="D44" s="21" t="s">
        <v>169</v>
      </c>
      <c r="E44" s="27">
        <f>Source!I91</f>
        <v>0.4</v>
      </c>
      <c r="F44" s="21" t="str">
        <f>Source!U83</f>
        <v/>
      </c>
      <c r="G44" s="21">
        <f>Source!I91</f>
        <v>0.4</v>
      </c>
      <c r="H44" s="26"/>
    </row>
    <row r="45" spans="1:8" ht="14.4" x14ac:dyDescent="0.25">
      <c r="A45" s="22"/>
      <c r="B45" s="22"/>
      <c r="C45" s="23" t="str">
        <f>Source!G92</f>
        <v>разборка изоляции</v>
      </c>
      <c r="D45" s="22"/>
      <c r="E45" s="22"/>
      <c r="F45" s="22"/>
      <c r="G45" s="22"/>
      <c r="H45" s="22"/>
    </row>
    <row r="46" spans="1:8" ht="13.8" x14ac:dyDescent="0.25">
      <c r="A46" s="21">
        <v>19</v>
      </c>
      <c r="B46" s="21" t="str">
        <f>Source!E93</f>
        <v>19</v>
      </c>
      <c r="C46" s="26" t="str">
        <f>Source!G93</f>
        <v>Разборка тепловой изоляции: из плит, сегментов и скорлуп</v>
      </c>
      <c r="D46" s="21" t="s">
        <v>185</v>
      </c>
      <c r="E46" s="27">
        <f>Source!I93</f>
        <v>0.36</v>
      </c>
      <c r="F46" s="21" t="str">
        <f>Source!U83</f>
        <v/>
      </c>
      <c r="G46" s="21">
        <f>Source!I93</f>
        <v>0.36</v>
      </c>
      <c r="H46" s="26"/>
    </row>
    <row r="47" spans="1:8" ht="27.6" x14ac:dyDescent="0.25">
      <c r="A47" s="21">
        <v>20</v>
      </c>
      <c r="B47" s="21" t="str">
        <f>Source!E94</f>
        <v>20</v>
      </c>
      <c r="C47" s="26" t="str">
        <f>Source!G94</f>
        <v>Погрузка в автотранспортное средство: мусор строительный с погрузкой вручную</v>
      </c>
      <c r="D47" s="21" t="s">
        <v>43</v>
      </c>
      <c r="E47" s="27">
        <f>Source!I94</f>
        <v>3.5999999999999997E-2</v>
      </c>
      <c r="F47" s="21" t="str">
        <f>Source!U83</f>
        <v/>
      </c>
      <c r="G47" s="21">
        <f>Source!I94</f>
        <v>3.5999999999999997E-2</v>
      </c>
      <c r="H47" s="26"/>
    </row>
    <row r="48" spans="1:8" ht="55.2" x14ac:dyDescent="0.25">
      <c r="A48" s="21">
        <v>21</v>
      </c>
      <c r="B48" s="21" t="str">
        <f>Source!E95</f>
        <v>21</v>
      </c>
      <c r="C48" s="26" t="str">
        <f>Source!G95</f>
        <v>Перевозка грузов I класса автомобилями-самосвалами грузоподъемностью до 15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 14 км</v>
      </c>
      <c r="D48" s="21" t="s">
        <v>43</v>
      </c>
      <c r="E48" s="27">
        <f>Source!I95</f>
        <v>3.5999999999999997E-2</v>
      </c>
      <c r="F48" s="21" t="str">
        <f>Source!U83</f>
        <v/>
      </c>
      <c r="G48" s="21">
        <f>Source!I95</f>
        <v>3.5999999999999997E-2</v>
      </c>
      <c r="H48" s="26"/>
    </row>
    <row r="49" spans="1:8" ht="27.6" x14ac:dyDescent="0.25">
      <c r="A49" s="21">
        <v>22</v>
      </c>
      <c r="B49" s="21" t="str">
        <f>Source!E96</f>
        <v>22</v>
      </c>
      <c r="C49" s="26" t="str">
        <f>Source!G96</f>
        <v>Очистка непроходных каналов: от мокрого ила и грязи при снятых трубах, глубина очистки до 2 м</v>
      </c>
      <c r="D49" s="21" t="s">
        <v>205</v>
      </c>
      <c r="E49" s="27">
        <f>Source!I96</f>
        <v>4.8</v>
      </c>
      <c r="F49" s="21" t="str">
        <f>Source!U83</f>
        <v/>
      </c>
      <c r="G49" s="21">
        <f>Source!I96</f>
        <v>4.8</v>
      </c>
      <c r="H49" s="26"/>
    </row>
    <row r="50" spans="1:8" ht="27.6" x14ac:dyDescent="0.25">
      <c r="A50" s="21">
        <v>23</v>
      </c>
      <c r="B50" s="21" t="str">
        <f>Source!E97</f>
        <v>23</v>
      </c>
      <c r="C50" s="26" t="str">
        <f>Source!G97</f>
        <v>Погрузка вручную неуплотненного грунта из штабелей и отвалов в транспортные средства, группа грунтов: 1</v>
      </c>
      <c r="D50" s="21" t="s">
        <v>25</v>
      </c>
      <c r="E50" s="27">
        <f>Source!I97</f>
        <v>4.8000000000000001E-2</v>
      </c>
      <c r="F50" s="21" t="str">
        <f>Source!U83</f>
        <v/>
      </c>
      <c r="G50" s="21">
        <f>Source!I97</f>
        <v>4.8000000000000001E-2</v>
      </c>
      <c r="H50" s="26"/>
    </row>
    <row r="51" spans="1:8" ht="55.2" x14ac:dyDescent="0.25">
      <c r="A51" s="21">
        <v>24</v>
      </c>
      <c r="B51" s="21" t="str">
        <f>Source!E98</f>
        <v>24</v>
      </c>
      <c r="C51" s="26" t="str">
        <f>Source!G98</f>
        <v>Перевозка грузов I класса автомобилями-самосвалами грузоподъемностью до 15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 14 км</v>
      </c>
      <c r="D51" s="21" t="s">
        <v>43</v>
      </c>
      <c r="E51" s="27">
        <f>Source!I98</f>
        <v>8.4</v>
      </c>
      <c r="F51" s="21" t="str">
        <f>Source!U83</f>
        <v/>
      </c>
      <c r="G51" s="21">
        <f>Source!I98</f>
        <v>8.4</v>
      </c>
      <c r="H51" s="26"/>
    </row>
    <row r="52" spans="1:8" ht="14.4" x14ac:dyDescent="0.25">
      <c r="A52" s="22"/>
      <c r="B52" s="22"/>
      <c r="C52" s="23" t="str">
        <f>Source!G99</f>
        <v>демонтаж трубопроводов</v>
      </c>
      <c r="D52" s="22"/>
      <c r="E52" s="22"/>
      <c r="F52" s="22"/>
      <c r="G52" s="22"/>
      <c r="H52" s="22"/>
    </row>
    <row r="53" spans="1:8" ht="27.6" x14ac:dyDescent="0.25">
      <c r="A53" s="21">
        <v>25</v>
      </c>
      <c r="B53" s="21" t="str">
        <f>Source!E100</f>
        <v>25</v>
      </c>
      <c r="C53" s="26" t="str">
        <f>Source!G100</f>
        <v>Демонтаж трубопроводов в непроходных каналах краном диаметром труб: до 50 мм</v>
      </c>
      <c r="D53" s="21" t="s">
        <v>213</v>
      </c>
      <c r="E53" s="27">
        <f>Source!I100</f>
        <v>0.15</v>
      </c>
      <c r="F53" s="21" t="str">
        <f>Source!U83</f>
        <v/>
      </c>
      <c r="G53" s="21">
        <f>Source!I100</f>
        <v>0.15</v>
      </c>
      <c r="H53" s="26"/>
    </row>
    <row r="54" spans="1:8" ht="27.6" x14ac:dyDescent="0.25">
      <c r="A54" s="21">
        <v>26</v>
      </c>
      <c r="B54" s="21" t="str">
        <f>Source!E101</f>
        <v>26</v>
      </c>
      <c r="C54" s="26" t="str">
        <f>Source!G101</f>
        <v>Демонтаж трубопроводов в непроходных каналах краном диаметром труб: до 80 мм</v>
      </c>
      <c r="D54" s="21" t="s">
        <v>213</v>
      </c>
      <c r="E54" s="27">
        <f>Source!I101</f>
        <v>0.45</v>
      </c>
      <c r="F54" s="21" t="str">
        <f>Source!U83</f>
        <v/>
      </c>
      <c r="G54" s="21">
        <f>Source!I101</f>
        <v>0.45</v>
      </c>
      <c r="H54" s="26"/>
    </row>
    <row r="55" spans="1:8" ht="27.6" x14ac:dyDescent="0.25">
      <c r="A55" s="21">
        <v>27</v>
      </c>
      <c r="B55" s="21" t="str">
        <f>Source!E102</f>
        <v>27</v>
      </c>
      <c r="C55" s="26" t="str">
        <f>Source!G102</f>
        <v>Демонтаж задвижек диаметром: до 50 мм (спускника д20мм, для повторного использования)</v>
      </c>
      <c r="D55" s="21" t="s">
        <v>222</v>
      </c>
      <c r="E55" s="27">
        <f>Source!I102</f>
        <v>4</v>
      </c>
      <c r="F55" s="21" t="str">
        <f>Source!U83</f>
        <v/>
      </c>
      <c r="G55" s="21">
        <f>Source!I102</f>
        <v>4</v>
      </c>
      <c r="H55" s="26"/>
    </row>
    <row r="56" spans="1:8" ht="27.6" x14ac:dyDescent="0.25">
      <c r="A56" s="21">
        <v>28</v>
      </c>
      <c r="B56" s="21" t="str">
        <f>Source!E103</f>
        <v>28</v>
      </c>
      <c r="C56" s="26" t="str">
        <f>Source!G103</f>
        <v>Погрузка в автотранспортное средство: трубы металлические (погрузка и разгрузка с применением автомобильных кранов)</v>
      </c>
      <c r="D56" s="21" t="s">
        <v>43</v>
      </c>
      <c r="E56" s="27">
        <f>Source!I103</f>
        <v>0.71699999999999997</v>
      </c>
      <c r="F56" s="21" t="str">
        <f>Source!U83</f>
        <v/>
      </c>
      <c r="G56" s="21">
        <f>Source!I103</f>
        <v>0.71699999999999997</v>
      </c>
      <c r="H56" s="26"/>
    </row>
    <row r="57" spans="1:8" ht="55.2" x14ac:dyDescent="0.25">
      <c r="A57" s="21">
        <v>29</v>
      </c>
      <c r="B57" s="21" t="str">
        <f>Source!E104</f>
        <v>29</v>
      </c>
      <c r="C57" s="26" t="str">
        <f>Source!G104</f>
        <v>Перевозка грузов I класса автомобилями-самосвалами грузоподъемностью до 15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 14 км</v>
      </c>
      <c r="D57" s="21" t="s">
        <v>43</v>
      </c>
      <c r="E57" s="27">
        <f>Source!I104</f>
        <v>0.71699999999999997</v>
      </c>
      <c r="F57" s="21" t="str">
        <f>Source!U83</f>
        <v/>
      </c>
      <c r="G57" s="21">
        <f>Source!I104</f>
        <v>0.71699999999999997</v>
      </c>
      <c r="H57" s="26"/>
    </row>
    <row r="58" spans="1:8" ht="16.8" x14ac:dyDescent="0.3">
      <c r="A58" s="147" t="str">
        <f>CONCATENATE("Раздел: ", Source!G138)</f>
        <v>Раздел: Раздел 3. Монтажные работы</v>
      </c>
      <c r="B58" s="147"/>
      <c r="C58" s="147"/>
      <c r="D58" s="147"/>
      <c r="E58" s="147"/>
      <c r="F58" s="147"/>
      <c r="G58" s="147"/>
      <c r="H58" s="147"/>
    </row>
    <row r="59" spans="1:8" ht="14.4" x14ac:dyDescent="0.25">
      <c r="A59" s="22"/>
      <c r="B59" s="22"/>
      <c r="C59" s="23" t="str">
        <f>Source!G142</f>
        <v>трубы</v>
      </c>
      <c r="D59" s="22"/>
      <c r="E59" s="22"/>
      <c r="F59" s="22"/>
      <c r="G59" s="22"/>
      <c r="H59" s="22"/>
    </row>
    <row r="60" spans="1:8" ht="14.4" x14ac:dyDescent="0.25">
      <c r="A60" s="22"/>
      <c r="B60" s="22"/>
      <c r="C60" s="23" t="str">
        <f>Source!G143</f>
        <v>д57мм</v>
      </c>
      <c r="D60" s="22"/>
      <c r="E60" s="22"/>
      <c r="F60" s="22"/>
      <c r="G60" s="22"/>
      <c r="H60" s="22"/>
    </row>
    <row r="61" spans="1:8" ht="27.6" x14ac:dyDescent="0.25">
      <c r="A61" s="21">
        <v>30</v>
      </c>
      <c r="B61" s="21" t="str">
        <f>Source!E144</f>
        <v>30</v>
      </c>
      <c r="C61" s="26" t="str">
        <f>Source!G144</f>
        <v>Прокладка стальных трубопроводов в непроходном канале при номинальном давлении 1,6 МПа, температуре 150°С, диаметр труб: 50 мм</v>
      </c>
      <c r="D61" s="21" t="s">
        <v>234</v>
      </c>
      <c r="E61" s="27">
        <f>Source!I144</f>
        <v>1.4999999999999999E-2</v>
      </c>
      <c r="F61" s="21" t="str">
        <f>Source!U138</f>
        <v/>
      </c>
      <c r="G61" s="21">
        <f>Source!I144</f>
        <v>1.4999999999999999E-2</v>
      </c>
      <c r="H61" s="26"/>
    </row>
    <row r="62" spans="1:8" ht="13.8" x14ac:dyDescent="0.25">
      <c r="A62" s="21">
        <v>30.1</v>
      </c>
      <c r="B62" s="21" t="str">
        <f>Source!E145</f>
        <v>30,1</v>
      </c>
      <c r="C62" s="26" t="str">
        <f>Source!G145</f>
        <v>Опора скользящая стальная (5 шт * 1,77 кг=8,85 кг)</v>
      </c>
      <c r="D62" s="21" t="s">
        <v>240</v>
      </c>
      <c r="E62" s="27">
        <f>Source!I145</f>
        <v>4.3499999999999996</v>
      </c>
      <c r="F62" s="21" t="str">
        <f>Source!U138</f>
        <v/>
      </c>
      <c r="G62" s="21"/>
      <c r="H62" s="26"/>
    </row>
    <row r="63" spans="1:8" ht="27.6" x14ac:dyDescent="0.25">
      <c r="A63" s="21">
        <v>30.2</v>
      </c>
      <c r="B63" s="21" t="str">
        <f>Source!E146</f>
        <v>30,2</v>
      </c>
      <c r="C63" s="26" t="str">
        <f>Source!G146</f>
        <v>Трубы стальные электросварные прямошовные из стали марки 20, наружный диаметр 57 мм, толщина стенки 4 мм</v>
      </c>
      <c r="D63" s="21" t="s">
        <v>98</v>
      </c>
      <c r="E63" s="27">
        <f>Source!I146</f>
        <v>15</v>
      </c>
      <c r="F63" s="21" t="str">
        <f>Source!U138</f>
        <v/>
      </c>
      <c r="G63" s="21"/>
      <c r="H63" s="26"/>
    </row>
    <row r="64" spans="1:8" ht="41.4" x14ac:dyDescent="0.25">
      <c r="A64" s="21">
        <v>30.3</v>
      </c>
      <c r="B64" s="21" t="str">
        <f>Source!E147</f>
        <v>30,3</v>
      </c>
      <c r="C64" s="26" t="str">
        <f>Source!G147</f>
        <v>Отвод 90° с радиусом кривизны R=1,5 Ду на давление до 16 МПа, номинальный диаметр 50 мм, наружный диаметр 57 мм, толщина стенки 5 мм *Прим толщина стенки 6 мм</v>
      </c>
      <c r="D64" s="21" t="s">
        <v>222</v>
      </c>
      <c r="E64" s="27">
        <f>Source!I147</f>
        <v>4</v>
      </c>
      <c r="F64" s="21" t="str">
        <f>Source!U138</f>
        <v/>
      </c>
      <c r="G64" s="21"/>
      <c r="H64" s="26"/>
    </row>
    <row r="65" spans="1:8" ht="28.8" x14ac:dyDescent="0.25">
      <c r="A65" s="22"/>
      <c r="B65" s="22"/>
      <c r="C65" s="23" t="str">
        <f>Source!G148</f>
        <v>Установка скользящих опор сверх нормы, учтенной расценкой 8,85 кг-4,35 кг=4,5кг)</v>
      </c>
      <c r="D65" s="22"/>
      <c r="E65" s="22"/>
      <c r="F65" s="22"/>
      <c r="G65" s="22"/>
      <c r="H65" s="22"/>
    </row>
    <row r="66" spans="1:8" ht="27.6" x14ac:dyDescent="0.25">
      <c r="A66" s="21">
        <v>31</v>
      </c>
      <c r="B66" s="21" t="str">
        <f>Source!E149</f>
        <v>31</v>
      </c>
      <c r="C66" s="26" t="str">
        <f>Source!G149</f>
        <v>Монтаж опорных конструкций для крепления трубопроводов внутри зданий и сооружений массой: до 0,1 т</v>
      </c>
      <c r="D66" s="21" t="s">
        <v>174</v>
      </c>
      <c r="E66" s="27">
        <f>Source!I149</f>
        <v>4.4999999999999997E-3</v>
      </c>
      <c r="F66" s="21" t="str">
        <f>Source!U138</f>
        <v/>
      </c>
      <c r="G66" s="21">
        <f>Source!I149</f>
        <v>4.4999999999999997E-3</v>
      </c>
      <c r="H66" s="26"/>
    </row>
    <row r="67" spans="1:8" ht="13.8" x14ac:dyDescent="0.25">
      <c r="A67" s="21">
        <v>31.1</v>
      </c>
      <c r="B67" s="21" t="str">
        <f>Source!E150</f>
        <v>31,1</v>
      </c>
      <c r="C67" s="26" t="str">
        <f>Source!G150</f>
        <v>Опора скользящая стальная (5 шт * 1,77 кг=8,85 кг)</v>
      </c>
      <c r="D67" s="21" t="s">
        <v>240</v>
      </c>
      <c r="E67" s="27">
        <f>Source!I150</f>
        <v>4.5</v>
      </c>
      <c r="F67" s="21" t="str">
        <f>Source!U138</f>
        <v/>
      </c>
      <c r="G67" s="21"/>
      <c r="H67" s="26"/>
    </row>
    <row r="68" spans="1:8" ht="14.4" x14ac:dyDescent="0.25">
      <c r="A68" s="22"/>
      <c r="B68" s="22"/>
      <c r="C68" s="23" t="str">
        <f>Source!G151</f>
        <v>д76мм</v>
      </c>
      <c r="D68" s="22"/>
      <c r="E68" s="22"/>
      <c r="F68" s="22"/>
      <c r="G68" s="22"/>
      <c r="H68" s="22"/>
    </row>
    <row r="69" spans="1:8" ht="27.6" x14ac:dyDescent="0.25">
      <c r="A69" s="21">
        <v>32</v>
      </c>
      <c r="B69" s="21" t="str">
        <f>Source!E152</f>
        <v>32</v>
      </c>
      <c r="C69" s="26" t="str">
        <f>Source!G152</f>
        <v>Прокладка стальных трубопроводов в непроходном канале при номинальном давлении 1,6 МПа, температуре 150°С, диаметр труб: 65 мм</v>
      </c>
      <c r="D69" s="21" t="s">
        <v>234</v>
      </c>
      <c r="E69" s="27">
        <f>Source!I152</f>
        <v>4.4999999999999998E-2</v>
      </c>
      <c r="F69" s="21" t="str">
        <f>Source!U138</f>
        <v/>
      </c>
      <c r="G69" s="21">
        <f>Source!I152</f>
        <v>4.4999999999999998E-2</v>
      </c>
      <c r="H69" s="26"/>
    </row>
    <row r="70" spans="1:8" ht="13.8" x14ac:dyDescent="0.25">
      <c r="A70" s="21">
        <v>32.1</v>
      </c>
      <c r="B70" s="21" t="str">
        <f>Source!E153</f>
        <v>32,1</v>
      </c>
      <c r="C70" s="26" t="str">
        <f>Source!G153</f>
        <v>Опора скользящая стальная (15 шт * 1,94 кг=29,1 кг)</v>
      </c>
      <c r="D70" s="21" t="s">
        <v>240</v>
      </c>
      <c r="E70" s="27">
        <f>Source!I153</f>
        <v>13.049999999999999</v>
      </c>
      <c r="F70" s="21" t="str">
        <f>Source!U138</f>
        <v/>
      </c>
      <c r="G70" s="21"/>
      <c r="H70" s="26"/>
    </row>
    <row r="71" spans="1:8" ht="27.6" x14ac:dyDescent="0.25">
      <c r="A71" s="21">
        <v>32.200000000000003</v>
      </c>
      <c r="B71" s="21" t="str">
        <f>Source!E154</f>
        <v>32,2</v>
      </c>
      <c r="C71" s="26" t="str">
        <f>Source!G154</f>
        <v>Трубы стальные электросварные прямошовные из стали марки 20, наружный диаметр 76 мм, толщина стенки 4 мм</v>
      </c>
      <c r="D71" s="21" t="s">
        <v>98</v>
      </c>
      <c r="E71" s="27">
        <f>Source!I154</f>
        <v>45</v>
      </c>
      <c r="F71" s="21" t="str">
        <f>Source!U138</f>
        <v/>
      </c>
      <c r="G71" s="21"/>
      <c r="H71" s="26"/>
    </row>
    <row r="72" spans="1:8" ht="41.4" x14ac:dyDescent="0.25">
      <c r="A72" s="21">
        <v>32.299999999999997</v>
      </c>
      <c r="B72" s="21" t="str">
        <f>Source!E155</f>
        <v>32,3</v>
      </c>
      <c r="C72" s="26" t="str">
        <f>Source!G155</f>
        <v>Отвод 90° с радиусом кривизны R=1,5 Ду на давление до 16 МПа, номинальный диаметр 65 мм, наружный диаметр 76 мм, толщина стенки 6 мм</v>
      </c>
      <c r="D72" s="21" t="s">
        <v>222</v>
      </c>
      <c r="E72" s="27">
        <f>Source!I155</f>
        <v>12</v>
      </c>
      <c r="F72" s="21" t="str">
        <f>Source!U138</f>
        <v/>
      </c>
      <c r="G72" s="21"/>
      <c r="H72" s="26"/>
    </row>
    <row r="73" spans="1:8" ht="28.8" x14ac:dyDescent="0.25">
      <c r="A73" s="22"/>
      <c r="B73" s="22"/>
      <c r="C73" s="23" t="str">
        <f>Source!G156</f>
        <v>Установка скользящих опор сверх нормы, учтенной расценкой 29,1 кг-13,05 кг= 16,05кг)</v>
      </c>
      <c r="D73" s="22"/>
      <c r="E73" s="22"/>
      <c r="F73" s="22"/>
      <c r="G73" s="22"/>
      <c r="H73" s="22"/>
    </row>
    <row r="74" spans="1:8" ht="27.6" x14ac:dyDescent="0.25">
      <c r="A74" s="21">
        <v>33</v>
      </c>
      <c r="B74" s="21" t="str">
        <f>Source!E157</f>
        <v>33</v>
      </c>
      <c r="C74" s="26" t="str">
        <f>Source!G157</f>
        <v>Монтаж опорных конструкций для крепления трубопроводов внутри зданий и сооружений массой: до 0,1 т</v>
      </c>
      <c r="D74" s="21" t="s">
        <v>174</v>
      </c>
      <c r="E74" s="27">
        <f>Source!I157</f>
        <v>1.6049999999999998E-2</v>
      </c>
      <c r="F74" s="21" t="str">
        <f>Source!U138</f>
        <v/>
      </c>
      <c r="G74" s="21">
        <f>Source!I157</f>
        <v>1.6049999999999998E-2</v>
      </c>
      <c r="H74" s="26"/>
    </row>
    <row r="75" spans="1:8" ht="13.8" x14ac:dyDescent="0.25">
      <c r="A75" s="21">
        <v>33.1</v>
      </c>
      <c r="B75" s="21" t="str">
        <f>Source!E158</f>
        <v>33,1</v>
      </c>
      <c r="C75" s="26" t="str">
        <f>Source!G158</f>
        <v>Опора скользящая стальная (15 шт * 1,94 кг=29,1 кг)</v>
      </c>
      <c r="D75" s="21" t="s">
        <v>240</v>
      </c>
      <c r="E75" s="27">
        <f>Source!I158</f>
        <v>16.05</v>
      </c>
      <c r="F75" s="21" t="str">
        <f>Source!U138</f>
        <v/>
      </c>
      <c r="G75" s="21"/>
      <c r="H75" s="26"/>
    </row>
    <row r="76" spans="1:8" ht="28.8" x14ac:dyDescent="0.25">
      <c r="A76" s="22"/>
      <c r="B76" s="22"/>
      <c r="C76" s="23" t="str">
        <f>Source!G159</f>
        <v>Протаскивание трубопровоов д,57 мм 1 х12 м и 76 мм 3 х 12 м в существующий канал) ИТОГО 48м</v>
      </c>
      <c r="D76" s="22"/>
      <c r="E76" s="22"/>
      <c r="F76" s="22"/>
      <c r="G76" s="22"/>
      <c r="H76" s="22"/>
    </row>
    <row r="77" spans="1:8" ht="13.8" x14ac:dyDescent="0.25">
      <c r="A77" s="21">
        <v>34</v>
      </c>
      <c r="B77" s="21" t="str">
        <f>Source!E160</f>
        <v>34</v>
      </c>
      <c r="C77" s="26" t="str">
        <f>Source!G160</f>
        <v>Протаскивание  стальных труб диаметром: 100 мм</v>
      </c>
      <c r="D77" s="21" t="s">
        <v>213</v>
      </c>
      <c r="E77" s="27">
        <f>Source!I160</f>
        <v>0.48</v>
      </c>
      <c r="F77" s="21" t="str">
        <f>Source!U138</f>
        <v/>
      </c>
      <c r="G77" s="21">
        <f>Source!I160</f>
        <v>0.48</v>
      </c>
      <c r="H77" s="26"/>
    </row>
    <row r="78" spans="1:8" ht="14.4" x14ac:dyDescent="0.25">
      <c r="A78" s="22"/>
      <c r="B78" s="22"/>
      <c r="C78" s="23" t="str">
        <f>Source!G161</f>
        <v>изоляция</v>
      </c>
      <c r="D78" s="22"/>
      <c r="E78" s="22"/>
      <c r="F78" s="22"/>
      <c r="G78" s="22"/>
      <c r="H78" s="22"/>
    </row>
    <row r="79" spans="1:8" ht="27.6" x14ac:dyDescent="0.25">
      <c r="A79" s="21">
        <v>35</v>
      </c>
      <c r="B79" s="21" t="str">
        <f>Source!E162</f>
        <v>35</v>
      </c>
      <c r="C79" s="26" t="str">
        <f>Source!G162</f>
        <v>Окраска металлических огрунтованных поверхностей: органосиликатной композицией ОС-12-03 за 2 раза</v>
      </c>
      <c r="D79" s="21" t="s">
        <v>185</v>
      </c>
      <c r="E79" s="27">
        <f>Source!I162</f>
        <v>0.16</v>
      </c>
      <c r="F79" s="21" t="str">
        <f>Source!U138</f>
        <v/>
      </c>
      <c r="G79" s="21">
        <f>Source!I162</f>
        <v>0.16</v>
      </c>
      <c r="H79" s="26"/>
    </row>
    <row r="80" spans="1:8" ht="27.6" x14ac:dyDescent="0.25">
      <c r="A80" s="21">
        <v>36</v>
      </c>
      <c r="B80" s="21" t="str">
        <f>Source!E163</f>
        <v>36</v>
      </c>
      <c r="C80" s="26" t="str">
        <f>Source!G163</f>
        <v>Изоляция трубопроводов: матами минераловатными, плитами минераловатными на синтетическом связующем</v>
      </c>
      <c r="D80" s="21" t="s">
        <v>205</v>
      </c>
      <c r="E80" s="27">
        <f>Source!I163</f>
        <v>1.2</v>
      </c>
      <c r="F80" s="21" t="str">
        <f>Source!U138</f>
        <v/>
      </c>
      <c r="G80" s="21">
        <f>Source!I163</f>
        <v>1.2</v>
      </c>
      <c r="H80" s="26"/>
    </row>
    <row r="81" spans="1:8" ht="27.6" x14ac:dyDescent="0.25">
      <c r="A81" s="21">
        <v>36.1</v>
      </c>
      <c r="B81" s="21" t="str">
        <f>Source!E164</f>
        <v>36,1</v>
      </c>
      <c r="C81" s="26" t="str">
        <f>Source!G164</f>
        <v>Маты прошивные теплоизоляционные из минеральной ваты, без обкладок, марка 100 (МП-100)</v>
      </c>
      <c r="D81" s="21" t="s">
        <v>205</v>
      </c>
      <c r="E81" s="27">
        <f>Source!I164</f>
        <v>1.296</v>
      </c>
      <c r="F81" s="21" t="str">
        <f>Source!U138</f>
        <v/>
      </c>
      <c r="G81" s="21"/>
      <c r="H81" s="26"/>
    </row>
    <row r="82" spans="1:8" ht="27.6" x14ac:dyDescent="0.25">
      <c r="A82" s="21">
        <v>37</v>
      </c>
      <c r="B82" s="21" t="str">
        <f>Source!E165</f>
        <v>37</v>
      </c>
      <c r="C82" s="26" t="str">
        <f>Source!G165</f>
        <v>Обертывание поверхности изоляции рулонными материалами насухо с проклейкой швов</v>
      </c>
      <c r="D82" s="21" t="s">
        <v>185</v>
      </c>
      <c r="E82" s="27">
        <f>Source!I165</f>
        <v>0.36</v>
      </c>
      <c r="F82" s="21" t="str">
        <f>Source!U138</f>
        <v/>
      </c>
      <c r="G82" s="21">
        <f>Source!I165</f>
        <v>0.36</v>
      </c>
      <c r="H82" s="26"/>
    </row>
    <row r="83" spans="1:8" ht="27.6" x14ac:dyDescent="0.25">
      <c r="A83" s="21">
        <v>37.1</v>
      </c>
      <c r="B83" s="21" t="str">
        <f>Source!E166</f>
        <v>37,1</v>
      </c>
      <c r="C83" s="26" t="str">
        <f>Source!G166</f>
        <v>Ткань стеклянная изоляционная, плотность 230 г/м2, толщина 0,2 мм (*РСТ-415-Л, клей)</v>
      </c>
      <c r="D83" s="21" t="s">
        <v>314</v>
      </c>
      <c r="E83" s="27">
        <f>Source!I166</f>
        <v>41.4</v>
      </c>
      <c r="F83" s="21" t="str">
        <f>Source!U138</f>
        <v/>
      </c>
      <c r="G83" s="21"/>
      <c r="H83" s="26"/>
    </row>
    <row r="84" spans="1:8" ht="14.4" x14ac:dyDescent="0.25">
      <c r="A84" s="22"/>
      <c r="B84" s="22"/>
      <c r="C84" s="23" t="str">
        <f>Source!G167</f>
        <v>врезки</v>
      </c>
      <c r="D84" s="22"/>
      <c r="E84" s="22"/>
      <c r="F84" s="22"/>
      <c r="G84" s="22"/>
      <c r="H84" s="22"/>
    </row>
    <row r="85" spans="1:8" ht="27.6" x14ac:dyDescent="0.25">
      <c r="A85" s="21">
        <v>38</v>
      </c>
      <c r="B85" s="21" t="str">
        <f>Source!E168</f>
        <v>38</v>
      </c>
      <c r="C85" s="26" t="str">
        <f>Source!G168</f>
        <v>Врезка трубопровода номинальным давлением 2,5 МПа в действующие магистрали, диаметр наружный врезаемой трубы: 57 мм</v>
      </c>
      <c r="D85" s="21" t="s">
        <v>222</v>
      </c>
      <c r="E85" s="27">
        <f>Source!I168</f>
        <v>1</v>
      </c>
      <c r="F85" s="21" t="str">
        <f>Source!U138</f>
        <v/>
      </c>
      <c r="G85" s="21">
        <f>Source!I168</f>
        <v>1</v>
      </c>
      <c r="H85" s="26"/>
    </row>
    <row r="86" spans="1:8" ht="27.6" x14ac:dyDescent="0.25">
      <c r="A86" s="21">
        <v>39</v>
      </c>
      <c r="B86" s="21" t="str">
        <f>Source!E169</f>
        <v>39</v>
      </c>
      <c r="C86" s="26" t="str">
        <f>Source!G169</f>
        <v>Врезка трубопровода номинальным давлением 2,5 МПа в действующие магистрали, диаметр наружный врезаемой трубы: 76 мм</v>
      </c>
      <c r="D86" s="21" t="s">
        <v>222</v>
      </c>
      <c r="E86" s="27">
        <f>Source!I169</f>
        <v>3</v>
      </c>
      <c r="F86" s="21" t="str">
        <f>Source!U138</f>
        <v/>
      </c>
      <c r="G86" s="21">
        <f>Source!I169</f>
        <v>3</v>
      </c>
      <c r="H86" s="26"/>
    </row>
    <row r="87" spans="1:8" ht="14.4" x14ac:dyDescent="0.25">
      <c r="A87" s="22"/>
      <c r="B87" s="22"/>
      <c r="C87" s="23" t="str">
        <f>Source!G170</f>
        <v>спускник д20мм (б/у без стоимости) - 4 шт</v>
      </c>
      <c r="D87" s="22"/>
      <c r="E87" s="22"/>
      <c r="F87" s="22"/>
      <c r="G87" s="22"/>
      <c r="H87" s="22"/>
    </row>
    <row r="88" spans="1:8" ht="27.6" x14ac:dyDescent="0.25">
      <c r="A88" s="21">
        <v>40</v>
      </c>
      <c r="B88" s="21" t="str">
        <f>Source!E171</f>
        <v>40</v>
      </c>
      <c r="C88" s="26" t="str">
        <f>Source!G171</f>
        <v>Установка задвижек или клапанов стальных для горячей воды и пара диаметром: 50 мм (20мм)</v>
      </c>
      <c r="D88" s="21" t="s">
        <v>335</v>
      </c>
      <c r="E88" s="27">
        <f>Source!I171</f>
        <v>0.4</v>
      </c>
      <c r="F88" s="21" t="str">
        <f>Source!U138</f>
        <v/>
      </c>
      <c r="G88" s="21">
        <f>Source!I171</f>
        <v>0.4</v>
      </c>
      <c r="H88" s="26"/>
    </row>
    <row r="89" spans="1:8" ht="14.4" x14ac:dyDescent="0.25">
      <c r="A89" s="22"/>
      <c r="B89" s="22"/>
      <c r="C89" s="23" t="str">
        <f>Source!G172</f>
        <v>выход из канала</v>
      </c>
      <c r="D89" s="22"/>
      <c r="E89" s="22"/>
      <c r="F89" s="22"/>
      <c r="G89" s="22"/>
      <c r="H89" s="22"/>
    </row>
    <row r="90" spans="1:8" ht="13.8" x14ac:dyDescent="0.25">
      <c r="A90" s="21">
        <v>41</v>
      </c>
      <c r="B90" s="21" t="str">
        <f>Source!E173</f>
        <v>41</v>
      </c>
      <c r="C90" s="26" t="str">
        <f>Source!G173</f>
        <v>Кладка стен приямков и каналов</v>
      </c>
      <c r="D90" s="21" t="s">
        <v>205</v>
      </c>
      <c r="E90" s="27">
        <f>Source!I173</f>
        <v>0.3</v>
      </c>
      <c r="F90" s="21" t="str">
        <f>Source!U138</f>
        <v/>
      </c>
      <c r="G90" s="21">
        <f>Source!I173</f>
        <v>0.3</v>
      </c>
      <c r="H90" s="26"/>
    </row>
    <row r="91" spans="1:8" ht="13.8" x14ac:dyDescent="0.25">
      <c r="A91" s="21">
        <v>41.1</v>
      </c>
      <c r="B91" s="21" t="str">
        <f>Source!E174</f>
        <v>41,1</v>
      </c>
      <c r="C91" s="26" t="str">
        <f>Source!G174</f>
        <v>Раствор готовый кладочный, цементный, М100</v>
      </c>
      <c r="D91" s="21" t="s">
        <v>205</v>
      </c>
      <c r="E91" s="27">
        <f>Source!I174</f>
        <v>6.6299999999999998E-2</v>
      </c>
      <c r="F91" s="21" t="str">
        <f>Source!U138</f>
        <v/>
      </c>
      <c r="G91" s="21"/>
      <c r="H91" s="26"/>
    </row>
    <row r="92" spans="1:8" ht="27.6" x14ac:dyDescent="0.25">
      <c r="A92" s="21">
        <v>41.2</v>
      </c>
      <c r="B92" s="21" t="str">
        <f>Source!E175</f>
        <v>41,2</v>
      </c>
      <c r="C92" s="26" t="str">
        <f>Source!G175</f>
        <v>Кирпич керамический рядовой полнотелый одинарный, размеры 250х120х65 мм, марка М150</v>
      </c>
      <c r="D92" s="21" t="s">
        <v>353</v>
      </c>
      <c r="E92" s="27">
        <f>Source!I175</f>
        <v>0.12</v>
      </c>
      <c r="F92" s="21" t="str">
        <f>Source!U138</f>
        <v/>
      </c>
      <c r="G92" s="21"/>
      <c r="H92" s="26"/>
    </row>
    <row r="93" spans="1:8" ht="13.8" x14ac:dyDescent="0.25">
      <c r="A93" s="21">
        <v>42</v>
      </c>
      <c r="B93" s="21" t="str">
        <f>Source!E176</f>
        <v>42</v>
      </c>
      <c r="C93" s="26" t="str">
        <f>Source!G176</f>
        <v>Монтаж: лотков, решеток, затворов из полосовой и тонколистовой стали</v>
      </c>
      <c r="D93" s="21" t="s">
        <v>174</v>
      </c>
      <c r="E93" s="27">
        <f>Source!I176</f>
        <v>0.05</v>
      </c>
      <c r="F93" s="21" t="str">
        <f>Source!U138</f>
        <v/>
      </c>
      <c r="G93" s="21">
        <f>Source!I176</f>
        <v>0.05</v>
      </c>
      <c r="H93" s="26"/>
    </row>
    <row r="94" spans="1:8" ht="41.4" x14ac:dyDescent="0.25">
      <c r="A94" s="21">
        <v>42.1</v>
      </c>
      <c r="B94" s="21" t="str">
        <f>Source!E177</f>
        <v>42,1</v>
      </c>
      <c r="C94" s="26" t="str">
        <f>Source!G177</f>
        <v>Уголок стальной горячекатаный равнополочный, марки стали Ст3сп, Ст3пс, ширина полок 35-56 мм, толщина полки 3-5 мм (уголок 50х50х4 - 4м * 3,05кг=12,2 кг)</v>
      </c>
      <c r="D94" s="21" t="s">
        <v>174</v>
      </c>
      <c r="E94" s="27">
        <f>Source!I177</f>
        <v>1.2200000000000001E-2</v>
      </c>
      <c r="F94" s="21" t="str">
        <f>Source!U138</f>
        <v/>
      </c>
      <c r="G94" s="21"/>
      <c r="H94" s="26"/>
    </row>
    <row r="95" spans="1:8" ht="27.6" x14ac:dyDescent="0.25">
      <c r="A95" s="21">
        <v>42.2</v>
      </c>
      <c r="B95" s="21" t="str">
        <f>Source!E178</f>
        <v>42,2</v>
      </c>
      <c r="C95" s="26" t="str">
        <f>Source!G178</f>
        <v>Прокат листовой горячекатаный, марки стали Ст3сп, Ст3пс, ширина 1200-3000 мм, толщина 1-8 мм (лист т.5мм 1,2мх0,8м=0,96м2)</v>
      </c>
      <c r="D95" s="21" t="s">
        <v>174</v>
      </c>
      <c r="E95" s="27">
        <f>Source!I178</f>
        <v>3.78E-2</v>
      </c>
      <c r="F95" s="21" t="str">
        <f>Source!U138</f>
        <v/>
      </c>
      <c r="G95" s="21"/>
      <c r="H95" s="26"/>
    </row>
    <row r="96" spans="1:8" ht="27.6" x14ac:dyDescent="0.25">
      <c r="A96" s="21">
        <v>43</v>
      </c>
      <c r="B96" s="21" t="str">
        <f>Source!E179</f>
        <v>43</v>
      </c>
      <c r="C96" s="26" t="str">
        <f>Source!G179</f>
        <v>Окраска металлических огрунтованных поверхностей: органосиликатной композицией за 2 раза</v>
      </c>
      <c r="D96" s="21" t="s">
        <v>185</v>
      </c>
      <c r="E96" s="27">
        <f>Source!I179</f>
        <v>0.04</v>
      </c>
      <c r="F96" s="21" t="str">
        <f>Source!U138</f>
        <v/>
      </c>
      <c r="G96" s="21">
        <f>Source!I179</f>
        <v>0.04</v>
      </c>
      <c r="H96" s="26"/>
    </row>
    <row r="97" spans="1:8" ht="13.8" x14ac:dyDescent="0.25">
      <c r="A97" s="21">
        <v>43.1</v>
      </c>
      <c r="B97" s="21" t="str">
        <f>Source!E180</f>
        <v>43,1</v>
      </c>
      <c r="C97" s="26" t="str">
        <f>Source!G180</f>
        <v>Композиция органосиликатная ОС-12-03</v>
      </c>
      <c r="D97" s="21" t="s">
        <v>174</v>
      </c>
      <c r="E97" s="27">
        <f>Source!I180</f>
        <v>7.2000000000000005E-4</v>
      </c>
      <c r="F97" s="21" t="str">
        <f>Source!U138</f>
        <v/>
      </c>
      <c r="G97" s="21"/>
      <c r="H97" s="26"/>
    </row>
    <row r="98" spans="1:8" ht="13.8" x14ac:dyDescent="0.25">
      <c r="A98" s="21">
        <v>43.2</v>
      </c>
      <c r="B98" s="21" t="str">
        <f>Source!E181</f>
        <v>43,2</v>
      </c>
      <c r="C98" s="26" t="str">
        <f>Source!G181</f>
        <v>Толуол каменноугольный и сланцевый, марки А, Б</v>
      </c>
      <c r="D98" s="21" t="s">
        <v>174</v>
      </c>
      <c r="E98" s="27">
        <f>Source!I181</f>
        <v>8.0000000000000007E-5</v>
      </c>
      <c r="F98" s="21" t="str">
        <f>Source!U138</f>
        <v/>
      </c>
      <c r="G98" s="21"/>
      <c r="H98" s="26"/>
    </row>
    <row r="99" spans="1:8" ht="27.6" x14ac:dyDescent="0.25">
      <c r="A99" s="21">
        <v>44</v>
      </c>
      <c r="B99" s="21" t="str">
        <f>Source!E182</f>
        <v>44</v>
      </c>
      <c r="C99" s="26" t="str">
        <f>Source!G182</f>
        <v>Улучшенная штукатурка фасадов цементно-известковым раствором по камню: стен</v>
      </c>
      <c r="D99" s="21" t="s">
        <v>185</v>
      </c>
      <c r="E99" s="27">
        <f>Source!I182</f>
        <v>0.02</v>
      </c>
      <c r="F99" s="21" t="str">
        <f>Source!U138</f>
        <v/>
      </c>
      <c r="G99" s="21">
        <f>Source!I182</f>
        <v>0.02</v>
      </c>
      <c r="H99" s="26"/>
    </row>
    <row r="100" spans="1:8" ht="13.8" x14ac:dyDescent="0.25">
      <c r="A100" s="21">
        <v>44.1</v>
      </c>
      <c r="B100" s="21" t="str">
        <f>Source!E183</f>
        <v>44,1</v>
      </c>
      <c r="C100" s="26" t="str">
        <f>Source!G183</f>
        <v>Раствор кладочный, цементно-известковый, М100</v>
      </c>
      <c r="D100" s="21" t="s">
        <v>205</v>
      </c>
      <c r="E100" s="27">
        <f>Source!I183</f>
        <v>3.78E-2</v>
      </c>
      <c r="F100" s="21" t="str">
        <f>Source!U138</f>
        <v/>
      </c>
      <c r="G100" s="21"/>
      <c r="H100" s="26"/>
    </row>
    <row r="101" spans="1:8" ht="27.6" x14ac:dyDescent="0.25">
      <c r="A101" s="21">
        <v>45</v>
      </c>
      <c r="B101" s="21" t="str">
        <f>Source!E184</f>
        <v>45</v>
      </c>
      <c r="C101" s="26" t="str">
        <f>Source!G184</f>
        <v>Гидроизоляция боковая обмазочная битумная в 2 слоя по выровненной поверхности бутовой кладки, кирпичу, бетону</v>
      </c>
      <c r="D101" s="21" t="s">
        <v>185</v>
      </c>
      <c r="E101" s="27">
        <f>Source!I184</f>
        <v>0.02</v>
      </c>
      <c r="F101" s="21" t="str">
        <f>Source!U138</f>
        <v/>
      </c>
      <c r="G101" s="21">
        <f>Source!I184</f>
        <v>0.02</v>
      </c>
      <c r="H101" s="26"/>
    </row>
    <row r="102" spans="1:8" ht="13.8" x14ac:dyDescent="0.25">
      <c r="A102" s="21">
        <v>45.1</v>
      </c>
      <c r="B102" s="21" t="str">
        <f>Source!E185</f>
        <v>45,1</v>
      </c>
      <c r="C102" s="26" t="str">
        <f>Source!G185</f>
        <v>Битум нефтяной строительный кровельный БНК-90/30</v>
      </c>
      <c r="D102" s="21" t="s">
        <v>174</v>
      </c>
      <c r="E102" s="27">
        <f>Source!I185</f>
        <v>3.2000000000000003E-4</v>
      </c>
      <c r="F102" s="21" t="str">
        <f>Source!U138</f>
        <v/>
      </c>
      <c r="G102" s="21"/>
      <c r="H102" s="26"/>
    </row>
    <row r="103" spans="1:8" ht="27.6" x14ac:dyDescent="0.25">
      <c r="A103" s="21">
        <v>45.2</v>
      </c>
      <c r="B103" s="21" t="str">
        <f>Source!E186</f>
        <v>45,2</v>
      </c>
      <c r="C103" s="26" t="str">
        <f>Source!G186</f>
        <v>Мастика битумная кровельная горячая МБК-Г-55, МБК-Г-65, МБК-Г-75, МБК-Г-85, МБК-Г-100</v>
      </c>
      <c r="D103" s="21" t="s">
        <v>174</v>
      </c>
      <c r="E103" s="27">
        <f>Source!I186</f>
        <v>4.7999999999999996E-3</v>
      </c>
      <c r="F103" s="21" t="str">
        <f>Source!U138</f>
        <v/>
      </c>
      <c r="G103" s="21"/>
      <c r="H103" s="26"/>
    </row>
    <row r="104" spans="1:8" ht="16.8" x14ac:dyDescent="0.3">
      <c r="A104" s="147" t="str">
        <f>CONCATENATE("Раздел: ", Source!G220)</f>
        <v>Раздел: Раздел Восстановление благоустройства</v>
      </c>
      <c r="B104" s="147"/>
      <c r="C104" s="147"/>
      <c r="D104" s="147"/>
      <c r="E104" s="147"/>
      <c r="F104" s="147"/>
      <c r="G104" s="147"/>
      <c r="H104" s="147"/>
    </row>
    <row r="105" spans="1:8" ht="27.6" x14ac:dyDescent="0.25">
      <c r="A105" s="21">
        <v>46</v>
      </c>
      <c r="B105" s="21" t="str">
        <f>Source!E224</f>
        <v>46</v>
      </c>
      <c r="C105" s="26" t="str">
        <f>Source!G224</f>
        <v>Подготовка почвы для устройства партерного и обыкновенного газона с внесением растительной земли слоем 15 см: механизированным способом</v>
      </c>
      <c r="D105" s="21" t="s">
        <v>185</v>
      </c>
      <c r="E105" s="27">
        <f>Source!I224</f>
        <v>0.4</v>
      </c>
      <c r="F105" s="21" t="str">
        <f>Source!U220</f>
        <v/>
      </c>
      <c r="G105" s="21">
        <f>Source!I224</f>
        <v>0.4</v>
      </c>
      <c r="H105" s="26"/>
    </row>
    <row r="106" spans="1:8" ht="13.8" x14ac:dyDescent="0.25">
      <c r="A106" s="21">
        <v>46.1</v>
      </c>
      <c r="B106" s="21" t="str">
        <f>Source!E225</f>
        <v>46,1</v>
      </c>
      <c r="C106" s="26" t="str">
        <f>Source!G225</f>
        <v>Земля растительная</v>
      </c>
      <c r="D106" s="21" t="s">
        <v>205</v>
      </c>
      <c r="E106" s="27">
        <f>Source!I225</f>
        <v>6</v>
      </c>
      <c r="F106" s="21" t="str">
        <f>Source!U220</f>
        <v/>
      </c>
      <c r="G106" s="21"/>
      <c r="H106" s="26"/>
    </row>
    <row r="107" spans="1:8" ht="14.4" x14ac:dyDescent="0.25">
      <c r="A107" s="22"/>
      <c r="B107" s="22"/>
      <c r="C107" s="23" t="str">
        <f>Source!G226</f>
        <v>до 10 см</v>
      </c>
      <c r="D107" s="22"/>
      <c r="E107" s="22"/>
      <c r="F107" s="22"/>
      <c r="G107" s="22"/>
      <c r="H107" s="22"/>
    </row>
    <row r="108" spans="1:8" ht="27.6" x14ac:dyDescent="0.25">
      <c r="A108" s="21">
        <v>47</v>
      </c>
      <c r="B108" s="21" t="str">
        <f>Source!E227</f>
        <v>47</v>
      </c>
      <c r="C108" s="26" t="str">
        <f>Source!G227</f>
        <v>На каждые 5 см изменения толщины слоя добавлять или исключать к нормам с 47-01-046-01 по 47-01-046-04 до 10 см</v>
      </c>
      <c r="D108" s="21" t="s">
        <v>185</v>
      </c>
      <c r="E108" s="27">
        <f>Source!I227</f>
        <v>-0.4</v>
      </c>
      <c r="F108" s="21" t="str">
        <f>Source!U220</f>
        <v/>
      </c>
      <c r="G108" s="21">
        <f>Source!I227</f>
        <v>-0.4</v>
      </c>
      <c r="H108" s="26"/>
    </row>
    <row r="109" spans="1:8" ht="13.8" x14ac:dyDescent="0.25">
      <c r="A109" s="20">
        <v>47.1</v>
      </c>
      <c r="B109" s="20" t="str">
        <f>Source!E228</f>
        <v>47,1</v>
      </c>
      <c r="C109" s="24" t="str">
        <f>Source!G228</f>
        <v>Земля растительная</v>
      </c>
      <c r="D109" s="20" t="s">
        <v>205</v>
      </c>
      <c r="E109" s="25">
        <f>Source!I228</f>
        <v>-2</v>
      </c>
      <c r="F109" s="20" t="str">
        <f>Source!U220</f>
        <v/>
      </c>
      <c r="G109" s="20"/>
      <c r="H109" s="24"/>
    </row>
    <row r="112" spans="1:8" ht="13.8" x14ac:dyDescent="0.25">
      <c r="C112" s="17"/>
      <c r="D112" s="17" t="str">
        <f>IF(Source!X12&lt;&gt;"", Source!X12," ")</f>
        <v xml:space="preserve"> </v>
      </c>
      <c r="E112" s="28"/>
    </row>
    <row r="113" spans="3:5" ht="13.8" x14ac:dyDescent="0.25">
      <c r="C113" s="16"/>
      <c r="D113" s="28"/>
      <c r="E113" s="28"/>
    </row>
    <row r="114" spans="3:5" ht="13.8" x14ac:dyDescent="0.25">
      <c r="C114" s="29"/>
      <c r="D114" s="29" t="str">
        <f>IF(Source!AB12&lt;&gt;"", Source!AB12," ")</f>
        <v xml:space="preserve"> </v>
      </c>
      <c r="E114" s="28"/>
    </row>
  </sheetData>
  <mergeCells count="8">
    <mergeCell ref="A39:H39"/>
    <mergeCell ref="A58:H58"/>
    <mergeCell ref="A104:H104"/>
    <mergeCell ref="A13:H13"/>
    <mergeCell ref="D5:E5"/>
    <mergeCell ref="D7:E7"/>
    <mergeCell ref="B12:E12"/>
    <mergeCell ref="A18:H18"/>
  </mergeCells>
  <pageMargins left="0.39370078740157483" right="0.19685039370078741" top="0.19685039370078741" bottom="0.39370078740157483" header="0.19685039370078741" footer="0.19685039370078741"/>
  <pageSetup paperSize="9" scale="86" fitToHeight="0" orientation="landscape" r:id="rId1"/>
  <headerFooter>
    <oddHeader>&amp;L&amp;8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F94"/>
  <sheetViews>
    <sheetView zoomScaleNormal="100" workbookViewId="0">
      <selection activeCell="H17" sqref="H17"/>
    </sheetView>
  </sheetViews>
  <sheetFormatPr defaultRowHeight="13.2" x14ac:dyDescent="0.25"/>
  <cols>
    <col min="1" max="1" width="6.6640625" customWidth="1"/>
    <col min="2" max="2" width="75.6640625" customWidth="1"/>
    <col min="3" max="5" width="15.6640625" customWidth="1"/>
    <col min="30" max="31" width="0" hidden="1" customWidth="1"/>
    <col min="32" max="32" width="129.6640625" hidden="1" customWidth="1"/>
  </cols>
  <sheetData>
    <row r="1" spans="1:5" x14ac:dyDescent="0.25">
      <c r="A1" s="15" t="str">
        <f>Source!B1</f>
        <v>Smeta.RU  (495) 974-1589</v>
      </c>
    </row>
    <row r="2" spans="1:5" ht="13.8" x14ac:dyDescent="0.25">
      <c r="B2" s="16"/>
      <c r="C2" s="16"/>
      <c r="D2" s="16"/>
    </row>
    <row r="3" spans="1:5" ht="13.8" x14ac:dyDescent="0.25">
      <c r="B3" s="17" t="s">
        <v>807</v>
      </c>
      <c r="C3" s="16"/>
      <c r="D3" s="18" t="s">
        <v>809</v>
      </c>
    </row>
    <row r="4" spans="1:5" ht="13.8" x14ac:dyDescent="0.25">
      <c r="B4" s="16"/>
      <c r="C4" s="18"/>
      <c r="D4" s="18"/>
    </row>
    <row r="5" spans="1:5" ht="13.8" x14ac:dyDescent="0.25">
      <c r="B5" s="17" t="s">
        <v>808</v>
      </c>
      <c r="C5" s="149" t="s">
        <v>808</v>
      </c>
      <c r="D5" s="149"/>
    </row>
    <row r="6" spans="1:5" ht="13.8" x14ac:dyDescent="0.25">
      <c r="B6" s="16"/>
      <c r="C6" s="19"/>
      <c r="D6" s="19"/>
    </row>
    <row r="7" spans="1:5" ht="13.8" x14ac:dyDescent="0.25">
      <c r="B7" s="17" t="s">
        <v>808</v>
      </c>
      <c r="C7" s="149" t="s">
        <v>808</v>
      </c>
      <c r="D7" s="149"/>
    </row>
    <row r="8" spans="1:5" ht="13.8" x14ac:dyDescent="0.25">
      <c r="B8" s="16"/>
      <c r="C8" s="19"/>
      <c r="D8" s="19"/>
    </row>
    <row r="9" spans="1:5" ht="13.8" x14ac:dyDescent="0.25">
      <c r="C9" s="18" t="s">
        <v>810</v>
      </c>
      <c r="D9" s="16"/>
    </row>
    <row r="10" spans="1:5" ht="13.8" x14ac:dyDescent="0.25">
      <c r="A10" s="16"/>
      <c r="B10" s="16"/>
      <c r="C10" s="16"/>
      <c r="D10" s="16"/>
      <c r="E10" s="16"/>
    </row>
    <row r="11" spans="1:5" ht="15.6" x14ac:dyDescent="0.3">
      <c r="A11" s="152" t="str">
        <f>CONCATENATE("Дефектный акт ", IF(Source!AN15&lt;&gt;"", Source!AN15," "))</f>
        <v xml:space="preserve">Дефектный акт  </v>
      </c>
      <c r="B11" s="152"/>
      <c r="C11" s="152"/>
      <c r="D11" s="152"/>
      <c r="E11" s="16"/>
    </row>
    <row r="12" spans="1:5" ht="32.549999999999997" customHeight="1" x14ac:dyDescent="0.25">
      <c r="A12" s="151" t="s">
        <v>1084</v>
      </c>
      <c r="B12" s="151"/>
      <c r="C12" s="151"/>
      <c r="D12" s="151"/>
      <c r="E12" s="151"/>
    </row>
    <row r="13" spans="1:5" ht="13.8" x14ac:dyDescent="0.25">
      <c r="A13" s="16"/>
      <c r="B13" s="16"/>
      <c r="C13" s="16"/>
      <c r="D13" s="16"/>
      <c r="E13" s="16"/>
    </row>
    <row r="14" spans="1:5" ht="13.8" x14ac:dyDescent="0.25">
      <c r="A14" s="16"/>
      <c r="B14" s="98"/>
      <c r="C14" s="16"/>
      <c r="D14" s="16"/>
      <c r="E14" s="16"/>
    </row>
    <row r="15" spans="1:5" ht="13.8" x14ac:dyDescent="0.25">
      <c r="A15" s="16"/>
      <c r="B15" s="98"/>
      <c r="C15" s="16"/>
      <c r="D15" s="16"/>
      <c r="E15" s="16"/>
    </row>
    <row r="16" spans="1:5" ht="13.8" x14ac:dyDescent="0.25">
      <c r="A16" s="16"/>
      <c r="B16" s="98"/>
      <c r="C16" s="16"/>
      <c r="D16" s="16"/>
      <c r="E16" s="16"/>
    </row>
    <row r="17" spans="1:5" ht="27.6" x14ac:dyDescent="0.25">
      <c r="A17" s="20" t="s">
        <v>811</v>
      </c>
      <c r="B17" s="20" t="s">
        <v>813</v>
      </c>
      <c r="C17" s="20" t="s">
        <v>814</v>
      </c>
      <c r="D17" s="20" t="s">
        <v>815</v>
      </c>
      <c r="E17" s="21" t="s">
        <v>818</v>
      </c>
    </row>
    <row r="18" spans="1:5" ht="13.8" x14ac:dyDescent="0.25">
      <c r="A18" s="99">
        <v>1</v>
      </c>
      <c r="B18" s="99">
        <v>2</v>
      </c>
      <c r="C18" s="99">
        <v>3</v>
      </c>
      <c r="D18" s="99">
        <v>4</v>
      </c>
      <c r="E18" s="100">
        <v>5</v>
      </c>
    </row>
    <row r="19" spans="1:5" ht="16.8" x14ac:dyDescent="0.3">
      <c r="A19" s="147" t="str">
        <f>CONCATENATE("Раздел: ", Source!G26)</f>
        <v>Раздел: Раздел 1. Земляные работы</v>
      </c>
      <c r="B19" s="147"/>
      <c r="C19" s="147"/>
      <c r="D19" s="147"/>
      <c r="E19" s="147"/>
    </row>
    <row r="20" spans="1:5" ht="27.6" x14ac:dyDescent="0.25">
      <c r="A20" s="105">
        <v>1</v>
      </c>
      <c r="B20" s="106" t="str">
        <f>Source!G31</f>
        <v>Разработка грунта вручную в траншеях глубиной до 2 м без креплений с откосами, группа грунтов: 2</v>
      </c>
      <c r="C20" s="107" t="str">
        <f>Source!H31</f>
        <v>100 м3</v>
      </c>
      <c r="D20" s="108">
        <f>Source!I31</f>
        <v>0.05</v>
      </c>
      <c r="E20" s="106" t="str">
        <f>Source!G30</f>
        <v>Шурфовка коммуникаций</v>
      </c>
    </row>
    <row r="21" spans="1:5" ht="27.6" x14ac:dyDescent="0.25">
      <c r="A21" s="105">
        <v>2</v>
      </c>
      <c r="B21" s="106" t="str">
        <f>Source!G32</f>
        <v>Погрузка вручную неуплотненного грунта из штабелей и отвалов в транспортные средства, группа грунтов: 1</v>
      </c>
      <c r="C21" s="107" t="str">
        <f>Source!H32</f>
        <v>100 м3</v>
      </c>
      <c r="D21" s="108">
        <f>Source!I32</f>
        <v>0.05</v>
      </c>
      <c r="E21" s="106"/>
    </row>
    <row r="22" spans="1:5" ht="55.2" x14ac:dyDescent="0.25">
      <c r="A22" s="105">
        <v>3</v>
      </c>
      <c r="B22" s="106" t="str">
        <f>Source!G33</f>
        <v>Перевозка грузов I класса автомобилями-самосвалами грузоподъемностью до 15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 14 км</v>
      </c>
      <c r="C22" s="107" t="str">
        <f>Source!H33</f>
        <v>1т груза</v>
      </c>
      <c r="D22" s="108">
        <f>Source!I33</f>
        <v>8.75</v>
      </c>
      <c r="E22" s="106"/>
    </row>
    <row r="23" spans="1:5" ht="41.4" x14ac:dyDescent="0.25">
      <c r="A23" s="105">
        <v>4</v>
      </c>
      <c r="B23" s="106" t="str">
        <f>Source!G35</f>
        <v>Разработка грунта с погрузкой на автомобили-самосвалы в траншеях экскаватором «обратная лопата» с ковшом вместимостью 0,25 м3, группа грунтов: 2</v>
      </c>
      <c r="C23" s="107" t="str">
        <f>Source!H35</f>
        <v>1000 м3</v>
      </c>
      <c r="D23" s="108">
        <f>Source!I35</f>
        <v>0.06</v>
      </c>
      <c r="E23" s="106" t="str">
        <f>Source!G34</f>
        <v>разработка грунта на вывоз</v>
      </c>
    </row>
    <row r="24" spans="1:5" ht="27.6" x14ac:dyDescent="0.25">
      <c r="A24" s="105">
        <v>5</v>
      </c>
      <c r="B24" s="106" t="str">
        <f>Source!G36</f>
        <v>Разработка грунта вручную в траншеях глубиной до 2 м без креплений с откосами, группа грунтов: 2</v>
      </c>
      <c r="C24" s="107" t="str">
        <f>Source!H36</f>
        <v>100 м3</v>
      </c>
      <c r="D24" s="108">
        <f>Source!I36</f>
        <v>0.04</v>
      </c>
      <c r="E24" s="106"/>
    </row>
    <row r="25" spans="1:5" ht="27.6" x14ac:dyDescent="0.25">
      <c r="A25" s="105">
        <v>6</v>
      </c>
      <c r="B25" s="106" t="str">
        <f>Source!G37</f>
        <v>Погрузка вручную неуплотненного грунта из штабелей и отвалов в транспортные средства, группа грунтов: 1</v>
      </c>
      <c r="C25" s="107" t="str">
        <f>Source!H37</f>
        <v>100 м3</v>
      </c>
      <c r="D25" s="108">
        <f>Source!I37</f>
        <v>0.04</v>
      </c>
      <c r="E25" s="106"/>
    </row>
    <row r="26" spans="1:5" ht="55.2" x14ac:dyDescent="0.25">
      <c r="A26" s="105">
        <v>7</v>
      </c>
      <c r="B26" s="106" t="str">
        <f>Source!G38</f>
        <v>Перевозка грузов I класса автомобилями-самосвалами грузоподъемностью до 15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 14 км</v>
      </c>
      <c r="C26" s="107" t="str">
        <f>Source!H38</f>
        <v>1т груза</v>
      </c>
      <c r="D26" s="108">
        <f>Source!I38</f>
        <v>112</v>
      </c>
      <c r="E26" s="106"/>
    </row>
    <row r="27" spans="1:5" ht="55.2" x14ac:dyDescent="0.25">
      <c r="A27" s="105">
        <v>8</v>
      </c>
      <c r="B27" s="106" t="str">
        <f>Source!G41</f>
        <v>Разработка грунта с погрузкой на автомобили-самосвалы в траншеях экскаватором «обратная лопата» с ковшом вместимостью 0,25 м3</v>
      </c>
      <c r="C27" s="107" t="str">
        <f>Source!H41</f>
        <v>1000 м3</v>
      </c>
      <c r="D27" s="108">
        <f>Source!I41</f>
        <v>6.9000000000000006E-2</v>
      </c>
      <c r="E27" s="106" t="str">
        <f>Source!G40</f>
        <v>погрузка грунта в а/с для обратной засыпки</v>
      </c>
    </row>
    <row r="28" spans="1:5" ht="55.2" x14ac:dyDescent="0.25">
      <c r="A28" s="105">
        <v>9</v>
      </c>
      <c r="B28" s="106" t="str">
        <f>Source!G42</f>
        <v>Перевозка грузов I класса автомобилями-самосвалами грузоподъемностью до 15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 14 км</v>
      </c>
      <c r="C28" s="107" t="str">
        <f>Source!H42</f>
        <v>1т груза</v>
      </c>
      <c r="D28" s="108">
        <f>Source!I42</f>
        <v>120.75</v>
      </c>
      <c r="E28" s="106"/>
    </row>
    <row r="29" spans="1:5" ht="27.6" x14ac:dyDescent="0.25">
      <c r="A29" s="105">
        <v>10</v>
      </c>
      <c r="B29" s="106" t="str">
        <f>Source!G43</f>
        <v>Засыпка вручную траншей, пазух котлованов и ям, группа грунтов: 1 (мест пересечений с существующими подземными коммуникациями )</v>
      </c>
      <c r="C29" s="107" t="str">
        <f>Source!H43</f>
        <v>100 м3</v>
      </c>
      <c r="D29" s="108">
        <f>Source!I43</f>
        <v>0.05</v>
      </c>
      <c r="E29" s="106"/>
    </row>
    <row r="30" spans="1:5" ht="13.8" x14ac:dyDescent="0.25">
      <c r="A30" s="105">
        <v>11</v>
      </c>
      <c r="B30" s="106" t="str">
        <f>Source!G44</f>
        <v>Засыпка вручную траншей, пазух котлованов и ям, группа грунтов: 1</v>
      </c>
      <c r="C30" s="107" t="str">
        <f>Source!H44</f>
        <v>100 м3</v>
      </c>
      <c r="D30" s="108">
        <f>Source!I44</f>
        <v>0.04</v>
      </c>
      <c r="E30" s="106"/>
    </row>
    <row r="31" spans="1:5" ht="69" x14ac:dyDescent="0.25">
      <c r="A31" s="105">
        <v>12</v>
      </c>
      <c r="B31" s="106" t="str">
        <f>Source!G46</f>
        <v>Разработка грунта в отвал экскаваторами, вместимость ковша 0,25 м3, группа грунтов: 1</v>
      </c>
      <c r="C31" s="107" t="str">
        <f>Source!H46</f>
        <v>1000 м3</v>
      </c>
      <c r="D31" s="108">
        <f>Source!I46</f>
        <v>0.06</v>
      </c>
      <c r="E31" s="106" t="str">
        <f>Source!G45</f>
        <v>обратная засыпка траншеи экскаватором к=0,5</v>
      </c>
    </row>
    <row r="32" spans="1:5" ht="13.8" x14ac:dyDescent="0.25">
      <c r="A32" s="105">
        <v>13</v>
      </c>
      <c r="B32" s="106" t="str">
        <f>Source!G47</f>
        <v>Уплотнение грунта пневматическими трамбовками, группа грунтов: 1-2</v>
      </c>
      <c r="C32" s="107" t="str">
        <f>Source!H47</f>
        <v>100 м3</v>
      </c>
      <c r="D32" s="108">
        <f>Source!I47</f>
        <v>0.6</v>
      </c>
      <c r="E32" s="106"/>
    </row>
    <row r="33" spans="1:5" ht="27.6" x14ac:dyDescent="0.25">
      <c r="A33" s="105">
        <v>14</v>
      </c>
      <c r="B33" s="106" t="str">
        <f>Source!G48</f>
        <v>Планировка площадей: ручным способом, группа грунтов 1 (зоны производства работ, зеленая зона в черте города )</v>
      </c>
      <c r="C33" s="107" t="str">
        <f>Source!H48</f>
        <v>1000 м2</v>
      </c>
      <c r="D33" s="108">
        <f>Source!I48</f>
        <v>0.1</v>
      </c>
      <c r="E33" s="106"/>
    </row>
    <row r="34" spans="1:5" ht="27.6" x14ac:dyDescent="0.25">
      <c r="A34" s="105">
        <v>15</v>
      </c>
      <c r="B34" s="106" t="str">
        <f>Source!G49</f>
        <v>Подвешивание коробов подземных коммуникаций при пересечении их трассой трубопровода, площадь сечения коробов: до 0,25 м2</v>
      </c>
      <c r="C34" s="107" t="str">
        <f>Source!H49</f>
        <v>м</v>
      </c>
      <c r="D34" s="108">
        <f>Source!I49</f>
        <v>5</v>
      </c>
      <c r="E34" s="106"/>
    </row>
    <row r="35" spans="1:5" ht="16.8" x14ac:dyDescent="0.3">
      <c r="A35" s="147" t="str">
        <f>CONCATENATE("Раздел: ", Source!G83)</f>
        <v>Раздел: Раздел 2. Демонтажные работы</v>
      </c>
      <c r="B35" s="147"/>
      <c r="C35" s="147"/>
      <c r="D35" s="147"/>
      <c r="E35" s="147"/>
    </row>
    <row r="36" spans="1:5" ht="13.8" x14ac:dyDescent="0.25">
      <c r="A36" s="105">
        <v>16</v>
      </c>
      <c r="B36" s="106" t="str">
        <f>Source!G87</f>
        <v>Водоотлив: из траншей (многократная откачка воды)</v>
      </c>
      <c r="C36" s="107" t="str">
        <f>Source!H87</f>
        <v>100 м3</v>
      </c>
      <c r="D36" s="108">
        <f>Source!I87</f>
        <v>0.36</v>
      </c>
      <c r="E36" s="106"/>
    </row>
    <row r="37" spans="1:5" ht="41.4" x14ac:dyDescent="0.25">
      <c r="A37" s="105">
        <v>17</v>
      </c>
      <c r="B37" s="106" t="str">
        <f>Source!G89</f>
        <v>Установка фасонных частей стальных сварным соединением с трубопроводом отводы, колена, патрубки и переходы диаметром: до 100 мм (заглушки)</v>
      </c>
      <c r="C37" s="107" t="str">
        <f>Source!H89</f>
        <v>10 ШТ</v>
      </c>
      <c r="D37" s="108">
        <f>Source!I89</f>
        <v>0.4</v>
      </c>
      <c r="E37" s="106" t="str">
        <f>Source!G88</f>
        <v>Заглушки д76мм-3шт, д57-1шт</v>
      </c>
    </row>
    <row r="38" spans="1:5" ht="27.6" x14ac:dyDescent="0.25">
      <c r="A38" s="105">
        <v>17.100000000000001</v>
      </c>
      <c r="B38" s="106" t="str">
        <f>Source!G90</f>
        <v>Прокат листовой горячекатаный, марка стали 09Г2С, 12Г2С, ширина 1200-3000 мм, толщина 1-8 мм</v>
      </c>
      <c r="C38" s="107" t="str">
        <f>Source!H90</f>
        <v>т</v>
      </c>
      <c r="D38" s="108">
        <f>Source!I90</f>
        <v>5.0000000000000001E-3</v>
      </c>
      <c r="E38" s="106"/>
    </row>
    <row r="39" spans="1:5" ht="41.4" x14ac:dyDescent="0.25">
      <c r="A39" s="105">
        <v>18</v>
      </c>
      <c r="B39" s="106" t="str">
        <f>Source!G91</f>
        <v>Установка фасонных частей стальных сварным соединением с трубопроводом отводы, колена, патрубки и переходы диаметром: до 100 мм (Демонтаж заглушек)</v>
      </c>
      <c r="C39" s="107" t="str">
        <f>Source!H91</f>
        <v>10 ШТ</v>
      </c>
      <c r="D39" s="108">
        <f>Source!I91</f>
        <v>0.4</v>
      </c>
      <c r="E39" s="106"/>
    </row>
    <row r="40" spans="1:5" ht="27.6" x14ac:dyDescent="0.25">
      <c r="A40" s="105">
        <v>19</v>
      </c>
      <c r="B40" s="106" t="str">
        <f>Source!G93</f>
        <v>Разборка тепловой изоляции: из плит, сегментов и скорлуп</v>
      </c>
      <c r="C40" s="107" t="str">
        <f>Source!H93</f>
        <v>100 м2</v>
      </c>
      <c r="D40" s="108">
        <f>Source!I93</f>
        <v>0.36</v>
      </c>
      <c r="E40" s="106" t="str">
        <f>Source!G92</f>
        <v>разборка изоляции</v>
      </c>
    </row>
    <row r="41" spans="1:5" ht="27.6" x14ac:dyDescent="0.25">
      <c r="A41" s="105">
        <v>20</v>
      </c>
      <c r="B41" s="106" t="str">
        <f>Source!G94</f>
        <v>Погрузка в автотранспортное средство: мусор строительный с погрузкой вручную</v>
      </c>
      <c r="C41" s="107" t="str">
        <f>Source!H94</f>
        <v>1т груза</v>
      </c>
      <c r="D41" s="108">
        <f>Source!I94</f>
        <v>3.5999999999999997E-2</v>
      </c>
      <c r="E41" s="106"/>
    </row>
    <row r="42" spans="1:5" ht="55.2" x14ac:dyDescent="0.25">
      <c r="A42" s="105">
        <v>21</v>
      </c>
      <c r="B42" s="106" t="str">
        <f>Source!G95</f>
        <v>Перевозка грузов I класса автомобилями-самосвалами грузоподъемностью до 15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 14 км</v>
      </c>
      <c r="C42" s="107" t="str">
        <f>Source!H95</f>
        <v>1т груза</v>
      </c>
      <c r="D42" s="108">
        <f>Source!I95</f>
        <v>3.5999999999999997E-2</v>
      </c>
      <c r="E42" s="106"/>
    </row>
    <row r="43" spans="1:5" ht="27.6" x14ac:dyDescent="0.25">
      <c r="A43" s="105">
        <v>22</v>
      </c>
      <c r="B43" s="106" t="str">
        <f>Source!G96</f>
        <v>Очистка непроходных каналов: от мокрого ила и грязи при снятых трубах, глубина очистки до 2 м</v>
      </c>
      <c r="C43" s="107" t="str">
        <f>Source!H96</f>
        <v>м3</v>
      </c>
      <c r="D43" s="108">
        <f>Source!I96</f>
        <v>4.8</v>
      </c>
      <c r="E43" s="106"/>
    </row>
    <row r="44" spans="1:5" ht="27.6" x14ac:dyDescent="0.25">
      <c r="A44" s="105">
        <v>23</v>
      </c>
      <c r="B44" s="106" t="str">
        <f>Source!G97</f>
        <v>Погрузка вручную неуплотненного грунта из штабелей и отвалов в транспортные средства, группа грунтов: 1</v>
      </c>
      <c r="C44" s="107" t="str">
        <f>Source!H97</f>
        <v>100 м3</v>
      </c>
      <c r="D44" s="108">
        <f>Source!I97</f>
        <v>4.8000000000000001E-2</v>
      </c>
      <c r="E44" s="106"/>
    </row>
    <row r="45" spans="1:5" ht="55.2" x14ac:dyDescent="0.25">
      <c r="A45" s="105">
        <v>24</v>
      </c>
      <c r="B45" s="106" t="str">
        <f>Source!G98</f>
        <v>Перевозка грузов I класса автомобилями-самосвалами грузоподъемностью до 15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 14 км</v>
      </c>
      <c r="C45" s="107" t="str">
        <f>Source!H98</f>
        <v>1т груза</v>
      </c>
      <c r="D45" s="108">
        <f>Source!I98</f>
        <v>8.4</v>
      </c>
      <c r="E45" s="106"/>
    </row>
    <row r="46" spans="1:5" ht="27.6" x14ac:dyDescent="0.25">
      <c r="A46" s="105">
        <v>25</v>
      </c>
      <c r="B46" s="106" t="str">
        <f>Source!G100</f>
        <v>Демонтаж трубопроводов в непроходных каналах краном диаметром труб: до 50 мм</v>
      </c>
      <c r="C46" s="107" t="str">
        <f>Source!H100</f>
        <v>100 м</v>
      </c>
      <c r="D46" s="108">
        <f>Source!I100</f>
        <v>0.15</v>
      </c>
      <c r="E46" s="106" t="str">
        <f>Source!G99</f>
        <v>демонтаж трубопроводов</v>
      </c>
    </row>
    <row r="47" spans="1:5" ht="27.6" x14ac:dyDescent="0.25">
      <c r="A47" s="105">
        <v>26</v>
      </c>
      <c r="B47" s="106" t="str">
        <f>Source!G101</f>
        <v>Демонтаж трубопроводов в непроходных каналах краном диаметром труб: до 80 мм</v>
      </c>
      <c r="C47" s="107" t="str">
        <f>Source!H101</f>
        <v>100 м</v>
      </c>
      <c r="D47" s="108">
        <f>Source!I101</f>
        <v>0.45</v>
      </c>
      <c r="E47" s="106"/>
    </row>
    <row r="48" spans="1:5" ht="27.6" x14ac:dyDescent="0.25">
      <c r="A48" s="105">
        <v>27</v>
      </c>
      <c r="B48" s="106" t="str">
        <f>Source!G102</f>
        <v>Демонтаж задвижек диаметром: до 50 мм (спускника д20мм, для повторного использования)</v>
      </c>
      <c r="C48" s="107" t="str">
        <f>Source!H102</f>
        <v>ШТ</v>
      </c>
      <c r="D48" s="108">
        <f>Source!I102</f>
        <v>4</v>
      </c>
      <c r="E48" s="106"/>
    </row>
    <row r="49" spans="1:5" ht="27.6" x14ac:dyDescent="0.25">
      <c r="A49" s="105">
        <v>28</v>
      </c>
      <c r="B49" s="106" t="str">
        <f>Source!G103</f>
        <v>Погрузка в автотранспортное средство: трубы металлические (погрузка и разгрузка с применением автомобильных кранов)</v>
      </c>
      <c r="C49" s="107" t="str">
        <f>Source!H103</f>
        <v>1т груза</v>
      </c>
      <c r="D49" s="108">
        <f>Source!I103</f>
        <v>0.71699999999999997</v>
      </c>
      <c r="E49" s="106"/>
    </row>
    <row r="50" spans="1:5" ht="55.2" x14ac:dyDescent="0.25">
      <c r="A50" s="105">
        <v>29</v>
      </c>
      <c r="B50" s="106" t="str">
        <f>Source!G104</f>
        <v>Перевозка грузов I класса автомобилями-самосвалами грузоподъемностью до 15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 14 км</v>
      </c>
      <c r="C50" s="107" t="str">
        <f>Source!H104</f>
        <v>1т груза</v>
      </c>
      <c r="D50" s="108">
        <f>Source!I104</f>
        <v>0.71699999999999997</v>
      </c>
      <c r="E50" s="106"/>
    </row>
    <row r="51" spans="1:5" ht="16.8" x14ac:dyDescent="0.3">
      <c r="A51" s="147" t="str">
        <f>CONCATENATE("Раздел: ", Source!G138)</f>
        <v>Раздел: Раздел 3. Монтажные работы</v>
      </c>
      <c r="B51" s="147"/>
      <c r="C51" s="147"/>
      <c r="D51" s="147"/>
      <c r="E51" s="147"/>
    </row>
    <row r="52" spans="1:5" ht="27.6" x14ac:dyDescent="0.25">
      <c r="A52" s="105">
        <v>30</v>
      </c>
      <c r="B52" s="106" t="str">
        <f>Source!G144</f>
        <v>Прокладка стальных трубопроводов в непроходном канале при номинальном давлении 1,6 МПа, температуре 150°С, диаметр труб: 50 мм</v>
      </c>
      <c r="C52" s="107" t="str">
        <f>Source!H144</f>
        <v>км</v>
      </c>
      <c r="D52" s="108">
        <f>Source!I144</f>
        <v>1.4999999999999999E-2</v>
      </c>
      <c r="E52" s="106" t="str">
        <f>Source!G143</f>
        <v>д57мм</v>
      </c>
    </row>
    <row r="53" spans="1:5" ht="13.8" x14ac:dyDescent="0.25">
      <c r="A53" s="105">
        <v>30.1</v>
      </c>
      <c r="B53" s="106" t="str">
        <f>Source!G145</f>
        <v>Опора скользящая стальная (5 шт * 1,77 кг=8,85 кг)</v>
      </c>
      <c r="C53" s="107" t="str">
        <f>Source!H145</f>
        <v>кг</v>
      </c>
      <c r="D53" s="108">
        <f>Source!I145</f>
        <v>4.3499999999999996</v>
      </c>
      <c r="E53" s="106"/>
    </row>
    <row r="54" spans="1:5" ht="27.6" x14ac:dyDescent="0.25">
      <c r="A54" s="105">
        <v>30.2</v>
      </c>
      <c r="B54" s="106" t="str">
        <f>Source!G146</f>
        <v>Трубы стальные электросварные прямошовные из стали марки 20, наружный диаметр 57 мм, толщина стенки 4 мм</v>
      </c>
      <c r="C54" s="107" t="str">
        <f>Source!H146</f>
        <v>м</v>
      </c>
      <c r="D54" s="108">
        <f>Source!I146</f>
        <v>15</v>
      </c>
      <c r="E54" s="106"/>
    </row>
    <row r="55" spans="1:5" ht="41.4" x14ac:dyDescent="0.25">
      <c r="A55" s="105">
        <v>30.3</v>
      </c>
      <c r="B55" s="106" t="str">
        <f>Source!G147</f>
        <v>Отвод 90° с радиусом кривизны R=1,5 Ду на давление до 16 МПа, номинальный диаметр 50 мм, наружный диаметр 57 мм, толщина стенки 5 мм *Прим толщина стенки 6 мм</v>
      </c>
      <c r="C55" s="107" t="str">
        <f>Source!H147</f>
        <v>ШТ</v>
      </c>
      <c r="D55" s="108">
        <f>Source!I147</f>
        <v>4</v>
      </c>
      <c r="E55" s="106"/>
    </row>
    <row r="56" spans="1:5" ht="110.4" x14ac:dyDescent="0.25">
      <c r="A56" s="105">
        <v>31</v>
      </c>
      <c r="B56" s="106" t="str">
        <f>Source!G149</f>
        <v>Монтаж опорных конструкций для крепления трубопроводов внутри зданий и сооружений массой: до 0,1 т</v>
      </c>
      <c r="C56" s="107" t="str">
        <f>Source!H149</f>
        <v>т</v>
      </c>
      <c r="D56" s="108">
        <f>Source!I149</f>
        <v>4.4999999999999997E-3</v>
      </c>
      <c r="E56" s="106" t="str">
        <f>Source!G148</f>
        <v>Установка скользящих опор сверх нормы, учтенной расценкой 8,85 кг-4,35 кг=4,5кг)</v>
      </c>
    </row>
    <row r="57" spans="1:5" ht="13.8" x14ac:dyDescent="0.25">
      <c r="A57" s="105">
        <v>31.1</v>
      </c>
      <c r="B57" s="106" t="str">
        <f>Source!G150</f>
        <v>Опора скользящая стальная (5 шт * 1,77 кг=8,85 кг)</v>
      </c>
      <c r="C57" s="107" t="str">
        <f>Source!H150</f>
        <v>кг</v>
      </c>
      <c r="D57" s="108">
        <f>Source!I150</f>
        <v>4.5</v>
      </c>
      <c r="E57" s="106"/>
    </row>
    <row r="58" spans="1:5" ht="27.6" x14ac:dyDescent="0.25">
      <c r="A58" s="105">
        <v>32</v>
      </c>
      <c r="B58" s="106" t="str">
        <f>Source!G152</f>
        <v>Прокладка стальных трубопроводов в непроходном канале при номинальном давлении 1,6 МПа, температуре 150°С, диаметр труб: 65 мм</v>
      </c>
      <c r="C58" s="107" t="str">
        <f>Source!H152</f>
        <v>км</v>
      </c>
      <c r="D58" s="108">
        <f>Source!I152</f>
        <v>4.4999999999999998E-2</v>
      </c>
      <c r="E58" s="106" t="str">
        <f>Source!G151</f>
        <v>д76мм</v>
      </c>
    </row>
    <row r="59" spans="1:5" ht="13.8" x14ac:dyDescent="0.25">
      <c r="A59" s="105">
        <v>32.1</v>
      </c>
      <c r="B59" s="106" t="str">
        <f>Source!G153</f>
        <v>Опора скользящая стальная (15 шт * 1,94 кг=29,1 кг)</v>
      </c>
      <c r="C59" s="107" t="str">
        <f>Source!H153</f>
        <v>кг</v>
      </c>
      <c r="D59" s="108">
        <f>Source!I153</f>
        <v>13.049999999999999</v>
      </c>
      <c r="E59" s="106"/>
    </row>
    <row r="60" spans="1:5" ht="27.6" x14ac:dyDescent="0.25">
      <c r="A60" s="105">
        <v>32.200000000000003</v>
      </c>
      <c r="B60" s="106" t="str">
        <f>Source!G154</f>
        <v>Трубы стальные электросварные прямошовные из стали марки 20, наружный диаметр 76 мм, толщина стенки 4 мм</v>
      </c>
      <c r="C60" s="107" t="str">
        <f>Source!H154</f>
        <v>м</v>
      </c>
      <c r="D60" s="108">
        <f>Source!I154</f>
        <v>45</v>
      </c>
      <c r="E60" s="106"/>
    </row>
    <row r="61" spans="1:5" ht="41.4" x14ac:dyDescent="0.25">
      <c r="A61" s="105">
        <v>32.299999999999997</v>
      </c>
      <c r="B61" s="106" t="str">
        <f>Source!G155</f>
        <v>Отвод 90° с радиусом кривизны R=1,5 Ду на давление до 16 МПа, номинальный диаметр 65 мм, наружный диаметр 76 мм, толщина стенки 6 мм</v>
      </c>
      <c r="C61" s="107" t="str">
        <f>Source!H155</f>
        <v>ШТ</v>
      </c>
      <c r="D61" s="108">
        <f>Source!I155</f>
        <v>12</v>
      </c>
      <c r="E61" s="106"/>
    </row>
    <row r="62" spans="1:5" ht="110.4" x14ac:dyDescent="0.25">
      <c r="A62" s="105">
        <v>33</v>
      </c>
      <c r="B62" s="106" t="str">
        <f>Source!G157</f>
        <v>Монтаж опорных конструкций для крепления трубопроводов внутри зданий и сооружений массой: до 0,1 т</v>
      </c>
      <c r="C62" s="107" t="str">
        <f>Source!H157</f>
        <v>т</v>
      </c>
      <c r="D62" s="108">
        <f>Source!I157</f>
        <v>1.6049999999999998E-2</v>
      </c>
      <c r="E62" s="106" t="str">
        <f>Source!G156</f>
        <v>Установка скользящих опор сверх нормы, учтенной расценкой 29,1 кг-13,05 кг= 16,05кг)</v>
      </c>
    </row>
    <row r="63" spans="1:5" ht="13.8" x14ac:dyDescent="0.25">
      <c r="A63" s="105">
        <v>33.1</v>
      </c>
      <c r="B63" s="106" t="str">
        <f>Source!G158</f>
        <v>Опора скользящая стальная (15 шт * 1,94 кг=29,1 кг)</v>
      </c>
      <c r="C63" s="107" t="str">
        <f>Source!H158</f>
        <v>кг</v>
      </c>
      <c r="D63" s="108">
        <f>Source!I158</f>
        <v>16.05</v>
      </c>
      <c r="E63" s="106"/>
    </row>
    <row r="64" spans="1:5" ht="110.4" x14ac:dyDescent="0.25">
      <c r="A64" s="105">
        <v>34</v>
      </c>
      <c r="B64" s="106" t="str">
        <f>Source!G160</f>
        <v>Протаскивание  стальных труб диаметром: 100 мм</v>
      </c>
      <c r="C64" s="107" t="str">
        <f>Source!H160</f>
        <v>100 м</v>
      </c>
      <c r="D64" s="108">
        <f>Source!I160</f>
        <v>0.48</v>
      </c>
      <c r="E64" s="106" t="str">
        <f>Source!G159</f>
        <v>Протаскивание трубопровоов д,57 мм 1 х12 м и 76 мм 3 х 12 м в существующий канал) ИТОГО 48м</v>
      </c>
    </row>
    <row r="65" spans="1:5" ht="27.6" x14ac:dyDescent="0.25">
      <c r="A65" s="105">
        <v>35</v>
      </c>
      <c r="B65" s="106" t="str">
        <f>Source!G162</f>
        <v>Окраска металлических огрунтованных поверхностей: органосиликатной композицией ОС-12-03 за 2 раза</v>
      </c>
      <c r="C65" s="107" t="str">
        <f>Source!H162</f>
        <v>100 м2</v>
      </c>
      <c r="D65" s="108">
        <f>Source!I162</f>
        <v>0.16</v>
      </c>
      <c r="E65" s="106" t="str">
        <f>Source!G161</f>
        <v>изоляция</v>
      </c>
    </row>
    <row r="66" spans="1:5" ht="27.6" x14ac:dyDescent="0.25">
      <c r="A66" s="105">
        <v>36</v>
      </c>
      <c r="B66" s="106" t="str">
        <f>Source!G163</f>
        <v>Изоляция трубопроводов: матами минераловатными, плитами минераловатными на синтетическом связующем</v>
      </c>
      <c r="C66" s="107" t="str">
        <f>Source!H163</f>
        <v>м3</v>
      </c>
      <c r="D66" s="108">
        <f>Source!I163</f>
        <v>1.2</v>
      </c>
      <c r="E66" s="106"/>
    </row>
    <row r="67" spans="1:5" ht="27.6" x14ac:dyDescent="0.25">
      <c r="A67" s="105">
        <v>36.1</v>
      </c>
      <c r="B67" s="106" t="str">
        <f>Source!G164</f>
        <v>Маты прошивные теплоизоляционные из минеральной ваты, без обкладок, марка 100 (МП-100)</v>
      </c>
      <c r="C67" s="107" t="str">
        <f>Source!H164</f>
        <v>м3</v>
      </c>
      <c r="D67" s="108">
        <f>Source!I164</f>
        <v>1.296</v>
      </c>
      <c r="E67" s="106"/>
    </row>
    <row r="68" spans="1:5" ht="27.6" x14ac:dyDescent="0.25">
      <c r="A68" s="105">
        <v>37</v>
      </c>
      <c r="B68" s="106" t="str">
        <f>Source!G165</f>
        <v>Обертывание поверхности изоляции рулонными материалами насухо с проклейкой швов</v>
      </c>
      <c r="C68" s="107" t="str">
        <f>Source!H165</f>
        <v>100 м2</v>
      </c>
      <c r="D68" s="108">
        <f>Source!I165</f>
        <v>0.36</v>
      </c>
      <c r="E68" s="106"/>
    </row>
    <row r="69" spans="1:5" ht="27.6" x14ac:dyDescent="0.25">
      <c r="A69" s="105">
        <v>37.1</v>
      </c>
      <c r="B69" s="106" t="str">
        <f>Source!G166</f>
        <v>Ткань стеклянная изоляционная, плотность 230 г/м2, толщина 0,2 мм (*РСТ-415-Л, клей)</v>
      </c>
      <c r="C69" s="107" t="str">
        <f>Source!H166</f>
        <v>м2</v>
      </c>
      <c r="D69" s="108">
        <f>Source!I166</f>
        <v>41.4</v>
      </c>
      <c r="E69" s="106"/>
    </row>
    <row r="70" spans="1:5" ht="27.6" x14ac:dyDescent="0.25">
      <c r="A70" s="105">
        <v>38</v>
      </c>
      <c r="B70" s="106" t="str">
        <f>Source!G168</f>
        <v>Врезка трубопровода номинальным давлением 2,5 МПа в действующие магистрали, диаметр наружный врезаемой трубы: 57 мм</v>
      </c>
      <c r="C70" s="107" t="str">
        <f>Source!H168</f>
        <v>ШТ</v>
      </c>
      <c r="D70" s="108">
        <f>Source!I168</f>
        <v>1</v>
      </c>
      <c r="E70" s="106" t="str">
        <f>Source!G167</f>
        <v>врезки</v>
      </c>
    </row>
    <row r="71" spans="1:5" ht="27.6" x14ac:dyDescent="0.25">
      <c r="A71" s="105">
        <v>39</v>
      </c>
      <c r="B71" s="106" t="str">
        <f>Source!G169</f>
        <v>Врезка трубопровода номинальным давлением 2,5 МПа в действующие магистрали, диаметр наружный врезаемой трубы: 76 мм</v>
      </c>
      <c r="C71" s="107" t="str">
        <f>Source!H169</f>
        <v>ШТ</v>
      </c>
      <c r="D71" s="108">
        <f>Source!I169</f>
        <v>3</v>
      </c>
      <c r="E71" s="106"/>
    </row>
    <row r="72" spans="1:5" ht="55.2" x14ac:dyDescent="0.25">
      <c r="A72" s="105">
        <v>40</v>
      </c>
      <c r="B72" s="106" t="str">
        <f>Source!G171</f>
        <v>Установка задвижек или клапанов стальных для горячей воды и пара диаметром: 50 мм (20мм)</v>
      </c>
      <c r="C72" s="107" t="str">
        <f>Source!H171</f>
        <v>10 компл</v>
      </c>
      <c r="D72" s="108">
        <f>Source!I171</f>
        <v>0.4</v>
      </c>
      <c r="E72" s="106" t="str">
        <f>Source!G170</f>
        <v>спускник д20мм (б/у без стоимости) - 4 шт</v>
      </c>
    </row>
    <row r="73" spans="1:5" ht="27.6" x14ac:dyDescent="0.25">
      <c r="A73" s="105">
        <v>41</v>
      </c>
      <c r="B73" s="106" t="str">
        <f>Source!G173</f>
        <v>Кладка стен приямков и каналов</v>
      </c>
      <c r="C73" s="107" t="str">
        <f>Source!H173</f>
        <v>м3</v>
      </c>
      <c r="D73" s="108">
        <f>Source!I173</f>
        <v>0.3</v>
      </c>
      <c r="E73" s="106" t="str">
        <f>Source!G172</f>
        <v>выход из канала</v>
      </c>
    </row>
    <row r="74" spans="1:5" ht="13.8" x14ac:dyDescent="0.25">
      <c r="A74" s="105">
        <v>41.1</v>
      </c>
      <c r="B74" s="106" t="str">
        <f>Source!G174</f>
        <v>Раствор готовый кладочный, цементный, М100</v>
      </c>
      <c r="C74" s="107" t="str">
        <f>Source!H174</f>
        <v>м3</v>
      </c>
      <c r="D74" s="108">
        <f>Source!I174</f>
        <v>6.6299999999999998E-2</v>
      </c>
      <c r="E74" s="106"/>
    </row>
    <row r="75" spans="1:5" ht="27.6" x14ac:dyDescent="0.25">
      <c r="A75" s="105">
        <v>41.2</v>
      </c>
      <c r="B75" s="106" t="str">
        <f>Source!G175</f>
        <v>Кирпич керамический рядовой полнотелый одинарный, размеры 250х120х65 мм, марка М150</v>
      </c>
      <c r="C75" s="107" t="str">
        <f>Source!H175</f>
        <v>1000 ШТ</v>
      </c>
      <c r="D75" s="108">
        <f>Source!I175</f>
        <v>0.12</v>
      </c>
      <c r="E75" s="106"/>
    </row>
    <row r="76" spans="1:5" ht="13.8" x14ac:dyDescent="0.25">
      <c r="A76" s="105">
        <v>42</v>
      </c>
      <c r="B76" s="106" t="str">
        <f>Source!G176</f>
        <v>Монтаж: лотков, решеток, затворов из полосовой и тонколистовой стали</v>
      </c>
      <c r="C76" s="107" t="str">
        <f>Source!H176</f>
        <v>т</v>
      </c>
      <c r="D76" s="108">
        <f>Source!I176</f>
        <v>0.05</v>
      </c>
      <c r="E76" s="106"/>
    </row>
    <row r="77" spans="1:5" ht="41.4" x14ac:dyDescent="0.25">
      <c r="A77" s="105">
        <v>42.1</v>
      </c>
      <c r="B77" s="106" t="str">
        <f>Source!G177</f>
        <v>Уголок стальной горячекатаный равнополочный, марки стали Ст3сп, Ст3пс, ширина полок 35-56 мм, толщина полки 3-5 мм (уголок 50х50х4 - 4м * 3,05кг=12,2 кг)</v>
      </c>
      <c r="C77" s="107" t="str">
        <f>Source!H177</f>
        <v>т</v>
      </c>
      <c r="D77" s="108">
        <f>Source!I177</f>
        <v>1.2200000000000001E-2</v>
      </c>
      <c r="E77" s="106"/>
    </row>
    <row r="78" spans="1:5" ht="27.6" x14ac:dyDescent="0.25">
      <c r="A78" s="105">
        <v>42.2</v>
      </c>
      <c r="B78" s="106" t="str">
        <f>Source!G178</f>
        <v>Прокат листовой горячекатаный, марки стали Ст3сп, Ст3пс, ширина 1200-3000 мм, толщина 1-8 мм (лист т.5мм 1,2мх0,8м=0,96м2)</v>
      </c>
      <c r="C78" s="107" t="str">
        <f>Source!H178</f>
        <v>т</v>
      </c>
      <c r="D78" s="108">
        <f>Source!I178</f>
        <v>3.78E-2</v>
      </c>
      <c r="E78" s="106"/>
    </row>
    <row r="79" spans="1:5" ht="27.6" x14ac:dyDescent="0.25">
      <c r="A79" s="105">
        <v>43</v>
      </c>
      <c r="B79" s="106" t="str">
        <f>Source!G179</f>
        <v>Окраска металлических огрунтованных поверхностей: органосиликатной композицией за 2 раза</v>
      </c>
      <c r="C79" s="107" t="str">
        <f>Source!H179</f>
        <v>100 м2</v>
      </c>
      <c r="D79" s="108">
        <f>Source!I179</f>
        <v>0.04</v>
      </c>
      <c r="E79" s="106"/>
    </row>
    <row r="80" spans="1:5" ht="13.8" x14ac:dyDescent="0.25">
      <c r="A80" s="105">
        <v>43.1</v>
      </c>
      <c r="B80" s="106" t="str">
        <f>Source!G180</f>
        <v>Композиция органосиликатная ОС-12-03</v>
      </c>
      <c r="C80" s="107" t="str">
        <f>Source!H180</f>
        <v>т</v>
      </c>
      <c r="D80" s="108">
        <f>Source!I180</f>
        <v>7.2000000000000005E-4</v>
      </c>
      <c r="E80" s="106"/>
    </row>
    <row r="81" spans="1:5" ht="13.8" x14ac:dyDescent="0.25">
      <c r="A81" s="105">
        <v>43.2</v>
      </c>
      <c r="B81" s="106" t="str">
        <f>Source!G181</f>
        <v>Толуол каменноугольный и сланцевый, марки А, Б</v>
      </c>
      <c r="C81" s="107" t="str">
        <f>Source!H181</f>
        <v>т</v>
      </c>
      <c r="D81" s="108">
        <f>Source!I181</f>
        <v>8.0000000000000007E-5</v>
      </c>
      <c r="E81" s="106"/>
    </row>
    <row r="82" spans="1:5" ht="27.6" x14ac:dyDescent="0.25">
      <c r="A82" s="105">
        <v>44</v>
      </c>
      <c r="B82" s="106" t="str">
        <f>Source!G182</f>
        <v>Улучшенная штукатурка фасадов цементно-известковым раствором по камню: стен</v>
      </c>
      <c r="C82" s="107" t="str">
        <f>Source!H182</f>
        <v>100 м2</v>
      </c>
      <c r="D82" s="108">
        <f>Source!I182</f>
        <v>0.02</v>
      </c>
      <c r="E82" s="106"/>
    </row>
    <row r="83" spans="1:5" ht="13.8" x14ac:dyDescent="0.25">
      <c r="A83" s="105">
        <v>44.1</v>
      </c>
      <c r="B83" s="106" t="str">
        <f>Source!G183</f>
        <v>Раствор кладочный, цементно-известковый, М100</v>
      </c>
      <c r="C83" s="107" t="str">
        <f>Source!H183</f>
        <v>м3</v>
      </c>
      <c r="D83" s="108">
        <f>Source!I183</f>
        <v>3.78E-2</v>
      </c>
      <c r="E83" s="106"/>
    </row>
    <row r="84" spans="1:5" ht="27.6" x14ac:dyDescent="0.25">
      <c r="A84" s="105">
        <v>45</v>
      </c>
      <c r="B84" s="106" t="str">
        <f>Source!G184</f>
        <v>Гидроизоляция боковая обмазочная битумная в 2 слоя по выровненной поверхности бутовой кладки, кирпичу, бетону</v>
      </c>
      <c r="C84" s="107" t="str">
        <f>Source!H184</f>
        <v>100 м2</v>
      </c>
      <c r="D84" s="108">
        <f>Source!I184</f>
        <v>0.02</v>
      </c>
      <c r="E84" s="106"/>
    </row>
    <row r="85" spans="1:5" ht="13.8" x14ac:dyDescent="0.25">
      <c r="A85" s="105">
        <v>45.1</v>
      </c>
      <c r="B85" s="106" t="str">
        <f>Source!G185</f>
        <v>Битум нефтяной строительный кровельный БНК-90/30</v>
      </c>
      <c r="C85" s="107" t="str">
        <f>Source!H185</f>
        <v>т</v>
      </c>
      <c r="D85" s="108">
        <f>Source!I185</f>
        <v>3.2000000000000003E-4</v>
      </c>
      <c r="E85" s="106"/>
    </row>
    <row r="86" spans="1:5" ht="27.6" x14ac:dyDescent="0.25">
      <c r="A86" s="105">
        <v>45.2</v>
      </c>
      <c r="B86" s="106" t="str">
        <f>Source!G186</f>
        <v>Мастика битумная кровельная горячая МБК-Г-55, МБК-Г-65, МБК-Г-75, МБК-Г-85, МБК-Г-100</v>
      </c>
      <c r="C86" s="107" t="str">
        <f>Source!H186</f>
        <v>т</v>
      </c>
      <c r="D86" s="108">
        <f>Source!I186</f>
        <v>4.7999999999999996E-3</v>
      </c>
      <c r="E86" s="106"/>
    </row>
    <row r="87" spans="1:5" ht="16.8" x14ac:dyDescent="0.3">
      <c r="A87" s="147" t="str">
        <f>CONCATENATE("Раздел: ", Source!G220)</f>
        <v>Раздел: Раздел Восстановление благоустройства</v>
      </c>
      <c r="B87" s="147"/>
      <c r="C87" s="147"/>
      <c r="D87" s="147"/>
      <c r="E87" s="147"/>
    </row>
    <row r="88" spans="1:5" ht="27.6" x14ac:dyDescent="0.25">
      <c r="A88" s="105">
        <v>46</v>
      </c>
      <c r="B88" s="106" t="str">
        <f>Source!G224</f>
        <v>Подготовка почвы для устройства партерного и обыкновенного газона с внесением растительной земли слоем 15 см: механизированным способом</v>
      </c>
      <c r="C88" s="107" t="str">
        <f>Source!H224</f>
        <v>100 м2</v>
      </c>
      <c r="D88" s="108">
        <f>Source!I224</f>
        <v>0.4</v>
      </c>
      <c r="E88" s="106"/>
    </row>
    <row r="89" spans="1:5" ht="13.8" x14ac:dyDescent="0.25">
      <c r="A89" s="105">
        <v>46.1</v>
      </c>
      <c r="B89" s="106" t="str">
        <f>Source!G225</f>
        <v>Земля растительная</v>
      </c>
      <c r="C89" s="107" t="str">
        <f>Source!H225</f>
        <v>м3</v>
      </c>
      <c r="D89" s="108">
        <f>Source!I225</f>
        <v>6</v>
      </c>
      <c r="E89" s="106"/>
    </row>
    <row r="90" spans="1:5" ht="27.6" x14ac:dyDescent="0.25">
      <c r="A90" s="105">
        <v>47</v>
      </c>
      <c r="B90" s="106" t="str">
        <f>Source!G227</f>
        <v>На каждые 5 см изменения толщины слоя добавлять или исключать к нормам с 47-01-046-01 по 47-01-046-04 до 10 см</v>
      </c>
      <c r="C90" s="107" t="str">
        <f>Source!H227</f>
        <v>100 м2</v>
      </c>
      <c r="D90" s="108">
        <f>Source!I227</f>
        <v>-0.4</v>
      </c>
      <c r="E90" s="106" t="str">
        <f>Source!G226</f>
        <v>до 10 см</v>
      </c>
    </row>
    <row r="91" spans="1:5" ht="13.8" x14ac:dyDescent="0.25">
      <c r="A91" s="101">
        <v>47.1</v>
      </c>
      <c r="B91" s="102" t="str">
        <f>Source!G228</f>
        <v>Земля растительная</v>
      </c>
      <c r="C91" s="103" t="str">
        <f>Source!H228</f>
        <v>м3</v>
      </c>
      <c r="D91" s="104">
        <f>Source!I228</f>
        <v>-2</v>
      </c>
      <c r="E91" s="102"/>
    </row>
    <row r="94" spans="1:5" ht="13.8" x14ac:dyDescent="0.25">
      <c r="A94" s="109"/>
      <c r="B94" s="109"/>
      <c r="C94" s="109"/>
      <c r="D94" s="109"/>
      <c r="E94" s="109"/>
    </row>
  </sheetData>
  <mergeCells count="8">
    <mergeCell ref="A35:E35"/>
    <mergeCell ref="A51:E51"/>
    <mergeCell ref="A87:E87"/>
    <mergeCell ref="A12:E12"/>
    <mergeCell ref="C5:D5"/>
    <mergeCell ref="C7:D7"/>
    <mergeCell ref="A11:D11"/>
    <mergeCell ref="A19:E19"/>
  </mergeCells>
  <pageMargins left="0.4" right="0.2" top="0.2" bottom="0.4" header="0.2" footer="0.2"/>
  <pageSetup paperSize="9" scale="77" fitToHeight="0" orientation="portrait" verticalDpi="0" r:id="rId1"/>
  <headerFooter>
    <oddHeader>&amp;L&amp;8</oddHead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272"/>
  <sheetViews>
    <sheetView workbookViewId="0"/>
  </sheetViews>
  <sheetFormatPr defaultRowHeight="13.2" x14ac:dyDescent="0.25"/>
  <sheetData>
    <row r="1" spans="1:28" x14ac:dyDescent="0.25">
      <c r="A1" t="s">
        <v>1044</v>
      </c>
      <c r="B1" t="s">
        <v>1046</v>
      </c>
      <c r="C1" t="s">
        <v>1047</v>
      </c>
      <c r="D1" t="s">
        <v>1048</v>
      </c>
      <c r="E1" t="s">
        <v>1049</v>
      </c>
      <c r="F1" t="s">
        <v>1050</v>
      </c>
      <c r="G1" t="s">
        <v>1051</v>
      </c>
      <c r="H1" t="s">
        <v>1052</v>
      </c>
      <c r="I1" t="s">
        <v>1053</v>
      </c>
      <c r="J1" t="s">
        <v>1054</v>
      </c>
      <c r="K1" t="s">
        <v>1055</v>
      </c>
      <c r="L1" t="s">
        <v>1056</v>
      </c>
      <c r="M1" t="s">
        <v>1057</v>
      </c>
      <c r="N1" t="s">
        <v>1058</v>
      </c>
      <c r="O1" t="s">
        <v>1045</v>
      </c>
    </row>
    <row r="2" spans="1:28" x14ac:dyDescent="0.25">
      <c r="A2">
        <v>1</v>
      </c>
      <c r="B2">
        <v>1</v>
      </c>
      <c r="C2">
        <v>1</v>
      </c>
      <c r="D2">
        <v>1</v>
      </c>
      <c r="E2">
        <v>1</v>
      </c>
      <c r="F2">
        <v>0</v>
      </c>
      <c r="G2">
        <v>0</v>
      </c>
      <c r="H2">
        <v>1</v>
      </c>
      <c r="I2">
        <v>1</v>
      </c>
      <c r="J2">
        <v>0</v>
      </c>
      <c r="K2">
        <v>1</v>
      </c>
      <c r="L2">
        <v>75604747</v>
      </c>
      <c r="M2">
        <v>0</v>
      </c>
      <c r="N2">
        <v>0</v>
      </c>
      <c r="O2">
        <v>0</v>
      </c>
    </row>
    <row r="4" spans="1:28" x14ac:dyDescent="0.25">
      <c r="A4" t="s">
        <v>1016</v>
      </c>
      <c r="B4" t="s">
        <v>1017</v>
      </c>
      <c r="C4" t="s">
        <v>1018</v>
      </c>
      <c r="D4" t="s">
        <v>1019</v>
      </c>
      <c r="E4" t="s">
        <v>1020</v>
      </c>
      <c r="F4" t="s">
        <v>1021</v>
      </c>
      <c r="G4" t="s">
        <v>1022</v>
      </c>
      <c r="H4" t="s">
        <v>1023</v>
      </c>
      <c r="I4" t="s">
        <v>1024</v>
      </c>
      <c r="J4" t="s">
        <v>1025</v>
      </c>
      <c r="K4" t="s">
        <v>1026</v>
      </c>
      <c r="L4" t="s">
        <v>1027</v>
      </c>
      <c r="M4" t="s">
        <v>1028</v>
      </c>
      <c r="N4" t="s">
        <v>1029</v>
      </c>
      <c r="O4" t="s">
        <v>1030</v>
      </c>
      <c r="P4" t="s">
        <v>1031</v>
      </c>
      <c r="Q4" t="s">
        <v>1032</v>
      </c>
      <c r="R4" t="s">
        <v>1033</v>
      </c>
      <c r="S4" t="s">
        <v>1034</v>
      </c>
      <c r="T4" t="s">
        <v>1035</v>
      </c>
      <c r="U4" t="s">
        <v>1039</v>
      </c>
      <c r="V4" t="s">
        <v>1040</v>
      </c>
      <c r="W4" t="s">
        <v>1041</v>
      </c>
      <c r="X4" t="s">
        <v>1042</v>
      </c>
      <c r="Y4" t="s">
        <v>1043</v>
      </c>
      <c r="Z4" t="s">
        <v>1036</v>
      </c>
      <c r="AA4" t="s">
        <v>1037</v>
      </c>
      <c r="AB4" t="s">
        <v>1038</v>
      </c>
    </row>
    <row r="6" spans="1:28" x14ac:dyDescent="0.25">
      <c r="A6">
        <f>Source!A20</f>
        <v>3</v>
      </c>
      <c r="B6">
        <v>20</v>
      </c>
      <c r="G6" t="str">
        <f>Source!G20</f>
        <v>Аварийный ремонт систмы теплоснабжения и ГВС к общежитию ФГБОУ «Рязанский государственный агротехнологический университет имени П.А. Костычева»</v>
      </c>
    </row>
    <row r="7" spans="1:28" x14ac:dyDescent="0.25">
      <c r="A7">
        <f>Source!A26</f>
        <v>4</v>
      </c>
      <c r="B7">
        <v>26</v>
      </c>
      <c r="G7" t="str">
        <f>Source!G26</f>
        <v>Раздел 1. Земляные работы</v>
      </c>
    </row>
    <row r="8" spans="1:28" x14ac:dyDescent="0.25">
      <c r="A8">
        <v>20</v>
      </c>
      <c r="B8">
        <v>1</v>
      </c>
      <c r="C8">
        <v>1</v>
      </c>
      <c r="D8">
        <v>0</v>
      </c>
      <c r="E8">
        <f>SmtRes!AV1</f>
        <v>1</v>
      </c>
      <c r="F8" t="str">
        <f>SmtRes!I1</f>
        <v>1-100-20</v>
      </c>
      <c r="G8" t="str">
        <f>SmtRes!K1</f>
        <v>Средний разряд работы 2,0</v>
      </c>
      <c r="H8" t="str">
        <f>SmtRes!O1</f>
        <v>чел.-ч.</v>
      </c>
      <c r="I8">
        <f>SmtRes!Y1*Source!I31</f>
        <v>10.183250000000001</v>
      </c>
      <c r="J8">
        <f>SmtRes!AO1</f>
        <v>0</v>
      </c>
      <c r="K8">
        <f>SmtRes!AH1</f>
        <v>299.36</v>
      </c>
      <c r="M8">
        <f t="shared" ref="M8:M34" si="0">ROUND(I8*K8, 2)</f>
        <v>3048.46</v>
      </c>
      <c r="N8">
        <f>SmtRes!AD1</f>
        <v>299.36</v>
      </c>
      <c r="O8">
        <f>SmtRes!DI1</f>
        <v>3048.46</v>
      </c>
      <c r="P8">
        <f>SmtRes!AG1</f>
        <v>0</v>
      </c>
      <c r="R8">
        <f t="shared" ref="R8:R34" si="1">ROUND(I8*P8, 2)</f>
        <v>0</v>
      </c>
      <c r="S8">
        <f>SmtRes!AC1</f>
        <v>0</v>
      </c>
      <c r="T8">
        <f>SmtRes!DH1</f>
        <v>0</v>
      </c>
      <c r="U8">
        <v>1</v>
      </c>
      <c r="Z8">
        <f>SmtRes!X1</f>
        <v>370475345</v>
      </c>
      <c r="AA8">
        <v>-1587801246</v>
      </c>
      <c r="AB8">
        <v>-1587801246</v>
      </c>
    </row>
    <row r="9" spans="1:28" x14ac:dyDescent="0.25">
      <c r="A9">
        <v>20</v>
      </c>
      <c r="B9">
        <v>2</v>
      </c>
      <c r="C9">
        <v>1</v>
      </c>
      <c r="D9">
        <v>0</v>
      </c>
      <c r="E9">
        <f>SmtRes!AV2</f>
        <v>1</v>
      </c>
      <c r="F9" t="str">
        <f>SmtRes!I2</f>
        <v>1-100-15</v>
      </c>
      <c r="G9" t="str">
        <f>SmtRes!K2</f>
        <v>Средний разряд работы 1,5</v>
      </c>
      <c r="H9" t="str">
        <f>SmtRes!O2</f>
        <v>чел.-ч.</v>
      </c>
      <c r="I9">
        <f>SmtRes!Y2*Source!I32</f>
        <v>3.0797000000000003</v>
      </c>
      <c r="J9">
        <f>SmtRes!AO2</f>
        <v>0</v>
      </c>
      <c r="K9">
        <f>SmtRes!AH2</f>
        <v>287</v>
      </c>
      <c r="M9">
        <f t="shared" si="0"/>
        <v>883.87</v>
      </c>
      <c r="N9">
        <f>SmtRes!AD2</f>
        <v>287</v>
      </c>
      <c r="O9">
        <f>SmtRes!DI2</f>
        <v>883.87</v>
      </c>
      <c r="P9">
        <f>SmtRes!AG2</f>
        <v>0</v>
      </c>
      <c r="R9">
        <f t="shared" si="1"/>
        <v>0</v>
      </c>
      <c r="S9">
        <f>SmtRes!AC2</f>
        <v>0</v>
      </c>
      <c r="T9">
        <f>SmtRes!DH2</f>
        <v>0</v>
      </c>
      <c r="U9">
        <v>1</v>
      </c>
      <c r="Z9">
        <f>SmtRes!X2</f>
        <v>-267883188</v>
      </c>
      <c r="AA9">
        <v>548894885</v>
      </c>
      <c r="AB9">
        <v>548894885</v>
      </c>
    </row>
    <row r="10" spans="1:28" x14ac:dyDescent="0.25">
      <c r="A10">
        <v>20</v>
      </c>
      <c r="B10">
        <v>4</v>
      </c>
      <c r="C10">
        <v>2</v>
      </c>
      <c r="D10">
        <v>0</v>
      </c>
      <c r="E10">
        <f>SmtRes!AV4</f>
        <v>1</v>
      </c>
      <c r="F10" t="str">
        <f>SmtRes!I4</f>
        <v>91.01.05-106</v>
      </c>
      <c r="G10" t="str">
        <f>SmtRes!K4</f>
        <v>Экскаваторы одноковшовые дизельные на пневмоколесном ходу, объем ковша 0,25 м3</v>
      </c>
      <c r="H10" t="str">
        <f>SmtRes!O4</f>
        <v>маш.-ч</v>
      </c>
      <c r="I10">
        <f>SmtRes!Y4*Source!I35</f>
        <v>3.6569999999999996</v>
      </c>
      <c r="J10">
        <f>SmtRes!AO4</f>
        <v>0</v>
      </c>
      <c r="K10">
        <f>SmtRes!AF4</f>
        <v>800.37</v>
      </c>
      <c r="M10">
        <f t="shared" si="0"/>
        <v>2926.95</v>
      </c>
      <c r="N10">
        <f>SmtRes!AB4</f>
        <v>960.44</v>
      </c>
      <c r="O10">
        <f>SmtRes!DG4</f>
        <v>3512.33</v>
      </c>
      <c r="P10">
        <f>SmtRes!AG4</f>
        <v>422.95</v>
      </c>
      <c r="R10">
        <f t="shared" si="1"/>
        <v>1546.73</v>
      </c>
      <c r="S10">
        <f>SmtRes!AC4</f>
        <v>422.95</v>
      </c>
      <c r="T10">
        <f>SmtRes!DH4</f>
        <v>1546.73</v>
      </c>
      <c r="U10">
        <v>2</v>
      </c>
      <c r="Z10">
        <f>SmtRes!X4</f>
        <v>1569939493</v>
      </c>
      <c r="AA10">
        <v>260164018</v>
      </c>
      <c r="AB10">
        <v>-1646974774</v>
      </c>
    </row>
    <row r="11" spans="1:28" x14ac:dyDescent="0.25">
      <c r="A11">
        <v>20</v>
      </c>
      <c r="B11">
        <v>3</v>
      </c>
      <c r="C11">
        <v>1</v>
      </c>
      <c r="D11">
        <v>0</v>
      </c>
      <c r="E11">
        <f>SmtRes!AV3</f>
        <v>2</v>
      </c>
      <c r="F11" t="str">
        <f>SmtRes!I3</f>
        <v>4-100-00</v>
      </c>
      <c r="G11" t="str">
        <f>SmtRes!K3</f>
        <v>Затраты труда машинистов</v>
      </c>
      <c r="H11" t="str">
        <f>SmtRes!O3</f>
        <v>чел.-ч.</v>
      </c>
      <c r="I11">
        <f>SmtRes!Y3*Source!I35</f>
        <v>3.6569999999999996</v>
      </c>
      <c r="J11">
        <f>SmtRes!AO3</f>
        <v>0</v>
      </c>
      <c r="K11">
        <f>SmtRes!AH3</f>
        <v>0</v>
      </c>
      <c r="M11">
        <f t="shared" si="0"/>
        <v>0</v>
      </c>
      <c r="N11">
        <f>SmtRes!AD3</f>
        <v>0</v>
      </c>
      <c r="O11">
        <f>SmtRes!DI3</f>
        <v>0</v>
      </c>
      <c r="P11">
        <f>SmtRes!AG3</f>
        <v>0</v>
      </c>
      <c r="R11">
        <f t="shared" si="1"/>
        <v>0</v>
      </c>
      <c r="S11">
        <f>SmtRes!AC3</f>
        <v>0</v>
      </c>
      <c r="T11">
        <f>SmtRes!DH3</f>
        <v>0</v>
      </c>
      <c r="U11">
        <v>1</v>
      </c>
      <c r="Z11">
        <f>SmtRes!X3</f>
        <v>-1417349443</v>
      </c>
      <c r="AA11">
        <v>212567905</v>
      </c>
      <c r="AB11">
        <v>212567905</v>
      </c>
    </row>
    <row r="12" spans="1:28" x14ac:dyDescent="0.25">
      <c r="A12">
        <v>20</v>
      </c>
      <c r="B12">
        <v>5</v>
      </c>
      <c r="C12">
        <v>1</v>
      </c>
      <c r="D12">
        <v>0</v>
      </c>
      <c r="E12">
        <f>SmtRes!AV5</f>
        <v>1</v>
      </c>
      <c r="F12" t="str">
        <f>SmtRes!I5</f>
        <v>1-100-20</v>
      </c>
      <c r="G12" t="str">
        <f>SmtRes!K5</f>
        <v>Средний разряд работы 2,0</v>
      </c>
      <c r="H12" t="str">
        <f>SmtRes!O5</f>
        <v>чел.-ч.</v>
      </c>
      <c r="I12">
        <f>SmtRes!Y5*Source!I36</f>
        <v>8.5007999999999999</v>
      </c>
      <c r="J12">
        <f>SmtRes!AO5</f>
        <v>0</v>
      </c>
      <c r="K12">
        <f>SmtRes!AH5</f>
        <v>299.36</v>
      </c>
      <c r="M12">
        <f t="shared" si="0"/>
        <v>2544.8000000000002</v>
      </c>
      <c r="N12">
        <f>SmtRes!AD5</f>
        <v>299.36</v>
      </c>
      <c r="O12">
        <f>SmtRes!DI5</f>
        <v>2544.8000000000002</v>
      </c>
      <c r="P12">
        <f>SmtRes!AG5</f>
        <v>0</v>
      </c>
      <c r="R12">
        <f t="shared" si="1"/>
        <v>0</v>
      </c>
      <c r="S12">
        <f>SmtRes!AC5</f>
        <v>0</v>
      </c>
      <c r="T12">
        <f>SmtRes!DH5</f>
        <v>0</v>
      </c>
      <c r="U12">
        <v>1</v>
      </c>
      <c r="Z12">
        <f>SmtRes!X5</f>
        <v>370475345</v>
      </c>
      <c r="AA12">
        <v>-1587801246</v>
      </c>
      <c r="AB12">
        <v>-1587801246</v>
      </c>
    </row>
    <row r="13" spans="1:28" x14ac:dyDescent="0.25">
      <c r="A13">
        <v>20</v>
      </c>
      <c r="B13">
        <v>6</v>
      </c>
      <c r="C13">
        <v>1</v>
      </c>
      <c r="D13">
        <v>0</v>
      </c>
      <c r="E13">
        <f>SmtRes!AV6</f>
        <v>1</v>
      </c>
      <c r="F13" t="str">
        <f>SmtRes!I6</f>
        <v>1-100-15</v>
      </c>
      <c r="G13" t="str">
        <f>SmtRes!K6</f>
        <v>Средний разряд работы 1,5</v>
      </c>
      <c r="H13" t="str">
        <f>SmtRes!O6</f>
        <v>чел.-ч.</v>
      </c>
      <c r="I13">
        <f>SmtRes!Y6*Source!I37</f>
        <v>2.4637600000000002</v>
      </c>
      <c r="J13">
        <f>SmtRes!AO6</f>
        <v>0</v>
      </c>
      <c r="K13">
        <f>SmtRes!AH6</f>
        <v>287</v>
      </c>
      <c r="M13">
        <f t="shared" si="0"/>
        <v>707.1</v>
      </c>
      <c r="N13">
        <f>SmtRes!AD6</f>
        <v>287</v>
      </c>
      <c r="O13">
        <f>SmtRes!DI6</f>
        <v>707.1</v>
      </c>
      <c r="P13">
        <f>SmtRes!AG6</f>
        <v>0</v>
      </c>
      <c r="R13">
        <f t="shared" si="1"/>
        <v>0</v>
      </c>
      <c r="S13">
        <f>SmtRes!AC6</f>
        <v>0</v>
      </c>
      <c r="T13">
        <f>SmtRes!DH6</f>
        <v>0</v>
      </c>
      <c r="U13">
        <v>1</v>
      </c>
      <c r="Z13">
        <f>SmtRes!X6</f>
        <v>-267883188</v>
      </c>
      <c r="AA13">
        <v>548894885</v>
      </c>
      <c r="AB13">
        <v>548894885</v>
      </c>
    </row>
    <row r="14" spans="1:28" x14ac:dyDescent="0.25">
      <c r="A14">
        <v>20</v>
      </c>
      <c r="B14">
        <v>8</v>
      </c>
      <c r="C14">
        <v>2</v>
      </c>
      <c r="D14">
        <v>0</v>
      </c>
      <c r="E14">
        <f>SmtRes!AV8</f>
        <v>1</v>
      </c>
      <c r="F14" t="str">
        <f>SmtRes!I8</f>
        <v>91.01.05-106</v>
      </c>
      <c r="G14" t="str">
        <f>SmtRes!K8</f>
        <v>Экскаваторы одноковшовые дизельные на пневмоколесном ходу, объем ковша 0,25 м3</v>
      </c>
      <c r="H14" t="str">
        <f>SmtRes!O8</f>
        <v>маш.-ч</v>
      </c>
      <c r="I14">
        <f>SmtRes!Y8*Source!I41</f>
        <v>3.2533500000000002</v>
      </c>
      <c r="J14">
        <f>SmtRes!AO8</f>
        <v>0</v>
      </c>
      <c r="K14">
        <f>SmtRes!AF8</f>
        <v>800.37</v>
      </c>
      <c r="M14">
        <f t="shared" si="0"/>
        <v>2603.88</v>
      </c>
      <c r="N14">
        <f>SmtRes!AB8</f>
        <v>960.44</v>
      </c>
      <c r="O14">
        <f>SmtRes!DG8</f>
        <v>3124.65</v>
      </c>
      <c r="P14">
        <f>SmtRes!AG8</f>
        <v>422.95</v>
      </c>
      <c r="R14">
        <f t="shared" si="1"/>
        <v>1376</v>
      </c>
      <c r="S14">
        <f>SmtRes!AC8</f>
        <v>422.95</v>
      </c>
      <c r="T14">
        <f>SmtRes!DH8</f>
        <v>1376</v>
      </c>
      <c r="U14">
        <v>2</v>
      </c>
      <c r="Z14">
        <f>SmtRes!X8</f>
        <v>1569939493</v>
      </c>
      <c r="AA14">
        <v>260164018</v>
      </c>
      <c r="AB14">
        <v>-1646974774</v>
      </c>
    </row>
    <row r="15" spans="1:28" x14ac:dyDescent="0.25">
      <c r="A15">
        <v>20</v>
      </c>
      <c r="B15">
        <v>7</v>
      </c>
      <c r="C15">
        <v>1</v>
      </c>
      <c r="D15">
        <v>0</v>
      </c>
      <c r="E15">
        <f>SmtRes!AV7</f>
        <v>2</v>
      </c>
      <c r="F15" t="str">
        <f>SmtRes!I7</f>
        <v>4-100-00</v>
      </c>
      <c r="G15" t="str">
        <f>SmtRes!K7</f>
        <v>Затраты труда машинистов</v>
      </c>
      <c r="H15" t="str">
        <f>SmtRes!O7</f>
        <v>чел.-ч.</v>
      </c>
      <c r="I15">
        <f>SmtRes!Y7*Source!I41</f>
        <v>3.2533500000000002</v>
      </c>
      <c r="J15">
        <f>SmtRes!AO7</f>
        <v>0</v>
      </c>
      <c r="K15">
        <f>SmtRes!AH7</f>
        <v>0</v>
      </c>
      <c r="M15">
        <f t="shared" si="0"/>
        <v>0</v>
      </c>
      <c r="N15">
        <f>SmtRes!AD7</f>
        <v>0</v>
      </c>
      <c r="O15">
        <f>SmtRes!DI7</f>
        <v>0</v>
      </c>
      <c r="P15">
        <f>SmtRes!AG7</f>
        <v>0</v>
      </c>
      <c r="R15">
        <f t="shared" si="1"/>
        <v>0</v>
      </c>
      <c r="S15">
        <f>SmtRes!AC7</f>
        <v>0</v>
      </c>
      <c r="T15">
        <f>SmtRes!DH7</f>
        <v>0</v>
      </c>
      <c r="U15">
        <v>1</v>
      </c>
      <c r="Z15">
        <f>SmtRes!X7</f>
        <v>-1417349443</v>
      </c>
      <c r="AA15">
        <v>212567905</v>
      </c>
      <c r="AB15">
        <v>212567905</v>
      </c>
    </row>
    <row r="16" spans="1:28" x14ac:dyDescent="0.25">
      <c r="A16">
        <v>20</v>
      </c>
      <c r="B16">
        <v>9</v>
      </c>
      <c r="C16">
        <v>1</v>
      </c>
      <c r="D16">
        <v>0</v>
      </c>
      <c r="E16">
        <f>SmtRes!AV9</f>
        <v>1</v>
      </c>
      <c r="F16" t="str">
        <f>SmtRes!I9</f>
        <v>1-100-15</v>
      </c>
      <c r="G16" t="str">
        <f>SmtRes!K9</f>
        <v>Средний разряд работы 1,5</v>
      </c>
      <c r="H16" t="str">
        <f>SmtRes!O9</f>
        <v>чел.-ч.</v>
      </c>
      <c r="I16">
        <f>SmtRes!Y9*Source!I43</f>
        <v>5.0887500000000001</v>
      </c>
      <c r="J16">
        <f>SmtRes!AO9</f>
        <v>0</v>
      </c>
      <c r="K16">
        <f>SmtRes!AH9</f>
        <v>287</v>
      </c>
      <c r="M16">
        <f t="shared" si="0"/>
        <v>1460.47</v>
      </c>
      <c r="N16">
        <f>SmtRes!AD9</f>
        <v>287</v>
      </c>
      <c r="O16">
        <f>SmtRes!DI9</f>
        <v>1460.47</v>
      </c>
      <c r="P16">
        <f>SmtRes!AG9</f>
        <v>0</v>
      </c>
      <c r="R16">
        <f t="shared" si="1"/>
        <v>0</v>
      </c>
      <c r="S16">
        <f>SmtRes!AC9</f>
        <v>0</v>
      </c>
      <c r="T16">
        <f>SmtRes!DH9</f>
        <v>0</v>
      </c>
      <c r="U16">
        <v>1</v>
      </c>
      <c r="Z16">
        <f>SmtRes!X9</f>
        <v>-267883188</v>
      </c>
      <c r="AA16">
        <v>548894885</v>
      </c>
      <c r="AB16">
        <v>548894885</v>
      </c>
    </row>
    <row r="17" spans="1:28" x14ac:dyDescent="0.25">
      <c r="A17">
        <v>20</v>
      </c>
      <c r="B17">
        <v>10</v>
      </c>
      <c r="C17">
        <v>1</v>
      </c>
      <c r="D17">
        <v>0</v>
      </c>
      <c r="E17">
        <f>SmtRes!AV10</f>
        <v>1</v>
      </c>
      <c r="F17" t="str">
        <f>SmtRes!I10</f>
        <v>1-100-15</v>
      </c>
      <c r="G17" t="str">
        <f>SmtRes!K10</f>
        <v>Средний разряд работы 1,5</v>
      </c>
      <c r="H17" t="str">
        <f>SmtRes!O10</f>
        <v>чел.-ч.</v>
      </c>
      <c r="I17">
        <f>SmtRes!Y10*Source!I44</f>
        <v>4.0709999999999997</v>
      </c>
      <c r="J17">
        <f>SmtRes!AO10</f>
        <v>0</v>
      </c>
      <c r="K17">
        <f>SmtRes!AH10</f>
        <v>287</v>
      </c>
      <c r="M17">
        <f t="shared" si="0"/>
        <v>1168.3800000000001</v>
      </c>
      <c r="N17">
        <f>SmtRes!AD10</f>
        <v>287</v>
      </c>
      <c r="O17">
        <f>SmtRes!DI10</f>
        <v>1168.3800000000001</v>
      </c>
      <c r="P17">
        <f>SmtRes!AG10</f>
        <v>0</v>
      </c>
      <c r="R17">
        <f t="shared" si="1"/>
        <v>0</v>
      </c>
      <c r="S17">
        <f>SmtRes!AC10</f>
        <v>0</v>
      </c>
      <c r="T17">
        <f>SmtRes!DH10</f>
        <v>0</v>
      </c>
      <c r="U17">
        <v>1</v>
      </c>
      <c r="Z17">
        <f>SmtRes!X10</f>
        <v>-267883188</v>
      </c>
      <c r="AA17">
        <v>548894885</v>
      </c>
      <c r="AB17">
        <v>548894885</v>
      </c>
    </row>
    <row r="18" spans="1:28" x14ac:dyDescent="0.25">
      <c r="A18">
        <v>20</v>
      </c>
      <c r="B18">
        <v>13</v>
      </c>
      <c r="C18">
        <v>2</v>
      </c>
      <c r="D18">
        <v>0</v>
      </c>
      <c r="E18">
        <f>SmtRes!AV13</f>
        <v>1</v>
      </c>
      <c r="F18" t="str">
        <f>SmtRes!I13</f>
        <v>91.01.05-066</v>
      </c>
      <c r="G18" t="str">
        <f>SmtRes!K13</f>
        <v>Экскаваторы одноковшовые дизельные на гусеничном ходу, объем ковша 0,25 м3</v>
      </c>
      <c r="H18" t="str">
        <f>SmtRes!O13</f>
        <v>маш.-ч</v>
      </c>
      <c r="I18">
        <f>SmtRes!Y13*Source!I46</f>
        <v>1.2275099999999999</v>
      </c>
      <c r="J18">
        <f>SmtRes!AO13</f>
        <v>0</v>
      </c>
      <c r="K18">
        <f>SmtRes!AF13</f>
        <v>675.43</v>
      </c>
      <c r="M18">
        <f t="shared" si="0"/>
        <v>829.1</v>
      </c>
      <c r="N18">
        <f>SmtRes!AB13</f>
        <v>857.8</v>
      </c>
      <c r="O18">
        <f>SmtRes!DG13</f>
        <v>1052.96</v>
      </c>
      <c r="P18">
        <f>SmtRes!AG13</f>
        <v>422.95</v>
      </c>
      <c r="R18">
        <f t="shared" si="1"/>
        <v>519.17999999999995</v>
      </c>
      <c r="S18">
        <f>SmtRes!AC13</f>
        <v>422.95</v>
      </c>
      <c r="T18">
        <f>SmtRes!DH13</f>
        <v>519.17999999999995</v>
      </c>
      <c r="U18">
        <v>2</v>
      </c>
      <c r="Z18">
        <f>SmtRes!X13</f>
        <v>-1081498379</v>
      </c>
      <c r="AA18">
        <v>-1124345899</v>
      </c>
      <c r="AB18">
        <v>-1925885685</v>
      </c>
    </row>
    <row r="19" spans="1:28" x14ac:dyDescent="0.25">
      <c r="A19">
        <v>20</v>
      </c>
      <c r="B19">
        <v>12</v>
      </c>
      <c r="C19">
        <v>1</v>
      </c>
      <c r="D19">
        <v>0</v>
      </c>
      <c r="E19">
        <f>SmtRes!AV12</f>
        <v>2</v>
      </c>
      <c r="F19" t="str">
        <f>SmtRes!I12</f>
        <v>4-100-00</v>
      </c>
      <c r="G19" t="str">
        <f>SmtRes!K12</f>
        <v>Затраты труда машинистов</v>
      </c>
      <c r="H19" t="str">
        <f>SmtRes!O12</f>
        <v>чел.-ч.</v>
      </c>
      <c r="I19">
        <f>SmtRes!Y12*Source!I46</f>
        <v>1.2275099999999999</v>
      </c>
      <c r="J19">
        <f>SmtRes!AO12</f>
        <v>0</v>
      </c>
      <c r="K19">
        <f>SmtRes!AH12</f>
        <v>0</v>
      </c>
      <c r="M19">
        <f t="shared" si="0"/>
        <v>0</v>
      </c>
      <c r="N19">
        <f>SmtRes!AD12</f>
        <v>0</v>
      </c>
      <c r="O19">
        <f>SmtRes!DI12</f>
        <v>0</v>
      </c>
      <c r="P19">
        <f>SmtRes!AG12</f>
        <v>0</v>
      </c>
      <c r="R19">
        <f t="shared" si="1"/>
        <v>0</v>
      </c>
      <c r="S19">
        <f>SmtRes!AC12</f>
        <v>0</v>
      </c>
      <c r="T19">
        <f>SmtRes!DH12</f>
        <v>0</v>
      </c>
      <c r="U19">
        <v>1</v>
      </c>
      <c r="Z19">
        <f>SmtRes!X12</f>
        <v>-1417349443</v>
      </c>
      <c r="AA19">
        <v>212567905</v>
      </c>
      <c r="AB19">
        <v>212567905</v>
      </c>
    </row>
    <row r="20" spans="1:28" x14ac:dyDescent="0.25">
      <c r="A20">
        <v>20</v>
      </c>
      <c r="B20">
        <v>11</v>
      </c>
      <c r="C20">
        <v>1</v>
      </c>
      <c r="D20">
        <v>0</v>
      </c>
      <c r="E20">
        <f>SmtRes!AV11</f>
        <v>1</v>
      </c>
      <c r="F20" t="str">
        <f>SmtRes!I11</f>
        <v>1-100-20</v>
      </c>
      <c r="G20" t="str">
        <f>SmtRes!K11</f>
        <v>Средний разряд работы 2,0</v>
      </c>
      <c r="H20" t="str">
        <f>SmtRes!O11</f>
        <v>чел.-ч.</v>
      </c>
      <c r="I20">
        <f>SmtRes!Y11*Source!I46</f>
        <v>0.24632999999999994</v>
      </c>
      <c r="J20">
        <f>SmtRes!AO11</f>
        <v>0</v>
      </c>
      <c r="K20">
        <f>SmtRes!AH11</f>
        <v>299.36</v>
      </c>
      <c r="M20">
        <f t="shared" si="0"/>
        <v>73.739999999999995</v>
      </c>
      <c r="N20">
        <f>SmtRes!AD11</f>
        <v>299.36</v>
      </c>
      <c r="O20">
        <f>SmtRes!DI11</f>
        <v>73.739999999999995</v>
      </c>
      <c r="P20">
        <f>SmtRes!AG11</f>
        <v>0</v>
      </c>
      <c r="R20">
        <f t="shared" si="1"/>
        <v>0</v>
      </c>
      <c r="S20">
        <f>SmtRes!AC11</f>
        <v>0</v>
      </c>
      <c r="T20">
        <f>SmtRes!DH11</f>
        <v>0</v>
      </c>
      <c r="U20">
        <v>1</v>
      </c>
      <c r="Z20">
        <f>SmtRes!X11</f>
        <v>370475345</v>
      </c>
      <c r="AA20">
        <v>-1587801246</v>
      </c>
      <c r="AB20">
        <v>-1587801246</v>
      </c>
    </row>
    <row r="21" spans="1:28" x14ac:dyDescent="0.25">
      <c r="A21">
        <v>20</v>
      </c>
      <c r="B21">
        <v>17</v>
      </c>
      <c r="C21">
        <v>2</v>
      </c>
      <c r="D21">
        <v>0</v>
      </c>
      <c r="E21">
        <f>SmtRes!AV17</f>
        <v>1</v>
      </c>
      <c r="F21" t="str">
        <f>SmtRes!I17</f>
        <v>91.18.01-007</v>
      </c>
      <c r="G21" t="str">
        <f>SmtRes!K17</f>
        <v>Компрессоры винтовые передвижные с двигателем внутреннего сгорания, давление до 0,7 МПа (7 атм), производительность до 5,4 м3/мин</v>
      </c>
      <c r="H21" t="str">
        <f>SmtRes!O17</f>
        <v>маш.-ч</v>
      </c>
      <c r="I21">
        <f>SmtRes!Y17*Source!I47</f>
        <v>1.8077999999999999</v>
      </c>
      <c r="J21">
        <f>SmtRes!AO17</f>
        <v>0</v>
      </c>
      <c r="K21">
        <f>SmtRes!AF17</f>
        <v>385.61</v>
      </c>
      <c r="M21">
        <f t="shared" si="0"/>
        <v>697.11</v>
      </c>
      <c r="N21">
        <f>SmtRes!AB17</f>
        <v>385.61</v>
      </c>
      <c r="O21">
        <f>SmtRes!DG17</f>
        <v>697.11</v>
      </c>
      <c r="P21">
        <f>SmtRes!AG17</f>
        <v>368.02</v>
      </c>
      <c r="R21">
        <f t="shared" si="1"/>
        <v>665.31</v>
      </c>
      <c r="S21">
        <f>SmtRes!AC17</f>
        <v>368.02</v>
      </c>
      <c r="T21">
        <f>SmtRes!DH17</f>
        <v>665.31</v>
      </c>
      <c r="U21">
        <v>2</v>
      </c>
      <c r="Z21">
        <f>SmtRes!X17</f>
        <v>1818041354</v>
      </c>
      <c r="AA21">
        <v>1446526422</v>
      </c>
      <c r="AB21">
        <v>1446526422</v>
      </c>
    </row>
    <row r="22" spans="1:28" x14ac:dyDescent="0.25">
      <c r="A22">
        <v>20</v>
      </c>
      <c r="B22">
        <v>16</v>
      </c>
      <c r="C22">
        <v>2</v>
      </c>
      <c r="D22">
        <v>0</v>
      </c>
      <c r="E22">
        <f>SmtRes!AV16</f>
        <v>1</v>
      </c>
      <c r="F22" t="str">
        <f>SmtRes!I16</f>
        <v>91.08.09-023</v>
      </c>
      <c r="G22" t="str">
        <f>SmtRes!K16</f>
        <v>Трамбовки пневматические при работе от передвижных компрессорных установок</v>
      </c>
      <c r="H22" t="str">
        <f>SmtRes!O16</f>
        <v>маш.-ч</v>
      </c>
      <c r="I22">
        <f>SmtRes!Y16*Source!I47</f>
        <v>7.2449999999999992</v>
      </c>
      <c r="J22">
        <f>SmtRes!AO16</f>
        <v>0</v>
      </c>
      <c r="K22">
        <f>SmtRes!AF16</f>
        <v>2.41</v>
      </c>
      <c r="M22">
        <f t="shared" si="0"/>
        <v>17.46</v>
      </c>
      <c r="N22">
        <f>SmtRes!AB16</f>
        <v>2.58</v>
      </c>
      <c r="O22">
        <f>SmtRes!DG16</f>
        <v>18.690000000000001</v>
      </c>
      <c r="P22">
        <f>SmtRes!AG16</f>
        <v>0</v>
      </c>
      <c r="R22">
        <f t="shared" si="1"/>
        <v>0</v>
      </c>
      <c r="S22">
        <f>SmtRes!AC16</f>
        <v>0</v>
      </c>
      <c r="T22">
        <f>SmtRes!DH16</f>
        <v>0</v>
      </c>
      <c r="U22">
        <v>2</v>
      </c>
      <c r="Z22">
        <f>SmtRes!X16</f>
        <v>-1845073234</v>
      </c>
      <c r="AA22">
        <v>536620323</v>
      </c>
      <c r="AB22">
        <v>2134615238</v>
      </c>
    </row>
    <row r="23" spans="1:28" x14ac:dyDescent="0.25">
      <c r="A23">
        <v>20</v>
      </c>
      <c r="B23">
        <v>15</v>
      </c>
      <c r="C23">
        <v>1</v>
      </c>
      <c r="D23">
        <v>0</v>
      </c>
      <c r="E23">
        <f>SmtRes!AV15</f>
        <v>2</v>
      </c>
      <c r="F23" t="str">
        <f>SmtRes!I15</f>
        <v>4-100-00</v>
      </c>
      <c r="G23" t="str">
        <f>SmtRes!K15</f>
        <v>Затраты труда машинистов</v>
      </c>
      <c r="H23" t="str">
        <f>SmtRes!O15</f>
        <v>чел.-ч.</v>
      </c>
      <c r="I23">
        <f>SmtRes!Y15*Source!I47</f>
        <v>1.8077999999999999</v>
      </c>
      <c r="J23">
        <f>SmtRes!AO15</f>
        <v>0</v>
      </c>
      <c r="K23">
        <f>SmtRes!AH15</f>
        <v>0</v>
      </c>
      <c r="M23">
        <f t="shared" si="0"/>
        <v>0</v>
      </c>
      <c r="N23">
        <f>SmtRes!AD15</f>
        <v>0</v>
      </c>
      <c r="O23">
        <f>SmtRes!DI15</f>
        <v>0</v>
      </c>
      <c r="P23">
        <f>SmtRes!AG15</f>
        <v>0</v>
      </c>
      <c r="R23">
        <f t="shared" si="1"/>
        <v>0</v>
      </c>
      <c r="S23">
        <f>SmtRes!AC15</f>
        <v>0</v>
      </c>
      <c r="T23">
        <f>SmtRes!DH15</f>
        <v>0</v>
      </c>
      <c r="U23">
        <v>1</v>
      </c>
      <c r="Z23">
        <f>SmtRes!X15</f>
        <v>-1417349443</v>
      </c>
      <c r="AA23">
        <v>212567905</v>
      </c>
      <c r="AB23">
        <v>212567905</v>
      </c>
    </row>
    <row r="24" spans="1:28" x14ac:dyDescent="0.25">
      <c r="A24">
        <v>20</v>
      </c>
      <c r="B24">
        <v>14</v>
      </c>
      <c r="C24">
        <v>1</v>
      </c>
      <c r="D24">
        <v>0</v>
      </c>
      <c r="E24">
        <f>SmtRes!AV14</f>
        <v>1</v>
      </c>
      <c r="F24" t="str">
        <f>SmtRes!I14</f>
        <v>1-100-30</v>
      </c>
      <c r="G24" t="str">
        <f>SmtRes!K14</f>
        <v>Средний разряд работы 3,0</v>
      </c>
      <c r="H24" t="str">
        <f>SmtRes!O14</f>
        <v>чел.-ч.</v>
      </c>
      <c r="I24">
        <f>SmtRes!Y14*Source!I47</f>
        <v>8.6456999999999979</v>
      </c>
      <c r="J24">
        <f>SmtRes!AO14</f>
        <v>0</v>
      </c>
      <c r="K24">
        <f>SmtRes!AH14</f>
        <v>326.82</v>
      </c>
      <c r="M24">
        <f t="shared" si="0"/>
        <v>2825.59</v>
      </c>
      <c r="N24">
        <f>SmtRes!AD14</f>
        <v>326.82</v>
      </c>
      <c r="O24">
        <f>SmtRes!DI14</f>
        <v>2825.59</v>
      </c>
      <c r="P24">
        <f>SmtRes!AG14</f>
        <v>0</v>
      </c>
      <c r="R24">
        <f t="shared" si="1"/>
        <v>0</v>
      </c>
      <c r="S24">
        <f>SmtRes!AC14</f>
        <v>0</v>
      </c>
      <c r="T24">
        <f>SmtRes!DH14</f>
        <v>0</v>
      </c>
      <c r="U24">
        <v>1</v>
      </c>
      <c r="Z24">
        <f>SmtRes!X14</f>
        <v>-1833565283</v>
      </c>
      <c r="AA24">
        <v>-1727274270</v>
      </c>
      <c r="AB24">
        <v>-1727274270</v>
      </c>
    </row>
    <row r="25" spans="1:28" x14ac:dyDescent="0.25">
      <c r="A25">
        <v>20</v>
      </c>
      <c r="B25">
        <v>18</v>
      </c>
      <c r="C25">
        <v>1</v>
      </c>
      <c r="D25">
        <v>0</v>
      </c>
      <c r="E25">
        <f>SmtRes!AV18</f>
        <v>1</v>
      </c>
      <c r="F25" t="str">
        <f>SmtRes!I18</f>
        <v>1-100-30</v>
      </c>
      <c r="G25" t="str">
        <f>SmtRes!K18</f>
        <v>Средний разряд работы 3,0</v>
      </c>
      <c r="H25" t="str">
        <f>SmtRes!O18</f>
        <v>чел.-ч.</v>
      </c>
      <c r="I25">
        <f>SmtRes!Y18*Source!I48</f>
        <v>11.5</v>
      </c>
      <c r="J25">
        <f>SmtRes!AO18</f>
        <v>0</v>
      </c>
      <c r="K25">
        <f>SmtRes!AH18</f>
        <v>326.82</v>
      </c>
      <c r="M25">
        <f t="shared" si="0"/>
        <v>3758.43</v>
      </c>
      <c r="N25">
        <f>SmtRes!AD18</f>
        <v>326.82</v>
      </c>
      <c r="O25">
        <f>SmtRes!DI18</f>
        <v>3758.43</v>
      </c>
      <c r="P25">
        <f>SmtRes!AG18</f>
        <v>0</v>
      </c>
      <c r="R25">
        <f t="shared" si="1"/>
        <v>0</v>
      </c>
      <c r="S25">
        <f>SmtRes!AC18</f>
        <v>0</v>
      </c>
      <c r="T25">
        <f>SmtRes!DH18</f>
        <v>0</v>
      </c>
      <c r="U25">
        <v>1</v>
      </c>
      <c r="Z25">
        <f>SmtRes!X18</f>
        <v>-1833565283</v>
      </c>
      <c r="AA25">
        <v>-1727274270</v>
      </c>
      <c r="AB25">
        <v>-1727274270</v>
      </c>
    </row>
    <row r="26" spans="1:28" x14ac:dyDescent="0.25">
      <c r="A26">
        <v>20</v>
      </c>
      <c r="B26">
        <v>27</v>
      </c>
      <c r="C26">
        <v>3</v>
      </c>
      <c r="D26">
        <v>0</v>
      </c>
      <c r="E26">
        <f>SmtRes!AV27</f>
        <v>0</v>
      </c>
      <c r="F26" t="str">
        <f>SmtRes!I27</f>
        <v>11.1.03.06-0071</v>
      </c>
      <c r="G26" t="str">
        <f>SmtRes!K27</f>
        <v>Доска обрезная хвойных пород, естественной влажности, длина 2-6,5 м, ширина 100-250 мм, толщина 25 мм, сорт III</v>
      </c>
      <c r="H26" t="str">
        <f>SmtRes!O27</f>
        <v>м3</v>
      </c>
      <c r="I26">
        <f>SmtRes!Y27*Source!I49</f>
        <v>0.26500000000000001</v>
      </c>
      <c r="J26">
        <f>SmtRes!AO27</f>
        <v>0</v>
      </c>
      <c r="K26">
        <f>SmtRes!AE27</f>
        <v>5764.42</v>
      </c>
      <c r="M26">
        <f t="shared" si="0"/>
        <v>1527.57</v>
      </c>
      <c r="N26">
        <f>SmtRes!AA27</f>
        <v>8934.85</v>
      </c>
      <c r="O26">
        <f>SmtRes!DF27</f>
        <v>2367.7399999999998</v>
      </c>
      <c r="P26">
        <f>SmtRes!AG27</f>
        <v>0</v>
      </c>
      <c r="R26">
        <f t="shared" si="1"/>
        <v>0</v>
      </c>
      <c r="S26">
        <f>SmtRes!AC27</f>
        <v>0</v>
      </c>
      <c r="T26">
        <f>SmtRes!DH27</f>
        <v>0</v>
      </c>
      <c r="U26">
        <v>3</v>
      </c>
      <c r="Z26">
        <f>SmtRes!X27</f>
        <v>-808647739</v>
      </c>
      <c r="AA26">
        <v>-287976128</v>
      </c>
      <c r="AB26">
        <v>1329168431</v>
      </c>
    </row>
    <row r="27" spans="1:28" x14ac:dyDescent="0.25">
      <c r="A27">
        <v>20</v>
      </c>
      <c r="B27">
        <v>26</v>
      </c>
      <c r="C27">
        <v>3</v>
      </c>
      <c r="D27">
        <v>0</v>
      </c>
      <c r="E27">
        <f>SmtRes!AV26</f>
        <v>0</v>
      </c>
      <c r="F27" t="str">
        <f>SmtRes!I26</f>
        <v>11.1.03.01-0062</v>
      </c>
      <c r="G27" t="str">
        <f>SmtRes!K26</f>
        <v>Бруски обрезные хвойных пород (ель, сосна), естественной влажности, длина 2-6,5 м, ширина 20-90 мм, толщина 20-90 мм, сорт II</v>
      </c>
      <c r="H27" t="str">
        <f>SmtRes!O26</f>
        <v>м3</v>
      </c>
      <c r="I27">
        <f>SmtRes!Y26*Source!I49</f>
        <v>1.2500000000000001E-2</v>
      </c>
      <c r="J27">
        <f>SmtRes!AO26</f>
        <v>0</v>
      </c>
      <c r="K27">
        <f>SmtRes!AE26</f>
        <v>16496.03</v>
      </c>
      <c r="M27">
        <f t="shared" si="0"/>
        <v>206.2</v>
      </c>
      <c r="N27">
        <f>SmtRes!AA26</f>
        <v>12701.94</v>
      </c>
      <c r="O27">
        <f>SmtRes!DF26</f>
        <v>158.77000000000001</v>
      </c>
      <c r="P27">
        <f>SmtRes!AG26</f>
        <v>0</v>
      </c>
      <c r="R27">
        <f t="shared" si="1"/>
        <v>0</v>
      </c>
      <c r="S27">
        <f>SmtRes!AC26</f>
        <v>0</v>
      </c>
      <c r="T27">
        <f>SmtRes!DH26</f>
        <v>0</v>
      </c>
      <c r="U27">
        <v>3</v>
      </c>
      <c r="Z27">
        <f>SmtRes!X26</f>
        <v>-2070034117</v>
      </c>
      <c r="AA27">
        <v>-411211185</v>
      </c>
      <c r="AB27">
        <v>1254574288</v>
      </c>
    </row>
    <row r="28" spans="1:28" x14ac:dyDescent="0.25">
      <c r="A28">
        <v>20</v>
      </c>
      <c r="B28">
        <v>25</v>
      </c>
      <c r="C28">
        <v>3</v>
      </c>
      <c r="D28">
        <v>0</v>
      </c>
      <c r="E28">
        <f>SmtRes!AV25</f>
        <v>0</v>
      </c>
      <c r="F28" t="str">
        <f>SmtRes!I25</f>
        <v>11.1.02.04-0031</v>
      </c>
      <c r="G28" t="str">
        <f>SmtRes!K25</f>
        <v>Лесоматериалы круглые хвойных пород неокоренные, длина 3-6,5 м, диаметр 14-24 см, сорт II-III</v>
      </c>
      <c r="H28" t="str">
        <f>SmtRes!O25</f>
        <v>м3</v>
      </c>
      <c r="I28">
        <f>SmtRes!Y25*Source!I49</f>
        <v>0.18</v>
      </c>
      <c r="J28">
        <f>SmtRes!AO25</f>
        <v>0</v>
      </c>
      <c r="K28">
        <f>SmtRes!AE25</f>
        <v>6442.06</v>
      </c>
      <c r="M28">
        <f t="shared" si="0"/>
        <v>1159.57</v>
      </c>
      <c r="N28">
        <f>SmtRes!AA25</f>
        <v>5346.91</v>
      </c>
      <c r="O28">
        <f>SmtRes!DF25</f>
        <v>962.44</v>
      </c>
      <c r="P28">
        <f>SmtRes!AG25</f>
        <v>0</v>
      </c>
      <c r="R28">
        <f t="shared" si="1"/>
        <v>0</v>
      </c>
      <c r="S28">
        <f>SmtRes!AC25</f>
        <v>0</v>
      </c>
      <c r="T28">
        <f>SmtRes!DH25</f>
        <v>0</v>
      </c>
      <c r="U28">
        <v>3</v>
      </c>
      <c r="Z28">
        <f>SmtRes!X25</f>
        <v>-76269591</v>
      </c>
      <c r="AA28">
        <v>1036523373</v>
      </c>
      <c r="AB28">
        <v>-773749515</v>
      </c>
    </row>
    <row r="29" spans="1:28" x14ac:dyDescent="0.25">
      <c r="A29">
        <v>20</v>
      </c>
      <c r="B29">
        <v>24</v>
      </c>
      <c r="C29">
        <v>3</v>
      </c>
      <c r="D29">
        <v>0</v>
      </c>
      <c r="E29">
        <f>SmtRes!AV24</f>
        <v>0</v>
      </c>
      <c r="F29" t="str">
        <f>SmtRes!I24</f>
        <v>08.3.03.06-0002</v>
      </c>
      <c r="G29" t="str">
        <f>SmtRes!K24</f>
        <v>Проволока горячекатаная в мотках, диаметр 6,3-6,5 мм</v>
      </c>
      <c r="H29" t="str">
        <f>SmtRes!O24</f>
        <v>т</v>
      </c>
      <c r="I29">
        <f>SmtRes!Y24*Source!I49</f>
        <v>1.0499999999999999E-2</v>
      </c>
      <c r="J29">
        <f>SmtRes!AO24</f>
        <v>0</v>
      </c>
      <c r="K29">
        <f>SmtRes!AE24</f>
        <v>60258.2</v>
      </c>
      <c r="M29">
        <f t="shared" si="0"/>
        <v>632.71</v>
      </c>
      <c r="N29">
        <f>SmtRes!AA24</f>
        <v>52424.63</v>
      </c>
      <c r="O29">
        <f>SmtRes!DF24</f>
        <v>550.46</v>
      </c>
      <c r="P29">
        <f>SmtRes!AG24</f>
        <v>0</v>
      </c>
      <c r="R29">
        <f t="shared" si="1"/>
        <v>0</v>
      </c>
      <c r="S29">
        <f>SmtRes!AC24</f>
        <v>0</v>
      </c>
      <c r="T29">
        <f>SmtRes!DH24</f>
        <v>0</v>
      </c>
      <c r="U29">
        <v>3</v>
      </c>
      <c r="Z29">
        <f>SmtRes!X24</f>
        <v>1897739153</v>
      </c>
      <c r="AA29">
        <v>-527469755</v>
      </c>
      <c r="AB29">
        <v>945285004</v>
      </c>
    </row>
    <row r="30" spans="1:28" x14ac:dyDescent="0.25">
      <c r="A30">
        <v>20</v>
      </c>
      <c r="B30">
        <v>23</v>
      </c>
      <c r="C30">
        <v>3</v>
      </c>
      <c r="D30">
        <v>0</v>
      </c>
      <c r="E30">
        <f>SmtRes!AV23</f>
        <v>0</v>
      </c>
      <c r="F30" t="str">
        <f>SmtRes!I23</f>
        <v>01.7.15.06-0111</v>
      </c>
      <c r="G30" t="str">
        <f>SmtRes!K23</f>
        <v>Гвозди строительные</v>
      </c>
      <c r="H30" t="str">
        <f>SmtRes!O23</f>
        <v>т</v>
      </c>
      <c r="I30">
        <f>SmtRes!Y23*Source!I49</f>
        <v>1.3999999999999998E-3</v>
      </c>
      <c r="J30">
        <f>SmtRes!AO23</f>
        <v>0</v>
      </c>
      <c r="K30">
        <f>SmtRes!AE23</f>
        <v>70296.2</v>
      </c>
      <c r="M30">
        <f t="shared" si="0"/>
        <v>98.41</v>
      </c>
      <c r="N30">
        <f>SmtRes!AA23</f>
        <v>92790.98</v>
      </c>
      <c r="O30">
        <f>SmtRes!DF23</f>
        <v>129.91</v>
      </c>
      <c r="P30">
        <f>SmtRes!AG23</f>
        <v>0</v>
      </c>
      <c r="R30">
        <f t="shared" si="1"/>
        <v>0</v>
      </c>
      <c r="S30">
        <f>SmtRes!AC23</f>
        <v>0</v>
      </c>
      <c r="T30">
        <f>SmtRes!DH23</f>
        <v>0</v>
      </c>
      <c r="U30">
        <v>3</v>
      </c>
      <c r="Z30">
        <f>SmtRes!X23</f>
        <v>1479353699</v>
      </c>
      <c r="AA30">
        <v>860443849</v>
      </c>
      <c r="AB30">
        <v>214724844</v>
      </c>
    </row>
    <row r="31" spans="1:28" x14ac:dyDescent="0.25">
      <c r="A31">
        <v>20</v>
      </c>
      <c r="B31">
        <v>22</v>
      </c>
      <c r="C31">
        <v>2</v>
      </c>
      <c r="D31">
        <v>0</v>
      </c>
      <c r="E31">
        <f>SmtRes!AV22</f>
        <v>1</v>
      </c>
      <c r="F31" t="str">
        <f>SmtRes!I22</f>
        <v>91.14.02-001</v>
      </c>
      <c r="G31" t="str">
        <f>SmtRes!K22</f>
        <v>Автомобили бортовые, грузоподъемность до 5 т</v>
      </c>
      <c r="H31" t="str">
        <f>SmtRes!O22</f>
        <v>маш.-ч</v>
      </c>
      <c r="I31">
        <f>SmtRes!Y22*Source!I49</f>
        <v>0.91999999999999993</v>
      </c>
      <c r="J31">
        <f>SmtRes!AO22</f>
        <v>0</v>
      </c>
      <c r="K31">
        <f>SmtRes!AF22</f>
        <v>551.45000000000005</v>
      </c>
      <c r="M31">
        <f t="shared" si="0"/>
        <v>507.33</v>
      </c>
      <c r="N31">
        <f>SmtRes!AB22</f>
        <v>551.45000000000005</v>
      </c>
      <c r="O31">
        <f>SmtRes!DG22</f>
        <v>507.33</v>
      </c>
      <c r="P31">
        <f>SmtRes!AG22</f>
        <v>368.02</v>
      </c>
      <c r="R31">
        <f t="shared" si="1"/>
        <v>338.58</v>
      </c>
      <c r="S31">
        <f>SmtRes!AC22</f>
        <v>368.02</v>
      </c>
      <c r="T31">
        <f>SmtRes!DH22</f>
        <v>338.58</v>
      </c>
      <c r="U31">
        <v>2</v>
      </c>
      <c r="Z31">
        <f>SmtRes!X22</f>
        <v>-312038840</v>
      </c>
      <c r="AA31">
        <v>280096454</v>
      </c>
      <c r="AB31">
        <v>280096454</v>
      </c>
    </row>
    <row r="32" spans="1:28" x14ac:dyDescent="0.25">
      <c r="A32">
        <v>20</v>
      </c>
      <c r="B32">
        <v>21</v>
      </c>
      <c r="C32">
        <v>2</v>
      </c>
      <c r="D32">
        <v>0</v>
      </c>
      <c r="E32">
        <f>SmtRes!AV21</f>
        <v>1</v>
      </c>
      <c r="F32" t="str">
        <f>SmtRes!I21</f>
        <v>91.10.05-007</v>
      </c>
      <c r="G32" t="str">
        <f>SmtRes!K21</f>
        <v>Трубоукладчики, номинальная грузоподъемность 12,5 т</v>
      </c>
      <c r="H32" t="str">
        <f>SmtRes!O21</f>
        <v>маш.-ч</v>
      </c>
      <c r="I32">
        <f>SmtRes!Y21*Source!I49</f>
        <v>0.63250000000000006</v>
      </c>
      <c r="J32">
        <f>SmtRes!AO21</f>
        <v>0</v>
      </c>
      <c r="K32">
        <f>SmtRes!AF21</f>
        <v>2279.3200000000002</v>
      </c>
      <c r="M32">
        <f t="shared" si="0"/>
        <v>1441.67</v>
      </c>
      <c r="N32">
        <f>SmtRes!AB21</f>
        <v>2552.84</v>
      </c>
      <c r="O32">
        <f>SmtRes!DG21</f>
        <v>1614.67</v>
      </c>
      <c r="P32">
        <f>SmtRes!AG21</f>
        <v>527.30999999999995</v>
      </c>
      <c r="R32">
        <f t="shared" si="1"/>
        <v>333.52</v>
      </c>
      <c r="S32">
        <f>SmtRes!AC21</f>
        <v>527.30999999999995</v>
      </c>
      <c r="T32">
        <f>SmtRes!DH21</f>
        <v>333.52</v>
      </c>
      <c r="U32">
        <v>2</v>
      </c>
      <c r="Z32">
        <f>SmtRes!X21</f>
        <v>2039451022</v>
      </c>
      <c r="AA32">
        <v>1916550313</v>
      </c>
      <c r="AB32">
        <v>-932207474</v>
      </c>
    </row>
    <row r="33" spans="1:28" x14ac:dyDescent="0.25">
      <c r="A33">
        <v>20</v>
      </c>
      <c r="B33">
        <v>20</v>
      </c>
      <c r="C33">
        <v>1</v>
      </c>
      <c r="D33">
        <v>0</v>
      </c>
      <c r="E33">
        <f>SmtRes!AV20</f>
        <v>2</v>
      </c>
      <c r="F33" t="str">
        <f>SmtRes!I20</f>
        <v>4-100-00</v>
      </c>
      <c r="G33" t="str">
        <f>SmtRes!K20</f>
        <v>Затраты труда машинистов</v>
      </c>
      <c r="H33" t="str">
        <f>SmtRes!O20</f>
        <v>чел.-ч.</v>
      </c>
      <c r="I33">
        <f>SmtRes!Y20*Source!I49</f>
        <v>1.5525</v>
      </c>
      <c r="J33">
        <f>SmtRes!AO20</f>
        <v>0</v>
      </c>
      <c r="K33">
        <f>SmtRes!AH20</f>
        <v>0</v>
      </c>
      <c r="M33">
        <f t="shared" si="0"/>
        <v>0</v>
      </c>
      <c r="N33">
        <f>SmtRes!AD20</f>
        <v>0</v>
      </c>
      <c r="O33">
        <f>SmtRes!DI20</f>
        <v>0</v>
      </c>
      <c r="P33">
        <f>SmtRes!AG20</f>
        <v>0</v>
      </c>
      <c r="R33">
        <f t="shared" si="1"/>
        <v>0</v>
      </c>
      <c r="S33">
        <f>SmtRes!AC20</f>
        <v>0</v>
      </c>
      <c r="T33">
        <f>SmtRes!DH20</f>
        <v>0</v>
      </c>
      <c r="U33">
        <v>1</v>
      </c>
      <c r="Z33">
        <f>SmtRes!X20</f>
        <v>-1417349443</v>
      </c>
      <c r="AA33">
        <v>212567905</v>
      </c>
      <c r="AB33">
        <v>212567905</v>
      </c>
    </row>
    <row r="34" spans="1:28" x14ac:dyDescent="0.25">
      <c r="A34">
        <v>20</v>
      </c>
      <c r="B34">
        <v>19</v>
      </c>
      <c r="C34">
        <v>1</v>
      </c>
      <c r="D34">
        <v>0</v>
      </c>
      <c r="E34">
        <f>SmtRes!AV19</f>
        <v>1</v>
      </c>
      <c r="F34" t="str">
        <f>SmtRes!I19</f>
        <v>1-100-30</v>
      </c>
      <c r="G34" t="str">
        <f>SmtRes!K19</f>
        <v>Средний разряд работы 3,0</v>
      </c>
      <c r="H34" t="str">
        <f>SmtRes!O19</f>
        <v>чел.-ч.</v>
      </c>
      <c r="I34">
        <f>SmtRes!Y19*Source!I49</f>
        <v>8.2799999999999994</v>
      </c>
      <c r="J34">
        <f>SmtRes!AO19</f>
        <v>0</v>
      </c>
      <c r="K34">
        <f>SmtRes!AH19</f>
        <v>326.82</v>
      </c>
      <c r="M34">
        <f t="shared" si="0"/>
        <v>2706.07</v>
      </c>
      <c r="N34">
        <f>SmtRes!AD19</f>
        <v>326.82</v>
      </c>
      <c r="O34">
        <f>SmtRes!DI19</f>
        <v>2706.07</v>
      </c>
      <c r="P34">
        <f>SmtRes!AG19</f>
        <v>0</v>
      </c>
      <c r="R34">
        <f t="shared" si="1"/>
        <v>0</v>
      </c>
      <c r="S34">
        <f>SmtRes!AC19</f>
        <v>0</v>
      </c>
      <c r="T34">
        <f>SmtRes!DH19</f>
        <v>0</v>
      </c>
      <c r="U34">
        <v>1</v>
      </c>
      <c r="Z34">
        <f>SmtRes!X19</f>
        <v>-1833565283</v>
      </c>
      <c r="AA34">
        <v>-1727274270</v>
      </c>
      <c r="AB34">
        <v>-1727274270</v>
      </c>
    </row>
    <row r="35" spans="1:28" x14ac:dyDescent="0.25">
      <c r="A35">
        <f>Source!A83</f>
        <v>4</v>
      </c>
      <c r="B35">
        <v>83</v>
      </c>
      <c r="G35" t="str">
        <f>Source!G83</f>
        <v>Раздел 2. Демонтажные работы</v>
      </c>
    </row>
    <row r="36" spans="1:28" x14ac:dyDescent="0.25">
      <c r="A36">
        <v>20</v>
      </c>
      <c r="B36">
        <v>29</v>
      </c>
      <c r="C36">
        <v>2</v>
      </c>
      <c r="D36">
        <v>0</v>
      </c>
      <c r="E36">
        <f>SmtRes!AV29</f>
        <v>1</v>
      </c>
      <c r="F36" t="str">
        <f>SmtRes!I29</f>
        <v>91.19.08-004</v>
      </c>
      <c r="G36" t="str">
        <f>SmtRes!K29</f>
        <v>Насосы, производительность 53 м3/ч, напор 10 м, мощность 4 кВт</v>
      </c>
      <c r="H36" t="str">
        <f>SmtRes!O29</f>
        <v>маш.-ч</v>
      </c>
      <c r="I36">
        <f>SmtRes!Y29*Source!I87</f>
        <v>118.40399999999998</v>
      </c>
      <c r="J36">
        <f>SmtRes!AO29</f>
        <v>0</v>
      </c>
      <c r="K36">
        <f>SmtRes!AF29</f>
        <v>13.04</v>
      </c>
      <c r="M36">
        <f t="shared" ref="M36:M47" si="2">ROUND(I36*K36, 2)</f>
        <v>1543.99</v>
      </c>
      <c r="N36">
        <f>SmtRes!AB29</f>
        <v>22.17</v>
      </c>
      <c r="O36">
        <f>SmtRes!DG29</f>
        <v>2625.02</v>
      </c>
      <c r="P36">
        <f>SmtRes!AG29</f>
        <v>0</v>
      </c>
      <c r="R36">
        <f t="shared" ref="R36:R47" si="3">ROUND(I36*P36, 2)</f>
        <v>0</v>
      </c>
      <c r="S36">
        <f>SmtRes!AC29</f>
        <v>0</v>
      </c>
      <c r="T36">
        <f>SmtRes!DH29</f>
        <v>0</v>
      </c>
      <c r="U36">
        <v>2</v>
      </c>
      <c r="Z36">
        <f>SmtRes!X29</f>
        <v>1833582133</v>
      </c>
      <c r="AA36">
        <v>944788633</v>
      </c>
      <c r="AB36">
        <v>1197353431</v>
      </c>
    </row>
    <row r="37" spans="1:28" x14ac:dyDescent="0.25">
      <c r="A37">
        <v>20</v>
      </c>
      <c r="B37">
        <v>28</v>
      </c>
      <c r="C37">
        <v>1</v>
      </c>
      <c r="D37">
        <v>0</v>
      </c>
      <c r="E37">
        <f>SmtRes!AV28</f>
        <v>1</v>
      </c>
      <c r="F37" t="str">
        <f>SmtRes!I28</f>
        <v>1-100-20</v>
      </c>
      <c r="G37" t="str">
        <f>SmtRes!K28</f>
        <v>Средний разряд работы 2,0</v>
      </c>
      <c r="H37" t="str">
        <f>SmtRes!O28</f>
        <v>чел.-ч.</v>
      </c>
      <c r="I37">
        <f>SmtRes!Y28*Source!I87</f>
        <v>35.521199999999993</v>
      </c>
      <c r="J37">
        <f>SmtRes!AO28</f>
        <v>0</v>
      </c>
      <c r="K37">
        <f>SmtRes!AH28</f>
        <v>299.36</v>
      </c>
      <c r="M37">
        <f t="shared" si="2"/>
        <v>10633.63</v>
      </c>
      <c r="N37">
        <f>SmtRes!AD28</f>
        <v>299.36</v>
      </c>
      <c r="O37">
        <f>SmtRes!DI28</f>
        <v>10633.63</v>
      </c>
      <c r="P37">
        <f>SmtRes!AG28</f>
        <v>0</v>
      </c>
      <c r="R37">
        <f t="shared" si="3"/>
        <v>0</v>
      </c>
      <c r="S37">
        <f>SmtRes!AC28</f>
        <v>0</v>
      </c>
      <c r="T37">
        <f>SmtRes!DH28</f>
        <v>0</v>
      </c>
      <c r="U37">
        <v>1</v>
      </c>
      <c r="Z37">
        <f>SmtRes!X28</f>
        <v>370475345</v>
      </c>
      <c r="AA37">
        <v>-1587801246</v>
      </c>
      <c r="AB37">
        <v>-1587801246</v>
      </c>
    </row>
    <row r="38" spans="1:28" x14ac:dyDescent="0.25">
      <c r="A38">
        <v>20</v>
      </c>
      <c r="B38">
        <v>39</v>
      </c>
      <c r="C38">
        <v>3</v>
      </c>
      <c r="D38">
        <v>0</v>
      </c>
      <c r="E38">
        <f>SmtRes!AV39</f>
        <v>0</v>
      </c>
      <c r="F38" t="str">
        <f>SmtRes!I39</f>
        <v>01.7.17.07-0053</v>
      </c>
      <c r="G38" t="str">
        <f>SmtRes!K39</f>
        <v>Круг шлифовальный прямого профиля, размеры 180х10х22 мм</v>
      </c>
      <c r="H38" t="str">
        <f>SmtRes!O39</f>
        <v>ШТ</v>
      </c>
      <c r="I38">
        <f>SmtRes!Y39*Source!I89</f>
        <v>9.6000000000000002E-2</v>
      </c>
      <c r="J38">
        <f>SmtRes!AO39</f>
        <v>0</v>
      </c>
      <c r="K38">
        <f>SmtRes!AE39</f>
        <v>101.12</v>
      </c>
      <c r="M38">
        <f t="shared" si="2"/>
        <v>9.7100000000000009</v>
      </c>
      <c r="N38">
        <f>SmtRes!AA39</f>
        <v>123.37</v>
      </c>
      <c r="O38">
        <f>SmtRes!DF39</f>
        <v>11.84</v>
      </c>
      <c r="P38">
        <f>SmtRes!AG39</f>
        <v>0</v>
      </c>
      <c r="R38">
        <f t="shared" si="3"/>
        <v>0</v>
      </c>
      <c r="S38">
        <f>SmtRes!AC39</f>
        <v>0</v>
      </c>
      <c r="T38">
        <f>SmtRes!DH39</f>
        <v>0</v>
      </c>
      <c r="U38">
        <v>3</v>
      </c>
      <c r="Z38">
        <f>SmtRes!X39</f>
        <v>-57438779</v>
      </c>
      <c r="AA38">
        <v>-66168149</v>
      </c>
      <c r="AB38">
        <v>1855674189</v>
      </c>
    </row>
    <row r="39" spans="1:28" x14ac:dyDescent="0.25">
      <c r="A39">
        <v>20</v>
      </c>
      <c r="B39">
        <v>38</v>
      </c>
      <c r="C39">
        <v>3</v>
      </c>
      <c r="D39">
        <v>0</v>
      </c>
      <c r="E39">
        <f>SmtRes!AV38</f>
        <v>0</v>
      </c>
      <c r="F39" t="str">
        <f>SmtRes!I38</f>
        <v>01.7.11.07-0039</v>
      </c>
      <c r="G39" t="str">
        <f>SmtRes!K38</f>
        <v>Электроды сварочные для сварки низколегированных и углеродистых сталей Э50, диаметр 4 мм</v>
      </c>
      <c r="H39" t="str">
        <f>SmtRes!O38</f>
        <v>кг</v>
      </c>
      <c r="I39">
        <f>SmtRes!Y38*Source!I89</f>
        <v>0.88000000000000012</v>
      </c>
      <c r="J39">
        <f>SmtRes!AO38</f>
        <v>0</v>
      </c>
      <c r="K39">
        <f>SmtRes!AE38</f>
        <v>187.01</v>
      </c>
      <c r="M39">
        <f t="shared" si="2"/>
        <v>164.57</v>
      </c>
      <c r="N39">
        <f>SmtRes!AA38</f>
        <v>158.96</v>
      </c>
      <c r="O39">
        <f>SmtRes!DF38</f>
        <v>139.88</v>
      </c>
      <c r="P39">
        <f>SmtRes!AG38</f>
        <v>0</v>
      </c>
      <c r="R39">
        <f t="shared" si="3"/>
        <v>0</v>
      </c>
      <c r="S39">
        <f>SmtRes!AC38</f>
        <v>0</v>
      </c>
      <c r="T39">
        <f>SmtRes!DH38</f>
        <v>0</v>
      </c>
      <c r="U39">
        <v>3</v>
      </c>
      <c r="Z39">
        <f>SmtRes!X38</f>
        <v>-1551431226</v>
      </c>
      <c r="AA39">
        <v>1674775026</v>
      </c>
      <c r="AB39">
        <v>-1937312769</v>
      </c>
    </row>
    <row r="40" spans="1:28" x14ac:dyDescent="0.25">
      <c r="A40">
        <v>20</v>
      </c>
      <c r="B40">
        <v>37</v>
      </c>
      <c r="C40">
        <v>3</v>
      </c>
      <c r="D40">
        <v>0</v>
      </c>
      <c r="E40">
        <f>SmtRes!AV37</f>
        <v>0</v>
      </c>
      <c r="F40" t="str">
        <f>SmtRes!I37</f>
        <v>01.7.03.04-0001</v>
      </c>
      <c r="G40" t="str">
        <f>SmtRes!K37</f>
        <v>Электроэнергия</v>
      </c>
      <c r="H40" t="str">
        <f>SmtRes!O37</f>
        <v>КВТ-Ч</v>
      </c>
      <c r="I40">
        <f>SmtRes!Y37*Source!I89</f>
        <v>1.3728</v>
      </c>
      <c r="J40">
        <f>SmtRes!AO37</f>
        <v>0</v>
      </c>
      <c r="K40">
        <f>SmtRes!AE37</f>
        <v>9.0399999999999991</v>
      </c>
      <c r="M40">
        <f t="shared" si="2"/>
        <v>12.41</v>
      </c>
      <c r="N40">
        <f>SmtRes!AA37</f>
        <v>9.0399999999999991</v>
      </c>
      <c r="O40">
        <f>SmtRes!DF37</f>
        <v>12.41</v>
      </c>
      <c r="P40">
        <f>SmtRes!AG37</f>
        <v>0</v>
      </c>
      <c r="R40">
        <f t="shared" si="3"/>
        <v>0</v>
      </c>
      <c r="S40">
        <f>SmtRes!AC37</f>
        <v>0</v>
      </c>
      <c r="T40">
        <f>SmtRes!DH37</f>
        <v>0</v>
      </c>
      <c r="U40">
        <v>3</v>
      </c>
      <c r="Z40">
        <f>SmtRes!X37</f>
        <v>-182421198</v>
      </c>
      <c r="AA40">
        <v>-852101439</v>
      </c>
      <c r="AB40">
        <v>-852101439</v>
      </c>
    </row>
    <row r="41" spans="1:28" x14ac:dyDescent="0.25">
      <c r="A41">
        <v>20</v>
      </c>
      <c r="B41">
        <v>36</v>
      </c>
      <c r="C41">
        <v>2</v>
      </c>
      <c r="D41">
        <v>0</v>
      </c>
      <c r="E41">
        <f>SmtRes!AV36</f>
        <v>1</v>
      </c>
      <c r="F41" t="str">
        <f>SmtRes!I36</f>
        <v>91.17.04-033</v>
      </c>
      <c r="G41" t="str">
        <f>SmtRes!K36</f>
        <v>Агрегаты сварочные для ручной дуговой сварки на тракторе, сварочный ток до 250 А, количество постов 2, мощность трактора 79 кВт (108 л.с.)</v>
      </c>
      <c r="H41" t="str">
        <f>SmtRes!O36</f>
        <v>маш.-ч</v>
      </c>
      <c r="I41">
        <f>SmtRes!Y36*Source!I89</f>
        <v>3.3856000000000002</v>
      </c>
      <c r="J41">
        <f>SmtRes!AO36</f>
        <v>0</v>
      </c>
      <c r="K41">
        <f>SmtRes!AF36</f>
        <v>1069.08</v>
      </c>
      <c r="M41">
        <f t="shared" si="2"/>
        <v>3619.48</v>
      </c>
      <c r="N41">
        <f>SmtRes!AB36</f>
        <v>1379.11</v>
      </c>
      <c r="O41">
        <f>SmtRes!DG36</f>
        <v>4669.1099999999997</v>
      </c>
      <c r="P41">
        <f>SmtRes!AG36</f>
        <v>422.95</v>
      </c>
      <c r="R41">
        <f t="shared" si="3"/>
        <v>1431.94</v>
      </c>
      <c r="S41">
        <f>SmtRes!AC36</f>
        <v>422.95</v>
      </c>
      <c r="T41">
        <f>SmtRes!DH36</f>
        <v>1431.94</v>
      </c>
      <c r="U41">
        <v>2</v>
      </c>
      <c r="Z41">
        <f>SmtRes!X36</f>
        <v>1246407639</v>
      </c>
      <c r="AA41">
        <v>1501579445</v>
      </c>
      <c r="AB41">
        <v>-2102158770</v>
      </c>
    </row>
    <row r="42" spans="1:28" x14ac:dyDescent="0.25">
      <c r="A42">
        <v>20</v>
      </c>
      <c r="B42">
        <v>35</v>
      </c>
      <c r="C42">
        <v>2</v>
      </c>
      <c r="D42">
        <v>0</v>
      </c>
      <c r="E42">
        <f>SmtRes!AV35</f>
        <v>1</v>
      </c>
      <c r="F42" t="str">
        <f>SmtRes!I35</f>
        <v>91.14.02-001</v>
      </c>
      <c r="G42" t="str">
        <f>SmtRes!K35</f>
        <v>Автомобили бортовые, грузоподъемность до 5 т</v>
      </c>
      <c r="H42" t="str">
        <f>SmtRes!O35</f>
        <v>маш.-ч</v>
      </c>
      <c r="I42">
        <f>SmtRes!Y35*Source!I89</f>
        <v>4.5999999999999999E-3</v>
      </c>
      <c r="J42">
        <f>SmtRes!AO35</f>
        <v>0</v>
      </c>
      <c r="K42">
        <f>SmtRes!AF35</f>
        <v>551.45000000000005</v>
      </c>
      <c r="M42">
        <f t="shared" si="2"/>
        <v>2.54</v>
      </c>
      <c r="N42">
        <f>SmtRes!AB35</f>
        <v>551.45000000000005</v>
      </c>
      <c r="O42">
        <f>SmtRes!DG35</f>
        <v>2.54</v>
      </c>
      <c r="P42">
        <f>SmtRes!AG35</f>
        <v>368.02</v>
      </c>
      <c r="R42">
        <f t="shared" si="3"/>
        <v>1.69</v>
      </c>
      <c r="S42">
        <f>SmtRes!AC35</f>
        <v>368.02</v>
      </c>
      <c r="T42">
        <f>SmtRes!DH35</f>
        <v>1.69</v>
      </c>
      <c r="U42">
        <v>2</v>
      </c>
      <c r="Z42">
        <f>SmtRes!X35</f>
        <v>-312038840</v>
      </c>
      <c r="AA42">
        <v>280096454</v>
      </c>
      <c r="AB42">
        <v>280096454</v>
      </c>
    </row>
    <row r="43" spans="1:28" x14ac:dyDescent="0.25">
      <c r="A43">
        <v>20</v>
      </c>
      <c r="B43">
        <v>34</v>
      </c>
      <c r="C43">
        <v>1</v>
      </c>
      <c r="D43">
        <v>0</v>
      </c>
      <c r="E43">
        <f>SmtRes!AV34</f>
        <v>2</v>
      </c>
      <c r="F43" t="str">
        <f>SmtRes!I34</f>
        <v>4-100-00</v>
      </c>
      <c r="G43" t="str">
        <f>SmtRes!K34</f>
        <v>Затраты труда машинистов</v>
      </c>
      <c r="H43" t="str">
        <f>SmtRes!O34</f>
        <v>чел.-ч.</v>
      </c>
      <c r="I43">
        <f>SmtRes!Y34*Source!I89</f>
        <v>3.3902000000000001</v>
      </c>
      <c r="J43">
        <f>SmtRes!AO34</f>
        <v>0</v>
      </c>
      <c r="K43">
        <f>SmtRes!AH34</f>
        <v>0</v>
      </c>
      <c r="M43">
        <f t="shared" si="2"/>
        <v>0</v>
      </c>
      <c r="N43">
        <f>SmtRes!AD34</f>
        <v>0</v>
      </c>
      <c r="O43">
        <f>SmtRes!DI34</f>
        <v>0</v>
      </c>
      <c r="P43">
        <f>SmtRes!AG34</f>
        <v>0</v>
      </c>
      <c r="R43">
        <f t="shared" si="3"/>
        <v>0</v>
      </c>
      <c r="S43">
        <f>SmtRes!AC34</f>
        <v>0</v>
      </c>
      <c r="T43">
        <f>SmtRes!DH34</f>
        <v>0</v>
      </c>
      <c r="U43">
        <v>1</v>
      </c>
      <c r="Z43">
        <f>SmtRes!X34</f>
        <v>-1417349443</v>
      </c>
      <c r="AA43">
        <v>212567905</v>
      </c>
      <c r="AB43">
        <v>212567905</v>
      </c>
    </row>
    <row r="44" spans="1:28" x14ac:dyDescent="0.25">
      <c r="A44">
        <v>20</v>
      </c>
      <c r="B44">
        <v>33</v>
      </c>
      <c r="C44">
        <v>1</v>
      </c>
      <c r="D44">
        <v>0</v>
      </c>
      <c r="E44">
        <f>SmtRes!AV33</f>
        <v>1</v>
      </c>
      <c r="F44" t="str">
        <f>SmtRes!I33</f>
        <v>2-100-05</v>
      </c>
      <c r="G44" t="str">
        <f>SmtRes!K33</f>
        <v>Рабочий 5 разряда</v>
      </c>
      <c r="H44" t="str">
        <f>SmtRes!O33</f>
        <v>чел.-ч</v>
      </c>
      <c r="I44">
        <f>SmtRes!Y33*Source!I89</f>
        <v>3.4867999999999997</v>
      </c>
      <c r="J44">
        <f>SmtRes!AO33</f>
        <v>0</v>
      </c>
      <c r="K44">
        <f>SmtRes!AH33</f>
        <v>422.95</v>
      </c>
      <c r="M44">
        <f t="shared" si="2"/>
        <v>1474.74</v>
      </c>
      <c r="N44">
        <f>SmtRes!AD33</f>
        <v>422.95</v>
      </c>
      <c r="O44">
        <f>SmtRes!DI33</f>
        <v>1474.74</v>
      </c>
      <c r="P44">
        <f>SmtRes!AG33</f>
        <v>0</v>
      </c>
      <c r="R44">
        <f t="shared" si="3"/>
        <v>0</v>
      </c>
      <c r="S44">
        <f>SmtRes!AC33</f>
        <v>0</v>
      </c>
      <c r="T44">
        <f>SmtRes!DH33</f>
        <v>0</v>
      </c>
      <c r="U44">
        <v>1</v>
      </c>
      <c r="Z44">
        <f>SmtRes!X33</f>
        <v>1518711480</v>
      </c>
      <c r="AA44">
        <v>798622759</v>
      </c>
      <c r="AB44">
        <v>798622759</v>
      </c>
    </row>
    <row r="45" spans="1:28" x14ac:dyDescent="0.25">
      <c r="A45">
        <v>20</v>
      </c>
      <c r="B45">
        <v>32</v>
      </c>
      <c r="C45">
        <v>1</v>
      </c>
      <c r="D45">
        <v>0</v>
      </c>
      <c r="E45">
        <f>SmtRes!AV32</f>
        <v>1</v>
      </c>
      <c r="F45" t="str">
        <f>SmtRes!I32</f>
        <v>2-100-04</v>
      </c>
      <c r="G45" t="str">
        <f>SmtRes!K32</f>
        <v>Рабочий 4 разряда</v>
      </c>
      <c r="H45" t="str">
        <f>SmtRes!O32</f>
        <v>чел.-ч</v>
      </c>
      <c r="I45">
        <f>SmtRes!Y32*Source!I89</f>
        <v>0.66239999999999999</v>
      </c>
      <c r="J45">
        <f>SmtRes!AO32</f>
        <v>0</v>
      </c>
      <c r="K45">
        <f>SmtRes!AH32</f>
        <v>368.02</v>
      </c>
      <c r="M45">
        <f t="shared" si="2"/>
        <v>243.78</v>
      </c>
      <c r="N45">
        <f>SmtRes!AD32</f>
        <v>368.02</v>
      </c>
      <c r="O45">
        <f>SmtRes!DI32</f>
        <v>243.78</v>
      </c>
      <c r="P45">
        <f>SmtRes!AG32</f>
        <v>0</v>
      </c>
      <c r="R45">
        <f t="shared" si="3"/>
        <v>0</v>
      </c>
      <c r="S45">
        <f>SmtRes!AC32</f>
        <v>0</v>
      </c>
      <c r="T45">
        <f>SmtRes!DH32</f>
        <v>0</v>
      </c>
      <c r="U45">
        <v>1</v>
      </c>
      <c r="Z45">
        <f>SmtRes!X32</f>
        <v>-512803540</v>
      </c>
      <c r="AA45">
        <v>-1972062232</v>
      </c>
      <c r="AB45">
        <v>-1972062232</v>
      </c>
    </row>
    <row r="46" spans="1:28" x14ac:dyDescent="0.25">
      <c r="A46">
        <v>20</v>
      </c>
      <c r="B46">
        <v>31</v>
      </c>
      <c r="C46">
        <v>1</v>
      </c>
      <c r="D46">
        <v>0</v>
      </c>
      <c r="E46">
        <f>SmtRes!AV31</f>
        <v>1</v>
      </c>
      <c r="F46" t="str">
        <f>SmtRes!I31</f>
        <v>2-100-03</v>
      </c>
      <c r="G46" t="str">
        <f>SmtRes!K31</f>
        <v>Рабочий 3 разряда</v>
      </c>
      <c r="H46" t="str">
        <f>SmtRes!O31</f>
        <v>чел.-ч</v>
      </c>
      <c r="I46">
        <f>SmtRes!Y31*Source!I89</f>
        <v>2.8428</v>
      </c>
      <c r="J46">
        <f>SmtRes!AO31</f>
        <v>0</v>
      </c>
      <c r="K46">
        <f>SmtRes!AH31</f>
        <v>326.82</v>
      </c>
      <c r="M46">
        <f t="shared" si="2"/>
        <v>929.08</v>
      </c>
      <c r="N46">
        <f>SmtRes!AD31</f>
        <v>326.82</v>
      </c>
      <c r="O46">
        <f>SmtRes!DI31</f>
        <v>929.08</v>
      </c>
      <c r="P46">
        <f>SmtRes!AG31</f>
        <v>0</v>
      </c>
      <c r="R46">
        <f t="shared" si="3"/>
        <v>0</v>
      </c>
      <c r="S46">
        <f>SmtRes!AC31</f>
        <v>0</v>
      </c>
      <c r="T46">
        <f>SmtRes!DH31</f>
        <v>0</v>
      </c>
      <c r="U46">
        <v>1</v>
      </c>
      <c r="Z46">
        <f>SmtRes!X31</f>
        <v>-587036825</v>
      </c>
      <c r="AA46">
        <v>-600513131</v>
      </c>
      <c r="AB46">
        <v>-600513131</v>
      </c>
    </row>
    <row r="47" spans="1:28" x14ac:dyDescent="0.25">
      <c r="A47">
        <v>20</v>
      </c>
      <c r="B47">
        <v>30</v>
      </c>
      <c r="C47">
        <v>1</v>
      </c>
      <c r="D47">
        <v>0</v>
      </c>
      <c r="E47">
        <f>SmtRes!AV30</f>
        <v>1</v>
      </c>
      <c r="F47" t="str">
        <f>SmtRes!I30</f>
        <v>2-100-01</v>
      </c>
      <c r="G47" t="str">
        <f>SmtRes!K30</f>
        <v>Рабочий 1 разряда</v>
      </c>
      <c r="H47" t="str">
        <f>SmtRes!O30</f>
        <v>чел.-ч</v>
      </c>
      <c r="I47">
        <f>SmtRes!Y30*Source!I89</f>
        <v>9.1999999999999998E-3</v>
      </c>
      <c r="J47">
        <f>SmtRes!AO30</f>
        <v>0</v>
      </c>
      <c r="K47">
        <f>SmtRes!AH30</f>
        <v>274.64</v>
      </c>
      <c r="M47">
        <f t="shared" si="2"/>
        <v>2.5299999999999998</v>
      </c>
      <c r="N47">
        <f>SmtRes!AD30</f>
        <v>274.64</v>
      </c>
      <c r="O47">
        <f>SmtRes!DI30</f>
        <v>2.5299999999999998</v>
      </c>
      <c r="P47">
        <f>SmtRes!AG30</f>
        <v>0</v>
      </c>
      <c r="R47">
        <f t="shared" si="3"/>
        <v>0</v>
      </c>
      <c r="S47">
        <f>SmtRes!AC30</f>
        <v>0</v>
      </c>
      <c r="T47">
        <f>SmtRes!DH30</f>
        <v>0</v>
      </c>
      <c r="U47">
        <v>1</v>
      </c>
      <c r="Z47">
        <f>SmtRes!X30</f>
        <v>1187391579</v>
      </c>
      <c r="AA47">
        <v>-648927094</v>
      </c>
      <c r="AB47">
        <v>-648927094</v>
      </c>
    </row>
    <row r="48" spans="1:28" x14ac:dyDescent="0.25">
      <c r="A48">
        <f>Source!A90</f>
        <v>18</v>
      </c>
      <c r="B48">
        <v>90</v>
      </c>
      <c r="C48">
        <v>3</v>
      </c>
      <c r="D48">
        <f>Source!BI90</f>
        <v>1</v>
      </c>
      <c r="E48">
        <f>Source!FS90</f>
        <v>0</v>
      </c>
      <c r="F48" t="str">
        <f>Source!F90</f>
        <v>08.3.05.02-0081</v>
      </c>
      <c r="G48" t="str">
        <f>Source!G90</f>
        <v>Прокат листовой горячекатаный, марка стали 09Г2С, 12Г2С, ширина 1200-3000 мм, толщина 1-8 мм</v>
      </c>
      <c r="H48" t="str">
        <f>Source!H90</f>
        <v>т</v>
      </c>
      <c r="I48">
        <f>Source!I90</f>
        <v>5.0000000000000001E-3</v>
      </c>
      <c r="J48">
        <v>1</v>
      </c>
      <c r="K48">
        <f>ROUND((Source!GE90),6)</f>
        <v>78101.5</v>
      </c>
      <c r="M48">
        <f>ROUND(K48*I48, 2)</f>
        <v>390.51</v>
      </c>
      <c r="N48">
        <f>Source!CQ90</f>
        <v>53058.17</v>
      </c>
      <c r="O48">
        <f>ROUND(N48*I48, 2)</f>
        <v>265.29000000000002</v>
      </c>
      <c r="P48">
        <f>Source!AE90</f>
        <v>0</v>
      </c>
      <c r="R48">
        <f>ROUND(P48*I48, 2)</f>
        <v>0</v>
      </c>
      <c r="S48">
        <f>Source!AE90*IF(Source!BS90&lt;&gt; 0, Source!BS90, 1)</f>
        <v>0</v>
      </c>
      <c r="T48">
        <f>ROUND(S48*I48, 2)</f>
        <v>0</v>
      </c>
      <c r="U48">
        <v>3</v>
      </c>
      <c r="Z48">
        <f>Source!GF90</f>
        <v>-1772181775</v>
      </c>
      <c r="AA48">
        <v>-1499583777</v>
      </c>
      <c r="AB48">
        <v>646946353</v>
      </c>
    </row>
    <row r="49" spans="1:28" x14ac:dyDescent="0.25">
      <c r="A49">
        <v>20</v>
      </c>
      <c r="B49">
        <v>50</v>
      </c>
      <c r="C49">
        <v>3</v>
      </c>
      <c r="D49">
        <v>0</v>
      </c>
      <c r="E49">
        <f>SmtRes!AV50</f>
        <v>0</v>
      </c>
      <c r="F49" t="str">
        <f>SmtRes!I50</f>
        <v>01.7.17.07-0053</v>
      </c>
      <c r="G49" t="str">
        <f>SmtRes!K50</f>
        <v>Круг шлифовальный прямого профиля, размеры 180х10х22 мм</v>
      </c>
      <c r="H49" t="str">
        <f>SmtRes!O50</f>
        <v>ШТ</v>
      </c>
      <c r="I49">
        <f>SmtRes!Y50*Source!I91</f>
        <v>0</v>
      </c>
      <c r="J49">
        <f>SmtRes!AO50</f>
        <v>0</v>
      </c>
      <c r="K49">
        <f>SmtRes!AE50</f>
        <v>101.12</v>
      </c>
      <c r="M49">
        <f t="shared" ref="M49:M78" si="4">ROUND(I49*K49, 2)</f>
        <v>0</v>
      </c>
      <c r="N49">
        <f>SmtRes!AA50</f>
        <v>123.37</v>
      </c>
      <c r="O49">
        <f>SmtRes!DF50</f>
        <v>0</v>
      </c>
      <c r="P49">
        <f>SmtRes!AG50</f>
        <v>0</v>
      </c>
      <c r="R49">
        <f t="shared" ref="R49:R78" si="5">ROUND(I49*P49, 2)</f>
        <v>0</v>
      </c>
      <c r="S49">
        <f>SmtRes!AC50</f>
        <v>0</v>
      </c>
      <c r="T49">
        <f>SmtRes!DH50</f>
        <v>0</v>
      </c>
      <c r="U49">
        <v>3</v>
      </c>
      <c r="Z49">
        <f>SmtRes!X50</f>
        <v>-57438779</v>
      </c>
      <c r="AA49">
        <v>-66168149</v>
      </c>
      <c r="AB49">
        <v>1855674189</v>
      </c>
    </row>
    <row r="50" spans="1:28" x14ac:dyDescent="0.25">
      <c r="A50">
        <v>20</v>
      </c>
      <c r="B50">
        <v>49</v>
      </c>
      <c r="C50">
        <v>3</v>
      </c>
      <c r="D50">
        <v>0</v>
      </c>
      <c r="E50">
        <f>SmtRes!AV49</f>
        <v>0</v>
      </c>
      <c r="F50" t="str">
        <f>SmtRes!I49</f>
        <v>01.7.11.07-0039</v>
      </c>
      <c r="G50" t="str">
        <f>SmtRes!K49</f>
        <v>Электроды сварочные для сварки низколегированных и углеродистых сталей Э50, диаметр 4 мм</v>
      </c>
      <c r="H50" t="str">
        <f>SmtRes!O49</f>
        <v>кг</v>
      </c>
      <c r="I50">
        <f>SmtRes!Y49*Source!I91</f>
        <v>0</v>
      </c>
      <c r="J50">
        <f>SmtRes!AO49</f>
        <v>0</v>
      </c>
      <c r="K50">
        <f>SmtRes!AE49</f>
        <v>187.01</v>
      </c>
      <c r="M50">
        <f t="shared" si="4"/>
        <v>0</v>
      </c>
      <c r="N50">
        <f>SmtRes!AA49</f>
        <v>158.96</v>
      </c>
      <c r="O50">
        <f>SmtRes!DF49</f>
        <v>0</v>
      </c>
      <c r="P50">
        <f>SmtRes!AG49</f>
        <v>0</v>
      </c>
      <c r="R50">
        <f t="shared" si="5"/>
        <v>0</v>
      </c>
      <c r="S50">
        <f>SmtRes!AC49</f>
        <v>0</v>
      </c>
      <c r="T50">
        <f>SmtRes!DH49</f>
        <v>0</v>
      </c>
      <c r="U50">
        <v>3</v>
      </c>
      <c r="Z50">
        <f>SmtRes!X49</f>
        <v>-1551431226</v>
      </c>
      <c r="AA50">
        <v>1674775026</v>
      </c>
      <c r="AB50">
        <v>-1937312769</v>
      </c>
    </row>
    <row r="51" spans="1:28" x14ac:dyDescent="0.25">
      <c r="A51">
        <v>20</v>
      </c>
      <c r="B51">
        <v>48</v>
      </c>
      <c r="C51">
        <v>3</v>
      </c>
      <c r="D51">
        <v>0</v>
      </c>
      <c r="E51">
        <f>SmtRes!AV48</f>
        <v>0</v>
      </c>
      <c r="F51" t="str">
        <f>SmtRes!I48</f>
        <v>01.7.03.04-0001</v>
      </c>
      <c r="G51" t="str">
        <f>SmtRes!K48</f>
        <v>Электроэнергия</v>
      </c>
      <c r="H51" t="str">
        <f>SmtRes!O48</f>
        <v>КВТ-Ч</v>
      </c>
      <c r="I51">
        <f>SmtRes!Y48*Source!I91</f>
        <v>0</v>
      </c>
      <c r="J51">
        <f>SmtRes!AO48</f>
        <v>0</v>
      </c>
      <c r="K51">
        <f>SmtRes!AE48</f>
        <v>9.0399999999999991</v>
      </c>
      <c r="M51">
        <f t="shared" si="4"/>
        <v>0</v>
      </c>
      <c r="N51">
        <f>SmtRes!AA48</f>
        <v>9.0399999999999991</v>
      </c>
      <c r="O51">
        <f>SmtRes!DF48</f>
        <v>0</v>
      </c>
      <c r="P51">
        <f>SmtRes!AG48</f>
        <v>0</v>
      </c>
      <c r="R51">
        <f t="shared" si="5"/>
        <v>0</v>
      </c>
      <c r="S51">
        <f>SmtRes!AC48</f>
        <v>0</v>
      </c>
      <c r="T51">
        <f>SmtRes!DH48</f>
        <v>0</v>
      </c>
      <c r="U51">
        <v>3</v>
      </c>
      <c r="Z51">
        <f>SmtRes!X48</f>
        <v>-182421198</v>
      </c>
      <c r="AA51">
        <v>-852101439</v>
      </c>
      <c r="AB51">
        <v>-852101439</v>
      </c>
    </row>
    <row r="52" spans="1:28" x14ac:dyDescent="0.25">
      <c r="A52">
        <v>20</v>
      </c>
      <c r="B52">
        <v>47</v>
      </c>
      <c r="C52">
        <v>2</v>
      </c>
      <c r="D52">
        <v>0</v>
      </c>
      <c r="E52">
        <f>SmtRes!AV47</f>
        <v>1</v>
      </c>
      <c r="F52" t="str">
        <f>SmtRes!I47</f>
        <v>91.17.04-033</v>
      </c>
      <c r="G52" t="str">
        <f>SmtRes!K47</f>
        <v>Агрегаты сварочные для ручной дуговой сварки на тракторе, сварочный ток до 250 А, количество постов 2, мощность трактора 79 кВт (108 л.с.)</v>
      </c>
      <c r="H52" t="str">
        <f>SmtRes!O47</f>
        <v>маш.-ч</v>
      </c>
      <c r="I52">
        <f>SmtRes!Y47*Source!I91</f>
        <v>2.0313600000000003</v>
      </c>
      <c r="J52">
        <f>SmtRes!AO47</f>
        <v>0</v>
      </c>
      <c r="K52">
        <f>SmtRes!AF47</f>
        <v>1069.08</v>
      </c>
      <c r="M52">
        <f t="shared" si="4"/>
        <v>2171.69</v>
      </c>
      <c r="N52">
        <f>SmtRes!AB47</f>
        <v>1379.11</v>
      </c>
      <c r="O52">
        <f>SmtRes!DG47</f>
        <v>2801.47</v>
      </c>
      <c r="P52">
        <f>SmtRes!AG47</f>
        <v>422.95</v>
      </c>
      <c r="R52">
        <f t="shared" si="5"/>
        <v>859.16</v>
      </c>
      <c r="S52">
        <f>SmtRes!AC47</f>
        <v>422.95</v>
      </c>
      <c r="T52">
        <f>SmtRes!DH47</f>
        <v>859.16</v>
      </c>
      <c r="U52">
        <v>2</v>
      </c>
      <c r="Z52">
        <f>SmtRes!X47</f>
        <v>1246407639</v>
      </c>
      <c r="AA52">
        <v>1501579445</v>
      </c>
      <c r="AB52">
        <v>-2102158770</v>
      </c>
    </row>
    <row r="53" spans="1:28" x14ac:dyDescent="0.25">
      <c r="A53">
        <v>20</v>
      </c>
      <c r="B53">
        <v>46</v>
      </c>
      <c r="C53">
        <v>2</v>
      </c>
      <c r="D53">
        <v>0</v>
      </c>
      <c r="E53">
        <f>SmtRes!AV46</f>
        <v>1</v>
      </c>
      <c r="F53" t="str">
        <f>SmtRes!I46</f>
        <v>91.14.02-001</v>
      </c>
      <c r="G53" t="str">
        <f>SmtRes!K46</f>
        <v>Автомобили бортовые, грузоподъемность до 5 т</v>
      </c>
      <c r="H53" t="str">
        <f>SmtRes!O46</f>
        <v>маш.-ч</v>
      </c>
      <c r="I53">
        <f>SmtRes!Y46*Source!I91</f>
        <v>2.7600000000000003E-3</v>
      </c>
      <c r="J53">
        <f>SmtRes!AO46</f>
        <v>0</v>
      </c>
      <c r="K53">
        <f>SmtRes!AF46</f>
        <v>551.45000000000005</v>
      </c>
      <c r="M53">
        <f t="shared" si="4"/>
        <v>1.52</v>
      </c>
      <c r="N53">
        <f>SmtRes!AB46</f>
        <v>551.45000000000005</v>
      </c>
      <c r="O53">
        <f>SmtRes!DG46</f>
        <v>1.52</v>
      </c>
      <c r="P53">
        <f>SmtRes!AG46</f>
        <v>368.02</v>
      </c>
      <c r="R53">
        <f t="shared" si="5"/>
        <v>1.02</v>
      </c>
      <c r="S53">
        <f>SmtRes!AC46</f>
        <v>368.02</v>
      </c>
      <c r="T53">
        <f>SmtRes!DH46</f>
        <v>1.02</v>
      </c>
      <c r="U53">
        <v>2</v>
      </c>
      <c r="Z53">
        <f>SmtRes!X46</f>
        <v>-312038840</v>
      </c>
      <c r="AA53">
        <v>280096454</v>
      </c>
      <c r="AB53">
        <v>280096454</v>
      </c>
    </row>
    <row r="54" spans="1:28" x14ac:dyDescent="0.25">
      <c r="A54">
        <v>20</v>
      </c>
      <c r="B54">
        <v>45</v>
      </c>
      <c r="C54">
        <v>1</v>
      </c>
      <c r="D54">
        <v>0</v>
      </c>
      <c r="E54">
        <f>SmtRes!AV45</f>
        <v>2</v>
      </c>
      <c r="F54" t="str">
        <f>SmtRes!I45</f>
        <v>4-100-00</v>
      </c>
      <c r="G54" t="str">
        <f>SmtRes!K45</f>
        <v>Затраты труда машинистов</v>
      </c>
      <c r="H54" t="str">
        <f>SmtRes!O45</f>
        <v>чел.-ч.</v>
      </c>
      <c r="I54">
        <f>SmtRes!Y45*Source!I91</f>
        <v>2.0341199999999997</v>
      </c>
      <c r="J54">
        <f>SmtRes!AO45</f>
        <v>0</v>
      </c>
      <c r="K54">
        <f>SmtRes!AH45</f>
        <v>0</v>
      </c>
      <c r="M54">
        <f t="shared" si="4"/>
        <v>0</v>
      </c>
      <c r="N54">
        <f>SmtRes!AD45</f>
        <v>0</v>
      </c>
      <c r="O54">
        <f>SmtRes!DI45</f>
        <v>0</v>
      </c>
      <c r="P54">
        <f>SmtRes!AG45</f>
        <v>0</v>
      </c>
      <c r="R54">
        <f t="shared" si="5"/>
        <v>0</v>
      </c>
      <c r="S54">
        <f>SmtRes!AC45</f>
        <v>0</v>
      </c>
      <c r="T54">
        <f>SmtRes!DH45</f>
        <v>0</v>
      </c>
      <c r="U54">
        <v>1</v>
      </c>
      <c r="Z54">
        <f>SmtRes!X45</f>
        <v>-1417349443</v>
      </c>
      <c r="AA54">
        <v>212567905</v>
      </c>
      <c r="AB54">
        <v>212567905</v>
      </c>
    </row>
    <row r="55" spans="1:28" x14ac:dyDescent="0.25">
      <c r="A55">
        <v>20</v>
      </c>
      <c r="B55">
        <v>44</v>
      </c>
      <c r="C55">
        <v>1</v>
      </c>
      <c r="D55">
        <v>0</v>
      </c>
      <c r="E55">
        <f>SmtRes!AV44</f>
        <v>1</v>
      </c>
      <c r="F55" t="str">
        <f>SmtRes!I44</f>
        <v>2-100-05</v>
      </c>
      <c r="G55" t="str">
        <f>SmtRes!K44</f>
        <v>Рабочий 5 разряда</v>
      </c>
      <c r="H55" t="str">
        <f>SmtRes!O44</f>
        <v>чел.-ч</v>
      </c>
      <c r="I55">
        <f>SmtRes!Y44*Source!I91</f>
        <v>2.0920800000000002</v>
      </c>
      <c r="J55">
        <f>SmtRes!AO44</f>
        <v>0</v>
      </c>
      <c r="K55">
        <f>SmtRes!AH44</f>
        <v>422.95</v>
      </c>
      <c r="M55">
        <f t="shared" si="4"/>
        <v>884.85</v>
      </c>
      <c r="N55">
        <f>SmtRes!AD44</f>
        <v>422.95</v>
      </c>
      <c r="O55">
        <f>SmtRes!DI44</f>
        <v>884.85</v>
      </c>
      <c r="P55">
        <f>SmtRes!AG44</f>
        <v>0</v>
      </c>
      <c r="R55">
        <f t="shared" si="5"/>
        <v>0</v>
      </c>
      <c r="S55">
        <f>SmtRes!AC44</f>
        <v>0</v>
      </c>
      <c r="T55">
        <f>SmtRes!DH44</f>
        <v>0</v>
      </c>
      <c r="U55">
        <v>1</v>
      </c>
      <c r="Z55">
        <f>SmtRes!X44</f>
        <v>1518711480</v>
      </c>
      <c r="AA55">
        <v>798622759</v>
      </c>
      <c r="AB55">
        <v>798622759</v>
      </c>
    </row>
    <row r="56" spans="1:28" x14ac:dyDescent="0.25">
      <c r="A56">
        <v>20</v>
      </c>
      <c r="B56">
        <v>43</v>
      </c>
      <c r="C56">
        <v>1</v>
      </c>
      <c r="D56">
        <v>0</v>
      </c>
      <c r="E56">
        <f>SmtRes!AV43</f>
        <v>1</v>
      </c>
      <c r="F56" t="str">
        <f>SmtRes!I43</f>
        <v>2-100-04</v>
      </c>
      <c r="G56" t="str">
        <f>SmtRes!K43</f>
        <v>Рабочий 4 разряда</v>
      </c>
      <c r="H56" t="str">
        <f>SmtRes!O43</f>
        <v>чел.-ч</v>
      </c>
      <c r="I56">
        <f>SmtRes!Y43*Source!I91</f>
        <v>0.39744000000000002</v>
      </c>
      <c r="J56">
        <f>SmtRes!AO43</f>
        <v>0</v>
      </c>
      <c r="K56">
        <f>SmtRes!AH43</f>
        <v>368.02</v>
      </c>
      <c r="M56">
        <f t="shared" si="4"/>
        <v>146.27000000000001</v>
      </c>
      <c r="N56">
        <f>SmtRes!AD43</f>
        <v>368.02</v>
      </c>
      <c r="O56">
        <f>SmtRes!DI43</f>
        <v>146.27000000000001</v>
      </c>
      <c r="P56">
        <f>SmtRes!AG43</f>
        <v>0</v>
      </c>
      <c r="R56">
        <f t="shared" si="5"/>
        <v>0</v>
      </c>
      <c r="S56">
        <f>SmtRes!AC43</f>
        <v>0</v>
      </c>
      <c r="T56">
        <f>SmtRes!DH43</f>
        <v>0</v>
      </c>
      <c r="U56">
        <v>1</v>
      </c>
      <c r="Z56">
        <f>SmtRes!X43</f>
        <v>-512803540</v>
      </c>
      <c r="AA56">
        <v>-1972062232</v>
      </c>
      <c r="AB56">
        <v>-1972062232</v>
      </c>
    </row>
    <row r="57" spans="1:28" x14ac:dyDescent="0.25">
      <c r="A57">
        <v>20</v>
      </c>
      <c r="B57">
        <v>42</v>
      </c>
      <c r="C57">
        <v>1</v>
      </c>
      <c r="D57">
        <v>0</v>
      </c>
      <c r="E57">
        <f>SmtRes!AV42</f>
        <v>1</v>
      </c>
      <c r="F57" t="str">
        <f>SmtRes!I42</f>
        <v>2-100-03</v>
      </c>
      <c r="G57" t="str">
        <f>SmtRes!K42</f>
        <v>Рабочий 3 разряда</v>
      </c>
      <c r="H57" t="str">
        <f>SmtRes!O42</f>
        <v>чел.-ч</v>
      </c>
      <c r="I57">
        <f>SmtRes!Y42*Source!I91</f>
        <v>1.7056800000000001</v>
      </c>
      <c r="J57">
        <f>SmtRes!AO42</f>
        <v>0</v>
      </c>
      <c r="K57">
        <f>SmtRes!AH42</f>
        <v>326.82</v>
      </c>
      <c r="M57">
        <f t="shared" si="4"/>
        <v>557.45000000000005</v>
      </c>
      <c r="N57">
        <f>SmtRes!AD42</f>
        <v>326.82</v>
      </c>
      <c r="O57">
        <f>SmtRes!DI42</f>
        <v>557.45000000000005</v>
      </c>
      <c r="P57">
        <f>SmtRes!AG42</f>
        <v>0</v>
      </c>
      <c r="R57">
        <f t="shared" si="5"/>
        <v>0</v>
      </c>
      <c r="S57">
        <f>SmtRes!AC42</f>
        <v>0</v>
      </c>
      <c r="T57">
        <f>SmtRes!DH42</f>
        <v>0</v>
      </c>
      <c r="U57">
        <v>1</v>
      </c>
      <c r="Z57">
        <f>SmtRes!X42</f>
        <v>-587036825</v>
      </c>
      <c r="AA57">
        <v>-600513131</v>
      </c>
      <c r="AB57">
        <v>-600513131</v>
      </c>
    </row>
    <row r="58" spans="1:28" x14ac:dyDescent="0.25">
      <c r="A58">
        <v>20</v>
      </c>
      <c r="B58">
        <v>41</v>
      </c>
      <c r="C58">
        <v>1</v>
      </c>
      <c r="D58">
        <v>0</v>
      </c>
      <c r="E58">
        <f>SmtRes!AV41</f>
        <v>1</v>
      </c>
      <c r="F58" t="str">
        <f>SmtRes!I41</f>
        <v>2-100-01</v>
      </c>
      <c r="G58" t="str">
        <f>SmtRes!K41</f>
        <v>Рабочий 1 разряда</v>
      </c>
      <c r="H58" t="str">
        <f>SmtRes!O41</f>
        <v>чел.-ч</v>
      </c>
      <c r="I58">
        <f>SmtRes!Y41*Source!I91</f>
        <v>5.5200000000000006E-3</v>
      </c>
      <c r="J58">
        <f>SmtRes!AO41</f>
        <v>0</v>
      </c>
      <c r="K58">
        <f>SmtRes!AH41</f>
        <v>274.64</v>
      </c>
      <c r="M58">
        <f t="shared" si="4"/>
        <v>1.52</v>
      </c>
      <c r="N58">
        <f>SmtRes!AD41</f>
        <v>274.64</v>
      </c>
      <c r="O58">
        <f>SmtRes!DI41</f>
        <v>1.52</v>
      </c>
      <c r="P58">
        <f>SmtRes!AG41</f>
        <v>0</v>
      </c>
      <c r="R58">
        <f t="shared" si="5"/>
        <v>0</v>
      </c>
      <c r="S58">
        <f>SmtRes!AC41</f>
        <v>0</v>
      </c>
      <c r="T58">
        <f>SmtRes!DH41</f>
        <v>0</v>
      </c>
      <c r="U58">
        <v>1</v>
      </c>
      <c r="Z58">
        <f>SmtRes!X41</f>
        <v>1187391579</v>
      </c>
      <c r="AA58">
        <v>-648927094</v>
      </c>
      <c r="AB58">
        <v>-648927094</v>
      </c>
    </row>
    <row r="59" spans="1:28" x14ac:dyDescent="0.25">
      <c r="A59">
        <v>20</v>
      </c>
      <c r="B59">
        <v>51</v>
      </c>
      <c r="C59">
        <v>1</v>
      </c>
      <c r="D59">
        <v>0</v>
      </c>
      <c r="E59">
        <f>SmtRes!AV51</f>
        <v>1</v>
      </c>
      <c r="F59" t="str">
        <f>SmtRes!I51</f>
        <v>1-100-27</v>
      </c>
      <c r="G59" t="str">
        <f>SmtRes!K51</f>
        <v>Средний разряд работы 2,7</v>
      </c>
      <c r="H59" t="str">
        <f>SmtRes!O51</f>
        <v>чел.-ч.</v>
      </c>
      <c r="I59">
        <f>SmtRes!Y51*Source!I93</f>
        <v>5.5061999999999998</v>
      </c>
      <c r="J59">
        <f>SmtRes!AO51</f>
        <v>0</v>
      </c>
      <c r="K59">
        <f>SmtRes!AH51</f>
        <v>318.58</v>
      </c>
      <c r="M59">
        <f t="shared" si="4"/>
        <v>1754.17</v>
      </c>
      <c r="N59">
        <f>SmtRes!AD51</f>
        <v>318.58</v>
      </c>
      <c r="O59">
        <f>SmtRes!DI51</f>
        <v>1754.17</v>
      </c>
      <c r="P59">
        <f>SmtRes!AG51</f>
        <v>0</v>
      </c>
      <c r="R59">
        <f t="shared" si="5"/>
        <v>0</v>
      </c>
      <c r="S59">
        <f>SmtRes!AC51</f>
        <v>0</v>
      </c>
      <c r="T59">
        <f>SmtRes!DH51</f>
        <v>0</v>
      </c>
      <c r="U59">
        <v>1</v>
      </c>
      <c r="Z59">
        <f>SmtRes!X51</f>
        <v>1682852000</v>
      </c>
      <c r="AA59">
        <v>-113441231</v>
      </c>
      <c r="AB59">
        <v>-113441231</v>
      </c>
    </row>
    <row r="60" spans="1:28" x14ac:dyDescent="0.25">
      <c r="A60">
        <v>20</v>
      </c>
      <c r="B60">
        <v>52</v>
      </c>
      <c r="C60">
        <v>1</v>
      </c>
      <c r="D60">
        <v>0</v>
      </c>
      <c r="E60">
        <f>SmtRes!AV52</f>
        <v>1</v>
      </c>
      <c r="F60" t="str">
        <f>SmtRes!I52</f>
        <v>1-100-19</v>
      </c>
      <c r="G60" t="str">
        <f>SmtRes!K52</f>
        <v>Средний разряд работы 1,9</v>
      </c>
      <c r="H60" t="str">
        <f>SmtRes!O52</f>
        <v>чел.-ч.</v>
      </c>
      <c r="I60">
        <f>SmtRes!Y52*Source!I96</f>
        <v>23.846399999999999</v>
      </c>
      <c r="J60">
        <f>SmtRes!AO52</f>
        <v>0</v>
      </c>
      <c r="K60">
        <f>SmtRes!AH52</f>
        <v>296.89</v>
      </c>
      <c r="M60">
        <f t="shared" si="4"/>
        <v>7079.76</v>
      </c>
      <c r="N60">
        <f>SmtRes!AD52</f>
        <v>296.89</v>
      </c>
      <c r="O60">
        <f>SmtRes!DI52</f>
        <v>7079.76</v>
      </c>
      <c r="P60">
        <f>SmtRes!AG52</f>
        <v>0</v>
      </c>
      <c r="R60">
        <f t="shared" si="5"/>
        <v>0</v>
      </c>
      <c r="S60">
        <f>SmtRes!AC52</f>
        <v>0</v>
      </c>
      <c r="T60">
        <f>SmtRes!DH52</f>
        <v>0</v>
      </c>
      <c r="U60">
        <v>1</v>
      </c>
      <c r="Z60">
        <f>SmtRes!X52</f>
        <v>129111666</v>
      </c>
      <c r="AA60">
        <v>1867757539</v>
      </c>
      <c r="AB60">
        <v>1867757539</v>
      </c>
    </row>
    <row r="61" spans="1:28" x14ac:dyDescent="0.25">
      <c r="A61">
        <v>20</v>
      </c>
      <c r="B61">
        <v>53</v>
      </c>
      <c r="C61">
        <v>1</v>
      </c>
      <c r="D61">
        <v>0</v>
      </c>
      <c r="E61">
        <f>SmtRes!AV53</f>
        <v>1</v>
      </c>
      <c r="F61" t="str">
        <f>SmtRes!I53</f>
        <v>1-100-15</v>
      </c>
      <c r="G61" t="str">
        <f>SmtRes!K53</f>
        <v>Средний разряд работы 1,5</v>
      </c>
      <c r="H61" t="str">
        <f>SmtRes!O53</f>
        <v>чел.-ч.</v>
      </c>
      <c r="I61">
        <f>SmtRes!Y53*Source!I97</f>
        <v>2.956512</v>
      </c>
      <c r="J61">
        <f>SmtRes!AO53</f>
        <v>0</v>
      </c>
      <c r="K61">
        <f>SmtRes!AH53</f>
        <v>287</v>
      </c>
      <c r="M61">
        <f t="shared" si="4"/>
        <v>848.52</v>
      </c>
      <c r="N61">
        <f>SmtRes!AD53</f>
        <v>287</v>
      </c>
      <c r="O61">
        <f>SmtRes!DI53</f>
        <v>848.52</v>
      </c>
      <c r="P61">
        <f>SmtRes!AG53</f>
        <v>0</v>
      </c>
      <c r="R61">
        <f t="shared" si="5"/>
        <v>0</v>
      </c>
      <c r="S61">
        <f>SmtRes!AC53</f>
        <v>0</v>
      </c>
      <c r="T61">
        <f>SmtRes!DH53</f>
        <v>0</v>
      </c>
      <c r="U61">
        <v>1</v>
      </c>
      <c r="Z61">
        <f>SmtRes!X53</f>
        <v>-267883188</v>
      </c>
      <c r="AA61">
        <v>548894885</v>
      </c>
      <c r="AB61">
        <v>548894885</v>
      </c>
    </row>
    <row r="62" spans="1:28" x14ac:dyDescent="0.25">
      <c r="A62">
        <v>20</v>
      </c>
      <c r="B62">
        <v>60</v>
      </c>
      <c r="C62">
        <v>3</v>
      </c>
      <c r="D62">
        <v>0</v>
      </c>
      <c r="E62">
        <f>SmtRes!AV60</f>
        <v>0</v>
      </c>
      <c r="F62" t="str">
        <f>SmtRes!I60</f>
        <v>01.3.02.09-0022</v>
      </c>
      <c r="G62" t="str">
        <f>SmtRes!K60</f>
        <v>Пропан-бутан смесь техническая</v>
      </c>
      <c r="H62" t="str">
        <f>SmtRes!O60</f>
        <v>кг</v>
      </c>
      <c r="I62">
        <f>SmtRes!Y60*Source!I100</f>
        <v>3.3000000000000002E-2</v>
      </c>
      <c r="J62">
        <f>SmtRes!AO60</f>
        <v>0</v>
      </c>
      <c r="K62">
        <f>SmtRes!AE60</f>
        <v>41.38</v>
      </c>
      <c r="M62">
        <f t="shared" si="4"/>
        <v>1.37</v>
      </c>
      <c r="N62">
        <f>SmtRes!AA60</f>
        <v>62.48</v>
      </c>
      <c r="O62">
        <f>SmtRes!DF60</f>
        <v>2.06</v>
      </c>
      <c r="P62">
        <f>SmtRes!AG60</f>
        <v>0</v>
      </c>
      <c r="R62">
        <f t="shared" si="5"/>
        <v>0</v>
      </c>
      <c r="S62">
        <f>SmtRes!AC60</f>
        <v>0</v>
      </c>
      <c r="T62">
        <f>SmtRes!DH60</f>
        <v>0</v>
      </c>
      <c r="U62">
        <v>3</v>
      </c>
      <c r="Z62">
        <f>SmtRes!X60</f>
        <v>1843545816</v>
      </c>
      <c r="AA62">
        <v>-693499030</v>
      </c>
      <c r="AB62">
        <v>-241278685</v>
      </c>
    </row>
    <row r="63" spans="1:28" x14ac:dyDescent="0.25">
      <c r="A63">
        <v>20</v>
      </c>
      <c r="B63">
        <v>59</v>
      </c>
      <c r="C63">
        <v>3</v>
      </c>
      <c r="D63">
        <v>0</v>
      </c>
      <c r="E63">
        <f>SmtRes!AV59</f>
        <v>0</v>
      </c>
      <c r="F63" t="str">
        <f>SmtRes!I59</f>
        <v>01.3.02.08-0001</v>
      </c>
      <c r="G63" t="str">
        <f>SmtRes!K59</f>
        <v>Кислород газообразный технический</v>
      </c>
      <c r="H63" t="str">
        <f>SmtRes!O59</f>
        <v>м3</v>
      </c>
      <c r="I63">
        <f>SmtRes!Y59*Source!I100</f>
        <v>0.13200000000000001</v>
      </c>
      <c r="J63">
        <f>SmtRes!AO59</f>
        <v>0</v>
      </c>
      <c r="K63">
        <f>SmtRes!AE59</f>
        <v>114.64</v>
      </c>
      <c r="M63">
        <f t="shared" si="4"/>
        <v>15.13</v>
      </c>
      <c r="N63">
        <f>SmtRes!AA59</f>
        <v>126.1</v>
      </c>
      <c r="O63">
        <f>SmtRes!DF59</f>
        <v>16.649999999999999</v>
      </c>
      <c r="P63">
        <f>SmtRes!AG59</f>
        <v>0</v>
      </c>
      <c r="R63">
        <f t="shared" si="5"/>
        <v>0</v>
      </c>
      <c r="S63">
        <f>SmtRes!AC59</f>
        <v>0</v>
      </c>
      <c r="T63">
        <f>SmtRes!DH59</f>
        <v>0</v>
      </c>
      <c r="U63">
        <v>3</v>
      </c>
      <c r="Z63">
        <f>SmtRes!X59</f>
        <v>1531571680</v>
      </c>
      <c r="AA63">
        <v>-811279051</v>
      </c>
      <c r="AB63">
        <v>-1636355577</v>
      </c>
    </row>
    <row r="64" spans="1:28" x14ac:dyDescent="0.25">
      <c r="A64">
        <v>20</v>
      </c>
      <c r="B64">
        <v>58</v>
      </c>
      <c r="C64">
        <v>2</v>
      </c>
      <c r="D64">
        <v>0</v>
      </c>
      <c r="E64">
        <f>SmtRes!AV58</f>
        <v>1</v>
      </c>
      <c r="F64" t="str">
        <f>SmtRes!I58</f>
        <v>91.17.04-042</v>
      </c>
      <c r="G64" t="str">
        <f>SmtRes!K58</f>
        <v>Аппараты для газовой сварки и резки</v>
      </c>
      <c r="H64" t="str">
        <f>SmtRes!O58</f>
        <v>маш.-ч</v>
      </c>
      <c r="I64">
        <f>SmtRes!Y58*Source!I100</f>
        <v>0.26392499999999997</v>
      </c>
      <c r="J64">
        <f>SmtRes!AO58</f>
        <v>0</v>
      </c>
      <c r="K64">
        <f>SmtRes!AF58</f>
        <v>4.3499999999999996</v>
      </c>
      <c r="M64">
        <f t="shared" si="4"/>
        <v>1.1499999999999999</v>
      </c>
      <c r="N64">
        <f>SmtRes!AB58</f>
        <v>5.35</v>
      </c>
      <c r="O64">
        <f>SmtRes!DG58</f>
        <v>1.41</v>
      </c>
      <c r="P64">
        <f>SmtRes!AG58</f>
        <v>0</v>
      </c>
      <c r="R64">
        <f t="shared" si="5"/>
        <v>0</v>
      </c>
      <c r="S64">
        <f>SmtRes!AC58</f>
        <v>0</v>
      </c>
      <c r="T64">
        <f>SmtRes!DH58</f>
        <v>0</v>
      </c>
      <c r="U64">
        <v>2</v>
      </c>
      <c r="Z64">
        <f>SmtRes!X58</f>
        <v>-536748942</v>
      </c>
      <c r="AA64">
        <v>1767300911</v>
      </c>
      <c r="AB64">
        <v>-773146550</v>
      </c>
    </row>
    <row r="65" spans="1:28" x14ac:dyDescent="0.25">
      <c r="A65">
        <v>20</v>
      </c>
      <c r="B65">
        <v>57</v>
      </c>
      <c r="C65">
        <v>2</v>
      </c>
      <c r="D65">
        <v>0</v>
      </c>
      <c r="E65">
        <f>SmtRes!AV57</f>
        <v>1</v>
      </c>
      <c r="F65" t="str">
        <f>SmtRes!I57</f>
        <v>91.14.02-001</v>
      </c>
      <c r="G65" t="str">
        <f>SmtRes!K57</f>
        <v>Автомобили бортовые, грузоподъемность до 5 т</v>
      </c>
      <c r="H65" t="str">
        <f>SmtRes!O57</f>
        <v>маш.-ч</v>
      </c>
      <c r="I65">
        <f>SmtRes!Y57*Source!I100</f>
        <v>3.4499999999999996E-2</v>
      </c>
      <c r="J65">
        <f>SmtRes!AO57</f>
        <v>0</v>
      </c>
      <c r="K65">
        <f>SmtRes!AF57</f>
        <v>551.45000000000005</v>
      </c>
      <c r="M65">
        <f t="shared" si="4"/>
        <v>19.03</v>
      </c>
      <c r="N65">
        <f>SmtRes!AB57</f>
        <v>551.45000000000005</v>
      </c>
      <c r="O65">
        <f>SmtRes!DG57</f>
        <v>19.03</v>
      </c>
      <c r="P65">
        <f>SmtRes!AG57</f>
        <v>368.02</v>
      </c>
      <c r="R65">
        <f t="shared" si="5"/>
        <v>12.7</v>
      </c>
      <c r="S65">
        <f>SmtRes!AC57</f>
        <v>368.02</v>
      </c>
      <c r="T65">
        <f>SmtRes!DH57</f>
        <v>12.7</v>
      </c>
      <c r="U65">
        <v>2</v>
      </c>
      <c r="Z65">
        <f>SmtRes!X57</f>
        <v>-312038840</v>
      </c>
      <c r="AA65">
        <v>280096454</v>
      </c>
      <c r="AB65">
        <v>280096454</v>
      </c>
    </row>
    <row r="66" spans="1:28" x14ac:dyDescent="0.25">
      <c r="A66">
        <v>20</v>
      </c>
      <c r="B66">
        <v>56</v>
      </c>
      <c r="C66">
        <v>2</v>
      </c>
      <c r="D66">
        <v>0</v>
      </c>
      <c r="E66">
        <f>SmtRes!AV56</f>
        <v>1</v>
      </c>
      <c r="F66" t="str">
        <f>SmtRes!I56</f>
        <v>91.05.05-015</v>
      </c>
      <c r="G66" t="str">
        <f>SmtRes!K56</f>
        <v>Краны на автомобильном ходу, грузоподъемность 16 т</v>
      </c>
      <c r="H66" t="str">
        <f>SmtRes!O56</f>
        <v>маш.-ч</v>
      </c>
      <c r="I66">
        <f>SmtRes!Y56*Source!I100</f>
        <v>0.28807499999999997</v>
      </c>
      <c r="J66">
        <f>SmtRes!AO56</f>
        <v>0</v>
      </c>
      <c r="K66">
        <f>SmtRes!AF56</f>
        <v>1598.95</v>
      </c>
      <c r="M66">
        <f t="shared" si="4"/>
        <v>460.62</v>
      </c>
      <c r="N66">
        <f>SmtRes!AB56</f>
        <v>1598.95</v>
      </c>
      <c r="O66">
        <f>SmtRes!DG56</f>
        <v>460.62</v>
      </c>
      <c r="P66">
        <f>SmtRes!AG56</f>
        <v>494.35</v>
      </c>
      <c r="R66">
        <f t="shared" si="5"/>
        <v>142.41</v>
      </c>
      <c r="S66">
        <f>SmtRes!AC56</f>
        <v>494.35</v>
      </c>
      <c r="T66">
        <f>SmtRes!DH56</f>
        <v>142.41</v>
      </c>
      <c r="U66">
        <v>2</v>
      </c>
      <c r="Z66">
        <f>SmtRes!X56</f>
        <v>-1068589559</v>
      </c>
      <c r="AA66">
        <v>-2133770313</v>
      </c>
      <c r="AB66">
        <v>-2133770313</v>
      </c>
    </row>
    <row r="67" spans="1:28" x14ac:dyDescent="0.25">
      <c r="A67">
        <v>20</v>
      </c>
      <c r="B67">
        <v>55</v>
      </c>
      <c r="C67">
        <v>1</v>
      </c>
      <c r="D67">
        <v>0</v>
      </c>
      <c r="E67">
        <f>SmtRes!AV55</f>
        <v>2</v>
      </c>
      <c r="F67" t="str">
        <f>SmtRes!I55</f>
        <v>4-100-00</v>
      </c>
      <c r="G67" t="str">
        <f>SmtRes!K55</f>
        <v>Затраты труда машинистов</v>
      </c>
      <c r="H67" t="str">
        <f>SmtRes!O55</f>
        <v>чел.-ч.</v>
      </c>
      <c r="I67">
        <f>SmtRes!Y55*Source!I100</f>
        <v>0.322575</v>
      </c>
      <c r="J67">
        <f>SmtRes!AO55</f>
        <v>0</v>
      </c>
      <c r="K67">
        <f>SmtRes!AH55</f>
        <v>0</v>
      </c>
      <c r="M67">
        <f t="shared" si="4"/>
        <v>0</v>
      </c>
      <c r="N67">
        <f>SmtRes!AD55</f>
        <v>0</v>
      </c>
      <c r="O67">
        <f>SmtRes!DI55</f>
        <v>0</v>
      </c>
      <c r="P67">
        <f>SmtRes!AG55</f>
        <v>0</v>
      </c>
      <c r="R67">
        <f t="shared" si="5"/>
        <v>0</v>
      </c>
      <c r="S67">
        <f>SmtRes!AC55</f>
        <v>0</v>
      </c>
      <c r="T67">
        <f>SmtRes!DH55</f>
        <v>0</v>
      </c>
      <c r="U67">
        <v>1</v>
      </c>
      <c r="Z67">
        <f>SmtRes!X55</f>
        <v>-1417349443</v>
      </c>
      <c r="AA67">
        <v>212567905</v>
      </c>
      <c r="AB67">
        <v>212567905</v>
      </c>
    </row>
    <row r="68" spans="1:28" x14ac:dyDescent="0.25">
      <c r="A68">
        <v>20</v>
      </c>
      <c r="B68">
        <v>54</v>
      </c>
      <c r="C68">
        <v>1</v>
      </c>
      <c r="D68">
        <v>0</v>
      </c>
      <c r="E68">
        <f>SmtRes!AV54</f>
        <v>1</v>
      </c>
      <c r="F68" t="str">
        <f>SmtRes!I54</f>
        <v>1-100-30</v>
      </c>
      <c r="G68" t="str">
        <f>SmtRes!K54</f>
        <v>Средний разряд работы 3,0</v>
      </c>
      <c r="H68" t="str">
        <f>SmtRes!O54</f>
        <v>чел.-ч.</v>
      </c>
      <c r="I68">
        <f>SmtRes!Y54*Source!I100</f>
        <v>3.8639999999999994</v>
      </c>
      <c r="J68">
        <f>SmtRes!AO54</f>
        <v>0</v>
      </c>
      <c r="K68">
        <f>SmtRes!AH54</f>
        <v>326.82</v>
      </c>
      <c r="M68">
        <f t="shared" si="4"/>
        <v>1262.83</v>
      </c>
      <c r="N68">
        <f>SmtRes!AD54</f>
        <v>326.82</v>
      </c>
      <c r="O68">
        <f>SmtRes!DI54</f>
        <v>1262.83</v>
      </c>
      <c r="P68">
        <f>SmtRes!AG54</f>
        <v>0</v>
      </c>
      <c r="R68">
        <f t="shared" si="5"/>
        <v>0</v>
      </c>
      <c r="S68">
        <f>SmtRes!AC54</f>
        <v>0</v>
      </c>
      <c r="T68">
        <f>SmtRes!DH54</f>
        <v>0</v>
      </c>
      <c r="U68">
        <v>1</v>
      </c>
      <c r="Z68">
        <f>SmtRes!X54</f>
        <v>-1833565283</v>
      </c>
      <c r="AA68">
        <v>-1727274270</v>
      </c>
      <c r="AB68">
        <v>-1727274270</v>
      </c>
    </row>
    <row r="69" spans="1:28" x14ac:dyDescent="0.25">
      <c r="A69">
        <v>20</v>
      </c>
      <c r="B69">
        <v>67</v>
      </c>
      <c r="C69">
        <v>3</v>
      </c>
      <c r="D69">
        <v>0</v>
      </c>
      <c r="E69">
        <f>SmtRes!AV67</f>
        <v>0</v>
      </c>
      <c r="F69" t="str">
        <f>SmtRes!I67</f>
        <v>01.3.02.09-0022</v>
      </c>
      <c r="G69" t="str">
        <f>SmtRes!K67</f>
        <v>Пропан-бутан смесь техническая</v>
      </c>
      <c r="H69" t="str">
        <f>SmtRes!O67</f>
        <v>кг</v>
      </c>
      <c r="I69">
        <f>SmtRes!Y67*Source!I101</f>
        <v>0.15300000000000002</v>
      </c>
      <c r="J69">
        <f>SmtRes!AO67</f>
        <v>0</v>
      </c>
      <c r="K69">
        <f>SmtRes!AE67</f>
        <v>41.38</v>
      </c>
      <c r="M69">
        <f t="shared" si="4"/>
        <v>6.33</v>
      </c>
      <c r="N69">
        <f>SmtRes!AA67</f>
        <v>62.48</v>
      </c>
      <c r="O69">
        <f>SmtRes!DF67</f>
        <v>9.56</v>
      </c>
      <c r="P69">
        <f>SmtRes!AG67</f>
        <v>0</v>
      </c>
      <c r="R69">
        <f t="shared" si="5"/>
        <v>0</v>
      </c>
      <c r="S69">
        <f>SmtRes!AC67</f>
        <v>0</v>
      </c>
      <c r="T69">
        <f>SmtRes!DH67</f>
        <v>0</v>
      </c>
      <c r="U69">
        <v>3</v>
      </c>
      <c r="Z69">
        <f>SmtRes!X67</f>
        <v>1843545816</v>
      </c>
      <c r="AA69">
        <v>-693499030</v>
      </c>
      <c r="AB69">
        <v>-241278685</v>
      </c>
    </row>
    <row r="70" spans="1:28" x14ac:dyDescent="0.25">
      <c r="A70">
        <v>20</v>
      </c>
      <c r="B70">
        <v>66</v>
      </c>
      <c r="C70">
        <v>3</v>
      </c>
      <c r="D70">
        <v>0</v>
      </c>
      <c r="E70">
        <f>SmtRes!AV66</f>
        <v>0</v>
      </c>
      <c r="F70" t="str">
        <f>SmtRes!I66</f>
        <v>01.3.02.08-0001</v>
      </c>
      <c r="G70" t="str">
        <f>SmtRes!K66</f>
        <v>Кислород газообразный технический</v>
      </c>
      <c r="H70" t="str">
        <f>SmtRes!O66</f>
        <v>м3</v>
      </c>
      <c r="I70">
        <f>SmtRes!Y66*Source!I101</f>
        <v>0.6120000000000001</v>
      </c>
      <c r="J70">
        <f>SmtRes!AO66</f>
        <v>0</v>
      </c>
      <c r="K70">
        <f>SmtRes!AE66</f>
        <v>114.64</v>
      </c>
      <c r="M70">
        <f t="shared" si="4"/>
        <v>70.16</v>
      </c>
      <c r="N70">
        <f>SmtRes!AA66</f>
        <v>126.1</v>
      </c>
      <c r="O70">
        <f>SmtRes!DF66</f>
        <v>77.17</v>
      </c>
      <c r="P70">
        <f>SmtRes!AG66</f>
        <v>0</v>
      </c>
      <c r="R70">
        <f t="shared" si="5"/>
        <v>0</v>
      </c>
      <c r="S70">
        <f>SmtRes!AC66</f>
        <v>0</v>
      </c>
      <c r="T70">
        <f>SmtRes!DH66</f>
        <v>0</v>
      </c>
      <c r="U70">
        <v>3</v>
      </c>
      <c r="Z70">
        <f>SmtRes!X66</f>
        <v>1531571680</v>
      </c>
      <c r="AA70">
        <v>-811279051</v>
      </c>
      <c r="AB70">
        <v>-1636355577</v>
      </c>
    </row>
    <row r="71" spans="1:28" x14ac:dyDescent="0.25">
      <c r="A71">
        <v>20</v>
      </c>
      <c r="B71">
        <v>65</v>
      </c>
      <c r="C71">
        <v>2</v>
      </c>
      <c r="D71">
        <v>0</v>
      </c>
      <c r="E71">
        <f>SmtRes!AV65</f>
        <v>1</v>
      </c>
      <c r="F71" t="str">
        <f>SmtRes!I65</f>
        <v>91.17.04-042</v>
      </c>
      <c r="G71" t="str">
        <f>SmtRes!K65</f>
        <v>Аппараты для газовой сварки и резки</v>
      </c>
      <c r="H71" t="str">
        <f>SmtRes!O65</f>
        <v>маш.-ч</v>
      </c>
      <c r="I71">
        <f>SmtRes!Y65*Source!I101</f>
        <v>0.92114999999999991</v>
      </c>
      <c r="J71">
        <f>SmtRes!AO65</f>
        <v>0</v>
      </c>
      <c r="K71">
        <f>SmtRes!AF65</f>
        <v>4.3499999999999996</v>
      </c>
      <c r="M71">
        <f t="shared" si="4"/>
        <v>4.01</v>
      </c>
      <c r="N71">
        <f>SmtRes!AB65</f>
        <v>5.35</v>
      </c>
      <c r="O71">
        <f>SmtRes!DG65</f>
        <v>4.93</v>
      </c>
      <c r="P71">
        <f>SmtRes!AG65</f>
        <v>0</v>
      </c>
      <c r="R71">
        <f t="shared" si="5"/>
        <v>0</v>
      </c>
      <c r="S71">
        <f>SmtRes!AC65</f>
        <v>0</v>
      </c>
      <c r="T71">
        <f>SmtRes!DH65</f>
        <v>0</v>
      </c>
      <c r="U71">
        <v>2</v>
      </c>
      <c r="Z71">
        <f>SmtRes!X65</f>
        <v>-536748942</v>
      </c>
      <c r="AA71">
        <v>1767300911</v>
      </c>
      <c r="AB71">
        <v>-773146550</v>
      </c>
    </row>
    <row r="72" spans="1:28" x14ac:dyDescent="0.25">
      <c r="A72">
        <v>20</v>
      </c>
      <c r="B72">
        <v>64</v>
      </c>
      <c r="C72">
        <v>2</v>
      </c>
      <c r="D72">
        <v>0</v>
      </c>
      <c r="E72">
        <f>SmtRes!AV64</f>
        <v>1</v>
      </c>
      <c r="F72" t="str">
        <f>SmtRes!I64</f>
        <v>91.14.02-001</v>
      </c>
      <c r="G72" t="str">
        <f>SmtRes!K64</f>
        <v>Автомобили бортовые, грузоподъемность до 5 т</v>
      </c>
      <c r="H72" t="str">
        <f>SmtRes!O64</f>
        <v>маш.-ч</v>
      </c>
      <c r="I72">
        <f>SmtRes!Y64*Source!I101</f>
        <v>0.10349999999999999</v>
      </c>
      <c r="J72">
        <f>SmtRes!AO64</f>
        <v>0</v>
      </c>
      <c r="K72">
        <f>SmtRes!AF64</f>
        <v>551.45000000000005</v>
      </c>
      <c r="M72">
        <f t="shared" si="4"/>
        <v>57.08</v>
      </c>
      <c r="N72">
        <f>SmtRes!AB64</f>
        <v>551.45000000000005</v>
      </c>
      <c r="O72">
        <f>SmtRes!DG64</f>
        <v>57.08</v>
      </c>
      <c r="P72">
        <f>SmtRes!AG64</f>
        <v>368.02</v>
      </c>
      <c r="R72">
        <f t="shared" si="5"/>
        <v>38.090000000000003</v>
      </c>
      <c r="S72">
        <f>SmtRes!AC64</f>
        <v>368.02</v>
      </c>
      <c r="T72">
        <f>SmtRes!DH64</f>
        <v>38.090000000000003</v>
      </c>
      <c r="U72">
        <v>2</v>
      </c>
      <c r="Z72">
        <f>SmtRes!X64</f>
        <v>-312038840</v>
      </c>
      <c r="AA72">
        <v>280096454</v>
      </c>
      <c r="AB72">
        <v>280096454</v>
      </c>
    </row>
    <row r="73" spans="1:28" x14ac:dyDescent="0.25">
      <c r="A73">
        <v>20</v>
      </c>
      <c r="B73">
        <v>63</v>
      </c>
      <c r="C73">
        <v>2</v>
      </c>
      <c r="D73">
        <v>0</v>
      </c>
      <c r="E73">
        <f>SmtRes!AV63</f>
        <v>1</v>
      </c>
      <c r="F73" t="str">
        <f>SmtRes!I63</f>
        <v>91.05.05-015</v>
      </c>
      <c r="G73" t="str">
        <f>SmtRes!K63</f>
        <v>Краны на автомобильном ходу, грузоподъемность 16 т</v>
      </c>
      <c r="H73" t="str">
        <f>SmtRes!O63</f>
        <v>маш.-ч</v>
      </c>
      <c r="I73">
        <f>SmtRes!Y63*Source!I101</f>
        <v>1.0039499999999999</v>
      </c>
      <c r="J73">
        <f>SmtRes!AO63</f>
        <v>0</v>
      </c>
      <c r="K73">
        <f>SmtRes!AF63</f>
        <v>1598.95</v>
      </c>
      <c r="M73">
        <f t="shared" si="4"/>
        <v>1605.27</v>
      </c>
      <c r="N73">
        <f>SmtRes!AB63</f>
        <v>1598.95</v>
      </c>
      <c r="O73">
        <f>SmtRes!DG63</f>
        <v>1605.27</v>
      </c>
      <c r="P73">
        <f>SmtRes!AG63</f>
        <v>494.35</v>
      </c>
      <c r="R73">
        <f t="shared" si="5"/>
        <v>496.3</v>
      </c>
      <c r="S73">
        <f>SmtRes!AC63</f>
        <v>494.35</v>
      </c>
      <c r="T73">
        <f>SmtRes!DH63</f>
        <v>496.3</v>
      </c>
      <c r="U73">
        <v>2</v>
      </c>
      <c r="Z73">
        <f>SmtRes!X63</f>
        <v>-1068589559</v>
      </c>
      <c r="AA73">
        <v>-2133770313</v>
      </c>
      <c r="AB73">
        <v>-2133770313</v>
      </c>
    </row>
    <row r="74" spans="1:28" x14ac:dyDescent="0.25">
      <c r="A74">
        <v>20</v>
      </c>
      <c r="B74">
        <v>62</v>
      </c>
      <c r="C74">
        <v>1</v>
      </c>
      <c r="D74">
        <v>0</v>
      </c>
      <c r="E74">
        <f>SmtRes!AV62</f>
        <v>2</v>
      </c>
      <c r="F74" t="str">
        <f>SmtRes!I62</f>
        <v>4-100-00</v>
      </c>
      <c r="G74" t="str">
        <f>SmtRes!K62</f>
        <v>Затраты труда машинистов</v>
      </c>
      <c r="H74" t="str">
        <f>SmtRes!O62</f>
        <v>чел.-ч.</v>
      </c>
      <c r="I74">
        <f>SmtRes!Y62*Source!I101</f>
        <v>1.10745</v>
      </c>
      <c r="J74">
        <f>SmtRes!AO62</f>
        <v>0</v>
      </c>
      <c r="K74">
        <f>SmtRes!AH62</f>
        <v>0</v>
      </c>
      <c r="M74">
        <f t="shared" si="4"/>
        <v>0</v>
      </c>
      <c r="N74">
        <f>SmtRes!AD62</f>
        <v>0</v>
      </c>
      <c r="O74">
        <f>SmtRes!DI62</f>
        <v>0</v>
      </c>
      <c r="P74">
        <f>SmtRes!AG62</f>
        <v>0</v>
      </c>
      <c r="R74">
        <f t="shared" si="5"/>
        <v>0</v>
      </c>
      <c r="S74">
        <f>SmtRes!AC62</f>
        <v>0</v>
      </c>
      <c r="T74">
        <f>SmtRes!DH62</f>
        <v>0</v>
      </c>
      <c r="U74">
        <v>1</v>
      </c>
      <c r="Z74">
        <f>SmtRes!X62</f>
        <v>-1417349443</v>
      </c>
      <c r="AA74">
        <v>212567905</v>
      </c>
      <c r="AB74">
        <v>212567905</v>
      </c>
    </row>
    <row r="75" spans="1:28" x14ac:dyDescent="0.25">
      <c r="A75">
        <v>20</v>
      </c>
      <c r="B75">
        <v>61</v>
      </c>
      <c r="C75">
        <v>1</v>
      </c>
      <c r="D75">
        <v>0</v>
      </c>
      <c r="E75">
        <f>SmtRes!AV61</f>
        <v>1</v>
      </c>
      <c r="F75" t="str">
        <f>SmtRes!I61</f>
        <v>1-100-30</v>
      </c>
      <c r="G75" t="str">
        <f>SmtRes!K61</f>
        <v>Средний разряд работы 3,0</v>
      </c>
      <c r="H75" t="str">
        <f>SmtRes!O61</f>
        <v>чел.-ч.</v>
      </c>
      <c r="I75">
        <f>SmtRes!Y61*Source!I101</f>
        <v>17.491499999999995</v>
      </c>
      <c r="J75">
        <f>SmtRes!AO61</f>
        <v>0</v>
      </c>
      <c r="K75">
        <f>SmtRes!AH61</f>
        <v>326.82</v>
      </c>
      <c r="M75">
        <f t="shared" si="4"/>
        <v>5716.57</v>
      </c>
      <c r="N75">
        <f>SmtRes!AD61</f>
        <v>326.82</v>
      </c>
      <c r="O75">
        <f>SmtRes!DI61</f>
        <v>5716.57</v>
      </c>
      <c r="P75">
        <f>SmtRes!AG61</f>
        <v>0</v>
      </c>
      <c r="R75">
        <f t="shared" si="5"/>
        <v>0</v>
      </c>
      <c r="S75">
        <f>SmtRes!AC61</f>
        <v>0</v>
      </c>
      <c r="T75">
        <f>SmtRes!DH61</f>
        <v>0</v>
      </c>
      <c r="U75">
        <v>1</v>
      </c>
      <c r="Z75">
        <f>SmtRes!X61</f>
        <v>-1833565283</v>
      </c>
      <c r="AA75">
        <v>-1727274270</v>
      </c>
      <c r="AB75">
        <v>-1727274270</v>
      </c>
    </row>
    <row r="76" spans="1:28" x14ac:dyDescent="0.25">
      <c r="A76">
        <v>20</v>
      </c>
      <c r="B76">
        <v>70</v>
      </c>
      <c r="C76">
        <v>2</v>
      </c>
      <c r="D76">
        <v>0</v>
      </c>
      <c r="E76">
        <f>SmtRes!AV70</f>
        <v>1</v>
      </c>
      <c r="F76" t="str">
        <f>SmtRes!I70</f>
        <v>91.14.02-001</v>
      </c>
      <c r="G76" t="str">
        <f>SmtRes!K70</f>
        <v>Автомобили бортовые, грузоподъемность до 5 т</v>
      </c>
      <c r="H76" t="str">
        <f>SmtRes!O70</f>
        <v>маш.-ч</v>
      </c>
      <c r="I76">
        <f>SmtRes!Y70*Source!I102</f>
        <v>0.45999999999999996</v>
      </c>
      <c r="J76">
        <f>SmtRes!AO70</f>
        <v>0</v>
      </c>
      <c r="K76">
        <f>SmtRes!AF70</f>
        <v>551.45000000000005</v>
      </c>
      <c r="M76">
        <f t="shared" si="4"/>
        <v>253.67</v>
      </c>
      <c r="N76">
        <f>SmtRes!AB70</f>
        <v>551.45000000000005</v>
      </c>
      <c r="O76">
        <f>SmtRes!DG70</f>
        <v>253.67</v>
      </c>
      <c r="P76">
        <f>SmtRes!AG70</f>
        <v>368.02</v>
      </c>
      <c r="R76">
        <f t="shared" si="5"/>
        <v>169.29</v>
      </c>
      <c r="S76">
        <f>SmtRes!AC70</f>
        <v>368.02</v>
      </c>
      <c r="T76">
        <f>SmtRes!DH70</f>
        <v>169.29</v>
      </c>
      <c r="U76">
        <v>2</v>
      </c>
      <c r="Z76">
        <f>SmtRes!X70</f>
        <v>-312038840</v>
      </c>
      <c r="AA76">
        <v>280096454</v>
      </c>
      <c r="AB76">
        <v>280096454</v>
      </c>
    </row>
    <row r="77" spans="1:28" x14ac:dyDescent="0.25">
      <c r="A77">
        <v>20</v>
      </c>
      <c r="B77">
        <v>69</v>
      </c>
      <c r="C77">
        <v>1</v>
      </c>
      <c r="D77">
        <v>0</v>
      </c>
      <c r="E77">
        <f>SmtRes!AV69</f>
        <v>2</v>
      </c>
      <c r="F77" t="str">
        <f>SmtRes!I69</f>
        <v>4-100-00</v>
      </c>
      <c r="G77" t="str">
        <f>SmtRes!K69</f>
        <v>Затраты труда машинистов</v>
      </c>
      <c r="H77" t="str">
        <f>SmtRes!O69</f>
        <v>чел.-ч.</v>
      </c>
      <c r="I77">
        <f>SmtRes!Y69*Source!I102</f>
        <v>0.45999999999999996</v>
      </c>
      <c r="J77">
        <f>SmtRes!AO69</f>
        <v>0</v>
      </c>
      <c r="K77">
        <f>SmtRes!AH69</f>
        <v>0</v>
      </c>
      <c r="M77">
        <f t="shared" si="4"/>
        <v>0</v>
      </c>
      <c r="N77">
        <f>SmtRes!AD69</f>
        <v>0</v>
      </c>
      <c r="O77">
        <f>SmtRes!DI69</f>
        <v>0</v>
      </c>
      <c r="P77">
        <f>SmtRes!AG69</f>
        <v>0</v>
      </c>
      <c r="R77">
        <f t="shared" si="5"/>
        <v>0</v>
      </c>
      <c r="S77">
        <f>SmtRes!AC69</f>
        <v>0</v>
      </c>
      <c r="T77">
        <f>SmtRes!DH69</f>
        <v>0</v>
      </c>
      <c r="U77">
        <v>1</v>
      </c>
      <c r="Z77">
        <f>SmtRes!X69</f>
        <v>-1417349443</v>
      </c>
      <c r="AA77">
        <v>212567905</v>
      </c>
      <c r="AB77">
        <v>212567905</v>
      </c>
    </row>
    <row r="78" spans="1:28" x14ac:dyDescent="0.25">
      <c r="A78">
        <v>20</v>
      </c>
      <c r="B78">
        <v>68</v>
      </c>
      <c r="C78">
        <v>1</v>
      </c>
      <c r="D78">
        <v>0</v>
      </c>
      <c r="E78">
        <f>SmtRes!AV68</f>
        <v>1</v>
      </c>
      <c r="F78" t="str">
        <f>SmtRes!I68</f>
        <v>1-100-31</v>
      </c>
      <c r="G78" t="str">
        <f>SmtRes!K68</f>
        <v>Средний разряд работы 3,1</v>
      </c>
      <c r="H78" t="str">
        <f>SmtRes!O68</f>
        <v>чел.-ч.</v>
      </c>
      <c r="I78">
        <f>SmtRes!Y68*Source!I102</f>
        <v>2.8059999999999996</v>
      </c>
      <c r="J78">
        <f>SmtRes!AO68</f>
        <v>0</v>
      </c>
      <c r="K78">
        <f>SmtRes!AH68</f>
        <v>330.94</v>
      </c>
      <c r="M78">
        <f t="shared" si="4"/>
        <v>928.62</v>
      </c>
      <c r="N78">
        <f>SmtRes!AD68</f>
        <v>330.94</v>
      </c>
      <c r="O78">
        <f>SmtRes!DI68</f>
        <v>928.62</v>
      </c>
      <c r="P78">
        <f>SmtRes!AG68</f>
        <v>0</v>
      </c>
      <c r="R78">
        <f t="shared" si="5"/>
        <v>0</v>
      </c>
      <c r="S78">
        <f>SmtRes!AC68</f>
        <v>0</v>
      </c>
      <c r="T78">
        <f>SmtRes!DH68</f>
        <v>0</v>
      </c>
      <c r="U78">
        <v>1</v>
      </c>
      <c r="Z78">
        <f>SmtRes!X68</f>
        <v>1426738182</v>
      </c>
      <c r="AA78">
        <v>1645052596</v>
      </c>
      <c r="AB78">
        <v>1645052596</v>
      </c>
    </row>
    <row r="79" spans="1:28" x14ac:dyDescent="0.25">
      <c r="A79">
        <f>Source!A138</f>
        <v>4</v>
      </c>
      <c r="B79">
        <v>138</v>
      </c>
      <c r="G79" t="str">
        <f>Source!G138</f>
        <v>Раздел 3. Монтажные работы</v>
      </c>
    </row>
    <row r="80" spans="1:28" x14ac:dyDescent="0.25">
      <c r="A80">
        <v>20</v>
      </c>
      <c r="B80">
        <v>83</v>
      </c>
      <c r="C80">
        <v>3</v>
      </c>
      <c r="D80">
        <v>0</v>
      </c>
      <c r="E80">
        <f>SmtRes!AV83</f>
        <v>0</v>
      </c>
      <c r="F80" t="str">
        <f>SmtRes!I83</f>
        <v>07.2.07.11-0002</v>
      </c>
      <c r="G80" t="str">
        <f>SmtRes!K83</f>
        <v>Опора для трубопроводов неподвижная стальная из горячекатаных профилей</v>
      </c>
      <c r="H80" t="str">
        <f>SmtRes!O83</f>
        <v>т</v>
      </c>
      <c r="I80">
        <f>SmtRes!Y83*Source!I144</f>
        <v>1.4999999999999999E-4</v>
      </c>
      <c r="J80">
        <f>SmtRes!AO83</f>
        <v>0</v>
      </c>
      <c r="K80">
        <f>SmtRes!AE83</f>
        <v>106957.98</v>
      </c>
      <c r="M80">
        <f t="shared" ref="M80:M92" si="6">ROUND(I80*K80, 2)</f>
        <v>16.04</v>
      </c>
      <c r="N80">
        <f>SmtRes!AA83</f>
        <v>140114.95000000001</v>
      </c>
      <c r="O80">
        <f>SmtRes!DF83</f>
        <v>21.02</v>
      </c>
      <c r="P80">
        <f>SmtRes!AG83</f>
        <v>0</v>
      </c>
      <c r="R80">
        <f t="shared" ref="R80:R92" si="7">ROUND(I80*P80, 2)</f>
        <v>0</v>
      </c>
      <c r="S80">
        <f>SmtRes!AC83</f>
        <v>0</v>
      </c>
      <c r="T80">
        <f>SmtRes!DH83</f>
        <v>0</v>
      </c>
      <c r="U80">
        <v>3</v>
      </c>
      <c r="Z80">
        <f>SmtRes!X83</f>
        <v>-28959261</v>
      </c>
      <c r="AA80">
        <v>-765871893</v>
      </c>
      <c r="AB80">
        <v>1075082453</v>
      </c>
    </row>
    <row r="81" spans="1:28" x14ac:dyDescent="0.25">
      <c r="A81">
        <v>20</v>
      </c>
      <c r="B81">
        <v>82</v>
      </c>
      <c r="C81">
        <v>3</v>
      </c>
      <c r="D81">
        <v>0</v>
      </c>
      <c r="E81">
        <f>SmtRes!AV82</f>
        <v>0</v>
      </c>
      <c r="F81" t="str">
        <f>SmtRes!I82</f>
        <v>03.1.02.03-0014</v>
      </c>
      <c r="G81" t="str">
        <f>SmtRes!K82</f>
        <v>Известь хлорная, сорт I</v>
      </c>
      <c r="H81" t="str">
        <f>SmtRes!O82</f>
        <v>т</v>
      </c>
      <c r="I81">
        <f>SmtRes!Y82*Source!I144</f>
        <v>8.9999999999999985E-6</v>
      </c>
      <c r="J81">
        <f>SmtRes!AO82</f>
        <v>0</v>
      </c>
      <c r="K81">
        <f>SmtRes!AE82</f>
        <v>26885</v>
      </c>
      <c r="M81">
        <f t="shared" si="6"/>
        <v>0.24</v>
      </c>
      <c r="N81">
        <f>SmtRes!AA82</f>
        <v>38176.699999999997</v>
      </c>
      <c r="O81">
        <f>SmtRes!DF82</f>
        <v>0.34</v>
      </c>
      <c r="P81">
        <f>SmtRes!AG82</f>
        <v>0</v>
      </c>
      <c r="R81">
        <f t="shared" si="7"/>
        <v>0</v>
      </c>
      <c r="S81">
        <f>SmtRes!AC82</f>
        <v>0</v>
      </c>
      <c r="T81">
        <f>SmtRes!DH82</f>
        <v>0</v>
      </c>
      <c r="U81">
        <v>3</v>
      </c>
      <c r="Z81">
        <f>SmtRes!X82</f>
        <v>1065500328</v>
      </c>
      <c r="AA81">
        <v>-1502591973</v>
      </c>
      <c r="AB81">
        <v>-744844665</v>
      </c>
    </row>
    <row r="82" spans="1:28" x14ac:dyDescent="0.25">
      <c r="A82">
        <v>20</v>
      </c>
      <c r="B82">
        <v>81</v>
      </c>
      <c r="C82">
        <v>3</v>
      </c>
      <c r="D82">
        <v>0</v>
      </c>
      <c r="E82">
        <f>SmtRes!AV81</f>
        <v>0</v>
      </c>
      <c r="F82" t="str">
        <f>SmtRes!I81</f>
        <v>01.7.11.07-0227</v>
      </c>
      <c r="G82" t="str">
        <f>SmtRes!K81</f>
        <v>Электроды сварочные для сварки низколегированных и углеродистых сталей УОНИ 13/45, Э42А, диаметр 4-5 мм</v>
      </c>
      <c r="H82" t="str">
        <f>SmtRes!O81</f>
        <v>кг</v>
      </c>
      <c r="I82">
        <f>SmtRes!Y81*Source!I144</f>
        <v>0.67499999999999993</v>
      </c>
      <c r="J82">
        <f>SmtRes!AO81</f>
        <v>0</v>
      </c>
      <c r="K82">
        <f>SmtRes!AE81</f>
        <v>155.63</v>
      </c>
      <c r="M82">
        <f t="shared" si="6"/>
        <v>105.05</v>
      </c>
      <c r="N82">
        <f>SmtRes!AA81</f>
        <v>132.29</v>
      </c>
      <c r="O82">
        <f>SmtRes!DF81</f>
        <v>89.3</v>
      </c>
      <c r="P82">
        <f>SmtRes!AG81</f>
        <v>0</v>
      </c>
      <c r="R82">
        <f t="shared" si="7"/>
        <v>0</v>
      </c>
      <c r="S82">
        <f>SmtRes!AC81</f>
        <v>0</v>
      </c>
      <c r="T82">
        <f>SmtRes!DH81</f>
        <v>0</v>
      </c>
      <c r="U82">
        <v>3</v>
      </c>
      <c r="Z82">
        <f>SmtRes!X81</f>
        <v>-1476217930</v>
      </c>
      <c r="AA82">
        <v>659203163</v>
      </c>
      <c r="AB82">
        <v>-1318828712</v>
      </c>
    </row>
    <row r="83" spans="1:28" x14ac:dyDescent="0.25">
      <c r="A83">
        <v>20</v>
      </c>
      <c r="B83">
        <v>80</v>
      </c>
      <c r="C83">
        <v>3</v>
      </c>
      <c r="D83">
        <v>0</v>
      </c>
      <c r="E83">
        <f>SmtRes!AV80</f>
        <v>0</v>
      </c>
      <c r="F83" t="str">
        <f>SmtRes!I80</f>
        <v>01.7.03.04-0001</v>
      </c>
      <c r="G83" t="str">
        <f>SmtRes!K80</f>
        <v>Электроэнергия</v>
      </c>
      <c r="H83" t="str">
        <f>SmtRes!O80</f>
        <v>КВТ-Ч</v>
      </c>
      <c r="I83">
        <f>SmtRes!Y80*Source!I144</f>
        <v>0.11151</v>
      </c>
      <c r="J83">
        <f>SmtRes!AO80</f>
        <v>0</v>
      </c>
      <c r="K83">
        <f>SmtRes!AE80</f>
        <v>9.0399999999999991</v>
      </c>
      <c r="M83">
        <f t="shared" si="6"/>
        <v>1.01</v>
      </c>
      <c r="N83">
        <f>SmtRes!AA80</f>
        <v>9.0399999999999991</v>
      </c>
      <c r="O83">
        <f>SmtRes!DF80</f>
        <v>1.01</v>
      </c>
      <c r="P83">
        <f>SmtRes!AG80</f>
        <v>0</v>
      </c>
      <c r="R83">
        <f t="shared" si="7"/>
        <v>0</v>
      </c>
      <c r="S83">
        <f>SmtRes!AC80</f>
        <v>0</v>
      </c>
      <c r="T83">
        <f>SmtRes!DH80</f>
        <v>0</v>
      </c>
      <c r="U83">
        <v>3</v>
      </c>
      <c r="Z83">
        <f>SmtRes!X80</f>
        <v>-182421198</v>
      </c>
      <c r="AA83">
        <v>-852101439</v>
      </c>
      <c r="AB83">
        <v>-852101439</v>
      </c>
    </row>
    <row r="84" spans="1:28" x14ac:dyDescent="0.25">
      <c r="A84">
        <v>20</v>
      </c>
      <c r="B84">
        <v>79</v>
      </c>
      <c r="C84">
        <v>3</v>
      </c>
      <c r="D84">
        <v>0</v>
      </c>
      <c r="E84">
        <f>SmtRes!AV79</f>
        <v>0</v>
      </c>
      <c r="F84" t="str">
        <f>SmtRes!I79</f>
        <v>01.7.03.01-0001</v>
      </c>
      <c r="G84" t="str">
        <f>SmtRes!K79</f>
        <v>Вода</v>
      </c>
      <c r="H84" t="str">
        <f>SmtRes!O79</f>
        <v>м3</v>
      </c>
      <c r="I84">
        <f>SmtRes!Y79*Source!I144</f>
        <v>0.15</v>
      </c>
      <c r="J84">
        <f>SmtRes!AO79</f>
        <v>0</v>
      </c>
      <c r="K84">
        <f>SmtRes!AE79</f>
        <v>35.71</v>
      </c>
      <c r="M84">
        <f t="shared" si="6"/>
        <v>5.36</v>
      </c>
      <c r="N84">
        <f>SmtRes!AA79</f>
        <v>31.42</v>
      </c>
      <c r="O84">
        <f>SmtRes!DF79</f>
        <v>4.71</v>
      </c>
      <c r="P84">
        <f>SmtRes!AG79</f>
        <v>0</v>
      </c>
      <c r="R84">
        <f t="shared" si="7"/>
        <v>0</v>
      </c>
      <c r="S84">
        <f>SmtRes!AC79</f>
        <v>0</v>
      </c>
      <c r="T84">
        <f>SmtRes!DH79</f>
        <v>0</v>
      </c>
      <c r="U84">
        <v>3</v>
      </c>
      <c r="Z84">
        <f>SmtRes!X79</f>
        <v>727623859</v>
      </c>
      <c r="AA84">
        <v>-2104832873</v>
      </c>
      <c r="AB84">
        <v>-1077126727</v>
      </c>
    </row>
    <row r="85" spans="1:28" x14ac:dyDescent="0.25">
      <c r="A85">
        <v>20</v>
      </c>
      <c r="B85">
        <v>78</v>
      </c>
      <c r="C85">
        <v>2</v>
      </c>
      <c r="D85">
        <v>0</v>
      </c>
      <c r="E85">
        <f>SmtRes!AV78</f>
        <v>1</v>
      </c>
      <c r="F85" t="str">
        <f>SmtRes!I78</f>
        <v>91.18.01-007</v>
      </c>
      <c r="G85" t="str">
        <f>SmtRes!K78</f>
        <v>Компрессоры винтовые передвижные с двигателем внутреннего сгорания, давление до 0,7 МПа (7 атм), производительность до 5,4 м3/мин</v>
      </c>
      <c r="H85" t="str">
        <f>SmtRes!O78</f>
        <v>маш.-ч</v>
      </c>
      <c r="I85">
        <f>SmtRes!Y78*Source!I144</f>
        <v>0.21562499999999996</v>
      </c>
      <c r="J85">
        <f>SmtRes!AO78</f>
        <v>0</v>
      </c>
      <c r="K85">
        <f>SmtRes!AF78</f>
        <v>385.61</v>
      </c>
      <c r="M85">
        <f t="shared" si="6"/>
        <v>83.15</v>
      </c>
      <c r="N85">
        <f>SmtRes!AB78</f>
        <v>385.61</v>
      </c>
      <c r="O85">
        <f>SmtRes!DG78</f>
        <v>83.15</v>
      </c>
      <c r="P85">
        <f>SmtRes!AG78</f>
        <v>368.02</v>
      </c>
      <c r="R85">
        <f t="shared" si="7"/>
        <v>79.349999999999994</v>
      </c>
      <c r="S85">
        <f>SmtRes!AC78</f>
        <v>368.02</v>
      </c>
      <c r="T85">
        <f>SmtRes!DH78</f>
        <v>79.349999999999994</v>
      </c>
      <c r="U85">
        <v>2</v>
      </c>
      <c r="Z85">
        <f>SmtRes!X78</f>
        <v>1818041354</v>
      </c>
      <c r="AA85">
        <v>1446526422</v>
      </c>
      <c r="AB85">
        <v>1446526422</v>
      </c>
    </row>
    <row r="86" spans="1:28" x14ac:dyDescent="0.25">
      <c r="A86">
        <v>20</v>
      </c>
      <c r="B86">
        <v>77</v>
      </c>
      <c r="C86">
        <v>2</v>
      </c>
      <c r="D86">
        <v>0</v>
      </c>
      <c r="E86">
        <f>SmtRes!AV77</f>
        <v>1</v>
      </c>
      <c r="F86" t="str">
        <f>SmtRes!I77</f>
        <v>91.17.04-233</v>
      </c>
      <c r="G86" t="str">
        <f>SmtRes!K77</f>
        <v>Аппараты сварочные для ручной дуговой сварки, сварочный ток до 350 А</v>
      </c>
      <c r="H86" t="str">
        <f>SmtRes!O77</f>
        <v>маш.-ч</v>
      </c>
      <c r="I86">
        <f>SmtRes!Y77*Source!I144</f>
        <v>1.1850749999999999</v>
      </c>
      <c r="J86">
        <f>SmtRes!AO77</f>
        <v>0</v>
      </c>
      <c r="K86">
        <f>SmtRes!AF77</f>
        <v>41.5</v>
      </c>
      <c r="M86">
        <f t="shared" si="6"/>
        <v>49.18</v>
      </c>
      <c r="N86">
        <f>SmtRes!AB77</f>
        <v>41.5</v>
      </c>
      <c r="O86">
        <f>SmtRes!DG77</f>
        <v>49.18</v>
      </c>
      <c r="P86">
        <f>SmtRes!AG77</f>
        <v>0</v>
      </c>
      <c r="R86">
        <f t="shared" si="7"/>
        <v>0</v>
      </c>
      <c r="S86">
        <f>SmtRes!AC77</f>
        <v>0</v>
      </c>
      <c r="T86">
        <f>SmtRes!DH77</f>
        <v>0</v>
      </c>
      <c r="U86">
        <v>2</v>
      </c>
      <c r="Z86">
        <f>SmtRes!X77</f>
        <v>462025989</v>
      </c>
      <c r="AA86">
        <v>393471399</v>
      </c>
      <c r="AB86">
        <v>393471399</v>
      </c>
    </row>
    <row r="87" spans="1:28" x14ac:dyDescent="0.25">
      <c r="A87">
        <v>20</v>
      </c>
      <c r="B87">
        <v>76</v>
      </c>
      <c r="C87">
        <v>2</v>
      </c>
      <c r="D87">
        <v>0</v>
      </c>
      <c r="E87">
        <f>SmtRes!AV76</f>
        <v>1</v>
      </c>
      <c r="F87" t="str">
        <f>SmtRes!I76</f>
        <v>91.14.02-001</v>
      </c>
      <c r="G87" t="str">
        <f>SmtRes!K76</f>
        <v>Автомобили бортовые, грузоподъемность до 5 т</v>
      </c>
      <c r="H87" t="str">
        <f>SmtRes!O76</f>
        <v>маш.-ч</v>
      </c>
      <c r="I87">
        <f>SmtRes!Y76*Source!I144</f>
        <v>1.8974999999999999E-3</v>
      </c>
      <c r="J87">
        <f>SmtRes!AO76</f>
        <v>0</v>
      </c>
      <c r="K87">
        <f>SmtRes!AF76</f>
        <v>551.45000000000005</v>
      </c>
      <c r="M87">
        <f t="shared" si="6"/>
        <v>1.05</v>
      </c>
      <c r="N87">
        <f>SmtRes!AB76</f>
        <v>551.45000000000005</v>
      </c>
      <c r="O87">
        <f>SmtRes!DG76</f>
        <v>1.05</v>
      </c>
      <c r="P87">
        <f>SmtRes!AG76</f>
        <v>368.02</v>
      </c>
      <c r="R87">
        <f t="shared" si="7"/>
        <v>0.7</v>
      </c>
      <c r="S87">
        <f>SmtRes!AC76</f>
        <v>368.02</v>
      </c>
      <c r="T87">
        <f>SmtRes!DH76</f>
        <v>0.7</v>
      </c>
      <c r="U87">
        <v>2</v>
      </c>
      <c r="Z87">
        <f>SmtRes!X76</f>
        <v>-312038840</v>
      </c>
      <c r="AA87">
        <v>280096454</v>
      </c>
      <c r="AB87">
        <v>280096454</v>
      </c>
    </row>
    <row r="88" spans="1:28" x14ac:dyDescent="0.25">
      <c r="A88">
        <v>20</v>
      </c>
      <c r="B88">
        <v>75</v>
      </c>
      <c r="C88">
        <v>2</v>
      </c>
      <c r="D88">
        <v>0</v>
      </c>
      <c r="E88">
        <f>SmtRes!AV75</f>
        <v>1</v>
      </c>
      <c r="F88" t="str">
        <f>SmtRes!I75</f>
        <v>91.10.05-004</v>
      </c>
      <c r="G88" t="str">
        <f>SmtRes!K75</f>
        <v>Трубоукладчики, номинальная грузоподъемность 6,3 т</v>
      </c>
      <c r="H88" t="str">
        <f>SmtRes!O75</f>
        <v>маш.-ч</v>
      </c>
      <c r="I88">
        <f>SmtRes!Y75*Source!I144</f>
        <v>0.42607499999999993</v>
      </c>
      <c r="J88">
        <f>SmtRes!AO75</f>
        <v>0</v>
      </c>
      <c r="K88">
        <f>SmtRes!AF75</f>
        <v>994.01</v>
      </c>
      <c r="M88">
        <f t="shared" si="6"/>
        <v>423.52</v>
      </c>
      <c r="N88">
        <f>SmtRes!AB75</f>
        <v>1113.29</v>
      </c>
      <c r="O88">
        <f>SmtRes!DG75</f>
        <v>474.35</v>
      </c>
      <c r="P88">
        <f>SmtRes!AG75</f>
        <v>422.95</v>
      </c>
      <c r="R88">
        <f t="shared" si="7"/>
        <v>180.21</v>
      </c>
      <c r="S88">
        <f>SmtRes!AC75</f>
        <v>422.95</v>
      </c>
      <c r="T88">
        <f>SmtRes!DH75</f>
        <v>180.21</v>
      </c>
      <c r="U88">
        <v>2</v>
      </c>
      <c r="Z88">
        <f>SmtRes!X75</f>
        <v>-1413288295</v>
      </c>
      <c r="AA88">
        <v>-501972467</v>
      </c>
      <c r="AB88">
        <v>-765263138</v>
      </c>
    </row>
    <row r="89" spans="1:28" x14ac:dyDescent="0.25">
      <c r="A89">
        <v>20</v>
      </c>
      <c r="B89">
        <v>74</v>
      </c>
      <c r="C89">
        <v>2</v>
      </c>
      <c r="D89">
        <v>0</v>
      </c>
      <c r="E89">
        <f>SmtRes!AV74</f>
        <v>1</v>
      </c>
      <c r="F89" t="str">
        <f>SmtRes!I74</f>
        <v>91.10.01-001</v>
      </c>
      <c r="G89" t="str">
        <f>SmtRes!K74</f>
        <v>Агрегаты наполнительно-опрессовочные, подача до 70 м3/ч</v>
      </c>
      <c r="H89" t="str">
        <f>SmtRes!O74</f>
        <v>маш.-ч</v>
      </c>
      <c r="I89">
        <f>SmtRes!Y74*Source!I144</f>
        <v>0.43124999999999991</v>
      </c>
      <c r="J89">
        <f>SmtRes!AO74</f>
        <v>0</v>
      </c>
      <c r="K89">
        <f>SmtRes!AF74</f>
        <v>1416.22</v>
      </c>
      <c r="M89">
        <f t="shared" si="6"/>
        <v>610.74</v>
      </c>
      <c r="N89">
        <f>SmtRes!AB74</f>
        <v>1756.11</v>
      </c>
      <c r="O89">
        <f>SmtRes!DG74</f>
        <v>757.32</v>
      </c>
      <c r="P89">
        <f>SmtRes!AG74</f>
        <v>368.02</v>
      </c>
      <c r="R89">
        <f t="shared" si="7"/>
        <v>158.71</v>
      </c>
      <c r="S89">
        <f>SmtRes!AC74</f>
        <v>368.02</v>
      </c>
      <c r="T89">
        <f>SmtRes!DH74</f>
        <v>158.71</v>
      </c>
      <c r="U89">
        <v>2</v>
      </c>
      <c r="Z89">
        <f>SmtRes!X74</f>
        <v>-394322561</v>
      </c>
      <c r="AA89">
        <v>23963332</v>
      </c>
      <c r="AB89">
        <v>-1067618093</v>
      </c>
    </row>
    <row r="90" spans="1:28" x14ac:dyDescent="0.25">
      <c r="A90">
        <v>20</v>
      </c>
      <c r="B90">
        <v>73</v>
      </c>
      <c r="C90">
        <v>2</v>
      </c>
      <c r="D90">
        <v>0</v>
      </c>
      <c r="E90">
        <f>SmtRes!AV73</f>
        <v>1</v>
      </c>
      <c r="F90" t="str">
        <f>SmtRes!I73</f>
        <v>91.05.05-015</v>
      </c>
      <c r="G90" t="str">
        <f>SmtRes!K73</f>
        <v>Краны на автомобильном ходу, грузоподъемность 16 т</v>
      </c>
      <c r="H90" t="str">
        <f>SmtRes!O73</f>
        <v>маш.-ч</v>
      </c>
      <c r="I90">
        <f>SmtRes!Y73*Source!I144</f>
        <v>1.2075E-3</v>
      </c>
      <c r="J90">
        <f>SmtRes!AO73</f>
        <v>0</v>
      </c>
      <c r="K90">
        <f>SmtRes!AF73</f>
        <v>1598.95</v>
      </c>
      <c r="M90">
        <f t="shared" si="6"/>
        <v>1.93</v>
      </c>
      <c r="N90">
        <f>SmtRes!AB73</f>
        <v>1598.95</v>
      </c>
      <c r="O90">
        <f>SmtRes!DG73</f>
        <v>1.93</v>
      </c>
      <c r="P90">
        <f>SmtRes!AG73</f>
        <v>494.35</v>
      </c>
      <c r="R90">
        <f t="shared" si="7"/>
        <v>0.6</v>
      </c>
      <c r="S90">
        <f>SmtRes!AC73</f>
        <v>494.35</v>
      </c>
      <c r="T90">
        <f>SmtRes!DH73</f>
        <v>0.6</v>
      </c>
      <c r="U90">
        <v>2</v>
      </c>
      <c r="Z90">
        <f>SmtRes!X73</f>
        <v>-1068589559</v>
      </c>
      <c r="AA90">
        <v>-2133770313</v>
      </c>
      <c r="AB90">
        <v>-2133770313</v>
      </c>
    </row>
    <row r="91" spans="1:28" x14ac:dyDescent="0.25">
      <c r="A91">
        <v>20</v>
      </c>
      <c r="B91">
        <v>72</v>
      </c>
      <c r="C91">
        <v>1</v>
      </c>
      <c r="D91">
        <v>0</v>
      </c>
      <c r="E91">
        <f>SmtRes!AV72</f>
        <v>2</v>
      </c>
      <c r="F91" t="str">
        <f>SmtRes!I72</f>
        <v>4-100-00</v>
      </c>
      <c r="G91" t="str">
        <f>SmtRes!K72</f>
        <v>Затраты труда машинистов</v>
      </c>
      <c r="H91" t="str">
        <f>SmtRes!O72</f>
        <v>чел.-ч.</v>
      </c>
      <c r="I91">
        <f>SmtRes!Y72*Source!I144</f>
        <v>1.076055</v>
      </c>
      <c r="J91">
        <f>SmtRes!AO72</f>
        <v>0</v>
      </c>
      <c r="K91">
        <f>SmtRes!AH72</f>
        <v>0</v>
      </c>
      <c r="M91">
        <f t="shared" si="6"/>
        <v>0</v>
      </c>
      <c r="N91">
        <f>SmtRes!AD72</f>
        <v>0</v>
      </c>
      <c r="O91">
        <f>SmtRes!DI72</f>
        <v>0</v>
      </c>
      <c r="P91">
        <f>SmtRes!AG72</f>
        <v>0</v>
      </c>
      <c r="R91">
        <f t="shared" si="7"/>
        <v>0</v>
      </c>
      <c r="S91">
        <f>SmtRes!AC72</f>
        <v>0</v>
      </c>
      <c r="T91">
        <f>SmtRes!DH72</f>
        <v>0</v>
      </c>
      <c r="U91">
        <v>1</v>
      </c>
      <c r="Z91">
        <f>SmtRes!X72</f>
        <v>-1417349443</v>
      </c>
      <c r="AA91">
        <v>212567905</v>
      </c>
      <c r="AB91">
        <v>212567905</v>
      </c>
    </row>
    <row r="92" spans="1:28" x14ac:dyDescent="0.25">
      <c r="A92">
        <v>20</v>
      </c>
      <c r="B92">
        <v>71</v>
      </c>
      <c r="C92">
        <v>1</v>
      </c>
      <c r="D92">
        <v>0</v>
      </c>
      <c r="E92">
        <f>SmtRes!AV71</f>
        <v>1</v>
      </c>
      <c r="F92" t="str">
        <f>SmtRes!I71</f>
        <v>1-100-41</v>
      </c>
      <c r="G92" t="str">
        <f>SmtRes!K71</f>
        <v>Средний разряд работы 4,1</v>
      </c>
      <c r="H92" t="str">
        <f>SmtRes!O71</f>
        <v>чел.-ч.</v>
      </c>
      <c r="I92">
        <f>SmtRes!Y71*Source!I144</f>
        <v>7.3139999999999992</v>
      </c>
      <c r="J92">
        <f>SmtRes!AO71</f>
        <v>0</v>
      </c>
      <c r="K92">
        <f>SmtRes!AH71</f>
        <v>373.51</v>
      </c>
      <c r="M92">
        <f t="shared" si="6"/>
        <v>2731.85</v>
      </c>
      <c r="N92">
        <f>SmtRes!AD71</f>
        <v>373.51</v>
      </c>
      <c r="O92">
        <f>SmtRes!DI71</f>
        <v>2731.85</v>
      </c>
      <c r="P92">
        <f>SmtRes!AG71</f>
        <v>0</v>
      </c>
      <c r="R92">
        <f t="shared" si="7"/>
        <v>0</v>
      </c>
      <c r="S92">
        <f>SmtRes!AC71</f>
        <v>0</v>
      </c>
      <c r="T92">
        <f>SmtRes!DH71</f>
        <v>0</v>
      </c>
      <c r="U92">
        <v>1</v>
      </c>
      <c r="Z92">
        <f>SmtRes!X71</f>
        <v>174150515</v>
      </c>
      <c r="AA92">
        <v>-76897492</v>
      </c>
      <c r="AB92">
        <v>-76897492</v>
      </c>
    </row>
    <row r="93" spans="1:28" x14ac:dyDescent="0.25">
      <c r="A93">
        <f>Source!A145</f>
        <v>18</v>
      </c>
      <c r="B93">
        <v>145</v>
      </c>
      <c r="C93">
        <v>3</v>
      </c>
      <c r="D93">
        <f>Source!BI145</f>
        <v>1</v>
      </c>
      <c r="E93">
        <f>Source!FS145</f>
        <v>0</v>
      </c>
      <c r="F93" t="str">
        <f>Source!F145</f>
        <v>08.1.02.25-0091</v>
      </c>
      <c r="G93" t="str">
        <f>Source!G145</f>
        <v>Опора скользящая стальная (5 шт * 1,77 кг=8,85 кг)</v>
      </c>
      <c r="H93" t="str">
        <f>Source!H145</f>
        <v>кг</v>
      </c>
      <c r="I93">
        <f>Source!I145</f>
        <v>4.3499999999999996</v>
      </c>
      <c r="J93">
        <v>1</v>
      </c>
      <c r="K93">
        <f>Source!AC145</f>
        <v>175.65</v>
      </c>
      <c r="M93">
        <f>ROUND(K93*I93, 2)</f>
        <v>764.08</v>
      </c>
      <c r="N93">
        <f>Source!CQ145</f>
        <v>230.1</v>
      </c>
      <c r="O93">
        <f>ROUND(N93*I93, 2)</f>
        <v>1000.94</v>
      </c>
      <c r="P93">
        <f>Source!AE145</f>
        <v>0</v>
      </c>
      <c r="R93">
        <f>ROUND(P93*I93, 2)</f>
        <v>0</v>
      </c>
      <c r="S93">
        <f>Source!AE145*IF(Source!BS145&lt;&gt; 0, Source!BS145, 1)</f>
        <v>0</v>
      </c>
      <c r="T93">
        <f>ROUND(S93*I93, 2)</f>
        <v>0</v>
      </c>
      <c r="U93">
        <v>3</v>
      </c>
      <c r="Z93">
        <f>Source!GF145</f>
        <v>-738673789</v>
      </c>
      <c r="AA93">
        <v>-1852018155</v>
      </c>
      <c r="AB93">
        <v>-1491515246</v>
      </c>
    </row>
    <row r="94" spans="1:28" x14ac:dyDescent="0.25">
      <c r="A94">
        <f>Source!A146</f>
        <v>18</v>
      </c>
      <c r="B94">
        <v>146</v>
      </c>
      <c r="C94">
        <v>3</v>
      </c>
      <c r="D94">
        <f>Source!BI146</f>
        <v>1</v>
      </c>
      <c r="E94">
        <f>Source!FS146</f>
        <v>0</v>
      </c>
      <c r="F94" t="str">
        <f>Source!F146</f>
        <v>23.5.02.02-1144</v>
      </c>
      <c r="G94" t="str">
        <f>Source!G146</f>
        <v>Трубы стальные электросварные прямошовные из стали марки 20, наружный диаметр 57 мм, толщина стенки 4 мм</v>
      </c>
      <c r="H94" t="str">
        <f>Source!H146</f>
        <v>м</v>
      </c>
      <c r="I94">
        <f>Source!I146</f>
        <v>15</v>
      </c>
      <c r="J94">
        <v>1</v>
      </c>
      <c r="K94">
        <f>Source!AC146</f>
        <v>440.46</v>
      </c>
      <c r="M94">
        <f>ROUND(K94*I94, 2)</f>
        <v>6606.9</v>
      </c>
      <c r="N94">
        <f>Source!CQ146</f>
        <v>361.18</v>
      </c>
      <c r="O94">
        <f>ROUND(N94*I94, 2)</f>
        <v>5417.7</v>
      </c>
      <c r="P94">
        <f>Source!AE146</f>
        <v>0</v>
      </c>
      <c r="R94">
        <f>ROUND(P94*I94, 2)</f>
        <v>0</v>
      </c>
      <c r="S94">
        <f>Source!AE146*IF(Source!BS146&lt;&gt; 0, Source!BS146, 1)</f>
        <v>0</v>
      </c>
      <c r="T94">
        <f>ROUND(S94*I94, 2)</f>
        <v>0</v>
      </c>
      <c r="U94">
        <v>3</v>
      </c>
      <c r="Z94">
        <f>Source!GF146</f>
        <v>514000554</v>
      </c>
      <c r="AA94">
        <v>-792535324</v>
      </c>
      <c r="AB94">
        <v>-1787559141</v>
      </c>
    </row>
    <row r="95" spans="1:28" x14ac:dyDescent="0.25">
      <c r="A95">
        <f>Source!A147</f>
        <v>18</v>
      </c>
      <c r="B95">
        <v>147</v>
      </c>
      <c r="C95">
        <v>3</v>
      </c>
      <c r="D95">
        <f>Source!BI147</f>
        <v>1</v>
      </c>
      <c r="E95">
        <f>Source!FS147</f>
        <v>0</v>
      </c>
      <c r="F95" t="str">
        <f>Source!F147</f>
        <v>23.8.04.06-0065</v>
      </c>
      <c r="G95" t="str">
        <f>Source!G147</f>
        <v>Отвод 90° с радиусом кривизны R=1,5 Ду на давление до 16 МПа, номинальный диаметр 50 мм, наружный диаметр 57 мм, толщина стенки 5 мм *Прим толщина стенки 6 мм</v>
      </c>
      <c r="H95" t="str">
        <f>Source!H147</f>
        <v>ШТ</v>
      </c>
      <c r="I95">
        <f>Source!I147</f>
        <v>4</v>
      </c>
      <c r="J95">
        <v>1</v>
      </c>
      <c r="K95">
        <f>Source!AC147</f>
        <v>172.96</v>
      </c>
      <c r="M95">
        <f>ROUND(K95*I95, 2)</f>
        <v>691.84</v>
      </c>
      <c r="N95">
        <f>Source!CQ147</f>
        <v>197.17</v>
      </c>
      <c r="O95">
        <f>ROUND(N95*I95, 2)</f>
        <v>788.68</v>
      </c>
      <c r="P95">
        <f>Source!AE147</f>
        <v>0</v>
      </c>
      <c r="R95">
        <f>ROUND(P95*I95, 2)</f>
        <v>0</v>
      </c>
      <c r="S95">
        <f>Source!AE147*IF(Source!BS147&lt;&gt; 0, Source!BS147, 1)</f>
        <v>0</v>
      </c>
      <c r="T95">
        <f>ROUND(S95*I95, 2)</f>
        <v>0</v>
      </c>
      <c r="U95">
        <v>3</v>
      </c>
      <c r="Z95">
        <f>Source!GF147</f>
        <v>123726734</v>
      </c>
      <c r="AA95">
        <v>1947295610</v>
      </c>
      <c r="AB95">
        <v>1126280119</v>
      </c>
    </row>
    <row r="96" spans="1:28" x14ac:dyDescent="0.25">
      <c r="A96">
        <v>20</v>
      </c>
      <c r="B96">
        <v>107</v>
      </c>
      <c r="C96">
        <v>3</v>
      </c>
      <c r="D96">
        <v>0</v>
      </c>
      <c r="E96">
        <f>SmtRes!AV107</f>
        <v>0</v>
      </c>
      <c r="F96" t="str">
        <f>SmtRes!I107</f>
        <v>14.5.09.07-0030</v>
      </c>
      <c r="G96" t="str">
        <f>SmtRes!K107</f>
        <v>Растворитель Р-4</v>
      </c>
      <c r="H96" t="str">
        <f>SmtRes!O107</f>
        <v>т</v>
      </c>
      <c r="I96">
        <f>SmtRes!Y107*Source!I149</f>
        <v>2.6999999999999996E-6</v>
      </c>
      <c r="J96">
        <f>SmtRes!AO107</f>
        <v>0</v>
      </c>
      <c r="K96">
        <f>SmtRes!AE107</f>
        <v>98526.45</v>
      </c>
      <c r="M96">
        <f t="shared" ref="M96:M115" si="8">ROUND(I96*K96, 2)</f>
        <v>0.27</v>
      </c>
      <c r="N96">
        <f>SmtRes!AA107</f>
        <v>146804.41</v>
      </c>
      <c r="O96">
        <f>SmtRes!DF107</f>
        <v>0.4</v>
      </c>
      <c r="P96">
        <f>SmtRes!AG107</f>
        <v>0</v>
      </c>
      <c r="R96">
        <f t="shared" ref="R96:R115" si="9">ROUND(I96*P96, 2)</f>
        <v>0</v>
      </c>
      <c r="S96">
        <f>SmtRes!AC107</f>
        <v>0</v>
      </c>
      <c r="T96">
        <f>SmtRes!DH107</f>
        <v>0</v>
      </c>
      <c r="U96">
        <v>3</v>
      </c>
      <c r="Z96">
        <f>SmtRes!X107</f>
        <v>-970634170</v>
      </c>
      <c r="AA96">
        <v>-1861376545</v>
      </c>
      <c r="AB96">
        <v>-119084382</v>
      </c>
    </row>
    <row r="97" spans="1:28" x14ac:dyDescent="0.25">
      <c r="A97">
        <v>20</v>
      </c>
      <c r="B97">
        <v>106</v>
      </c>
      <c r="C97">
        <v>3</v>
      </c>
      <c r="D97">
        <v>0</v>
      </c>
      <c r="E97">
        <f>SmtRes!AV106</f>
        <v>0</v>
      </c>
      <c r="F97" t="str">
        <f>SmtRes!I106</f>
        <v>14.4.01.01-0003</v>
      </c>
      <c r="G97" t="str">
        <f>SmtRes!K106</f>
        <v>Грунтовка ГФ-021</v>
      </c>
      <c r="H97" t="str">
        <f>SmtRes!O106</f>
        <v>т</v>
      </c>
      <c r="I97">
        <f>SmtRes!Y106*Source!I149</f>
        <v>1.395E-6</v>
      </c>
      <c r="J97">
        <f>SmtRes!AO106</f>
        <v>0</v>
      </c>
      <c r="K97">
        <f>SmtRes!AE106</f>
        <v>51280.15</v>
      </c>
      <c r="M97">
        <f t="shared" si="8"/>
        <v>7.0000000000000007E-2</v>
      </c>
      <c r="N97">
        <f>SmtRes!AA106</f>
        <v>81535.44</v>
      </c>
      <c r="O97">
        <f>SmtRes!DF106</f>
        <v>0.11</v>
      </c>
      <c r="P97">
        <f>SmtRes!AG106</f>
        <v>0</v>
      </c>
      <c r="R97">
        <f t="shared" si="9"/>
        <v>0</v>
      </c>
      <c r="S97">
        <f>SmtRes!AC106</f>
        <v>0</v>
      </c>
      <c r="T97">
        <f>SmtRes!DH106</f>
        <v>0</v>
      </c>
      <c r="U97">
        <v>3</v>
      </c>
      <c r="Z97">
        <f>SmtRes!X106</f>
        <v>-490487806</v>
      </c>
      <c r="AA97">
        <v>1011055179</v>
      </c>
      <c r="AB97">
        <v>-264414510</v>
      </c>
    </row>
    <row r="98" spans="1:28" x14ac:dyDescent="0.25">
      <c r="A98">
        <v>20</v>
      </c>
      <c r="B98">
        <v>105</v>
      </c>
      <c r="C98">
        <v>3</v>
      </c>
      <c r="D98">
        <v>0</v>
      </c>
      <c r="E98">
        <f>SmtRes!AV105</f>
        <v>0</v>
      </c>
      <c r="F98" t="str">
        <f>SmtRes!I105</f>
        <v>11.1.03.01-0061</v>
      </c>
      <c r="G98" t="str">
        <f>SmtRes!K105</f>
        <v>Бруски обрезные хвойных пород (ель, сосна), естественной влажности, длина 2-6,5 м, ширина 20-90 мм, толщина 20-90 мм, сорт I</v>
      </c>
      <c r="H98" t="str">
        <f>SmtRes!O105</f>
        <v>м3</v>
      </c>
      <c r="I98">
        <f>SmtRes!Y105*Source!I149</f>
        <v>4.6350000000000005E-6</v>
      </c>
      <c r="J98">
        <f>SmtRes!AO105</f>
        <v>0</v>
      </c>
      <c r="K98">
        <f>SmtRes!AE105</f>
        <v>16496.03</v>
      </c>
      <c r="M98">
        <f t="shared" si="8"/>
        <v>0.08</v>
      </c>
      <c r="N98">
        <f>SmtRes!AA105</f>
        <v>12701.94</v>
      </c>
      <c r="O98">
        <f>SmtRes!DF105</f>
        <v>0.06</v>
      </c>
      <c r="P98">
        <f>SmtRes!AG105</f>
        <v>0</v>
      </c>
      <c r="R98">
        <f t="shared" si="9"/>
        <v>0</v>
      </c>
      <c r="S98">
        <f>SmtRes!AC105</f>
        <v>0</v>
      </c>
      <c r="T98">
        <f>SmtRes!DH105</f>
        <v>0</v>
      </c>
      <c r="U98">
        <v>3</v>
      </c>
      <c r="Z98">
        <f>SmtRes!X105</f>
        <v>1166267915</v>
      </c>
      <c r="AA98">
        <v>2067580028</v>
      </c>
      <c r="AB98">
        <v>-695802141</v>
      </c>
    </row>
    <row r="99" spans="1:28" x14ac:dyDescent="0.25">
      <c r="A99">
        <v>20</v>
      </c>
      <c r="B99">
        <v>104</v>
      </c>
      <c r="C99">
        <v>3</v>
      </c>
      <c r="D99">
        <v>0</v>
      </c>
      <c r="E99">
        <f>SmtRes!AV104</f>
        <v>0</v>
      </c>
      <c r="F99" t="str">
        <f>SmtRes!I104</f>
        <v>08.3.11.01-1106</v>
      </c>
      <c r="G99" t="str">
        <f>SmtRes!K104</f>
        <v>Швеллеры стальные горячекатаные, марки стали Ст3пс, Ст3сп, № 40У, № 40П</v>
      </c>
      <c r="H99" t="str">
        <f>SmtRes!O104</f>
        <v>т</v>
      </c>
      <c r="I99">
        <f>SmtRes!Y104*Source!I149</f>
        <v>8.7299999999999994E-6</v>
      </c>
      <c r="J99">
        <f>SmtRes!AO104</f>
        <v>0</v>
      </c>
      <c r="K99">
        <f>SmtRes!AE104</f>
        <v>136760</v>
      </c>
      <c r="M99">
        <f t="shared" si="8"/>
        <v>1.19</v>
      </c>
      <c r="N99">
        <f>SmtRes!AA104</f>
        <v>124451.6</v>
      </c>
      <c r="O99">
        <f>SmtRes!DF104</f>
        <v>1.08</v>
      </c>
      <c r="P99">
        <f>SmtRes!AG104</f>
        <v>0</v>
      </c>
      <c r="R99">
        <f t="shared" si="9"/>
        <v>0</v>
      </c>
      <c r="S99">
        <f>SmtRes!AC104</f>
        <v>0</v>
      </c>
      <c r="T99">
        <f>SmtRes!DH104</f>
        <v>0</v>
      </c>
      <c r="U99">
        <v>3</v>
      </c>
      <c r="Z99">
        <f>SmtRes!X104</f>
        <v>506900767</v>
      </c>
      <c r="AA99">
        <v>-1842615747</v>
      </c>
      <c r="AB99">
        <v>571287693</v>
      </c>
    </row>
    <row r="100" spans="1:28" x14ac:dyDescent="0.25">
      <c r="A100">
        <v>20</v>
      </c>
      <c r="B100">
        <v>103</v>
      </c>
      <c r="C100">
        <v>3</v>
      </c>
      <c r="D100">
        <v>0</v>
      </c>
      <c r="E100">
        <f>SmtRes!AV103</f>
        <v>0</v>
      </c>
      <c r="F100" t="str">
        <f>SmtRes!I103</f>
        <v>08.3.03.06-0002</v>
      </c>
      <c r="G100" t="str">
        <f>SmtRes!K103</f>
        <v>Проволока горячекатаная в мотках, диаметр 6,3-6,5 мм</v>
      </c>
      <c r="H100" t="str">
        <f>SmtRes!O103</f>
        <v>т</v>
      </c>
      <c r="I100">
        <f>SmtRes!Y103*Source!I149</f>
        <v>1.35E-7</v>
      </c>
      <c r="J100">
        <f>SmtRes!AO103</f>
        <v>0</v>
      </c>
      <c r="K100">
        <f>SmtRes!AE103</f>
        <v>60258.2</v>
      </c>
      <c r="M100">
        <f t="shared" si="8"/>
        <v>0.01</v>
      </c>
      <c r="N100">
        <f>SmtRes!AA103</f>
        <v>52424.63</v>
      </c>
      <c r="O100">
        <f>SmtRes!DF103</f>
        <v>0.01</v>
      </c>
      <c r="P100">
        <f>SmtRes!AG103</f>
        <v>0</v>
      </c>
      <c r="R100">
        <f t="shared" si="9"/>
        <v>0</v>
      </c>
      <c r="S100">
        <f>SmtRes!AC103</f>
        <v>0</v>
      </c>
      <c r="T100">
        <f>SmtRes!DH103</f>
        <v>0</v>
      </c>
      <c r="U100">
        <v>3</v>
      </c>
      <c r="Z100">
        <f>SmtRes!X103</f>
        <v>1897739153</v>
      </c>
      <c r="AA100">
        <v>-527469755</v>
      </c>
      <c r="AB100">
        <v>945285004</v>
      </c>
    </row>
    <row r="101" spans="1:28" x14ac:dyDescent="0.25">
      <c r="A101">
        <v>20</v>
      </c>
      <c r="B101">
        <v>102</v>
      </c>
      <c r="C101">
        <v>3</v>
      </c>
      <c r="D101">
        <v>0</v>
      </c>
      <c r="E101">
        <f>SmtRes!AV102</f>
        <v>0</v>
      </c>
      <c r="F101" t="str">
        <f>SmtRes!I102</f>
        <v>08.2.02.11-0007</v>
      </c>
      <c r="G101" t="str">
        <f>SmtRes!K102</f>
        <v>Канат двойной свивки ТК, конструкции 6х19(1+6+12)+1 о.с., марка В, из оцинкованной по группе Ж проволоки, маркировочная группа 1570-1770 Н/мм2, диаметр 5,5 мм</v>
      </c>
      <c r="H101" t="str">
        <f>SmtRes!O102</f>
        <v>10 м</v>
      </c>
      <c r="I101">
        <f>SmtRes!Y102*Source!I149</f>
        <v>8.4149999999999999E-5</v>
      </c>
      <c r="J101">
        <f>SmtRes!AO102</f>
        <v>0</v>
      </c>
      <c r="K101">
        <f>SmtRes!AE102</f>
        <v>307.83999999999997</v>
      </c>
      <c r="M101">
        <f t="shared" si="8"/>
        <v>0.03</v>
      </c>
      <c r="N101">
        <f>SmtRes!AA102</f>
        <v>221.64</v>
      </c>
      <c r="O101">
        <f>SmtRes!DF102</f>
        <v>0.02</v>
      </c>
      <c r="P101">
        <f>SmtRes!AG102</f>
        <v>0</v>
      </c>
      <c r="R101">
        <f t="shared" si="9"/>
        <v>0</v>
      </c>
      <c r="S101">
        <f>SmtRes!AC102</f>
        <v>0</v>
      </c>
      <c r="T101">
        <f>SmtRes!DH102</f>
        <v>0</v>
      </c>
      <c r="U101">
        <v>3</v>
      </c>
      <c r="Z101">
        <f>SmtRes!X102</f>
        <v>-16063298</v>
      </c>
      <c r="AA101">
        <v>-1486008716</v>
      </c>
      <c r="AB101">
        <v>-1390822173</v>
      </c>
    </row>
    <row r="102" spans="1:28" x14ac:dyDescent="0.25">
      <c r="A102">
        <v>20</v>
      </c>
      <c r="B102">
        <v>100</v>
      </c>
      <c r="C102">
        <v>3</v>
      </c>
      <c r="D102">
        <v>0</v>
      </c>
      <c r="E102">
        <f>SmtRes!AV100</f>
        <v>0</v>
      </c>
      <c r="F102" t="str">
        <f>SmtRes!I100</f>
        <v>01.7.20.08-0071</v>
      </c>
      <c r="G102" t="str">
        <f>SmtRes!K100</f>
        <v>Канат пеньковый тросовой свивки, пропитанный, диаметр 26 мм</v>
      </c>
      <c r="H102" t="str">
        <f>SmtRes!O100</f>
        <v>т</v>
      </c>
      <c r="I102">
        <f>SmtRes!Y100*Source!I149</f>
        <v>4.4999999999999998E-7</v>
      </c>
      <c r="J102">
        <f>SmtRes!AO100</f>
        <v>0</v>
      </c>
      <c r="K102">
        <f>SmtRes!AE100</f>
        <v>231787.35</v>
      </c>
      <c r="M102">
        <f t="shared" si="8"/>
        <v>0.1</v>
      </c>
      <c r="N102">
        <f>SmtRes!AA100</f>
        <v>368541.89</v>
      </c>
      <c r="O102">
        <f>SmtRes!DF100</f>
        <v>0.18</v>
      </c>
      <c r="P102">
        <f>SmtRes!AG100</f>
        <v>0</v>
      </c>
      <c r="R102">
        <f t="shared" si="9"/>
        <v>0</v>
      </c>
      <c r="S102">
        <f>SmtRes!AC100</f>
        <v>0</v>
      </c>
      <c r="T102">
        <f>SmtRes!DH100</f>
        <v>0</v>
      </c>
      <c r="U102">
        <v>3</v>
      </c>
      <c r="Z102">
        <f>SmtRes!X100</f>
        <v>-196647353</v>
      </c>
      <c r="AA102">
        <v>709488840</v>
      </c>
      <c r="AB102">
        <v>-1487197942</v>
      </c>
    </row>
    <row r="103" spans="1:28" x14ac:dyDescent="0.25">
      <c r="A103">
        <v>20</v>
      </c>
      <c r="B103">
        <v>99</v>
      </c>
      <c r="C103">
        <v>3</v>
      </c>
      <c r="D103">
        <v>0</v>
      </c>
      <c r="E103">
        <f>SmtRes!AV99</f>
        <v>0</v>
      </c>
      <c r="F103" t="str">
        <f>SmtRes!I99</f>
        <v>01.7.15.06-0111</v>
      </c>
      <c r="G103" t="str">
        <f>SmtRes!K99</f>
        <v>Гвозди строительные</v>
      </c>
      <c r="H103" t="str">
        <f>SmtRes!O99</f>
        <v>т</v>
      </c>
      <c r="I103">
        <f>SmtRes!Y99*Source!I149</f>
        <v>4.4999999999999999E-8</v>
      </c>
      <c r="J103">
        <f>SmtRes!AO99</f>
        <v>0</v>
      </c>
      <c r="K103">
        <f>SmtRes!AE99</f>
        <v>70296.2</v>
      </c>
      <c r="M103">
        <f t="shared" si="8"/>
        <v>0</v>
      </c>
      <c r="N103">
        <f>SmtRes!AA99</f>
        <v>92790.98</v>
      </c>
      <c r="O103">
        <f>SmtRes!DF99</f>
        <v>0</v>
      </c>
      <c r="P103">
        <f>SmtRes!AG99</f>
        <v>0</v>
      </c>
      <c r="R103">
        <f t="shared" si="9"/>
        <v>0</v>
      </c>
      <c r="S103">
        <f>SmtRes!AC99</f>
        <v>0</v>
      </c>
      <c r="T103">
        <f>SmtRes!DH99</f>
        <v>0</v>
      </c>
      <c r="U103">
        <v>3</v>
      </c>
      <c r="Z103">
        <f>SmtRes!X99</f>
        <v>1479353699</v>
      </c>
      <c r="AA103">
        <v>860443849</v>
      </c>
      <c r="AB103">
        <v>214724844</v>
      </c>
    </row>
    <row r="104" spans="1:28" x14ac:dyDescent="0.25">
      <c r="A104">
        <v>20</v>
      </c>
      <c r="B104">
        <v>98</v>
      </c>
      <c r="C104">
        <v>3</v>
      </c>
      <c r="D104">
        <v>0</v>
      </c>
      <c r="E104">
        <f>SmtRes!AV98</f>
        <v>0</v>
      </c>
      <c r="F104" t="str">
        <f>SmtRes!I98</f>
        <v>01.7.15.03-0042</v>
      </c>
      <c r="G104" t="str">
        <f>SmtRes!K98</f>
        <v>Болты с гайками и шайбами строительные</v>
      </c>
      <c r="H104" t="str">
        <f>SmtRes!O98</f>
        <v>кг</v>
      </c>
      <c r="I104">
        <f>SmtRes!Y98*Source!I149</f>
        <v>2.2499999999999999E-2</v>
      </c>
      <c r="J104">
        <f>SmtRes!AO98</f>
        <v>0</v>
      </c>
      <c r="K104">
        <f>SmtRes!AE98</f>
        <v>174.93</v>
      </c>
      <c r="M104">
        <f t="shared" si="8"/>
        <v>3.94</v>
      </c>
      <c r="N104">
        <f>SmtRes!AA98</f>
        <v>188.92</v>
      </c>
      <c r="O104">
        <f>SmtRes!DF98</f>
        <v>4.25</v>
      </c>
      <c r="P104">
        <f>SmtRes!AG98</f>
        <v>0</v>
      </c>
      <c r="R104">
        <f t="shared" si="9"/>
        <v>0</v>
      </c>
      <c r="S104">
        <f>SmtRes!AC98</f>
        <v>0</v>
      </c>
      <c r="T104">
        <f>SmtRes!DH98</f>
        <v>0</v>
      </c>
      <c r="U104">
        <v>3</v>
      </c>
      <c r="Z104">
        <f>SmtRes!X98</f>
        <v>-489290570</v>
      </c>
      <c r="AA104">
        <v>618056953</v>
      </c>
      <c r="AB104">
        <v>-1688742906</v>
      </c>
    </row>
    <row r="105" spans="1:28" x14ac:dyDescent="0.25">
      <c r="A105">
        <v>20</v>
      </c>
      <c r="B105">
        <v>97</v>
      </c>
      <c r="C105">
        <v>3</v>
      </c>
      <c r="D105">
        <v>0</v>
      </c>
      <c r="E105">
        <f>SmtRes!AV97</f>
        <v>0</v>
      </c>
      <c r="F105" t="str">
        <f>SmtRes!I97</f>
        <v>01.7.11.07-0036</v>
      </c>
      <c r="G105" t="str">
        <f>SmtRes!K97</f>
        <v>Электроды сварочные для сварки низколегированных и углеродистых сталей Э46, диаметр 4 мм</v>
      </c>
      <c r="H105" t="str">
        <f>SmtRes!O97</f>
        <v>кг</v>
      </c>
      <c r="I105">
        <f>SmtRes!Y97*Source!I149</f>
        <v>6.3E-2</v>
      </c>
      <c r="J105">
        <f>SmtRes!AO97</f>
        <v>0</v>
      </c>
      <c r="K105">
        <f>SmtRes!AE97</f>
        <v>142.68</v>
      </c>
      <c r="M105">
        <f t="shared" si="8"/>
        <v>8.99</v>
      </c>
      <c r="N105">
        <f>SmtRes!AA97</f>
        <v>121.28</v>
      </c>
      <c r="O105">
        <f>SmtRes!DF97</f>
        <v>7.64</v>
      </c>
      <c r="P105">
        <f>SmtRes!AG97</f>
        <v>0</v>
      </c>
      <c r="R105">
        <f t="shared" si="9"/>
        <v>0</v>
      </c>
      <c r="S105">
        <f>SmtRes!AC97</f>
        <v>0</v>
      </c>
      <c r="T105">
        <f>SmtRes!DH97</f>
        <v>0</v>
      </c>
      <c r="U105">
        <v>3</v>
      </c>
      <c r="Z105">
        <f>SmtRes!X97</f>
        <v>-550460808</v>
      </c>
      <c r="AA105">
        <v>800957304</v>
      </c>
      <c r="AB105">
        <v>-702268366</v>
      </c>
    </row>
    <row r="106" spans="1:28" x14ac:dyDescent="0.25">
      <c r="A106">
        <v>20</v>
      </c>
      <c r="B106">
        <v>96</v>
      </c>
      <c r="C106">
        <v>3</v>
      </c>
      <c r="D106">
        <v>0</v>
      </c>
      <c r="E106">
        <f>SmtRes!AV96</f>
        <v>0</v>
      </c>
      <c r="F106" t="str">
        <f>SmtRes!I96</f>
        <v>01.7.03.04-0001</v>
      </c>
      <c r="G106" t="str">
        <f>SmtRes!K96</f>
        <v>Электроэнергия</v>
      </c>
      <c r="H106" t="str">
        <f>SmtRes!O96</f>
        <v>КВТ-Ч</v>
      </c>
      <c r="I106">
        <f>SmtRes!Y96*Source!I149</f>
        <v>4.6588499999999998E-2</v>
      </c>
      <c r="J106">
        <f>SmtRes!AO96</f>
        <v>0</v>
      </c>
      <c r="K106">
        <f>SmtRes!AE96</f>
        <v>9.0399999999999991</v>
      </c>
      <c r="M106">
        <f t="shared" si="8"/>
        <v>0.42</v>
      </c>
      <c r="N106">
        <f>SmtRes!AA96</f>
        <v>9.0399999999999991</v>
      </c>
      <c r="O106">
        <f>SmtRes!DF96</f>
        <v>0.42</v>
      </c>
      <c r="P106">
        <f>SmtRes!AG96</f>
        <v>0</v>
      </c>
      <c r="R106">
        <f t="shared" si="9"/>
        <v>0</v>
      </c>
      <c r="S106">
        <f>SmtRes!AC96</f>
        <v>0</v>
      </c>
      <c r="T106">
        <f>SmtRes!DH96</f>
        <v>0</v>
      </c>
      <c r="U106">
        <v>3</v>
      </c>
      <c r="Z106">
        <f>SmtRes!X96</f>
        <v>-182421198</v>
      </c>
      <c r="AA106">
        <v>-852101439</v>
      </c>
      <c r="AB106">
        <v>-852101439</v>
      </c>
    </row>
    <row r="107" spans="1:28" x14ac:dyDescent="0.25">
      <c r="A107">
        <v>20</v>
      </c>
      <c r="B107">
        <v>95</v>
      </c>
      <c r="C107">
        <v>3</v>
      </c>
      <c r="D107">
        <v>0</v>
      </c>
      <c r="E107">
        <f>SmtRes!AV95</f>
        <v>0</v>
      </c>
      <c r="F107" t="str">
        <f>SmtRes!I95</f>
        <v>01.3.02.09-0022</v>
      </c>
      <c r="G107" t="str">
        <f>SmtRes!K95</f>
        <v>Пропан-бутан смесь техническая</v>
      </c>
      <c r="H107" t="str">
        <f>SmtRes!O95</f>
        <v>кг</v>
      </c>
      <c r="I107">
        <f>SmtRes!Y95*Source!I149</f>
        <v>2.6549999999999998E-3</v>
      </c>
      <c r="J107">
        <f>SmtRes!AO95</f>
        <v>0</v>
      </c>
      <c r="K107">
        <f>SmtRes!AE95</f>
        <v>41.38</v>
      </c>
      <c r="M107">
        <f t="shared" si="8"/>
        <v>0.11</v>
      </c>
      <c r="N107">
        <f>SmtRes!AA95</f>
        <v>62.48</v>
      </c>
      <c r="O107">
        <f>SmtRes!DF95</f>
        <v>0.17</v>
      </c>
      <c r="P107">
        <f>SmtRes!AG95</f>
        <v>0</v>
      </c>
      <c r="R107">
        <f t="shared" si="9"/>
        <v>0</v>
      </c>
      <c r="S107">
        <f>SmtRes!AC95</f>
        <v>0</v>
      </c>
      <c r="T107">
        <f>SmtRes!DH95</f>
        <v>0</v>
      </c>
      <c r="U107">
        <v>3</v>
      </c>
      <c r="Z107">
        <f>SmtRes!X95</f>
        <v>1843545816</v>
      </c>
      <c r="AA107">
        <v>-693499030</v>
      </c>
      <c r="AB107">
        <v>-241278685</v>
      </c>
    </row>
    <row r="108" spans="1:28" x14ac:dyDescent="0.25">
      <c r="A108">
        <v>20</v>
      </c>
      <c r="B108">
        <v>94</v>
      </c>
      <c r="C108">
        <v>3</v>
      </c>
      <c r="D108">
        <v>0</v>
      </c>
      <c r="E108">
        <f>SmtRes!AV94</f>
        <v>0</v>
      </c>
      <c r="F108" t="str">
        <f>SmtRes!I94</f>
        <v>01.3.02.08-0001</v>
      </c>
      <c r="G108" t="str">
        <f>SmtRes!K94</f>
        <v>Кислород газообразный технический</v>
      </c>
      <c r="H108" t="str">
        <f>SmtRes!O94</f>
        <v>м3</v>
      </c>
      <c r="I108">
        <f>SmtRes!Y94*Source!I149</f>
        <v>8.7749999999999998E-3</v>
      </c>
      <c r="J108">
        <f>SmtRes!AO94</f>
        <v>0</v>
      </c>
      <c r="K108">
        <f>SmtRes!AE94</f>
        <v>114.64</v>
      </c>
      <c r="M108">
        <f t="shared" si="8"/>
        <v>1.01</v>
      </c>
      <c r="N108">
        <f>SmtRes!AA94</f>
        <v>126.1</v>
      </c>
      <c r="O108">
        <f>SmtRes!DF94</f>
        <v>1.1100000000000001</v>
      </c>
      <c r="P108">
        <f>SmtRes!AG94</f>
        <v>0</v>
      </c>
      <c r="R108">
        <f t="shared" si="9"/>
        <v>0</v>
      </c>
      <c r="S108">
        <f>SmtRes!AC94</f>
        <v>0</v>
      </c>
      <c r="T108">
        <f>SmtRes!DH94</f>
        <v>0</v>
      </c>
      <c r="U108">
        <v>3</v>
      </c>
      <c r="Z108">
        <f>SmtRes!X94</f>
        <v>1531571680</v>
      </c>
      <c r="AA108">
        <v>-811279051</v>
      </c>
      <c r="AB108">
        <v>-1636355577</v>
      </c>
    </row>
    <row r="109" spans="1:28" x14ac:dyDescent="0.25">
      <c r="A109">
        <v>20</v>
      </c>
      <c r="B109">
        <v>93</v>
      </c>
      <c r="C109">
        <v>2</v>
      </c>
      <c r="D109">
        <v>0</v>
      </c>
      <c r="E109">
        <f>SmtRes!AV93</f>
        <v>1</v>
      </c>
      <c r="F109" t="str">
        <f>SmtRes!I93</f>
        <v>91.17.04-171</v>
      </c>
      <c r="G109" t="str">
        <f>SmtRes!K93</f>
        <v>Аппараты сварочные для ручной дуговой сварки, сварочный ток до 500 А</v>
      </c>
      <c r="H109" t="str">
        <f>SmtRes!O93</f>
        <v>маш.-ч</v>
      </c>
      <c r="I109">
        <f>SmtRes!Y93*Source!I149</f>
        <v>8.4352499999999997E-2</v>
      </c>
      <c r="J109">
        <f>SmtRes!AO93</f>
        <v>0</v>
      </c>
      <c r="K109">
        <f>SmtRes!AF93</f>
        <v>90.36</v>
      </c>
      <c r="M109">
        <f t="shared" si="8"/>
        <v>7.62</v>
      </c>
      <c r="N109">
        <f>SmtRes!AB93</f>
        <v>90.36</v>
      </c>
      <c r="O109">
        <f>SmtRes!DG93</f>
        <v>7.62</v>
      </c>
      <c r="P109">
        <f>SmtRes!AG93</f>
        <v>0</v>
      </c>
      <c r="R109">
        <f t="shared" si="9"/>
        <v>0</v>
      </c>
      <c r="S109">
        <f>SmtRes!AC93</f>
        <v>0</v>
      </c>
      <c r="T109">
        <f>SmtRes!DH93</f>
        <v>0</v>
      </c>
      <c r="U109">
        <v>2</v>
      </c>
      <c r="Z109">
        <f>SmtRes!X93</f>
        <v>-565700713</v>
      </c>
      <c r="AA109">
        <v>1403789219</v>
      </c>
      <c r="AB109">
        <v>1403789219</v>
      </c>
    </row>
    <row r="110" spans="1:28" x14ac:dyDescent="0.25">
      <c r="A110">
        <v>20</v>
      </c>
      <c r="B110">
        <v>92</v>
      </c>
      <c r="C110">
        <v>2</v>
      </c>
      <c r="D110">
        <v>0</v>
      </c>
      <c r="E110">
        <f>SmtRes!AV92</f>
        <v>1</v>
      </c>
      <c r="F110" t="str">
        <f>SmtRes!I92</f>
        <v>91.17.04-042</v>
      </c>
      <c r="G110" t="str">
        <f>SmtRes!K92</f>
        <v>Аппараты для газовой сварки и резки</v>
      </c>
      <c r="H110" t="str">
        <f>SmtRes!O92</f>
        <v>маш.-ч</v>
      </c>
      <c r="I110">
        <f>SmtRes!Y92*Source!I149</f>
        <v>1.2005999999999998E-2</v>
      </c>
      <c r="J110">
        <f>SmtRes!AO92</f>
        <v>0</v>
      </c>
      <c r="K110">
        <f>SmtRes!AF92</f>
        <v>4.3499999999999996</v>
      </c>
      <c r="M110">
        <f t="shared" si="8"/>
        <v>0.05</v>
      </c>
      <c r="N110">
        <f>SmtRes!AB92</f>
        <v>5.35</v>
      </c>
      <c r="O110">
        <f>SmtRes!DG92</f>
        <v>0.06</v>
      </c>
      <c r="P110">
        <f>SmtRes!AG92</f>
        <v>0</v>
      </c>
      <c r="R110">
        <f t="shared" si="9"/>
        <v>0</v>
      </c>
      <c r="S110">
        <f>SmtRes!AC92</f>
        <v>0</v>
      </c>
      <c r="T110">
        <f>SmtRes!DH92</f>
        <v>0</v>
      </c>
      <c r="U110">
        <v>2</v>
      </c>
      <c r="Z110">
        <f>SmtRes!X92</f>
        <v>-536748942</v>
      </c>
      <c r="AA110">
        <v>1767300911</v>
      </c>
      <c r="AB110">
        <v>-773146550</v>
      </c>
    </row>
    <row r="111" spans="1:28" x14ac:dyDescent="0.25">
      <c r="A111">
        <v>20</v>
      </c>
      <c r="B111">
        <v>91</v>
      </c>
      <c r="C111">
        <v>2</v>
      </c>
      <c r="D111">
        <v>0</v>
      </c>
      <c r="E111">
        <f>SmtRes!AV91</f>
        <v>1</v>
      </c>
      <c r="F111" t="str">
        <f>SmtRes!I91</f>
        <v>91.14.02-001</v>
      </c>
      <c r="G111" t="str">
        <f>SmtRes!K91</f>
        <v>Автомобили бортовые, грузоподъемность до 5 т</v>
      </c>
      <c r="H111" t="str">
        <f>SmtRes!O91</f>
        <v>маш.-ч</v>
      </c>
      <c r="I111">
        <f>SmtRes!Y91*Source!I149</f>
        <v>8.2799999999999996E-4</v>
      </c>
      <c r="J111">
        <f>SmtRes!AO91</f>
        <v>0</v>
      </c>
      <c r="K111">
        <f>SmtRes!AF91</f>
        <v>551.45000000000005</v>
      </c>
      <c r="M111">
        <f t="shared" si="8"/>
        <v>0.46</v>
      </c>
      <c r="N111">
        <f>SmtRes!AB91</f>
        <v>551.45000000000005</v>
      </c>
      <c r="O111">
        <f>SmtRes!DG91</f>
        <v>0.46</v>
      </c>
      <c r="P111">
        <f>SmtRes!AG91</f>
        <v>368.02</v>
      </c>
      <c r="R111">
        <f t="shared" si="9"/>
        <v>0.3</v>
      </c>
      <c r="S111">
        <f>SmtRes!AC91</f>
        <v>368.02</v>
      </c>
      <c r="T111">
        <f>SmtRes!DH91</f>
        <v>0.3</v>
      </c>
      <c r="U111">
        <v>2</v>
      </c>
      <c r="Z111">
        <f>SmtRes!X91</f>
        <v>-312038840</v>
      </c>
      <c r="AA111">
        <v>280096454</v>
      </c>
      <c r="AB111">
        <v>280096454</v>
      </c>
    </row>
    <row r="112" spans="1:28" x14ac:dyDescent="0.25">
      <c r="A112">
        <v>20</v>
      </c>
      <c r="B112">
        <v>90</v>
      </c>
      <c r="C112">
        <v>2</v>
      </c>
      <c r="D112">
        <v>0</v>
      </c>
      <c r="E112">
        <f>SmtRes!AV90</f>
        <v>1</v>
      </c>
      <c r="F112" t="str">
        <f>SmtRes!I90</f>
        <v>91.06.03-062</v>
      </c>
      <c r="G112" t="str">
        <f>SmtRes!K90</f>
        <v>Лебедки электрические тяговым усилием до 31,39 кН (3,2 т)</v>
      </c>
      <c r="H112" t="str">
        <f>SmtRes!O90</f>
        <v>маш.-ч</v>
      </c>
      <c r="I112">
        <f>SmtRes!Y90*Source!I149</f>
        <v>1.9147499999999998E-2</v>
      </c>
      <c r="J112">
        <f>SmtRes!AO90</f>
        <v>0</v>
      </c>
      <c r="K112">
        <f>SmtRes!AF90</f>
        <v>13.44</v>
      </c>
      <c r="M112">
        <f t="shared" si="8"/>
        <v>0.26</v>
      </c>
      <c r="N112">
        <f>SmtRes!AB90</f>
        <v>20.43</v>
      </c>
      <c r="O112">
        <f>SmtRes!DG90</f>
        <v>0.39</v>
      </c>
      <c r="P112">
        <f>SmtRes!AG90</f>
        <v>0</v>
      </c>
      <c r="R112">
        <f t="shared" si="9"/>
        <v>0</v>
      </c>
      <c r="S112">
        <f>SmtRes!AC90</f>
        <v>0</v>
      </c>
      <c r="T112">
        <f>SmtRes!DH90</f>
        <v>0</v>
      </c>
      <c r="U112">
        <v>2</v>
      </c>
      <c r="Z112">
        <f>SmtRes!X90</f>
        <v>-769439360</v>
      </c>
      <c r="AA112">
        <v>498787679</v>
      </c>
      <c r="AB112">
        <v>-691296830</v>
      </c>
    </row>
    <row r="113" spans="1:28" x14ac:dyDescent="0.25">
      <c r="A113">
        <v>20</v>
      </c>
      <c r="B113">
        <v>89</v>
      </c>
      <c r="C113">
        <v>2</v>
      </c>
      <c r="D113">
        <v>0</v>
      </c>
      <c r="E113">
        <f>SmtRes!AV89</f>
        <v>1</v>
      </c>
      <c r="F113" t="str">
        <f>SmtRes!I89</f>
        <v>91.05.05-015</v>
      </c>
      <c r="G113" t="str">
        <f>SmtRes!K89</f>
        <v>Краны на автомобильном ходу, грузоподъемность 16 т</v>
      </c>
      <c r="H113" t="str">
        <f>SmtRes!O89</f>
        <v>маш.-ч</v>
      </c>
      <c r="I113">
        <f>SmtRes!Y89*Source!I149</f>
        <v>5.6924999999999999E-4</v>
      </c>
      <c r="J113">
        <f>SmtRes!AO89</f>
        <v>0</v>
      </c>
      <c r="K113">
        <f>SmtRes!AF89</f>
        <v>1598.95</v>
      </c>
      <c r="M113">
        <f t="shared" si="8"/>
        <v>0.91</v>
      </c>
      <c r="N113">
        <f>SmtRes!AB89</f>
        <v>1598.95</v>
      </c>
      <c r="O113">
        <f>SmtRes!DG89</f>
        <v>0.91</v>
      </c>
      <c r="P113">
        <f>SmtRes!AG89</f>
        <v>494.35</v>
      </c>
      <c r="R113">
        <f t="shared" si="9"/>
        <v>0.28000000000000003</v>
      </c>
      <c r="S113">
        <f>SmtRes!AC89</f>
        <v>494.35</v>
      </c>
      <c r="T113">
        <f>SmtRes!DH89</f>
        <v>0.28000000000000003</v>
      </c>
      <c r="U113">
        <v>2</v>
      </c>
      <c r="Z113">
        <f>SmtRes!X89</f>
        <v>-1068589559</v>
      </c>
      <c r="AA113">
        <v>-2133770313</v>
      </c>
      <c r="AB113">
        <v>-2133770313</v>
      </c>
    </row>
    <row r="114" spans="1:28" x14ac:dyDescent="0.25">
      <c r="A114">
        <v>20</v>
      </c>
      <c r="B114">
        <v>88</v>
      </c>
      <c r="C114">
        <v>1</v>
      </c>
      <c r="D114">
        <v>0</v>
      </c>
      <c r="E114">
        <f>SmtRes!AV88</f>
        <v>2</v>
      </c>
      <c r="F114" t="str">
        <f>SmtRes!I88</f>
        <v>4-100-00</v>
      </c>
      <c r="G114" t="str">
        <f>SmtRes!K88</f>
        <v>Затраты труда машинистов</v>
      </c>
      <c r="H114" t="str">
        <f>SmtRes!O88</f>
        <v>чел.-ч.</v>
      </c>
      <c r="I114">
        <f>SmtRes!Y88*Source!I149</f>
        <v>1.3972499999999998E-3</v>
      </c>
      <c r="J114">
        <f>SmtRes!AO88</f>
        <v>0</v>
      </c>
      <c r="K114">
        <f>SmtRes!AH88</f>
        <v>0</v>
      </c>
      <c r="M114">
        <f t="shared" si="8"/>
        <v>0</v>
      </c>
      <c r="N114">
        <f>SmtRes!AD88</f>
        <v>0</v>
      </c>
      <c r="O114">
        <f>SmtRes!DI88</f>
        <v>0</v>
      </c>
      <c r="P114">
        <f>SmtRes!AG88</f>
        <v>0</v>
      </c>
      <c r="R114">
        <f t="shared" si="9"/>
        <v>0</v>
      </c>
      <c r="S114">
        <f>SmtRes!AC88</f>
        <v>0</v>
      </c>
      <c r="T114">
        <f>SmtRes!DH88</f>
        <v>0</v>
      </c>
      <c r="U114">
        <v>1</v>
      </c>
      <c r="Z114">
        <f>SmtRes!X88</f>
        <v>-1417349443</v>
      </c>
      <c r="AA114">
        <v>212567905</v>
      </c>
      <c r="AB114">
        <v>212567905</v>
      </c>
    </row>
    <row r="115" spans="1:28" x14ac:dyDescent="0.25">
      <c r="A115">
        <v>20</v>
      </c>
      <c r="B115">
        <v>87</v>
      </c>
      <c r="C115">
        <v>1</v>
      </c>
      <c r="D115">
        <v>0</v>
      </c>
      <c r="E115">
        <f>SmtRes!AV87</f>
        <v>1</v>
      </c>
      <c r="F115" t="str">
        <f>SmtRes!I87</f>
        <v>1-100-35</v>
      </c>
      <c r="G115" t="str">
        <f>SmtRes!K87</f>
        <v>Средний разряд работы 3,5</v>
      </c>
      <c r="H115" t="str">
        <f>SmtRes!O87</f>
        <v>чел.-ч.</v>
      </c>
      <c r="I115">
        <f>SmtRes!Y87*Source!I149</f>
        <v>0.38087999999999989</v>
      </c>
      <c r="J115">
        <f>SmtRes!AO87</f>
        <v>0</v>
      </c>
      <c r="K115">
        <f>SmtRes!AH87</f>
        <v>347.42</v>
      </c>
      <c r="M115">
        <f t="shared" si="8"/>
        <v>132.33000000000001</v>
      </c>
      <c r="N115">
        <f>SmtRes!AD87</f>
        <v>347.42</v>
      </c>
      <c r="O115">
        <f>SmtRes!DI87</f>
        <v>132.33000000000001</v>
      </c>
      <c r="P115">
        <f>SmtRes!AG87</f>
        <v>0</v>
      </c>
      <c r="R115">
        <f t="shared" si="9"/>
        <v>0</v>
      </c>
      <c r="S115">
        <f>SmtRes!AC87</f>
        <v>0</v>
      </c>
      <c r="T115">
        <f>SmtRes!DH87</f>
        <v>0</v>
      </c>
      <c r="U115">
        <v>1</v>
      </c>
      <c r="Z115">
        <f>SmtRes!X87</f>
        <v>-715079457</v>
      </c>
      <c r="AA115">
        <v>-575432323</v>
      </c>
      <c r="AB115">
        <v>-575432323</v>
      </c>
    </row>
    <row r="116" spans="1:28" x14ac:dyDescent="0.25">
      <c r="A116">
        <f>Source!A150</f>
        <v>18</v>
      </c>
      <c r="B116">
        <v>150</v>
      </c>
      <c r="C116">
        <v>3</v>
      </c>
      <c r="D116">
        <f>Source!BI150</f>
        <v>1</v>
      </c>
      <c r="E116">
        <f>Source!FS150</f>
        <v>0</v>
      </c>
      <c r="F116" t="str">
        <f>Source!F150</f>
        <v>08.1.02.25-0091</v>
      </c>
      <c r="G116" t="str">
        <f>Source!G150</f>
        <v>Опора скользящая стальная (5 шт * 1,77 кг=8,85 кг)</v>
      </c>
      <c r="H116" t="str">
        <f>Source!H150</f>
        <v>кг</v>
      </c>
      <c r="I116">
        <f>Source!I150</f>
        <v>4.5</v>
      </c>
      <c r="J116">
        <v>1</v>
      </c>
      <c r="K116">
        <f>Source!AC150</f>
        <v>175.65</v>
      </c>
      <c r="M116">
        <f>ROUND(K116*I116, 2)</f>
        <v>790.43</v>
      </c>
      <c r="N116">
        <f>Source!CQ150</f>
        <v>230.1</v>
      </c>
      <c r="O116">
        <f>ROUND(N116*I116, 2)</f>
        <v>1035.45</v>
      </c>
      <c r="P116">
        <f>Source!AE150</f>
        <v>0</v>
      </c>
      <c r="R116">
        <f>ROUND(P116*I116, 2)</f>
        <v>0</v>
      </c>
      <c r="S116">
        <f>Source!AE150*IF(Source!BS150&lt;&gt; 0, Source!BS150, 1)</f>
        <v>0</v>
      </c>
      <c r="T116">
        <f>ROUND(S116*I116, 2)</f>
        <v>0</v>
      </c>
      <c r="U116">
        <v>3</v>
      </c>
      <c r="Z116">
        <f>Source!GF150</f>
        <v>-738673789</v>
      </c>
      <c r="AA116">
        <v>-1852018155</v>
      </c>
      <c r="AB116">
        <v>-1491515246</v>
      </c>
    </row>
    <row r="117" spans="1:28" x14ac:dyDescent="0.25">
      <c r="A117">
        <v>20</v>
      </c>
      <c r="B117">
        <v>120</v>
      </c>
      <c r="C117">
        <v>3</v>
      </c>
      <c r="D117">
        <v>0</v>
      </c>
      <c r="E117">
        <f>SmtRes!AV120</f>
        <v>0</v>
      </c>
      <c r="F117" t="str">
        <f>SmtRes!I120</f>
        <v>07.2.07.11-0002</v>
      </c>
      <c r="G117" t="str">
        <f>SmtRes!K120</f>
        <v>Опора для трубопроводов неподвижная стальная из горячекатаных профилей</v>
      </c>
      <c r="H117" t="str">
        <f>SmtRes!O120</f>
        <v>т</v>
      </c>
      <c r="I117">
        <f>SmtRes!Y120*Source!I152</f>
        <v>4.4999999999999999E-4</v>
      </c>
      <c r="J117">
        <f>SmtRes!AO120</f>
        <v>0</v>
      </c>
      <c r="K117">
        <f>SmtRes!AE120</f>
        <v>106957.98</v>
      </c>
      <c r="M117">
        <f t="shared" ref="M117:M129" si="10">ROUND(I117*K117, 2)</f>
        <v>48.13</v>
      </c>
      <c r="N117">
        <f>SmtRes!AA120</f>
        <v>140114.95000000001</v>
      </c>
      <c r="O117">
        <f>SmtRes!DF120</f>
        <v>63.05</v>
      </c>
      <c r="P117">
        <f>SmtRes!AG120</f>
        <v>0</v>
      </c>
      <c r="R117">
        <f t="shared" ref="R117:R129" si="11">ROUND(I117*P117, 2)</f>
        <v>0</v>
      </c>
      <c r="S117">
        <f>SmtRes!AC120</f>
        <v>0</v>
      </c>
      <c r="T117">
        <f>SmtRes!DH120</f>
        <v>0</v>
      </c>
      <c r="U117">
        <v>3</v>
      </c>
      <c r="Z117">
        <f>SmtRes!X120</f>
        <v>-28959261</v>
      </c>
      <c r="AA117">
        <v>-765871893</v>
      </c>
      <c r="AB117">
        <v>1075082453</v>
      </c>
    </row>
    <row r="118" spans="1:28" x14ac:dyDescent="0.25">
      <c r="A118">
        <v>20</v>
      </c>
      <c r="B118">
        <v>119</v>
      </c>
      <c r="C118">
        <v>3</v>
      </c>
      <c r="D118">
        <v>0</v>
      </c>
      <c r="E118">
        <f>SmtRes!AV119</f>
        <v>0</v>
      </c>
      <c r="F118" t="str">
        <f>SmtRes!I119</f>
        <v>03.1.02.03-0014</v>
      </c>
      <c r="G118" t="str">
        <f>SmtRes!K119</f>
        <v>Известь хлорная, сорт I</v>
      </c>
      <c r="H118" t="str">
        <f>SmtRes!O119</f>
        <v>т</v>
      </c>
      <c r="I118">
        <f>SmtRes!Y119*Source!I152</f>
        <v>5.3999999999999991E-5</v>
      </c>
      <c r="J118">
        <f>SmtRes!AO119</f>
        <v>0</v>
      </c>
      <c r="K118">
        <f>SmtRes!AE119</f>
        <v>26885</v>
      </c>
      <c r="M118">
        <f t="shared" si="10"/>
        <v>1.45</v>
      </c>
      <c r="N118">
        <f>SmtRes!AA119</f>
        <v>38176.699999999997</v>
      </c>
      <c r="O118">
        <f>SmtRes!DF119</f>
        <v>2.06</v>
      </c>
      <c r="P118">
        <f>SmtRes!AG119</f>
        <v>0</v>
      </c>
      <c r="R118">
        <f t="shared" si="11"/>
        <v>0</v>
      </c>
      <c r="S118">
        <f>SmtRes!AC119</f>
        <v>0</v>
      </c>
      <c r="T118">
        <f>SmtRes!DH119</f>
        <v>0</v>
      </c>
      <c r="U118">
        <v>3</v>
      </c>
      <c r="Z118">
        <f>SmtRes!X119</f>
        <v>1065500328</v>
      </c>
      <c r="AA118">
        <v>-1502591973</v>
      </c>
      <c r="AB118">
        <v>-744844665</v>
      </c>
    </row>
    <row r="119" spans="1:28" x14ac:dyDescent="0.25">
      <c r="A119">
        <v>20</v>
      </c>
      <c r="B119">
        <v>118</v>
      </c>
      <c r="C119">
        <v>3</v>
      </c>
      <c r="D119">
        <v>0</v>
      </c>
      <c r="E119">
        <f>SmtRes!AV118</f>
        <v>0</v>
      </c>
      <c r="F119" t="str">
        <f>SmtRes!I118</f>
        <v>01.7.11.07-0227</v>
      </c>
      <c r="G119" t="str">
        <f>SmtRes!K118</f>
        <v>Электроды сварочные для сварки низколегированных и углеродистых сталей УОНИ 13/45, Э42А, диаметр 4-5 мм</v>
      </c>
      <c r="H119" t="str">
        <f>SmtRes!O118</f>
        <v>кг</v>
      </c>
      <c r="I119">
        <f>SmtRes!Y118*Source!I152</f>
        <v>2.25</v>
      </c>
      <c r="J119">
        <f>SmtRes!AO118</f>
        <v>0</v>
      </c>
      <c r="K119">
        <f>SmtRes!AE118</f>
        <v>155.63</v>
      </c>
      <c r="M119">
        <f t="shared" si="10"/>
        <v>350.17</v>
      </c>
      <c r="N119">
        <f>SmtRes!AA118</f>
        <v>132.29</v>
      </c>
      <c r="O119">
        <f>SmtRes!DF118</f>
        <v>297.64999999999998</v>
      </c>
      <c r="P119">
        <f>SmtRes!AG118</f>
        <v>0</v>
      </c>
      <c r="R119">
        <f t="shared" si="11"/>
        <v>0</v>
      </c>
      <c r="S119">
        <f>SmtRes!AC118</f>
        <v>0</v>
      </c>
      <c r="T119">
        <f>SmtRes!DH118</f>
        <v>0</v>
      </c>
      <c r="U119">
        <v>3</v>
      </c>
      <c r="Z119">
        <f>SmtRes!X118</f>
        <v>-1476217930</v>
      </c>
      <c r="AA119">
        <v>659203163</v>
      </c>
      <c r="AB119">
        <v>-1318828712</v>
      </c>
    </row>
    <row r="120" spans="1:28" x14ac:dyDescent="0.25">
      <c r="A120">
        <v>20</v>
      </c>
      <c r="B120">
        <v>117</v>
      </c>
      <c r="C120">
        <v>3</v>
      </c>
      <c r="D120">
        <v>0</v>
      </c>
      <c r="E120">
        <f>SmtRes!AV117</f>
        <v>0</v>
      </c>
      <c r="F120" t="str">
        <f>SmtRes!I117</f>
        <v>01.7.03.04-0001</v>
      </c>
      <c r="G120" t="str">
        <f>SmtRes!K117</f>
        <v>Электроэнергия</v>
      </c>
      <c r="H120" t="str">
        <f>SmtRes!O117</f>
        <v>КВТ-Ч</v>
      </c>
      <c r="I120">
        <f>SmtRes!Y117*Source!I152</f>
        <v>0.46777499999999994</v>
      </c>
      <c r="J120">
        <f>SmtRes!AO117</f>
        <v>0</v>
      </c>
      <c r="K120">
        <f>SmtRes!AE117</f>
        <v>9.0399999999999991</v>
      </c>
      <c r="M120">
        <f t="shared" si="10"/>
        <v>4.2300000000000004</v>
      </c>
      <c r="N120">
        <f>SmtRes!AA117</f>
        <v>9.0399999999999991</v>
      </c>
      <c r="O120">
        <f>SmtRes!DF117</f>
        <v>4.2300000000000004</v>
      </c>
      <c r="P120">
        <f>SmtRes!AG117</f>
        <v>0</v>
      </c>
      <c r="R120">
        <f t="shared" si="11"/>
        <v>0</v>
      </c>
      <c r="S120">
        <f>SmtRes!AC117</f>
        <v>0</v>
      </c>
      <c r="T120">
        <f>SmtRes!DH117</f>
        <v>0</v>
      </c>
      <c r="U120">
        <v>3</v>
      </c>
      <c r="Z120">
        <f>SmtRes!X117</f>
        <v>-182421198</v>
      </c>
      <c r="AA120">
        <v>-852101439</v>
      </c>
      <c r="AB120">
        <v>-852101439</v>
      </c>
    </row>
    <row r="121" spans="1:28" x14ac:dyDescent="0.25">
      <c r="A121">
        <v>20</v>
      </c>
      <c r="B121">
        <v>116</v>
      </c>
      <c r="C121">
        <v>3</v>
      </c>
      <c r="D121">
        <v>0</v>
      </c>
      <c r="E121">
        <f>SmtRes!AV116</f>
        <v>0</v>
      </c>
      <c r="F121" t="str">
        <f>SmtRes!I116</f>
        <v>01.7.03.01-0001</v>
      </c>
      <c r="G121" t="str">
        <f>SmtRes!K116</f>
        <v>Вода</v>
      </c>
      <c r="H121" t="str">
        <f>SmtRes!O116</f>
        <v>м3</v>
      </c>
      <c r="I121">
        <f>SmtRes!Y116*Source!I152</f>
        <v>0.85499999999999998</v>
      </c>
      <c r="J121">
        <f>SmtRes!AO116</f>
        <v>0</v>
      </c>
      <c r="K121">
        <f>SmtRes!AE116</f>
        <v>35.71</v>
      </c>
      <c r="M121">
        <f t="shared" si="10"/>
        <v>30.53</v>
      </c>
      <c r="N121">
        <f>SmtRes!AA116</f>
        <v>31.42</v>
      </c>
      <c r="O121">
        <f>SmtRes!DF116</f>
        <v>26.86</v>
      </c>
      <c r="P121">
        <f>SmtRes!AG116</f>
        <v>0</v>
      </c>
      <c r="R121">
        <f t="shared" si="11"/>
        <v>0</v>
      </c>
      <c r="S121">
        <f>SmtRes!AC116</f>
        <v>0</v>
      </c>
      <c r="T121">
        <f>SmtRes!DH116</f>
        <v>0</v>
      </c>
      <c r="U121">
        <v>3</v>
      </c>
      <c r="Z121">
        <f>SmtRes!X116</f>
        <v>727623859</v>
      </c>
      <c r="AA121">
        <v>-2104832873</v>
      </c>
      <c r="AB121">
        <v>-1077126727</v>
      </c>
    </row>
    <row r="122" spans="1:28" x14ac:dyDescent="0.25">
      <c r="A122">
        <v>20</v>
      </c>
      <c r="B122">
        <v>115</v>
      </c>
      <c r="C122">
        <v>2</v>
      </c>
      <c r="D122">
        <v>0</v>
      </c>
      <c r="E122">
        <f>SmtRes!AV115</f>
        <v>1</v>
      </c>
      <c r="F122" t="str">
        <f>SmtRes!I115</f>
        <v>91.18.01-007</v>
      </c>
      <c r="G122" t="str">
        <f>SmtRes!K115</f>
        <v>Компрессоры винтовые передвижные с двигателем внутреннего сгорания, давление до 0,7 МПа (7 атм), производительность до 5,4 м3/мин</v>
      </c>
      <c r="H122" t="str">
        <f>SmtRes!O115</f>
        <v>маш.-ч</v>
      </c>
      <c r="I122">
        <f>SmtRes!Y115*Source!I152</f>
        <v>0.64687499999999987</v>
      </c>
      <c r="J122">
        <f>SmtRes!AO115</f>
        <v>0</v>
      </c>
      <c r="K122">
        <f>SmtRes!AF115</f>
        <v>385.61</v>
      </c>
      <c r="M122">
        <f t="shared" si="10"/>
        <v>249.44</v>
      </c>
      <c r="N122">
        <f>SmtRes!AB115</f>
        <v>385.61</v>
      </c>
      <c r="O122">
        <f>SmtRes!DG115</f>
        <v>249.44</v>
      </c>
      <c r="P122">
        <f>SmtRes!AG115</f>
        <v>368.02</v>
      </c>
      <c r="R122">
        <f t="shared" si="11"/>
        <v>238.06</v>
      </c>
      <c r="S122">
        <f>SmtRes!AC115</f>
        <v>368.02</v>
      </c>
      <c r="T122">
        <f>SmtRes!DH115</f>
        <v>238.06</v>
      </c>
      <c r="U122">
        <v>2</v>
      </c>
      <c r="Z122">
        <f>SmtRes!X115</f>
        <v>1818041354</v>
      </c>
      <c r="AA122">
        <v>1446526422</v>
      </c>
      <c r="AB122">
        <v>1446526422</v>
      </c>
    </row>
    <row r="123" spans="1:28" x14ac:dyDescent="0.25">
      <c r="A123">
        <v>20</v>
      </c>
      <c r="B123">
        <v>114</v>
      </c>
      <c r="C123">
        <v>2</v>
      </c>
      <c r="D123">
        <v>0</v>
      </c>
      <c r="E123">
        <f>SmtRes!AV114</f>
        <v>1</v>
      </c>
      <c r="F123" t="str">
        <f>SmtRes!I114</f>
        <v>91.17.04-233</v>
      </c>
      <c r="G123" t="str">
        <f>SmtRes!K114</f>
        <v>Аппараты сварочные для ручной дуговой сварки, сварочный ток до 350 А</v>
      </c>
      <c r="H123" t="str">
        <f>SmtRes!O114</f>
        <v>маш.-ч</v>
      </c>
      <c r="I123">
        <f>SmtRes!Y114*Source!I152</f>
        <v>3.7518750000000001</v>
      </c>
      <c r="J123">
        <f>SmtRes!AO114</f>
        <v>0</v>
      </c>
      <c r="K123">
        <f>SmtRes!AF114</f>
        <v>41.5</v>
      </c>
      <c r="M123">
        <f t="shared" si="10"/>
        <v>155.69999999999999</v>
      </c>
      <c r="N123">
        <f>SmtRes!AB114</f>
        <v>41.5</v>
      </c>
      <c r="O123">
        <f>SmtRes!DG114</f>
        <v>155.69999999999999</v>
      </c>
      <c r="P123">
        <f>SmtRes!AG114</f>
        <v>0</v>
      </c>
      <c r="R123">
        <f t="shared" si="11"/>
        <v>0</v>
      </c>
      <c r="S123">
        <f>SmtRes!AC114</f>
        <v>0</v>
      </c>
      <c r="T123">
        <f>SmtRes!DH114</f>
        <v>0</v>
      </c>
      <c r="U123">
        <v>2</v>
      </c>
      <c r="Z123">
        <f>SmtRes!X114</f>
        <v>462025989</v>
      </c>
      <c r="AA123">
        <v>393471399</v>
      </c>
      <c r="AB123">
        <v>393471399</v>
      </c>
    </row>
    <row r="124" spans="1:28" x14ac:dyDescent="0.25">
      <c r="A124">
        <v>20</v>
      </c>
      <c r="B124">
        <v>113</v>
      </c>
      <c r="C124">
        <v>2</v>
      </c>
      <c r="D124">
        <v>0</v>
      </c>
      <c r="E124">
        <f>SmtRes!AV113</f>
        <v>1</v>
      </c>
      <c r="F124" t="str">
        <f>SmtRes!I113</f>
        <v>91.14.02-001</v>
      </c>
      <c r="G124" t="str">
        <f>SmtRes!K113</f>
        <v>Автомобили бортовые, грузоподъемность до 5 т</v>
      </c>
      <c r="H124" t="str">
        <f>SmtRes!O113</f>
        <v>маш.-ч</v>
      </c>
      <c r="I124">
        <f>SmtRes!Y113*Source!I152</f>
        <v>5.6924999999999996E-3</v>
      </c>
      <c r="J124">
        <f>SmtRes!AO113</f>
        <v>0</v>
      </c>
      <c r="K124">
        <f>SmtRes!AF113</f>
        <v>551.45000000000005</v>
      </c>
      <c r="M124">
        <f t="shared" si="10"/>
        <v>3.14</v>
      </c>
      <c r="N124">
        <f>SmtRes!AB113</f>
        <v>551.45000000000005</v>
      </c>
      <c r="O124">
        <f>SmtRes!DG113</f>
        <v>3.14</v>
      </c>
      <c r="P124">
        <f>SmtRes!AG113</f>
        <v>368.02</v>
      </c>
      <c r="R124">
        <f t="shared" si="11"/>
        <v>2.09</v>
      </c>
      <c r="S124">
        <f>SmtRes!AC113</f>
        <v>368.02</v>
      </c>
      <c r="T124">
        <f>SmtRes!DH113</f>
        <v>2.09</v>
      </c>
      <c r="U124">
        <v>2</v>
      </c>
      <c r="Z124">
        <f>SmtRes!X113</f>
        <v>-312038840</v>
      </c>
      <c r="AA124">
        <v>280096454</v>
      </c>
      <c r="AB124">
        <v>280096454</v>
      </c>
    </row>
    <row r="125" spans="1:28" x14ac:dyDescent="0.25">
      <c r="A125">
        <v>20</v>
      </c>
      <c r="B125">
        <v>112</v>
      </c>
      <c r="C125">
        <v>2</v>
      </c>
      <c r="D125">
        <v>0</v>
      </c>
      <c r="E125">
        <f>SmtRes!AV112</f>
        <v>1</v>
      </c>
      <c r="F125" t="str">
        <f>SmtRes!I112</f>
        <v>91.10.05-004</v>
      </c>
      <c r="G125" t="str">
        <f>SmtRes!K112</f>
        <v>Трубоукладчики, номинальная грузоподъемность 6,3 т</v>
      </c>
      <c r="H125" t="str">
        <f>SmtRes!O112</f>
        <v>маш.-ч</v>
      </c>
      <c r="I125">
        <f>SmtRes!Y112*Source!I152</f>
        <v>1.27305</v>
      </c>
      <c r="J125">
        <f>SmtRes!AO112</f>
        <v>0</v>
      </c>
      <c r="K125">
        <f>SmtRes!AF112</f>
        <v>994.01</v>
      </c>
      <c r="M125">
        <f t="shared" si="10"/>
        <v>1265.42</v>
      </c>
      <c r="N125">
        <f>SmtRes!AB112</f>
        <v>1113.29</v>
      </c>
      <c r="O125">
        <f>SmtRes!DG112</f>
        <v>1417.27</v>
      </c>
      <c r="P125">
        <f>SmtRes!AG112</f>
        <v>422.95</v>
      </c>
      <c r="R125">
        <f t="shared" si="11"/>
        <v>538.44000000000005</v>
      </c>
      <c r="S125">
        <f>SmtRes!AC112</f>
        <v>422.95</v>
      </c>
      <c r="T125">
        <f>SmtRes!DH112</f>
        <v>538.44000000000005</v>
      </c>
      <c r="U125">
        <v>2</v>
      </c>
      <c r="Z125">
        <f>SmtRes!X112</f>
        <v>-1413288295</v>
      </c>
      <c r="AA125">
        <v>-501972467</v>
      </c>
      <c r="AB125">
        <v>-765263138</v>
      </c>
    </row>
    <row r="126" spans="1:28" x14ac:dyDescent="0.25">
      <c r="A126">
        <v>20</v>
      </c>
      <c r="B126">
        <v>111</v>
      </c>
      <c r="C126">
        <v>2</v>
      </c>
      <c r="D126">
        <v>0</v>
      </c>
      <c r="E126">
        <f>SmtRes!AV111</f>
        <v>1</v>
      </c>
      <c r="F126" t="str">
        <f>SmtRes!I111</f>
        <v>91.10.01-001</v>
      </c>
      <c r="G126" t="str">
        <f>SmtRes!K111</f>
        <v>Агрегаты наполнительно-опрессовочные, подача до 70 м3/ч</v>
      </c>
      <c r="H126" t="str">
        <f>SmtRes!O111</f>
        <v>маш.-ч</v>
      </c>
      <c r="I126">
        <f>SmtRes!Y111*Source!I152</f>
        <v>1.2937499999999997</v>
      </c>
      <c r="J126">
        <f>SmtRes!AO111</f>
        <v>0</v>
      </c>
      <c r="K126">
        <f>SmtRes!AF111</f>
        <v>1416.22</v>
      </c>
      <c r="M126">
        <f t="shared" si="10"/>
        <v>1832.23</v>
      </c>
      <c r="N126">
        <f>SmtRes!AB111</f>
        <v>1756.11</v>
      </c>
      <c r="O126">
        <f>SmtRes!DG111</f>
        <v>2271.9699999999998</v>
      </c>
      <c r="P126">
        <f>SmtRes!AG111</f>
        <v>368.02</v>
      </c>
      <c r="R126">
        <f t="shared" si="11"/>
        <v>476.13</v>
      </c>
      <c r="S126">
        <f>SmtRes!AC111</f>
        <v>368.02</v>
      </c>
      <c r="T126">
        <f>SmtRes!DH111</f>
        <v>476.13</v>
      </c>
      <c r="U126">
        <v>2</v>
      </c>
      <c r="Z126">
        <f>SmtRes!X111</f>
        <v>-394322561</v>
      </c>
      <c r="AA126">
        <v>23963332</v>
      </c>
      <c r="AB126">
        <v>-1067618093</v>
      </c>
    </row>
    <row r="127" spans="1:28" x14ac:dyDescent="0.25">
      <c r="A127">
        <v>20</v>
      </c>
      <c r="B127">
        <v>110</v>
      </c>
      <c r="C127">
        <v>2</v>
      </c>
      <c r="D127">
        <v>0</v>
      </c>
      <c r="E127">
        <f>SmtRes!AV110</f>
        <v>1</v>
      </c>
      <c r="F127" t="str">
        <f>SmtRes!I110</f>
        <v>91.05.05-015</v>
      </c>
      <c r="G127" t="str">
        <f>SmtRes!K110</f>
        <v>Краны на автомобильном ходу, грузоподъемность 16 т</v>
      </c>
      <c r="H127" t="str">
        <f>SmtRes!O110</f>
        <v>маш.-ч</v>
      </c>
      <c r="I127">
        <f>SmtRes!Y110*Source!I152</f>
        <v>3.6224999999999999E-3</v>
      </c>
      <c r="J127">
        <f>SmtRes!AO110</f>
        <v>0</v>
      </c>
      <c r="K127">
        <f>SmtRes!AF110</f>
        <v>1598.95</v>
      </c>
      <c r="M127">
        <f t="shared" si="10"/>
        <v>5.79</v>
      </c>
      <c r="N127">
        <f>SmtRes!AB110</f>
        <v>1598.95</v>
      </c>
      <c r="O127">
        <f>SmtRes!DG110</f>
        <v>5.79</v>
      </c>
      <c r="P127">
        <f>SmtRes!AG110</f>
        <v>494.35</v>
      </c>
      <c r="R127">
        <f t="shared" si="11"/>
        <v>1.79</v>
      </c>
      <c r="S127">
        <f>SmtRes!AC110</f>
        <v>494.35</v>
      </c>
      <c r="T127">
        <f>SmtRes!DH110</f>
        <v>1.79</v>
      </c>
      <c r="U127">
        <v>2</v>
      </c>
      <c r="Z127">
        <f>SmtRes!X110</f>
        <v>-1068589559</v>
      </c>
      <c r="AA127">
        <v>-2133770313</v>
      </c>
      <c r="AB127">
        <v>-2133770313</v>
      </c>
    </row>
    <row r="128" spans="1:28" x14ac:dyDescent="0.25">
      <c r="A128">
        <v>20</v>
      </c>
      <c r="B128">
        <v>109</v>
      </c>
      <c r="C128">
        <v>1</v>
      </c>
      <c r="D128">
        <v>0</v>
      </c>
      <c r="E128">
        <f>SmtRes!AV109</f>
        <v>2</v>
      </c>
      <c r="F128" t="str">
        <f>SmtRes!I109</f>
        <v>4-100-00</v>
      </c>
      <c r="G128" t="str">
        <f>SmtRes!K109</f>
        <v>Затраты труда машинистов</v>
      </c>
      <c r="H128" t="str">
        <f>SmtRes!O109</f>
        <v>чел.-ч.</v>
      </c>
      <c r="I128">
        <f>SmtRes!Y109*Source!I152</f>
        <v>3.2229899999999998</v>
      </c>
      <c r="J128">
        <f>SmtRes!AO109</f>
        <v>0</v>
      </c>
      <c r="K128">
        <f>SmtRes!AH109</f>
        <v>0</v>
      </c>
      <c r="M128">
        <f t="shared" si="10"/>
        <v>0</v>
      </c>
      <c r="N128">
        <f>SmtRes!AD109</f>
        <v>0</v>
      </c>
      <c r="O128">
        <f>SmtRes!DI109</f>
        <v>0</v>
      </c>
      <c r="P128">
        <f>SmtRes!AG109</f>
        <v>0</v>
      </c>
      <c r="R128">
        <f t="shared" si="11"/>
        <v>0</v>
      </c>
      <c r="S128">
        <f>SmtRes!AC109</f>
        <v>0</v>
      </c>
      <c r="T128">
        <f>SmtRes!DH109</f>
        <v>0</v>
      </c>
      <c r="U128">
        <v>1</v>
      </c>
      <c r="Z128">
        <f>SmtRes!X109</f>
        <v>-1417349443</v>
      </c>
      <c r="AA128">
        <v>212567905</v>
      </c>
      <c r="AB128">
        <v>212567905</v>
      </c>
    </row>
    <row r="129" spans="1:28" x14ac:dyDescent="0.25">
      <c r="A129">
        <v>20</v>
      </c>
      <c r="B129">
        <v>108</v>
      </c>
      <c r="C129">
        <v>1</v>
      </c>
      <c r="D129">
        <v>0</v>
      </c>
      <c r="E129">
        <f>SmtRes!AV108</f>
        <v>1</v>
      </c>
      <c r="F129" t="str">
        <f>SmtRes!I108</f>
        <v>1-100-41</v>
      </c>
      <c r="G129" t="str">
        <f>SmtRes!K108</f>
        <v>Средний разряд работы 4,1</v>
      </c>
      <c r="H129" t="str">
        <f>SmtRes!O108</f>
        <v>чел.-ч.</v>
      </c>
      <c r="I129">
        <f>SmtRes!Y108*Source!I152</f>
        <v>22.148999999999997</v>
      </c>
      <c r="J129">
        <f>SmtRes!AO108</f>
        <v>0</v>
      </c>
      <c r="K129">
        <f>SmtRes!AH108</f>
        <v>373.51</v>
      </c>
      <c r="M129">
        <f t="shared" si="10"/>
        <v>8272.8700000000008</v>
      </c>
      <c r="N129">
        <f>SmtRes!AD108</f>
        <v>373.51</v>
      </c>
      <c r="O129">
        <f>SmtRes!DI108</f>
        <v>8272.8700000000008</v>
      </c>
      <c r="P129">
        <f>SmtRes!AG108</f>
        <v>0</v>
      </c>
      <c r="R129">
        <f t="shared" si="11"/>
        <v>0</v>
      </c>
      <c r="S129">
        <f>SmtRes!AC108</f>
        <v>0</v>
      </c>
      <c r="T129">
        <f>SmtRes!DH108</f>
        <v>0</v>
      </c>
      <c r="U129">
        <v>1</v>
      </c>
      <c r="Z129">
        <f>SmtRes!X108</f>
        <v>174150515</v>
      </c>
      <c r="AA129">
        <v>-76897492</v>
      </c>
      <c r="AB129">
        <v>-76897492</v>
      </c>
    </row>
    <row r="130" spans="1:28" x14ac:dyDescent="0.25">
      <c r="A130">
        <f>Source!A153</f>
        <v>18</v>
      </c>
      <c r="B130">
        <v>153</v>
      </c>
      <c r="C130">
        <v>3</v>
      </c>
      <c r="D130">
        <f>Source!BI153</f>
        <v>1</v>
      </c>
      <c r="E130">
        <f>Source!FS153</f>
        <v>0</v>
      </c>
      <c r="F130" t="str">
        <f>Source!F153</f>
        <v>08.1.02.25-0091</v>
      </c>
      <c r="G130" t="str">
        <f>Source!G153</f>
        <v>Опора скользящая стальная (15 шт * 1,94 кг=29,1 кг)</v>
      </c>
      <c r="H130" t="str">
        <f>Source!H153</f>
        <v>кг</v>
      </c>
      <c r="I130">
        <f>Source!I153</f>
        <v>13.049999999999999</v>
      </c>
      <c r="J130">
        <v>1</v>
      </c>
      <c r="K130">
        <f>Source!AC153</f>
        <v>175.65</v>
      </c>
      <c r="M130">
        <f>ROUND(K130*I130, 2)</f>
        <v>2292.23</v>
      </c>
      <c r="N130">
        <f>Source!CQ153</f>
        <v>230.1</v>
      </c>
      <c r="O130">
        <f>ROUND(N130*I130, 2)</f>
        <v>3002.81</v>
      </c>
      <c r="P130">
        <f>Source!AE153</f>
        <v>0</v>
      </c>
      <c r="R130">
        <f>ROUND(P130*I130, 2)</f>
        <v>0</v>
      </c>
      <c r="S130">
        <f>Source!AE153*IF(Source!BS153&lt;&gt; 0, Source!BS153, 1)</f>
        <v>0</v>
      </c>
      <c r="T130">
        <f>ROUND(S130*I130, 2)</f>
        <v>0</v>
      </c>
      <c r="U130">
        <v>3</v>
      </c>
      <c r="Z130">
        <f>Source!GF153</f>
        <v>601571053</v>
      </c>
      <c r="AA130">
        <v>-1012257745</v>
      </c>
      <c r="AB130">
        <v>-106609631</v>
      </c>
    </row>
    <row r="131" spans="1:28" x14ac:dyDescent="0.25">
      <c r="A131">
        <f>Source!A154</f>
        <v>18</v>
      </c>
      <c r="B131">
        <v>154</v>
      </c>
      <c r="C131">
        <v>3</v>
      </c>
      <c r="D131">
        <f>Source!BI154</f>
        <v>1</v>
      </c>
      <c r="E131">
        <f>Source!FS154</f>
        <v>0</v>
      </c>
      <c r="F131" t="str">
        <f>Source!F154</f>
        <v>23.5.02.02-1160</v>
      </c>
      <c r="G131" t="str">
        <f>Source!G154</f>
        <v>Трубы стальные электросварные прямошовные из стали марки 20, наружный диаметр 76 мм, толщина стенки 4 мм</v>
      </c>
      <c r="H131" t="str">
        <f>Source!H154</f>
        <v>м</v>
      </c>
      <c r="I131">
        <f>Source!I154</f>
        <v>45</v>
      </c>
      <c r="J131">
        <v>1</v>
      </c>
      <c r="K131">
        <f>Source!AC154</f>
        <v>494.52</v>
      </c>
      <c r="M131">
        <f>ROUND(K131*I131, 2)</f>
        <v>22253.4</v>
      </c>
      <c r="N131">
        <f>Source!CQ154</f>
        <v>405.51</v>
      </c>
      <c r="O131">
        <f>ROUND(N131*I131, 2)</f>
        <v>18247.95</v>
      </c>
      <c r="P131">
        <f>Source!AE154</f>
        <v>0</v>
      </c>
      <c r="R131">
        <f>ROUND(P131*I131, 2)</f>
        <v>0</v>
      </c>
      <c r="S131">
        <f>Source!AE154*IF(Source!BS154&lt;&gt; 0, Source!BS154, 1)</f>
        <v>0</v>
      </c>
      <c r="T131">
        <f>ROUND(S131*I131, 2)</f>
        <v>0</v>
      </c>
      <c r="U131">
        <v>3</v>
      </c>
      <c r="Z131">
        <f>Source!GF154</f>
        <v>2107056787</v>
      </c>
      <c r="AA131">
        <v>-923401443</v>
      </c>
      <c r="AB131">
        <v>-464300109</v>
      </c>
    </row>
    <row r="132" spans="1:28" x14ac:dyDescent="0.25">
      <c r="A132">
        <f>Source!A155</f>
        <v>18</v>
      </c>
      <c r="B132">
        <v>155</v>
      </c>
      <c r="C132">
        <v>3</v>
      </c>
      <c r="D132">
        <f>Source!BI155</f>
        <v>1</v>
      </c>
      <c r="E132">
        <f>Source!FS155</f>
        <v>0</v>
      </c>
      <c r="F132" t="str">
        <f>Source!F155</f>
        <v>23.8.04.06-0068</v>
      </c>
      <c r="G132" t="str">
        <f>Source!G155</f>
        <v>Отвод 90° с радиусом кривизны R=1,5 Ду на давление до 16 МПа, номинальный диаметр 65 мм, наружный диаметр 76 мм, толщина стенки 6 мм</v>
      </c>
      <c r="H132" t="str">
        <f>Source!H155</f>
        <v>ШТ</v>
      </c>
      <c r="I132">
        <f>Source!I155</f>
        <v>12</v>
      </c>
      <c r="J132">
        <v>1</v>
      </c>
      <c r="K132">
        <f>Source!AC155</f>
        <v>277</v>
      </c>
      <c r="M132">
        <f>ROUND(K132*I132, 2)</f>
        <v>3324</v>
      </c>
      <c r="N132">
        <f>Source!CQ155</f>
        <v>315.77999999999997</v>
      </c>
      <c r="O132">
        <f>ROUND(N132*I132, 2)</f>
        <v>3789.36</v>
      </c>
      <c r="P132">
        <f>Source!AE155</f>
        <v>0</v>
      </c>
      <c r="R132">
        <f>ROUND(P132*I132, 2)</f>
        <v>0</v>
      </c>
      <c r="S132">
        <f>Source!AE155*IF(Source!BS155&lt;&gt; 0, Source!BS155, 1)</f>
        <v>0</v>
      </c>
      <c r="T132">
        <f>ROUND(S132*I132, 2)</f>
        <v>0</v>
      </c>
      <c r="U132">
        <v>3</v>
      </c>
      <c r="Z132">
        <f>Source!GF155</f>
        <v>-1145901236</v>
      </c>
      <c r="AA132">
        <v>-280646727</v>
      </c>
      <c r="AB132">
        <v>432834047</v>
      </c>
    </row>
    <row r="133" spans="1:28" x14ac:dyDescent="0.25">
      <c r="A133">
        <v>20</v>
      </c>
      <c r="B133">
        <v>144</v>
      </c>
      <c r="C133">
        <v>3</v>
      </c>
      <c r="D133">
        <v>0</v>
      </c>
      <c r="E133">
        <f>SmtRes!AV144</f>
        <v>0</v>
      </c>
      <c r="F133" t="str">
        <f>SmtRes!I144</f>
        <v>14.5.09.07-0030</v>
      </c>
      <c r="G133" t="str">
        <f>SmtRes!K144</f>
        <v>Растворитель Р-4</v>
      </c>
      <c r="H133" t="str">
        <f>SmtRes!O144</f>
        <v>т</v>
      </c>
      <c r="I133">
        <f>SmtRes!Y144*Source!I157</f>
        <v>9.6299999999999976E-6</v>
      </c>
      <c r="J133">
        <f>SmtRes!AO144</f>
        <v>0</v>
      </c>
      <c r="K133">
        <f>SmtRes!AE144</f>
        <v>98526.45</v>
      </c>
      <c r="M133">
        <f t="shared" ref="M133:M152" si="12">ROUND(I133*K133, 2)</f>
        <v>0.95</v>
      </c>
      <c r="N133">
        <f>SmtRes!AA144</f>
        <v>146804.41</v>
      </c>
      <c r="O133">
        <f>SmtRes!DF144</f>
        <v>1.41</v>
      </c>
      <c r="P133">
        <f>SmtRes!AG144</f>
        <v>0</v>
      </c>
      <c r="R133">
        <f t="shared" ref="R133:R152" si="13">ROUND(I133*P133, 2)</f>
        <v>0</v>
      </c>
      <c r="S133">
        <f>SmtRes!AC144</f>
        <v>0</v>
      </c>
      <c r="T133">
        <f>SmtRes!DH144</f>
        <v>0</v>
      </c>
      <c r="U133">
        <v>3</v>
      </c>
      <c r="Z133">
        <f>SmtRes!X144</f>
        <v>-970634170</v>
      </c>
      <c r="AA133">
        <v>-1861376545</v>
      </c>
      <c r="AB133">
        <v>-119084382</v>
      </c>
    </row>
    <row r="134" spans="1:28" x14ac:dyDescent="0.25">
      <c r="A134">
        <v>20</v>
      </c>
      <c r="B134">
        <v>143</v>
      </c>
      <c r="C134">
        <v>3</v>
      </c>
      <c r="D134">
        <v>0</v>
      </c>
      <c r="E134">
        <f>SmtRes!AV143</f>
        <v>0</v>
      </c>
      <c r="F134" t="str">
        <f>SmtRes!I143</f>
        <v>14.4.01.01-0003</v>
      </c>
      <c r="G134" t="str">
        <f>SmtRes!K143</f>
        <v>Грунтовка ГФ-021</v>
      </c>
      <c r="H134" t="str">
        <f>SmtRes!O143</f>
        <v>т</v>
      </c>
      <c r="I134">
        <f>SmtRes!Y143*Source!I157</f>
        <v>4.9754999999999992E-6</v>
      </c>
      <c r="J134">
        <f>SmtRes!AO143</f>
        <v>0</v>
      </c>
      <c r="K134">
        <f>SmtRes!AE143</f>
        <v>51280.15</v>
      </c>
      <c r="M134">
        <f t="shared" si="12"/>
        <v>0.26</v>
      </c>
      <c r="N134">
        <f>SmtRes!AA143</f>
        <v>81535.44</v>
      </c>
      <c r="O134">
        <f>SmtRes!DF143</f>
        <v>0.41</v>
      </c>
      <c r="P134">
        <f>SmtRes!AG143</f>
        <v>0</v>
      </c>
      <c r="R134">
        <f t="shared" si="13"/>
        <v>0</v>
      </c>
      <c r="S134">
        <f>SmtRes!AC143</f>
        <v>0</v>
      </c>
      <c r="T134">
        <f>SmtRes!DH143</f>
        <v>0</v>
      </c>
      <c r="U134">
        <v>3</v>
      </c>
      <c r="Z134">
        <f>SmtRes!X143</f>
        <v>-490487806</v>
      </c>
      <c r="AA134">
        <v>1011055179</v>
      </c>
      <c r="AB134">
        <v>-264414510</v>
      </c>
    </row>
    <row r="135" spans="1:28" x14ac:dyDescent="0.25">
      <c r="A135">
        <v>20</v>
      </c>
      <c r="B135">
        <v>142</v>
      </c>
      <c r="C135">
        <v>3</v>
      </c>
      <c r="D135">
        <v>0</v>
      </c>
      <c r="E135">
        <f>SmtRes!AV142</f>
        <v>0</v>
      </c>
      <c r="F135" t="str">
        <f>SmtRes!I142</f>
        <v>11.1.03.01-0061</v>
      </c>
      <c r="G135" t="str">
        <f>SmtRes!K142</f>
        <v>Бруски обрезные хвойных пород (ель, сосна), естественной влажности, длина 2-6,5 м, ширина 20-90 мм, толщина 20-90 мм, сорт I</v>
      </c>
      <c r="H135" t="str">
        <f>SmtRes!O142</f>
        <v>м3</v>
      </c>
      <c r="I135">
        <f>SmtRes!Y142*Source!I157</f>
        <v>1.6531499999999999E-5</v>
      </c>
      <c r="J135">
        <f>SmtRes!AO142</f>
        <v>0</v>
      </c>
      <c r="K135">
        <f>SmtRes!AE142</f>
        <v>16496.03</v>
      </c>
      <c r="M135">
        <f t="shared" si="12"/>
        <v>0.27</v>
      </c>
      <c r="N135">
        <f>SmtRes!AA142</f>
        <v>12701.94</v>
      </c>
      <c r="O135">
        <f>SmtRes!DF142</f>
        <v>0.21</v>
      </c>
      <c r="P135">
        <f>SmtRes!AG142</f>
        <v>0</v>
      </c>
      <c r="R135">
        <f t="shared" si="13"/>
        <v>0</v>
      </c>
      <c r="S135">
        <f>SmtRes!AC142</f>
        <v>0</v>
      </c>
      <c r="T135">
        <f>SmtRes!DH142</f>
        <v>0</v>
      </c>
      <c r="U135">
        <v>3</v>
      </c>
      <c r="Z135">
        <f>SmtRes!X142</f>
        <v>1166267915</v>
      </c>
      <c r="AA135">
        <v>2067580028</v>
      </c>
      <c r="AB135">
        <v>-695802141</v>
      </c>
    </row>
    <row r="136" spans="1:28" x14ac:dyDescent="0.25">
      <c r="A136">
        <v>20</v>
      </c>
      <c r="B136">
        <v>141</v>
      </c>
      <c r="C136">
        <v>3</v>
      </c>
      <c r="D136">
        <v>0</v>
      </c>
      <c r="E136">
        <f>SmtRes!AV141</f>
        <v>0</v>
      </c>
      <c r="F136" t="str">
        <f>SmtRes!I141</f>
        <v>08.3.11.01-1106</v>
      </c>
      <c r="G136" t="str">
        <f>SmtRes!K141</f>
        <v>Швеллеры стальные горячекатаные, марки стали Ст3пс, Ст3сп, № 40У, № 40П</v>
      </c>
      <c r="H136" t="str">
        <f>SmtRes!O141</f>
        <v>т</v>
      </c>
      <c r="I136">
        <f>SmtRes!Y141*Source!I157</f>
        <v>3.1136999999999997E-5</v>
      </c>
      <c r="J136">
        <f>SmtRes!AO141</f>
        <v>0</v>
      </c>
      <c r="K136">
        <f>SmtRes!AE141</f>
        <v>136760</v>
      </c>
      <c r="M136">
        <f t="shared" si="12"/>
        <v>4.26</v>
      </c>
      <c r="N136">
        <f>SmtRes!AA141</f>
        <v>124451.6</v>
      </c>
      <c r="O136">
        <f>SmtRes!DF141</f>
        <v>3.87</v>
      </c>
      <c r="P136">
        <f>SmtRes!AG141</f>
        <v>0</v>
      </c>
      <c r="R136">
        <f t="shared" si="13"/>
        <v>0</v>
      </c>
      <c r="S136">
        <f>SmtRes!AC141</f>
        <v>0</v>
      </c>
      <c r="T136">
        <f>SmtRes!DH141</f>
        <v>0</v>
      </c>
      <c r="U136">
        <v>3</v>
      </c>
      <c r="Z136">
        <f>SmtRes!X141</f>
        <v>506900767</v>
      </c>
      <c r="AA136">
        <v>-1842615747</v>
      </c>
      <c r="AB136">
        <v>571287693</v>
      </c>
    </row>
    <row r="137" spans="1:28" x14ac:dyDescent="0.25">
      <c r="A137">
        <v>20</v>
      </c>
      <c r="B137">
        <v>140</v>
      </c>
      <c r="C137">
        <v>3</v>
      </c>
      <c r="D137">
        <v>0</v>
      </c>
      <c r="E137">
        <f>SmtRes!AV140</f>
        <v>0</v>
      </c>
      <c r="F137" t="str">
        <f>SmtRes!I140</f>
        <v>08.3.03.06-0002</v>
      </c>
      <c r="G137" t="str">
        <f>SmtRes!K140</f>
        <v>Проволока горячекатаная в мотках, диаметр 6,3-6,5 мм</v>
      </c>
      <c r="H137" t="str">
        <f>SmtRes!O140</f>
        <v>т</v>
      </c>
      <c r="I137">
        <f>SmtRes!Y140*Source!I157</f>
        <v>4.8149999999999996E-7</v>
      </c>
      <c r="J137">
        <f>SmtRes!AO140</f>
        <v>0</v>
      </c>
      <c r="K137">
        <f>SmtRes!AE140</f>
        <v>60258.2</v>
      </c>
      <c r="M137">
        <f t="shared" si="12"/>
        <v>0.03</v>
      </c>
      <c r="N137">
        <f>SmtRes!AA140</f>
        <v>52424.63</v>
      </c>
      <c r="O137">
        <f>SmtRes!DF140</f>
        <v>0.03</v>
      </c>
      <c r="P137">
        <f>SmtRes!AG140</f>
        <v>0</v>
      </c>
      <c r="R137">
        <f t="shared" si="13"/>
        <v>0</v>
      </c>
      <c r="S137">
        <f>SmtRes!AC140</f>
        <v>0</v>
      </c>
      <c r="T137">
        <f>SmtRes!DH140</f>
        <v>0</v>
      </c>
      <c r="U137">
        <v>3</v>
      </c>
      <c r="Z137">
        <f>SmtRes!X140</f>
        <v>1897739153</v>
      </c>
      <c r="AA137">
        <v>-527469755</v>
      </c>
      <c r="AB137">
        <v>945285004</v>
      </c>
    </row>
    <row r="138" spans="1:28" x14ac:dyDescent="0.25">
      <c r="A138">
        <v>20</v>
      </c>
      <c r="B138">
        <v>139</v>
      </c>
      <c r="C138">
        <v>3</v>
      </c>
      <c r="D138">
        <v>0</v>
      </c>
      <c r="E138">
        <f>SmtRes!AV139</f>
        <v>0</v>
      </c>
      <c r="F138" t="str">
        <f>SmtRes!I139</f>
        <v>08.2.02.11-0007</v>
      </c>
      <c r="G138" t="str">
        <f>SmtRes!K139</f>
        <v>Канат двойной свивки ТК, конструкции 6х19(1+6+12)+1 о.с., марка В, из оцинкованной по группе Ж проволоки, маркировочная группа 1570-1770 Н/мм2, диаметр 5,5 мм</v>
      </c>
      <c r="H138" t="str">
        <f>SmtRes!O139</f>
        <v>10 м</v>
      </c>
      <c r="I138">
        <f>SmtRes!Y139*Source!I157</f>
        <v>3.0013499999999999E-4</v>
      </c>
      <c r="J138">
        <f>SmtRes!AO139</f>
        <v>0</v>
      </c>
      <c r="K138">
        <f>SmtRes!AE139</f>
        <v>307.83999999999997</v>
      </c>
      <c r="M138">
        <f t="shared" si="12"/>
        <v>0.09</v>
      </c>
      <c r="N138">
        <f>SmtRes!AA139</f>
        <v>221.64</v>
      </c>
      <c r="O138">
        <f>SmtRes!DF139</f>
        <v>7.0000000000000007E-2</v>
      </c>
      <c r="P138">
        <f>SmtRes!AG139</f>
        <v>0</v>
      </c>
      <c r="R138">
        <f t="shared" si="13"/>
        <v>0</v>
      </c>
      <c r="S138">
        <f>SmtRes!AC139</f>
        <v>0</v>
      </c>
      <c r="T138">
        <f>SmtRes!DH139</f>
        <v>0</v>
      </c>
      <c r="U138">
        <v>3</v>
      </c>
      <c r="Z138">
        <f>SmtRes!X139</f>
        <v>-16063298</v>
      </c>
      <c r="AA138">
        <v>-1486008716</v>
      </c>
      <c r="AB138">
        <v>-1390822173</v>
      </c>
    </row>
    <row r="139" spans="1:28" x14ac:dyDescent="0.25">
      <c r="A139">
        <v>20</v>
      </c>
      <c r="B139">
        <v>137</v>
      </c>
      <c r="C139">
        <v>3</v>
      </c>
      <c r="D139">
        <v>0</v>
      </c>
      <c r="E139">
        <f>SmtRes!AV137</f>
        <v>0</v>
      </c>
      <c r="F139" t="str">
        <f>SmtRes!I137</f>
        <v>01.7.20.08-0071</v>
      </c>
      <c r="G139" t="str">
        <f>SmtRes!K137</f>
        <v>Канат пеньковый тросовой свивки, пропитанный, диаметр 26 мм</v>
      </c>
      <c r="H139" t="str">
        <f>SmtRes!O137</f>
        <v>т</v>
      </c>
      <c r="I139">
        <f>SmtRes!Y137*Source!I157</f>
        <v>1.6049999999999999E-6</v>
      </c>
      <c r="J139">
        <f>SmtRes!AO137</f>
        <v>0</v>
      </c>
      <c r="K139">
        <f>SmtRes!AE137</f>
        <v>231787.35</v>
      </c>
      <c r="M139">
        <f t="shared" si="12"/>
        <v>0.37</v>
      </c>
      <c r="N139">
        <f>SmtRes!AA137</f>
        <v>368541.89</v>
      </c>
      <c r="O139">
        <f>SmtRes!DF137</f>
        <v>0.59</v>
      </c>
      <c r="P139">
        <f>SmtRes!AG137</f>
        <v>0</v>
      </c>
      <c r="R139">
        <f t="shared" si="13"/>
        <v>0</v>
      </c>
      <c r="S139">
        <f>SmtRes!AC137</f>
        <v>0</v>
      </c>
      <c r="T139">
        <f>SmtRes!DH137</f>
        <v>0</v>
      </c>
      <c r="U139">
        <v>3</v>
      </c>
      <c r="Z139">
        <f>SmtRes!X137</f>
        <v>-196647353</v>
      </c>
      <c r="AA139">
        <v>709488840</v>
      </c>
      <c r="AB139">
        <v>-1487197942</v>
      </c>
    </row>
    <row r="140" spans="1:28" x14ac:dyDescent="0.25">
      <c r="A140">
        <v>20</v>
      </c>
      <c r="B140">
        <v>136</v>
      </c>
      <c r="C140">
        <v>3</v>
      </c>
      <c r="D140">
        <v>0</v>
      </c>
      <c r="E140">
        <f>SmtRes!AV136</f>
        <v>0</v>
      </c>
      <c r="F140" t="str">
        <f>SmtRes!I136</f>
        <v>01.7.15.06-0111</v>
      </c>
      <c r="G140" t="str">
        <f>SmtRes!K136</f>
        <v>Гвозди строительные</v>
      </c>
      <c r="H140" t="str">
        <f>SmtRes!O136</f>
        <v>т</v>
      </c>
      <c r="I140">
        <f>SmtRes!Y136*Source!I157</f>
        <v>1.6049999999999999E-7</v>
      </c>
      <c r="J140">
        <f>SmtRes!AO136</f>
        <v>0</v>
      </c>
      <c r="K140">
        <f>SmtRes!AE136</f>
        <v>70296.2</v>
      </c>
      <c r="M140">
        <f t="shared" si="12"/>
        <v>0.01</v>
      </c>
      <c r="N140">
        <f>SmtRes!AA136</f>
        <v>92790.98</v>
      </c>
      <c r="O140">
        <f>SmtRes!DF136</f>
        <v>0.02</v>
      </c>
      <c r="P140">
        <f>SmtRes!AG136</f>
        <v>0</v>
      </c>
      <c r="R140">
        <f t="shared" si="13"/>
        <v>0</v>
      </c>
      <c r="S140">
        <f>SmtRes!AC136</f>
        <v>0</v>
      </c>
      <c r="T140">
        <f>SmtRes!DH136</f>
        <v>0</v>
      </c>
      <c r="U140">
        <v>3</v>
      </c>
      <c r="Z140">
        <f>SmtRes!X136</f>
        <v>1479353699</v>
      </c>
      <c r="AA140">
        <v>860443849</v>
      </c>
      <c r="AB140">
        <v>214724844</v>
      </c>
    </row>
    <row r="141" spans="1:28" x14ac:dyDescent="0.25">
      <c r="A141">
        <v>20</v>
      </c>
      <c r="B141">
        <v>135</v>
      </c>
      <c r="C141">
        <v>3</v>
      </c>
      <c r="D141">
        <v>0</v>
      </c>
      <c r="E141">
        <f>SmtRes!AV135</f>
        <v>0</v>
      </c>
      <c r="F141" t="str">
        <f>SmtRes!I135</f>
        <v>01.7.15.03-0042</v>
      </c>
      <c r="G141" t="str">
        <f>SmtRes!K135</f>
        <v>Болты с гайками и шайбами строительные</v>
      </c>
      <c r="H141" t="str">
        <f>SmtRes!O135</f>
        <v>кг</v>
      </c>
      <c r="I141">
        <f>SmtRes!Y135*Source!I157</f>
        <v>8.0249999999999988E-2</v>
      </c>
      <c r="J141">
        <f>SmtRes!AO135</f>
        <v>0</v>
      </c>
      <c r="K141">
        <f>SmtRes!AE135</f>
        <v>174.93</v>
      </c>
      <c r="M141">
        <f t="shared" si="12"/>
        <v>14.04</v>
      </c>
      <c r="N141">
        <f>SmtRes!AA135</f>
        <v>188.92</v>
      </c>
      <c r="O141">
        <f>SmtRes!DF135</f>
        <v>15.16</v>
      </c>
      <c r="P141">
        <f>SmtRes!AG135</f>
        <v>0</v>
      </c>
      <c r="R141">
        <f t="shared" si="13"/>
        <v>0</v>
      </c>
      <c r="S141">
        <f>SmtRes!AC135</f>
        <v>0</v>
      </c>
      <c r="T141">
        <f>SmtRes!DH135</f>
        <v>0</v>
      </c>
      <c r="U141">
        <v>3</v>
      </c>
      <c r="Z141">
        <f>SmtRes!X135</f>
        <v>-489290570</v>
      </c>
      <c r="AA141">
        <v>618056953</v>
      </c>
      <c r="AB141">
        <v>-1688742906</v>
      </c>
    </row>
    <row r="142" spans="1:28" x14ac:dyDescent="0.25">
      <c r="A142">
        <v>20</v>
      </c>
      <c r="B142">
        <v>134</v>
      </c>
      <c r="C142">
        <v>3</v>
      </c>
      <c r="D142">
        <v>0</v>
      </c>
      <c r="E142">
        <f>SmtRes!AV134</f>
        <v>0</v>
      </c>
      <c r="F142" t="str">
        <f>SmtRes!I134</f>
        <v>01.7.11.07-0036</v>
      </c>
      <c r="G142" t="str">
        <f>SmtRes!K134</f>
        <v>Электроды сварочные для сварки низколегированных и углеродистых сталей Э46, диаметр 4 мм</v>
      </c>
      <c r="H142" t="str">
        <f>SmtRes!O134</f>
        <v>кг</v>
      </c>
      <c r="I142">
        <f>SmtRes!Y134*Source!I157</f>
        <v>0.22469999999999998</v>
      </c>
      <c r="J142">
        <f>SmtRes!AO134</f>
        <v>0</v>
      </c>
      <c r="K142">
        <f>SmtRes!AE134</f>
        <v>142.68</v>
      </c>
      <c r="M142">
        <f t="shared" si="12"/>
        <v>32.06</v>
      </c>
      <c r="N142">
        <f>SmtRes!AA134</f>
        <v>121.28</v>
      </c>
      <c r="O142">
        <f>SmtRes!DF134</f>
        <v>27.25</v>
      </c>
      <c r="P142">
        <f>SmtRes!AG134</f>
        <v>0</v>
      </c>
      <c r="R142">
        <f t="shared" si="13"/>
        <v>0</v>
      </c>
      <c r="S142">
        <f>SmtRes!AC134</f>
        <v>0</v>
      </c>
      <c r="T142">
        <f>SmtRes!DH134</f>
        <v>0</v>
      </c>
      <c r="U142">
        <v>3</v>
      </c>
      <c r="Z142">
        <f>SmtRes!X134</f>
        <v>-550460808</v>
      </c>
      <c r="AA142">
        <v>800957304</v>
      </c>
      <c r="AB142">
        <v>-702268366</v>
      </c>
    </row>
    <row r="143" spans="1:28" x14ac:dyDescent="0.25">
      <c r="A143">
        <v>20</v>
      </c>
      <c r="B143">
        <v>133</v>
      </c>
      <c r="C143">
        <v>3</v>
      </c>
      <c r="D143">
        <v>0</v>
      </c>
      <c r="E143">
        <f>SmtRes!AV133</f>
        <v>0</v>
      </c>
      <c r="F143" t="str">
        <f>SmtRes!I133</f>
        <v>01.7.03.04-0001</v>
      </c>
      <c r="G143" t="str">
        <f>SmtRes!K133</f>
        <v>Электроэнергия</v>
      </c>
      <c r="H143" t="str">
        <f>SmtRes!O133</f>
        <v>КВТ-Ч</v>
      </c>
      <c r="I143">
        <f>SmtRes!Y133*Source!I157</f>
        <v>0.16616564999999997</v>
      </c>
      <c r="J143">
        <f>SmtRes!AO133</f>
        <v>0</v>
      </c>
      <c r="K143">
        <f>SmtRes!AE133</f>
        <v>9.0399999999999991</v>
      </c>
      <c r="M143">
        <f t="shared" si="12"/>
        <v>1.5</v>
      </c>
      <c r="N143">
        <f>SmtRes!AA133</f>
        <v>9.0399999999999991</v>
      </c>
      <c r="O143">
        <f>SmtRes!DF133</f>
        <v>1.5</v>
      </c>
      <c r="P143">
        <f>SmtRes!AG133</f>
        <v>0</v>
      </c>
      <c r="R143">
        <f t="shared" si="13"/>
        <v>0</v>
      </c>
      <c r="S143">
        <f>SmtRes!AC133</f>
        <v>0</v>
      </c>
      <c r="T143">
        <f>SmtRes!DH133</f>
        <v>0</v>
      </c>
      <c r="U143">
        <v>3</v>
      </c>
      <c r="Z143">
        <f>SmtRes!X133</f>
        <v>-182421198</v>
      </c>
      <c r="AA143">
        <v>-852101439</v>
      </c>
      <c r="AB143">
        <v>-852101439</v>
      </c>
    </row>
    <row r="144" spans="1:28" x14ac:dyDescent="0.25">
      <c r="A144">
        <v>20</v>
      </c>
      <c r="B144">
        <v>132</v>
      </c>
      <c r="C144">
        <v>3</v>
      </c>
      <c r="D144">
        <v>0</v>
      </c>
      <c r="E144">
        <f>SmtRes!AV132</f>
        <v>0</v>
      </c>
      <c r="F144" t="str">
        <f>SmtRes!I132</f>
        <v>01.3.02.09-0022</v>
      </c>
      <c r="G144" t="str">
        <f>SmtRes!K132</f>
        <v>Пропан-бутан смесь техническая</v>
      </c>
      <c r="H144" t="str">
        <f>SmtRes!O132</f>
        <v>кг</v>
      </c>
      <c r="I144">
        <f>SmtRes!Y132*Source!I157</f>
        <v>9.4694999999999988E-3</v>
      </c>
      <c r="J144">
        <f>SmtRes!AO132</f>
        <v>0</v>
      </c>
      <c r="K144">
        <f>SmtRes!AE132</f>
        <v>41.38</v>
      </c>
      <c r="M144">
        <f t="shared" si="12"/>
        <v>0.39</v>
      </c>
      <c r="N144">
        <f>SmtRes!AA132</f>
        <v>62.48</v>
      </c>
      <c r="O144">
        <f>SmtRes!DF132</f>
        <v>0.59</v>
      </c>
      <c r="P144">
        <f>SmtRes!AG132</f>
        <v>0</v>
      </c>
      <c r="R144">
        <f t="shared" si="13"/>
        <v>0</v>
      </c>
      <c r="S144">
        <f>SmtRes!AC132</f>
        <v>0</v>
      </c>
      <c r="T144">
        <f>SmtRes!DH132</f>
        <v>0</v>
      </c>
      <c r="U144">
        <v>3</v>
      </c>
      <c r="Z144">
        <f>SmtRes!X132</f>
        <v>1843545816</v>
      </c>
      <c r="AA144">
        <v>-693499030</v>
      </c>
      <c r="AB144">
        <v>-241278685</v>
      </c>
    </row>
    <row r="145" spans="1:28" x14ac:dyDescent="0.25">
      <c r="A145">
        <v>20</v>
      </c>
      <c r="B145">
        <v>131</v>
      </c>
      <c r="C145">
        <v>3</v>
      </c>
      <c r="D145">
        <v>0</v>
      </c>
      <c r="E145">
        <f>SmtRes!AV131</f>
        <v>0</v>
      </c>
      <c r="F145" t="str">
        <f>SmtRes!I131</f>
        <v>01.3.02.08-0001</v>
      </c>
      <c r="G145" t="str">
        <f>SmtRes!K131</f>
        <v>Кислород газообразный технический</v>
      </c>
      <c r="H145" t="str">
        <f>SmtRes!O131</f>
        <v>м3</v>
      </c>
      <c r="I145">
        <f>SmtRes!Y131*Source!I157</f>
        <v>3.1297499999999999E-2</v>
      </c>
      <c r="J145">
        <f>SmtRes!AO131</f>
        <v>0</v>
      </c>
      <c r="K145">
        <f>SmtRes!AE131</f>
        <v>114.64</v>
      </c>
      <c r="M145">
        <f t="shared" si="12"/>
        <v>3.59</v>
      </c>
      <c r="N145">
        <f>SmtRes!AA131</f>
        <v>126.1</v>
      </c>
      <c r="O145">
        <f>SmtRes!DF131</f>
        <v>3.95</v>
      </c>
      <c r="P145">
        <f>SmtRes!AG131</f>
        <v>0</v>
      </c>
      <c r="R145">
        <f t="shared" si="13"/>
        <v>0</v>
      </c>
      <c r="S145">
        <f>SmtRes!AC131</f>
        <v>0</v>
      </c>
      <c r="T145">
        <f>SmtRes!DH131</f>
        <v>0</v>
      </c>
      <c r="U145">
        <v>3</v>
      </c>
      <c r="Z145">
        <f>SmtRes!X131</f>
        <v>1531571680</v>
      </c>
      <c r="AA145">
        <v>-811279051</v>
      </c>
      <c r="AB145">
        <v>-1636355577</v>
      </c>
    </row>
    <row r="146" spans="1:28" x14ac:dyDescent="0.25">
      <c r="A146">
        <v>20</v>
      </c>
      <c r="B146">
        <v>130</v>
      </c>
      <c r="C146">
        <v>2</v>
      </c>
      <c r="D146">
        <v>0</v>
      </c>
      <c r="E146">
        <f>SmtRes!AV130</f>
        <v>1</v>
      </c>
      <c r="F146" t="str">
        <f>SmtRes!I130</f>
        <v>91.17.04-171</v>
      </c>
      <c r="G146" t="str">
        <f>SmtRes!K130</f>
        <v>Аппараты сварочные для ручной дуговой сварки, сварочный ток до 500 А</v>
      </c>
      <c r="H146" t="str">
        <f>SmtRes!O130</f>
        <v>маш.-ч</v>
      </c>
      <c r="I146">
        <f>SmtRes!Y130*Source!I157</f>
        <v>0.30085724999999996</v>
      </c>
      <c r="J146">
        <f>SmtRes!AO130</f>
        <v>0</v>
      </c>
      <c r="K146">
        <f>SmtRes!AF130</f>
        <v>90.36</v>
      </c>
      <c r="M146">
        <f t="shared" si="12"/>
        <v>27.19</v>
      </c>
      <c r="N146">
        <f>SmtRes!AB130</f>
        <v>90.36</v>
      </c>
      <c r="O146">
        <f>SmtRes!DG130</f>
        <v>27.19</v>
      </c>
      <c r="P146">
        <f>SmtRes!AG130</f>
        <v>0</v>
      </c>
      <c r="R146">
        <f t="shared" si="13"/>
        <v>0</v>
      </c>
      <c r="S146">
        <f>SmtRes!AC130</f>
        <v>0</v>
      </c>
      <c r="T146">
        <f>SmtRes!DH130</f>
        <v>0</v>
      </c>
      <c r="U146">
        <v>2</v>
      </c>
      <c r="Z146">
        <f>SmtRes!X130</f>
        <v>-565700713</v>
      </c>
      <c r="AA146">
        <v>1403789219</v>
      </c>
      <c r="AB146">
        <v>1403789219</v>
      </c>
    </row>
    <row r="147" spans="1:28" x14ac:dyDescent="0.25">
      <c r="A147">
        <v>20</v>
      </c>
      <c r="B147">
        <v>129</v>
      </c>
      <c r="C147">
        <v>2</v>
      </c>
      <c r="D147">
        <v>0</v>
      </c>
      <c r="E147">
        <f>SmtRes!AV129</f>
        <v>1</v>
      </c>
      <c r="F147" t="str">
        <f>SmtRes!I129</f>
        <v>91.17.04-042</v>
      </c>
      <c r="G147" t="str">
        <f>SmtRes!K129</f>
        <v>Аппараты для газовой сварки и резки</v>
      </c>
      <c r="H147" t="str">
        <f>SmtRes!O129</f>
        <v>маш.-ч</v>
      </c>
      <c r="I147">
        <f>SmtRes!Y129*Source!I157</f>
        <v>4.2821399999999989E-2</v>
      </c>
      <c r="J147">
        <f>SmtRes!AO129</f>
        <v>0</v>
      </c>
      <c r="K147">
        <f>SmtRes!AF129</f>
        <v>4.3499999999999996</v>
      </c>
      <c r="M147">
        <f t="shared" si="12"/>
        <v>0.19</v>
      </c>
      <c r="N147">
        <f>SmtRes!AB129</f>
        <v>5.35</v>
      </c>
      <c r="O147">
        <f>SmtRes!DG129</f>
        <v>0.23</v>
      </c>
      <c r="P147">
        <f>SmtRes!AG129</f>
        <v>0</v>
      </c>
      <c r="R147">
        <f t="shared" si="13"/>
        <v>0</v>
      </c>
      <c r="S147">
        <f>SmtRes!AC129</f>
        <v>0</v>
      </c>
      <c r="T147">
        <f>SmtRes!DH129</f>
        <v>0</v>
      </c>
      <c r="U147">
        <v>2</v>
      </c>
      <c r="Z147">
        <f>SmtRes!X129</f>
        <v>-536748942</v>
      </c>
      <c r="AA147">
        <v>1767300911</v>
      </c>
      <c r="AB147">
        <v>-773146550</v>
      </c>
    </row>
    <row r="148" spans="1:28" x14ac:dyDescent="0.25">
      <c r="A148">
        <v>20</v>
      </c>
      <c r="B148">
        <v>128</v>
      </c>
      <c r="C148">
        <v>2</v>
      </c>
      <c r="D148">
        <v>0</v>
      </c>
      <c r="E148">
        <f>SmtRes!AV128</f>
        <v>1</v>
      </c>
      <c r="F148" t="str">
        <f>SmtRes!I128</f>
        <v>91.14.02-001</v>
      </c>
      <c r="G148" t="str">
        <f>SmtRes!K128</f>
        <v>Автомобили бортовые, грузоподъемность до 5 т</v>
      </c>
      <c r="H148" t="str">
        <f>SmtRes!O128</f>
        <v>маш.-ч</v>
      </c>
      <c r="I148">
        <f>SmtRes!Y128*Source!I157</f>
        <v>2.9531999999999996E-3</v>
      </c>
      <c r="J148">
        <f>SmtRes!AO128</f>
        <v>0</v>
      </c>
      <c r="K148">
        <f>SmtRes!AF128</f>
        <v>551.45000000000005</v>
      </c>
      <c r="M148">
        <f t="shared" si="12"/>
        <v>1.63</v>
      </c>
      <c r="N148">
        <f>SmtRes!AB128</f>
        <v>551.45000000000005</v>
      </c>
      <c r="O148">
        <f>SmtRes!DG128</f>
        <v>1.63</v>
      </c>
      <c r="P148">
        <f>SmtRes!AG128</f>
        <v>368.02</v>
      </c>
      <c r="R148">
        <f t="shared" si="13"/>
        <v>1.0900000000000001</v>
      </c>
      <c r="S148">
        <f>SmtRes!AC128</f>
        <v>368.02</v>
      </c>
      <c r="T148">
        <f>SmtRes!DH128</f>
        <v>1.0900000000000001</v>
      </c>
      <c r="U148">
        <v>2</v>
      </c>
      <c r="Z148">
        <f>SmtRes!X128</f>
        <v>-312038840</v>
      </c>
      <c r="AA148">
        <v>280096454</v>
      </c>
      <c r="AB148">
        <v>280096454</v>
      </c>
    </row>
    <row r="149" spans="1:28" x14ac:dyDescent="0.25">
      <c r="A149">
        <v>20</v>
      </c>
      <c r="B149">
        <v>127</v>
      </c>
      <c r="C149">
        <v>2</v>
      </c>
      <c r="D149">
        <v>0</v>
      </c>
      <c r="E149">
        <f>SmtRes!AV127</f>
        <v>1</v>
      </c>
      <c r="F149" t="str">
        <f>SmtRes!I127</f>
        <v>91.06.03-062</v>
      </c>
      <c r="G149" t="str">
        <f>SmtRes!K127</f>
        <v>Лебедки электрические тяговым усилием до 31,39 кН (3,2 т)</v>
      </c>
      <c r="H149" t="str">
        <f>SmtRes!O127</f>
        <v>маш.-ч</v>
      </c>
      <c r="I149">
        <f>SmtRes!Y127*Source!I157</f>
        <v>6.8292749999999985E-2</v>
      </c>
      <c r="J149">
        <f>SmtRes!AO127</f>
        <v>0</v>
      </c>
      <c r="K149">
        <f>SmtRes!AF127</f>
        <v>13.44</v>
      </c>
      <c r="M149">
        <f t="shared" si="12"/>
        <v>0.92</v>
      </c>
      <c r="N149">
        <f>SmtRes!AB127</f>
        <v>20.43</v>
      </c>
      <c r="O149">
        <f>SmtRes!DG127</f>
        <v>1.4</v>
      </c>
      <c r="P149">
        <f>SmtRes!AG127</f>
        <v>0</v>
      </c>
      <c r="R149">
        <f t="shared" si="13"/>
        <v>0</v>
      </c>
      <c r="S149">
        <f>SmtRes!AC127</f>
        <v>0</v>
      </c>
      <c r="T149">
        <f>SmtRes!DH127</f>
        <v>0</v>
      </c>
      <c r="U149">
        <v>2</v>
      </c>
      <c r="Z149">
        <f>SmtRes!X127</f>
        <v>-769439360</v>
      </c>
      <c r="AA149">
        <v>498787679</v>
      </c>
      <c r="AB149">
        <v>-691296830</v>
      </c>
    </row>
    <row r="150" spans="1:28" x14ac:dyDescent="0.25">
      <c r="A150">
        <v>20</v>
      </c>
      <c r="B150">
        <v>126</v>
      </c>
      <c r="C150">
        <v>2</v>
      </c>
      <c r="D150">
        <v>0</v>
      </c>
      <c r="E150">
        <f>SmtRes!AV126</f>
        <v>1</v>
      </c>
      <c r="F150" t="str">
        <f>SmtRes!I126</f>
        <v>91.05.05-015</v>
      </c>
      <c r="G150" t="str">
        <f>SmtRes!K126</f>
        <v>Краны на автомобильном ходу, грузоподъемность 16 т</v>
      </c>
      <c r="H150" t="str">
        <f>SmtRes!O126</f>
        <v>маш.-ч</v>
      </c>
      <c r="I150">
        <f>SmtRes!Y126*Source!I157</f>
        <v>2.0303249999999999E-3</v>
      </c>
      <c r="J150">
        <f>SmtRes!AO126</f>
        <v>0</v>
      </c>
      <c r="K150">
        <f>SmtRes!AF126</f>
        <v>1598.95</v>
      </c>
      <c r="M150">
        <f t="shared" si="12"/>
        <v>3.25</v>
      </c>
      <c r="N150">
        <f>SmtRes!AB126</f>
        <v>1598.95</v>
      </c>
      <c r="O150">
        <f>SmtRes!DG126</f>
        <v>3.25</v>
      </c>
      <c r="P150">
        <f>SmtRes!AG126</f>
        <v>494.35</v>
      </c>
      <c r="R150">
        <f t="shared" si="13"/>
        <v>1</v>
      </c>
      <c r="S150">
        <f>SmtRes!AC126</f>
        <v>494.35</v>
      </c>
      <c r="T150">
        <f>SmtRes!DH126</f>
        <v>1</v>
      </c>
      <c r="U150">
        <v>2</v>
      </c>
      <c r="Z150">
        <f>SmtRes!X126</f>
        <v>-1068589559</v>
      </c>
      <c r="AA150">
        <v>-2133770313</v>
      </c>
      <c r="AB150">
        <v>-2133770313</v>
      </c>
    </row>
    <row r="151" spans="1:28" x14ac:dyDescent="0.25">
      <c r="A151">
        <v>20</v>
      </c>
      <c r="B151">
        <v>125</v>
      </c>
      <c r="C151">
        <v>1</v>
      </c>
      <c r="D151">
        <v>0</v>
      </c>
      <c r="E151">
        <f>SmtRes!AV125</f>
        <v>2</v>
      </c>
      <c r="F151" t="str">
        <f>SmtRes!I125</f>
        <v>4-100-00</v>
      </c>
      <c r="G151" t="str">
        <f>SmtRes!K125</f>
        <v>Затраты труда машинистов</v>
      </c>
      <c r="H151" t="str">
        <f>SmtRes!O125</f>
        <v>чел.-ч.</v>
      </c>
      <c r="I151">
        <f>SmtRes!Y125*Source!I157</f>
        <v>4.9835249999999991E-3</v>
      </c>
      <c r="J151">
        <f>SmtRes!AO125</f>
        <v>0</v>
      </c>
      <c r="K151">
        <f>SmtRes!AH125</f>
        <v>0</v>
      </c>
      <c r="M151">
        <f t="shared" si="12"/>
        <v>0</v>
      </c>
      <c r="N151">
        <f>SmtRes!AD125</f>
        <v>0</v>
      </c>
      <c r="O151">
        <f>SmtRes!DI125</f>
        <v>0</v>
      </c>
      <c r="P151">
        <f>SmtRes!AG125</f>
        <v>0</v>
      </c>
      <c r="R151">
        <f t="shared" si="13"/>
        <v>0</v>
      </c>
      <c r="S151">
        <f>SmtRes!AC125</f>
        <v>0</v>
      </c>
      <c r="T151">
        <f>SmtRes!DH125</f>
        <v>0</v>
      </c>
      <c r="U151">
        <v>1</v>
      </c>
      <c r="Z151">
        <f>SmtRes!X125</f>
        <v>-1417349443</v>
      </c>
      <c r="AA151">
        <v>212567905</v>
      </c>
      <c r="AB151">
        <v>212567905</v>
      </c>
    </row>
    <row r="152" spans="1:28" x14ac:dyDescent="0.25">
      <c r="A152">
        <v>20</v>
      </c>
      <c r="B152">
        <v>124</v>
      </c>
      <c r="C152">
        <v>1</v>
      </c>
      <c r="D152">
        <v>0</v>
      </c>
      <c r="E152">
        <f>SmtRes!AV124</f>
        <v>1</v>
      </c>
      <c r="F152" t="str">
        <f>SmtRes!I124</f>
        <v>1-100-35</v>
      </c>
      <c r="G152" t="str">
        <f>SmtRes!K124</f>
        <v>Средний разряд работы 3,5</v>
      </c>
      <c r="H152" t="str">
        <f>SmtRes!O124</f>
        <v>чел.-ч.</v>
      </c>
      <c r="I152">
        <f>SmtRes!Y124*Source!I157</f>
        <v>1.3584719999999997</v>
      </c>
      <c r="J152">
        <f>SmtRes!AO124</f>
        <v>0</v>
      </c>
      <c r="K152">
        <f>SmtRes!AH124</f>
        <v>347.42</v>
      </c>
      <c r="M152">
        <f t="shared" si="12"/>
        <v>471.96</v>
      </c>
      <c r="N152">
        <f>SmtRes!AD124</f>
        <v>347.42</v>
      </c>
      <c r="O152">
        <f>SmtRes!DI124</f>
        <v>471.96</v>
      </c>
      <c r="P152">
        <f>SmtRes!AG124</f>
        <v>0</v>
      </c>
      <c r="R152">
        <f t="shared" si="13"/>
        <v>0</v>
      </c>
      <c r="S152">
        <f>SmtRes!AC124</f>
        <v>0</v>
      </c>
      <c r="T152">
        <f>SmtRes!DH124</f>
        <v>0</v>
      </c>
      <c r="U152">
        <v>1</v>
      </c>
      <c r="Z152">
        <f>SmtRes!X124</f>
        <v>-715079457</v>
      </c>
      <c r="AA152">
        <v>-575432323</v>
      </c>
      <c r="AB152">
        <v>-575432323</v>
      </c>
    </row>
    <row r="153" spans="1:28" x14ac:dyDescent="0.25">
      <c r="A153">
        <f>Source!A158</f>
        <v>18</v>
      </c>
      <c r="B153">
        <v>158</v>
      </c>
      <c r="C153">
        <v>3</v>
      </c>
      <c r="D153">
        <f>Source!BI158</f>
        <v>1</v>
      </c>
      <c r="E153">
        <f>Source!FS158</f>
        <v>0</v>
      </c>
      <c r="F153" t="str">
        <f>Source!F158</f>
        <v>08.1.02.25-0091</v>
      </c>
      <c r="G153" t="str">
        <f>Source!G158</f>
        <v>Опора скользящая стальная (15 шт * 1,94 кг=29,1 кг)</v>
      </c>
      <c r="H153" t="str">
        <f>Source!H158</f>
        <v>кг</v>
      </c>
      <c r="I153">
        <f>Source!I158</f>
        <v>16.05</v>
      </c>
      <c r="J153">
        <v>1</v>
      </c>
      <c r="K153">
        <f>Source!AC158</f>
        <v>175.65</v>
      </c>
      <c r="M153">
        <f>ROUND(K153*I153, 2)</f>
        <v>2819.18</v>
      </c>
      <c r="N153">
        <f>Source!CQ158</f>
        <v>230.1</v>
      </c>
      <c r="O153">
        <f>ROUND(N153*I153, 2)</f>
        <v>3693.11</v>
      </c>
      <c r="P153">
        <f>Source!AE158</f>
        <v>0</v>
      </c>
      <c r="R153">
        <f>ROUND(P153*I153, 2)</f>
        <v>0</v>
      </c>
      <c r="S153">
        <f>Source!AE158*IF(Source!BS158&lt;&gt; 0, Source!BS158, 1)</f>
        <v>0</v>
      </c>
      <c r="T153">
        <f>ROUND(S153*I153, 2)</f>
        <v>0</v>
      </c>
      <c r="U153">
        <v>3</v>
      </c>
      <c r="Z153">
        <f>Source!GF158</f>
        <v>601571053</v>
      </c>
      <c r="AA153">
        <v>-1012257745</v>
      </c>
      <c r="AB153">
        <v>-106609631</v>
      </c>
    </row>
    <row r="154" spans="1:28" x14ac:dyDescent="0.25">
      <c r="A154">
        <v>20</v>
      </c>
      <c r="B154">
        <v>151</v>
      </c>
      <c r="C154">
        <v>3</v>
      </c>
      <c r="D154">
        <v>0</v>
      </c>
      <c r="E154">
        <f>SmtRes!AV151</f>
        <v>0</v>
      </c>
      <c r="F154" t="str">
        <f>SmtRes!I151</f>
        <v>08.1.02.11-0001</v>
      </c>
      <c r="G154" t="str">
        <f>SmtRes!K151</f>
        <v>Поковки из квадратных заготовок, масса 1,5-4,5 кг</v>
      </c>
      <c r="H154" t="str">
        <f>SmtRes!O151</f>
        <v>т</v>
      </c>
      <c r="I154">
        <f>SmtRes!Y151*Source!I160</f>
        <v>0</v>
      </c>
      <c r="J154">
        <f>SmtRes!AO151</f>
        <v>0</v>
      </c>
      <c r="K154">
        <f>SmtRes!AE151</f>
        <v>55898.18</v>
      </c>
      <c r="M154">
        <f t="shared" ref="M154:M178" si="14">ROUND(I154*K154, 2)</f>
        <v>0</v>
      </c>
      <c r="N154">
        <f>SmtRes!AA151</f>
        <v>73226.62</v>
      </c>
      <c r="O154">
        <f>SmtRes!DF151</f>
        <v>0</v>
      </c>
      <c r="P154">
        <f>SmtRes!AG151</f>
        <v>0</v>
      </c>
      <c r="R154">
        <f t="shared" ref="R154:R178" si="15">ROUND(I154*P154, 2)</f>
        <v>0</v>
      </c>
      <c r="S154">
        <f>SmtRes!AC151</f>
        <v>0</v>
      </c>
      <c r="T154">
        <f>SmtRes!DH151</f>
        <v>0</v>
      </c>
      <c r="U154">
        <v>3</v>
      </c>
      <c r="Z154">
        <f>SmtRes!X151</f>
        <v>-1732801658</v>
      </c>
      <c r="AA154">
        <v>1351371283</v>
      </c>
      <c r="AB154">
        <v>-394698039</v>
      </c>
    </row>
    <row r="155" spans="1:28" x14ac:dyDescent="0.25">
      <c r="A155">
        <v>20</v>
      </c>
      <c r="B155">
        <v>150</v>
      </c>
      <c r="C155">
        <v>3</v>
      </c>
      <c r="D155">
        <v>0</v>
      </c>
      <c r="E155">
        <f>SmtRes!AV150</f>
        <v>0</v>
      </c>
      <c r="F155" t="str">
        <f>SmtRes!I150</f>
        <v>01.7.19.04-0002</v>
      </c>
      <c r="G155" t="str">
        <f>SmtRes!K150</f>
        <v>Пластины резиновые рулонная вулканизированная</v>
      </c>
      <c r="H155" t="str">
        <f>SmtRes!O150</f>
        <v>кг</v>
      </c>
      <c r="I155">
        <f>SmtRes!Y150*Source!I160</f>
        <v>0</v>
      </c>
      <c r="J155">
        <f>SmtRes!AO150</f>
        <v>0</v>
      </c>
      <c r="K155">
        <f>SmtRes!AE150</f>
        <v>89.75</v>
      </c>
      <c r="M155">
        <f t="shared" si="14"/>
        <v>0</v>
      </c>
      <c r="N155">
        <f>SmtRes!AA150</f>
        <v>131.93</v>
      </c>
      <c r="O155">
        <f>SmtRes!DF150</f>
        <v>0</v>
      </c>
      <c r="P155">
        <f>SmtRes!AG150</f>
        <v>0</v>
      </c>
      <c r="R155">
        <f t="shared" si="15"/>
        <v>0</v>
      </c>
      <c r="S155">
        <f>SmtRes!AC150</f>
        <v>0</v>
      </c>
      <c r="T155">
        <f>SmtRes!DH150</f>
        <v>0</v>
      </c>
      <c r="U155">
        <v>3</v>
      </c>
      <c r="Z155">
        <f>SmtRes!X150</f>
        <v>1012565652</v>
      </c>
      <c r="AA155">
        <v>-375537461</v>
      </c>
      <c r="AB155">
        <v>310889941</v>
      </c>
    </row>
    <row r="156" spans="1:28" x14ac:dyDescent="0.25">
      <c r="A156">
        <v>20</v>
      </c>
      <c r="B156">
        <v>149</v>
      </c>
      <c r="C156">
        <v>3</v>
      </c>
      <c r="D156">
        <v>0</v>
      </c>
      <c r="E156">
        <f>SmtRes!AV149</f>
        <v>0</v>
      </c>
      <c r="F156" t="str">
        <f>SmtRes!I149</f>
        <v>01.3.01.06-0051</v>
      </c>
      <c r="G156" t="str">
        <f>SmtRes!K149</f>
        <v>Смазка солидол жировой Ж</v>
      </c>
      <c r="H156" t="str">
        <f>SmtRes!O149</f>
        <v>кг</v>
      </c>
      <c r="I156">
        <f>SmtRes!Y149*Source!I160</f>
        <v>0</v>
      </c>
      <c r="J156">
        <f>SmtRes!AO149</f>
        <v>0</v>
      </c>
      <c r="K156">
        <f>SmtRes!AE149</f>
        <v>58.53</v>
      </c>
      <c r="M156">
        <f t="shared" si="14"/>
        <v>0</v>
      </c>
      <c r="N156">
        <f>SmtRes!AA149</f>
        <v>90.72</v>
      </c>
      <c r="O156">
        <f>SmtRes!DF149</f>
        <v>0</v>
      </c>
      <c r="P156">
        <f>SmtRes!AG149</f>
        <v>0</v>
      </c>
      <c r="R156">
        <f t="shared" si="15"/>
        <v>0</v>
      </c>
      <c r="S156">
        <f>SmtRes!AC149</f>
        <v>0</v>
      </c>
      <c r="T156">
        <f>SmtRes!DH149</f>
        <v>0</v>
      </c>
      <c r="U156">
        <v>3</v>
      </c>
      <c r="Z156">
        <f>SmtRes!X149</f>
        <v>-1881778700</v>
      </c>
      <c r="AA156">
        <v>1106748977</v>
      </c>
      <c r="AB156">
        <v>75641291</v>
      </c>
    </row>
    <row r="157" spans="1:28" x14ac:dyDescent="0.25">
      <c r="A157">
        <v>20</v>
      </c>
      <c r="B157">
        <v>148</v>
      </c>
      <c r="C157">
        <v>2</v>
      </c>
      <c r="D157">
        <v>0</v>
      </c>
      <c r="E157">
        <f>SmtRes!AV148</f>
        <v>1</v>
      </c>
      <c r="F157" t="str">
        <f>SmtRes!I148</f>
        <v>91.14.02-001</v>
      </c>
      <c r="G157" t="str">
        <f>SmtRes!K148</f>
        <v>Автомобили бортовые, грузоподъемность до 5 т</v>
      </c>
      <c r="H157" t="str">
        <f>SmtRes!O148</f>
        <v>маш.-ч</v>
      </c>
      <c r="I157">
        <f>SmtRes!Y148*Source!I160</f>
        <v>9.3840000000000007E-2</v>
      </c>
      <c r="J157">
        <f>SmtRes!AO148</f>
        <v>0</v>
      </c>
      <c r="K157">
        <f>SmtRes!AF148</f>
        <v>551.45000000000005</v>
      </c>
      <c r="M157">
        <f t="shared" si="14"/>
        <v>51.75</v>
      </c>
      <c r="N157">
        <f>SmtRes!AB148</f>
        <v>551.45000000000005</v>
      </c>
      <c r="O157">
        <f>SmtRes!DG148</f>
        <v>51.75</v>
      </c>
      <c r="P157">
        <f>SmtRes!AG148</f>
        <v>368.02</v>
      </c>
      <c r="R157">
        <f t="shared" si="15"/>
        <v>34.53</v>
      </c>
      <c r="S157">
        <f>SmtRes!AC148</f>
        <v>368.02</v>
      </c>
      <c r="T157">
        <f>SmtRes!DH148</f>
        <v>34.53</v>
      </c>
      <c r="U157">
        <v>2</v>
      </c>
      <c r="Z157">
        <f>SmtRes!X148</f>
        <v>-312038840</v>
      </c>
      <c r="AA157">
        <v>280096454</v>
      </c>
      <c r="AB157">
        <v>280096454</v>
      </c>
    </row>
    <row r="158" spans="1:28" x14ac:dyDescent="0.25">
      <c r="A158">
        <v>20</v>
      </c>
      <c r="B158">
        <v>147</v>
      </c>
      <c r="C158">
        <v>2</v>
      </c>
      <c r="D158">
        <v>0</v>
      </c>
      <c r="E158">
        <f>SmtRes!AV147</f>
        <v>1</v>
      </c>
      <c r="F158" t="str">
        <f>SmtRes!I147</f>
        <v>91.06.03-045</v>
      </c>
      <c r="G158" t="str">
        <f>SmtRes!K147</f>
        <v>Лебедки ручные и рычажные тяговым усилием 14,72 кН (1,5 т)</v>
      </c>
      <c r="H158" t="str">
        <f>SmtRes!O147</f>
        <v>маш.-ч</v>
      </c>
      <c r="I158">
        <f>SmtRes!Y147*Source!I160</f>
        <v>14.396159999999998</v>
      </c>
      <c r="J158">
        <f>SmtRes!AO147</f>
        <v>0</v>
      </c>
      <c r="K158">
        <f>SmtRes!AF147</f>
        <v>1.4</v>
      </c>
      <c r="M158">
        <f t="shared" si="14"/>
        <v>20.149999999999999</v>
      </c>
      <c r="N158">
        <f>SmtRes!AB147</f>
        <v>2.13</v>
      </c>
      <c r="O158">
        <f>SmtRes!DG147</f>
        <v>30.66</v>
      </c>
      <c r="P158">
        <f>SmtRes!AG147</f>
        <v>0</v>
      </c>
      <c r="R158">
        <f t="shared" si="15"/>
        <v>0</v>
      </c>
      <c r="S158">
        <f>SmtRes!AC147</f>
        <v>0</v>
      </c>
      <c r="T158">
        <f>SmtRes!DH147</f>
        <v>0</v>
      </c>
      <c r="U158">
        <v>2</v>
      </c>
      <c r="Z158">
        <f>SmtRes!X147</f>
        <v>-708290275</v>
      </c>
      <c r="AA158">
        <v>1650567912</v>
      </c>
      <c r="AB158">
        <v>-1398546736</v>
      </c>
    </row>
    <row r="159" spans="1:28" x14ac:dyDescent="0.25">
      <c r="A159">
        <v>20</v>
      </c>
      <c r="B159">
        <v>146</v>
      </c>
      <c r="C159">
        <v>1</v>
      </c>
      <c r="D159">
        <v>0</v>
      </c>
      <c r="E159">
        <f>SmtRes!AV146</f>
        <v>2</v>
      </c>
      <c r="F159" t="str">
        <f>SmtRes!I146</f>
        <v>4-100-00</v>
      </c>
      <c r="G159" t="str">
        <f>SmtRes!K146</f>
        <v>Затраты труда машинистов</v>
      </c>
      <c r="H159" t="str">
        <f>SmtRes!O146</f>
        <v>чел.-ч.</v>
      </c>
      <c r="I159">
        <f>SmtRes!Y146*Source!I160</f>
        <v>9.3840000000000007E-2</v>
      </c>
      <c r="J159">
        <f>SmtRes!AO146</f>
        <v>0</v>
      </c>
      <c r="K159">
        <f>SmtRes!AH146</f>
        <v>0</v>
      </c>
      <c r="M159">
        <f t="shared" si="14"/>
        <v>0</v>
      </c>
      <c r="N159">
        <f>SmtRes!AD146</f>
        <v>0</v>
      </c>
      <c r="O159">
        <f>SmtRes!DI146</f>
        <v>0</v>
      </c>
      <c r="P159">
        <f>SmtRes!AG146</f>
        <v>0</v>
      </c>
      <c r="R159">
        <f t="shared" si="15"/>
        <v>0</v>
      </c>
      <c r="S159">
        <f>SmtRes!AC146</f>
        <v>0</v>
      </c>
      <c r="T159">
        <f>SmtRes!DH146</f>
        <v>0</v>
      </c>
      <c r="U159">
        <v>1</v>
      </c>
      <c r="Z159">
        <f>SmtRes!X146</f>
        <v>-1417349443</v>
      </c>
      <c r="AA159">
        <v>212567905</v>
      </c>
      <c r="AB159">
        <v>212567905</v>
      </c>
    </row>
    <row r="160" spans="1:28" x14ac:dyDescent="0.25">
      <c r="A160">
        <v>20</v>
      </c>
      <c r="B160">
        <v>145</v>
      </c>
      <c r="C160">
        <v>1</v>
      </c>
      <c r="D160">
        <v>0</v>
      </c>
      <c r="E160">
        <f>SmtRes!AV145</f>
        <v>1</v>
      </c>
      <c r="F160" t="str">
        <f>SmtRes!I145</f>
        <v>1-100-40</v>
      </c>
      <c r="G160" t="str">
        <f>SmtRes!K145</f>
        <v>Средний разряд работы 4,0</v>
      </c>
      <c r="H160" t="str">
        <f>SmtRes!O145</f>
        <v>чел.-ч.</v>
      </c>
      <c r="I160">
        <f>SmtRes!Y145*Source!I160</f>
        <v>46.588799999999999</v>
      </c>
      <c r="J160">
        <f>SmtRes!AO145</f>
        <v>0</v>
      </c>
      <c r="K160">
        <f>SmtRes!AH145</f>
        <v>368.02</v>
      </c>
      <c r="M160">
        <f t="shared" si="14"/>
        <v>17145.61</v>
      </c>
      <c r="N160">
        <f>SmtRes!AD145</f>
        <v>368.02</v>
      </c>
      <c r="O160">
        <f>SmtRes!DI145</f>
        <v>17145.61</v>
      </c>
      <c r="P160">
        <f>SmtRes!AG145</f>
        <v>0</v>
      </c>
      <c r="R160">
        <f t="shared" si="15"/>
        <v>0</v>
      </c>
      <c r="S160">
        <f>SmtRes!AC145</f>
        <v>0</v>
      </c>
      <c r="T160">
        <f>SmtRes!DH145</f>
        <v>0</v>
      </c>
      <c r="U160">
        <v>1</v>
      </c>
      <c r="Z160">
        <f>SmtRes!X145</f>
        <v>888410196</v>
      </c>
      <c r="AA160">
        <v>-991456032</v>
      </c>
      <c r="AB160">
        <v>-991456032</v>
      </c>
    </row>
    <row r="161" spans="1:28" x14ac:dyDescent="0.25">
      <c r="A161">
        <v>20</v>
      </c>
      <c r="B161">
        <v>159</v>
      </c>
      <c r="C161">
        <v>3</v>
      </c>
      <c r="D161">
        <v>0</v>
      </c>
      <c r="E161">
        <f>SmtRes!AV159</f>
        <v>0</v>
      </c>
      <c r="F161" t="str">
        <f>SmtRes!I159</f>
        <v>14.5.09.10-0001</v>
      </c>
      <c r="G161" t="str">
        <f>SmtRes!K159</f>
        <v>Толуол каменноугольный и сланцевый, марки А, Б</v>
      </c>
      <c r="H161" t="str">
        <f>SmtRes!O159</f>
        <v>т</v>
      </c>
      <c r="I161">
        <f>SmtRes!Y159*Source!I162</f>
        <v>6.4000000000000005E-4</v>
      </c>
      <c r="J161">
        <f>SmtRes!AO159</f>
        <v>0</v>
      </c>
      <c r="K161">
        <f>SmtRes!AE159</f>
        <v>74165.73</v>
      </c>
      <c r="M161">
        <f t="shared" si="14"/>
        <v>47.47</v>
      </c>
      <c r="N161">
        <f>SmtRes!AA159</f>
        <v>110506.94</v>
      </c>
      <c r="O161">
        <f>SmtRes!DF159</f>
        <v>70.72</v>
      </c>
      <c r="P161">
        <f>SmtRes!AG159</f>
        <v>0</v>
      </c>
      <c r="R161">
        <f t="shared" si="15"/>
        <v>0</v>
      </c>
      <c r="S161">
        <f>SmtRes!AC159</f>
        <v>0</v>
      </c>
      <c r="T161">
        <f>SmtRes!DH159</f>
        <v>0</v>
      </c>
      <c r="U161">
        <v>3</v>
      </c>
      <c r="Z161">
        <f>SmtRes!X159</f>
        <v>-1779412701</v>
      </c>
      <c r="AA161">
        <v>-98581937</v>
      </c>
      <c r="AB161">
        <v>334416543</v>
      </c>
    </row>
    <row r="162" spans="1:28" x14ac:dyDescent="0.25">
      <c r="A162">
        <v>20</v>
      </c>
      <c r="B162">
        <v>158</v>
      </c>
      <c r="C162">
        <v>3</v>
      </c>
      <c r="D162">
        <v>0</v>
      </c>
      <c r="E162">
        <f>SmtRes!AV158</f>
        <v>0</v>
      </c>
      <c r="F162" t="str">
        <f>SmtRes!I158</f>
        <v>14.2.01.01-0003</v>
      </c>
      <c r="G162" t="str">
        <f>SmtRes!K158</f>
        <v>Композиция органосиликатная ОС-12-03</v>
      </c>
      <c r="H162" t="str">
        <f>SmtRes!O158</f>
        <v>т</v>
      </c>
      <c r="I162">
        <f>SmtRes!Y158*Source!I162</f>
        <v>5.7599999999999995E-3</v>
      </c>
      <c r="J162">
        <f>SmtRes!AO158</f>
        <v>0</v>
      </c>
      <c r="K162">
        <f>SmtRes!AE158</f>
        <v>130472.1</v>
      </c>
      <c r="M162">
        <f t="shared" si="14"/>
        <v>751.52</v>
      </c>
      <c r="N162">
        <f>SmtRes!AA158</f>
        <v>249201.71</v>
      </c>
      <c r="O162">
        <f>SmtRes!DF158</f>
        <v>1435.4</v>
      </c>
      <c r="P162">
        <f>SmtRes!AG158</f>
        <v>0</v>
      </c>
      <c r="R162">
        <f t="shared" si="15"/>
        <v>0</v>
      </c>
      <c r="S162">
        <f>SmtRes!AC158</f>
        <v>0</v>
      </c>
      <c r="T162">
        <f>SmtRes!DH158</f>
        <v>0</v>
      </c>
      <c r="U162">
        <v>3</v>
      </c>
      <c r="Z162">
        <f>SmtRes!X158</f>
        <v>1196991779</v>
      </c>
      <c r="AA162">
        <v>-585627587</v>
      </c>
      <c r="AB162">
        <v>1563425988</v>
      </c>
    </row>
    <row r="163" spans="1:28" x14ac:dyDescent="0.25">
      <c r="A163">
        <v>20</v>
      </c>
      <c r="B163">
        <v>157</v>
      </c>
      <c r="C163">
        <v>2</v>
      </c>
      <c r="D163">
        <v>0</v>
      </c>
      <c r="E163">
        <f>SmtRes!AV157</f>
        <v>1</v>
      </c>
      <c r="F163" t="str">
        <f>SmtRes!I157</f>
        <v>91.21.01-012</v>
      </c>
      <c r="G163" t="str">
        <f>SmtRes!K157</f>
        <v>Агрегаты окрасочные высокого давления для окраски поверхностей конструкций, мощность 1 кВт</v>
      </c>
      <c r="H163" t="str">
        <f>SmtRes!O157</f>
        <v>маш.-ч</v>
      </c>
      <c r="I163">
        <f>SmtRes!Y157*Source!I162</f>
        <v>0.41216000000000003</v>
      </c>
      <c r="J163">
        <f>SmtRes!AO157</f>
        <v>0</v>
      </c>
      <c r="K163">
        <f>SmtRes!AF157</f>
        <v>4.5199999999999996</v>
      </c>
      <c r="M163">
        <f t="shared" si="14"/>
        <v>1.86</v>
      </c>
      <c r="N163">
        <f>SmtRes!AB157</f>
        <v>6.33</v>
      </c>
      <c r="O163">
        <f>SmtRes!DG157</f>
        <v>2.61</v>
      </c>
      <c r="P163">
        <f>SmtRes!AG157</f>
        <v>0</v>
      </c>
      <c r="R163">
        <f t="shared" si="15"/>
        <v>0</v>
      </c>
      <c r="S163">
        <f>SmtRes!AC157</f>
        <v>0</v>
      </c>
      <c r="T163">
        <f>SmtRes!DH157</f>
        <v>0</v>
      </c>
      <c r="U163">
        <v>2</v>
      </c>
      <c r="Z163">
        <f>SmtRes!X157</f>
        <v>1093807191</v>
      </c>
      <c r="AA163">
        <v>1063063824</v>
      </c>
      <c r="AB163">
        <v>-1274458485</v>
      </c>
    </row>
    <row r="164" spans="1:28" x14ac:dyDescent="0.25">
      <c r="A164">
        <v>20</v>
      </c>
      <c r="B164">
        <v>156</v>
      </c>
      <c r="C164">
        <v>2</v>
      </c>
      <c r="D164">
        <v>0</v>
      </c>
      <c r="E164">
        <f>SmtRes!AV156</f>
        <v>1</v>
      </c>
      <c r="F164" t="str">
        <f>SmtRes!I156</f>
        <v>91.14.02-001</v>
      </c>
      <c r="G164" t="str">
        <f>SmtRes!K156</f>
        <v>Автомобили бортовые, грузоподъемность до 5 т</v>
      </c>
      <c r="H164" t="str">
        <f>SmtRes!O156</f>
        <v>маш.-ч</v>
      </c>
      <c r="I164">
        <f>SmtRes!Y156*Source!I162</f>
        <v>1.1039999999999999E-2</v>
      </c>
      <c r="J164">
        <f>SmtRes!AO156</f>
        <v>0</v>
      </c>
      <c r="K164">
        <f>SmtRes!AF156</f>
        <v>551.45000000000005</v>
      </c>
      <c r="M164">
        <f t="shared" si="14"/>
        <v>6.09</v>
      </c>
      <c r="N164">
        <f>SmtRes!AB156</f>
        <v>551.45000000000005</v>
      </c>
      <c r="O164">
        <f>SmtRes!DG156</f>
        <v>6.09</v>
      </c>
      <c r="P164">
        <f>SmtRes!AG156</f>
        <v>368.02</v>
      </c>
      <c r="R164">
        <f t="shared" si="15"/>
        <v>4.0599999999999996</v>
      </c>
      <c r="S164">
        <f>SmtRes!AC156</f>
        <v>368.02</v>
      </c>
      <c r="T164">
        <f>SmtRes!DH156</f>
        <v>4.0599999999999996</v>
      </c>
      <c r="U164">
        <v>2</v>
      </c>
      <c r="Z164">
        <f>SmtRes!X156</f>
        <v>-1152394969</v>
      </c>
      <c r="AA164">
        <v>-1365767090</v>
      </c>
      <c r="AB164">
        <v>-1365767090</v>
      </c>
    </row>
    <row r="165" spans="1:28" x14ac:dyDescent="0.25">
      <c r="A165">
        <v>20</v>
      </c>
      <c r="B165">
        <v>155</v>
      </c>
      <c r="C165">
        <v>2</v>
      </c>
      <c r="D165">
        <v>0</v>
      </c>
      <c r="E165">
        <f>SmtRes!AV155</f>
        <v>1</v>
      </c>
      <c r="F165" t="str">
        <f>SmtRes!I155</f>
        <v>91.06.05-011</v>
      </c>
      <c r="G165" t="str">
        <f>SmtRes!K155</f>
        <v>Погрузчики одноковшовые универсальные фронтальные пневмоколесные, номинальная вместимость основного ковша 2,6 м3, грузоподъемность 5 т</v>
      </c>
      <c r="H165" t="str">
        <f>SmtRes!O155</f>
        <v>маш.-ч</v>
      </c>
      <c r="I165">
        <f>SmtRes!Y155*Source!I162</f>
        <v>3.6800000000000001E-3</v>
      </c>
      <c r="J165">
        <f>SmtRes!AO155</f>
        <v>0</v>
      </c>
      <c r="K165">
        <f>SmtRes!AF155</f>
        <v>1569.2</v>
      </c>
      <c r="M165">
        <f t="shared" si="14"/>
        <v>5.77</v>
      </c>
      <c r="N165">
        <f>SmtRes!AB155</f>
        <v>1569.2</v>
      </c>
      <c r="O165">
        <f>SmtRes!DG155</f>
        <v>5.77</v>
      </c>
      <c r="P165">
        <f>SmtRes!AG155</f>
        <v>422.95</v>
      </c>
      <c r="R165">
        <f t="shared" si="15"/>
        <v>1.56</v>
      </c>
      <c r="S165">
        <f>SmtRes!AC155</f>
        <v>422.95</v>
      </c>
      <c r="T165">
        <f>SmtRes!DH155</f>
        <v>1.56</v>
      </c>
      <c r="U165">
        <v>2</v>
      </c>
      <c r="Z165">
        <f>SmtRes!X155</f>
        <v>645920724</v>
      </c>
      <c r="AA165">
        <v>127869950</v>
      </c>
      <c r="AB165">
        <v>127869950</v>
      </c>
    </row>
    <row r="166" spans="1:28" x14ac:dyDescent="0.25">
      <c r="A166">
        <v>20</v>
      </c>
      <c r="B166">
        <v>154</v>
      </c>
      <c r="C166">
        <v>2</v>
      </c>
      <c r="D166">
        <v>0</v>
      </c>
      <c r="E166">
        <f>SmtRes!AV154</f>
        <v>1</v>
      </c>
      <c r="F166" t="str">
        <f>SmtRes!I154</f>
        <v>91.06.03-060</v>
      </c>
      <c r="G166" t="str">
        <f>SmtRes!K154</f>
        <v>Лебедки электрические тяговым усилием до 5,79 кН (0,59 т)</v>
      </c>
      <c r="H166" t="str">
        <f>SmtRes!O154</f>
        <v>маш.-ч</v>
      </c>
      <c r="I166">
        <f>SmtRes!Y154*Source!I162</f>
        <v>3.6800000000000001E-3</v>
      </c>
      <c r="J166">
        <f>SmtRes!AO154</f>
        <v>0</v>
      </c>
      <c r="K166">
        <f>SmtRes!AF154</f>
        <v>6.62</v>
      </c>
      <c r="M166">
        <f t="shared" si="14"/>
        <v>0.02</v>
      </c>
      <c r="N166">
        <f>SmtRes!AB154</f>
        <v>10.06</v>
      </c>
      <c r="O166">
        <f>SmtRes!DG154</f>
        <v>0.04</v>
      </c>
      <c r="P166">
        <f>SmtRes!AG154</f>
        <v>0</v>
      </c>
      <c r="R166">
        <f t="shared" si="15"/>
        <v>0</v>
      </c>
      <c r="S166">
        <f>SmtRes!AC154</f>
        <v>0</v>
      </c>
      <c r="T166">
        <f>SmtRes!DH154</f>
        <v>0</v>
      </c>
      <c r="U166">
        <v>2</v>
      </c>
      <c r="Z166">
        <f>SmtRes!X154</f>
        <v>-651536190</v>
      </c>
      <c r="AA166">
        <v>53780494</v>
      </c>
      <c r="AB166">
        <v>1902842784</v>
      </c>
    </row>
    <row r="167" spans="1:28" x14ac:dyDescent="0.25">
      <c r="A167">
        <v>20</v>
      </c>
      <c r="B167">
        <v>153</v>
      </c>
      <c r="C167">
        <v>1</v>
      </c>
      <c r="D167">
        <v>0</v>
      </c>
      <c r="E167">
        <f>SmtRes!AV153</f>
        <v>2</v>
      </c>
      <c r="F167" t="str">
        <f>SmtRes!I153</f>
        <v>4-100-00</v>
      </c>
      <c r="G167" t="str">
        <f>SmtRes!K153</f>
        <v>Затраты труда машинистов</v>
      </c>
      <c r="H167" t="str">
        <f>SmtRes!O153</f>
        <v>чел.-ч.</v>
      </c>
      <c r="I167">
        <f>SmtRes!Y153*Source!I162</f>
        <v>1.472E-2</v>
      </c>
      <c r="J167">
        <f>SmtRes!AO153</f>
        <v>0</v>
      </c>
      <c r="K167">
        <f>SmtRes!AH153</f>
        <v>0</v>
      </c>
      <c r="M167">
        <f t="shared" si="14"/>
        <v>0</v>
      </c>
      <c r="N167">
        <f>SmtRes!AD153</f>
        <v>0</v>
      </c>
      <c r="O167">
        <f>SmtRes!DI153</f>
        <v>0</v>
      </c>
      <c r="P167">
        <f>SmtRes!AG153</f>
        <v>0</v>
      </c>
      <c r="R167">
        <f t="shared" si="15"/>
        <v>0</v>
      </c>
      <c r="S167">
        <f>SmtRes!AC153</f>
        <v>0</v>
      </c>
      <c r="T167">
        <f>SmtRes!DH153</f>
        <v>0</v>
      </c>
      <c r="U167">
        <v>1</v>
      </c>
      <c r="Z167">
        <f>SmtRes!X153</f>
        <v>-1417349443</v>
      </c>
      <c r="AA167">
        <v>212567905</v>
      </c>
      <c r="AB167">
        <v>212567905</v>
      </c>
    </row>
    <row r="168" spans="1:28" x14ac:dyDescent="0.25">
      <c r="A168">
        <v>20</v>
      </c>
      <c r="B168">
        <v>152</v>
      </c>
      <c r="C168">
        <v>1</v>
      </c>
      <c r="D168">
        <v>0</v>
      </c>
      <c r="E168">
        <f>SmtRes!AV152</f>
        <v>1</v>
      </c>
      <c r="F168" t="str">
        <f>SmtRes!I152</f>
        <v>1-100-35</v>
      </c>
      <c r="G168" t="str">
        <f>SmtRes!K152</f>
        <v>Средний разряд работы 3,5</v>
      </c>
      <c r="H168" t="str">
        <f>SmtRes!O152</f>
        <v>чел.-ч.</v>
      </c>
      <c r="I168">
        <f>SmtRes!Y152*Source!I162</f>
        <v>0.93472</v>
      </c>
      <c r="J168">
        <f>SmtRes!AO152</f>
        <v>0</v>
      </c>
      <c r="K168">
        <f>SmtRes!AH152</f>
        <v>347.42</v>
      </c>
      <c r="M168">
        <f t="shared" si="14"/>
        <v>324.74</v>
      </c>
      <c r="N168">
        <f>SmtRes!AD152</f>
        <v>347.42</v>
      </c>
      <c r="O168">
        <f>SmtRes!DI152</f>
        <v>324.74</v>
      </c>
      <c r="P168">
        <f>SmtRes!AG152</f>
        <v>0</v>
      </c>
      <c r="R168">
        <f t="shared" si="15"/>
        <v>0</v>
      </c>
      <c r="S168">
        <f>SmtRes!AC152</f>
        <v>0</v>
      </c>
      <c r="T168">
        <f>SmtRes!DH152</f>
        <v>0</v>
      </c>
      <c r="U168">
        <v>1</v>
      </c>
      <c r="Z168">
        <f>SmtRes!X152</f>
        <v>-715079457</v>
      </c>
      <c r="AA168">
        <v>-575432323</v>
      </c>
      <c r="AB168">
        <v>-575432323</v>
      </c>
    </row>
    <row r="169" spans="1:28" x14ac:dyDescent="0.25">
      <c r="A169">
        <v>20</v>
      </c>
      <c r="B169">
        <v>169</v>
      </c>
      <c r="C169">
        <v>3</v>
      </c>
      <c r="D169">
        <v>0</v>
      </c>
      <c r="E169">
        <f>SmtRes!AV169</f>
        <v>0</v>
      </c>
      <c r="F169" t="str">
        <f>SmtRes!I169</f>
        <v>12.2.03.10-0008</v>
      </c>
      <c r="G169" t="str">
        <f>SmtRes!K169</f>
        <v>Стеклопластик рулонный теплоизоляционный, плотность 120 г/м2</v>
      </c>
      <c r="H169" t="str">
        <f>SmtRes!O169</f>
        <v>м2</v>
      </c>
      <c r="I169">
        <f>SmtRes!Y169*Source!I163</f>
        <v>0.6</v>
      </c>
      <c r="J169">
        <f>SmtRes!AO169</f>
        <v>0</v>
      </c>
      <c r="K169">
        <f>SmtRes!AE169</f>
        <v>36.200000000000003</v>
      </c>
      <c r="M169">
        <f t="shared" si="14"/>
        <v>21.72</v>
      </c>
      <c r="N169">
        <f>SmtRes!AA169</f>
        <v>40.18</v>
      </c>
      <c r="O169">
        <f>SmtRes!DF169</f>
        <v>24.11</v>
      </c>
      <c r="P169">
        <f>SmtRes!AG169</f>
        <v>0</v>
      </c>
      <c r="R169">
        <f t="shared" si="15"/>
        <v>0</v>
      </c>
      <c r="S169">
        <f>SmtRes!AC169</f>
        <v>0</v>
      </c>
      <c r="T169">
        <f>SmtRes!DH169</f>
        <v>0</v>
      </c>
      <c r="U169">
        <v>3</v>
      </c>
      <c r="Z169">
        <f>SmtRes!X169</f>
        <v>-440234322</v>
      </c>
      <c r="AA169">
        <v>-1145441534</v>
      </c>
      <c r="AB169">
        <v>-1462542397</v>
      </c>
    </row>
    <row r="170" spans="1:28" x14ac:dyDescent="0.25">
      <c r="A170">
        <v>20</v>
      </c>
      <c r="B170">
        <v>168</v>
      </c>
      <c r="C170">
        <v>3</v>
      </c>
      <c r="D170">
        <v>0</v>
      </c>
      <c r="E170">
        <f>SmtRes!AV168</f>
        <v>0</v>
      </c>
      <c r="F170" t="str">
        <f>SmtRes!I168</f>
        <v>08.3.05.05-0054</v>
      </c>
      <c r="G170" t="str">
        <f>SmtRes!K168</f>
        <v>Сталь листовая оцинкованная, толщина 0,8 мм</v>
      </c>
      <c r="H170" t="str">
        <f>SmtRes!O168</f>
        <v>т</v>
      </c>
      <c r="I170">
        <f>SmtRes!Y168*Source!I163</f>
        <v>1.6199999999999999E-2</v>
      </c>
      <c r="J170">
        <f>SmtRes!AO168</f>
        <v>0</v>
      </c>
      <c r="K170">
        <f>SmtRes!AE168</f>
        <v>70048.22</v>
      </c>
      <c r="M170">
        <f t="shared" si="14"/>
        <v>1134.78</v>
      </c>
      <c r="N170">
        <f>SmtRes!AA168</f>
        <v>70048.22</v>
      </c>
      <c r="O170">
        <f>SmtRes!DF168</f>
        <v>1134.78</v>
      </c>
      <c r="P170">
        <f>SmtRes!AG168</f>
        <v>0</v>
      </c>
      <c r="R170">
        <f t="shared" si="15"/>
        <v>0</v>
      </c>
      <c r="S170">
        <f>SmtRes!AC168</f>
        <v>0</v>
      </c>
      <c r="T170">
        <f>SmtRes!DH168</f>
        <v>0</v>
      </c>
      <c r="U170">
        <v>3</v>
      </c>
      <c r="Z170">
        <f>SmtRes!X168</f>
        <v>1028135832</v>
      </c>
      <c r="AA170">
        <v>-1633341673</v>
      </c>
      <c r="AB170">
        <v>-1633341673</v>
      </c>
    </row>
    <row r="171" spans="1:28" x14ac:dyDescent="0.25">
      <c r="A171">
        <v>20</v>
      </c>
      <c r="B171">
        <v>167</v>
      </c>
      <c r="C171">
        <v>3</v>
      </c>
      <c r="D171">
        <v>0</v>
      </c>
      <c r="E171">
        <f>SmtRes!AV167</f>
        <v>0</v>
      </c>
      <c r="F171" t="str">
        <f>SmtRes!I167</f>
        <v>08.3.03.05-0013</v>
      </c>
      <c r="G171" t="str">
        <f>SmtRes!K167</f>
        <v>Проволока стальная низкоуглеродистая оцинкованная разного назначения, диаметр 1,6 мм</v>
      </c>
      <c r="H171" t="str">
        <f>SmtRes!O167</f>
        <v>т</v>
      </c>
      <c r="I171">
        <f>SmtRes!Y167*Source!I163</f>
        <v>1.212E-3</v>
      </c>
      <c r="J171">
        <f>SmtRes!AO167</f>
        <v>0</v>
      </c>
      <c r="K171">
        <f>SmtRes!AE167</f>
        <v>87245.7</v>
      </c>
      <c r="M171">
        <f t="shared" si="14"/>
        <v>105.74</v>
      </c>
      <c r="N171">
        <f>SmtRes!AA167</f>
        <v>75903.759999999995</v>
      </c>
      <c r="O171">
        <f>SmtRes!DF167</f>
        <v>92</v>
      </c>
      <c r="P171">
        <f>SmtRes!AG167</f>
        <v>0</v>
      </c>
      <c r="R171">
        <f t="shared" si="15"/>
        <v>0</v>
      </c>
      <c r="S171">
        <f>SmtRes!AC167</f>
        <v>0</v>
      </c>
      <c r="T171">
        <f>SmtRes!DH167</f>
        <v>0</v>
      </c>
      <c r="U171">
        <v>3</v>
      </c>
      <c r="Z171">
        <f>SmtRes!X167</f>
        <v>1869676882</v>
      </c>
      <c r="AA171">
        <v>-44785336</v>
      </c>
      <c r="AB171">
        <v>-1848513203</v>
      </c>
    </row>
    <row r="172" spans="1:28" x14ac:dyDescent="0.25">
      <c r="A172">
        <v>20</v>
      </c>
      <c r="B172">
        <v>166</v>
      </c>
      <c r="C172">
        <v>3</v>
      </c>
      <c r="D172">
        <v>0</v>
      </c>
      <c r="E172">
        <f>SmtRes!AV166</f>
        <v>0</v>
      </c>
      <c r="F172" t="str">
        <f>SmtRes!I166</f>
        <v>08.3.03.05-0011</v>
      </c>
      <c r="G172" t="str">
        <f>SmtRes!K166</f>
        <v>Проволока стальная низкоуглеродистая оцинкованная разного назначения, диаметр 1,1 мм</v>
      </c>
      <c r="H172" t="str">
        <f>SmtRes!O166</f>
        <v>т</v>
      </c>
      <c r="I172">
        <f>SmtRes!Y166*Source!I163</f>
        <v>6.3599999999999996E-4</v>
      </c>
      <c r="J172">
        <f>SmtRes!AO166</f>
        <v>0</v>
      </c>
      <c r="K172">
        <f>SmtRes!AE166</f>
        <v>129575.7</v>
      </c>
      <c r="M172">
        <f t="shared" si="14"/>
        <v>82.41</v>
      </c>
      <c r="N172">
        <f>SmtRes!AA166</f>
        <v>112730.86</v>
      </c>
      <c r="O172">
        <f>SmtRes!DF166</f>
        <v>71.7</v>
      </c>
      <c r="P172">
        <f>SmtRes!AG166</f>
        <v>0</v>
      </c>
      <c r="R172">
        <f t="shared" si="15"/>
        <v>0</v>
      </c>
      <c r="S172">
        <f>SmtRes!AC166</f>
        <v>0</v>
      </c>
      <c r="T172">
        <f>SmtRes!DH166</f>
        <v>0</v>
      </c>
      <c r="U172">
        <v>3</v>
      </c>
      <c r="Z172">
        <f>SmtRes!X166</f>
        <v>1324181911</v>
      </c>
      <c r="AA172">
        <v>-388528080</v>
      </c>
      <c r="AB172">
        <v>-1089526497</v>
      </c>
    </row>
    <row r="173" spans="1:28" x14ac:dyDescent="0.25">
      <c r="A173">
        <v>20</v>
      </c>
      <c r="B173">
        <v>165</v>
      </c>
      <c r="C173">
        <v>3</v>
      </c>
      <c r="D173">
        <v>0</v>
      </c>
      <c r="E173">
        <f>SmtRes!AV165</f>
        <v>0</v>
      </c>
      <c r="F173" t="str">
        <f>SmtRes!I165</f>
        <v>08.3.02.01-0041</v>
      </c>
      <c r="G173" t="str">
        <f>SmtRes!K165</f>
        <v>Ленты стальные упаковочные, мягкие, нормальной точности по толщине и ширине 0,7х20-50 мм</v>
      </c>
      <c r="H173" t="str">
        <f>SmtRes!O165</f>
        <v>т</v>
      </c>
      <c r="I173">
        <f>SmtRes!Y165*Source!I163</f>
        <v>1.272E-2</v>
      </c>
      <c r="J173">
        <f>SmtRes!AO165</f>
        <v>0</v>
      </c>
      <c r="K173">
        <f>SmtRes!AE165</f>
        <v>89073.2</v>
      </c>
      <c r="M173">
        <f t="shared" si="14"/>
        <v>1133.01</v>
      </c>
      <c r="N173">
        <f>SmtRes!AA165</f>
        <v>63241.97</v>
      </c>
      <c r="O173">
        <f>SmtRes!DF165</f>
        <v>804.44</v>
      </c>
      <c r="P173">
        <f>SmtRes!AG165</f>
        <v>0</v>
      </c>
      <c r="R173">
        <f t="shared" si="15"/>
        <v>0</v>
      </c>
      <c r="S173">
        <f>SmtRes!AC165</f>
        <v>0</v>
      </c>
      <c r="T173">
        <f>SmtRes!DH165</f>
        <v>0</v>
      </c>
      <c r="U173">
        <v>3</v>
      </c>
      <c r="Z173">
        <f>SmtRes!X165</f>
        <v>1160957577</v>
      </c>
      <c r="AA173">
        <v>-278354771</v>
      </c>
      <c r="AB173">
        <v>811104916</v>
      </c>
    </row>
    <row r="174" spans="1:28" x14ac:dyDescent="0.25">
      <c r="A174">
        <v>20</v>
      </c>
      <c r="B174">
        <v>164</v>
      </c>
      <c r="C174">
        <v>3</v>
      </c>
      <c r="D174">
        <v>0</v>
      </c>
      <c r="E174">
        <f>SmtRes!AV164</f>
        <v>0</v>
      </c>
      <c r="F174" t="str">
        <f>SmtRes!I164</f>
        <v>01.7.15.14-0304</v>
      </c>
      <c r="G174" t="str">
        <f>SmtRes!K164</f>
        <v>Шурупы самонарезающие стальные оцинкованные с полукруглой головкой и крестообразным шлицем, остроконечные, диаметр 4 мм, длина 12 мм</v>
      </c>
      <c r="H174" t="str">
        <f>SmtRes!O164</f>
        <v>т</v>
      </c>
      <c r="I174">
        <f>SmtRes!Y164*Source!I163</f>
        <v>4.8000000000000001E-5</v>
      </c>
      <c r="J174">
        <f>SmtRes!AO164</f>
        <v>0</v>
      </c>
      <c r="K174">
        <f>SmtRes!AE164</f>
        <v>263215.45</v>
      </c>
      <c r="M174">
        <f t="shared" si="14"/>
        <v>12.63</v>
      </c>
      <c r="N174">
        <f>SmtRes!AA164</f>
        <v>347444.39</v>
      </c>
      <c r="O174">
        <f>SmtRes!DF164</f>
        <v>16.68</v>
      </c>
      <c r="P174">
        <f>SmtRes!AG164</f>
        <v>0</v>
      </c>
      <c r="R174">
        <f t="shared" si="15"/>
        <v>0</v>
      </c>
      <c r="S174">
        <f>SmtRes!AC164</f>
        <v>0</v>
      </c>
      <c r="T174">
        <f>SmtRes!DH164</f>
        <v>0</v>
      </c>
      <c r="U174">
        <v>3</v>
      </c>
      <c r="Z174">
        <f>SmtRes!X164</f>
        <v>-1182618281</v>
      </c>
      <c r="AA174">
        <v>653531921</v>
      </c>
      <c r="AB174">
        <v>1729625560</v>
      </c>
    </row>
    <row r="175" spans="1:28" x14ac:dyDescent="0.25">
      <c r="A175">
        <v>20</v>
      </c>
      <c r="B175">
        <v>163</v>
      </c>
      <c r="C175">
        <v>2</v>
      </c>
      <c r="D175">
        <v>0</v>
      </c>
      <c r="E175">
        <f>SmtRes!AV163</f>
        <v>1</v>
      </c>
      <c r="F175" t="str">
        <f>SmtRes!I163</f>
        <v>91.21.22-443</v>
      </c>
      <c r="G175" t="str">
        <f>SmtRes!K163</f>
        <v>Станки универсальные электромеханические для изготовления бандажей, диафрагм, пряжек, мощность 0,75 кВт</v>
      </c>
      <c r="H175" t="str">
        <f>SmtRes!O163</f>
        <v>маш.-ч</v>
      </c>
      <c r="I175">
        <f>SmtRes!Y163*Source!I163</f>
        <v>0.86939999999999984</v>
      </c>
      <c r="J175">
        <f>SmtRes!AO163</f>
        <v>0</v>
      </c>
      <c r="K175">
        <f>SmtRes!AF163</f>
        <v>21.39</v>
      </c>
      <c r="M175">
        <f t="shared" si="14"/>
        <v>18.600000000000001</v>
      </c>
      <c r="N175">
        <f>SmtRes!AB163</f>
        <v>33.15</v>
      </c>
      <c r="O175">
        <f>SmtRes!DG163</f>
        <v>28.82</v>
      </c>
      <c r="P175">
        <f>SmtRes!AG163</f>
        <v>0</v>
      </c>
      <c r="R175">
        <f t="shared" si="15"/>
        <v>0</v>
      </c>
      <c r="S175">
        <f>SmtRes!AC163</f>
        <v>0</v>
      </c>
      <c r="T175">
        <f>SmtRes!DH163</f>
        <v>0</v>
      </c>
      <c r="U175">
        <v>2</v>
      </c>
      <c r="Z175">
        <f>SmtRes!X163</f>
        <v>210516533</v>
      </c>
      <c r="AA175">
        <v>-1370424266</v>
      </c>
      <c r="AB175">
        <v>45691812</v>
      </c>
    </row>
    <row r="176" spans="1:28" x14ac:dyDescent="0.25">
      <c r="A176">
        <v>20</v>
      </c>
      <c r="B176">
        <v>162</v>
      </c>
      <c r="C176">
        <v>2</v>
      </c>
      <c r="D176">
        <v>0</v>
      </c>
      <c r="E176">
        <f>SmtRes!AV162</f>
        <v>1</v>
      </c>
      <c r="F176" t="str">
        <f>SmtRes!I162</f>
        <v>91.14.02-001</v>
      </c>
      <c r="G176" t="str">
        <f>SmtRes!K162</f>
        <v>Автомобили бортовые, грузоподъемность до 5 т</v>
      </c>
      <c r="H176" t="str">
        <f>SmtRes!O162</f>
        <v>маш.-ч</v>
      </c>
      <c r="I176">
        <f>SmtRes!Y162*Source!I163</f>
        <v>0.81419999999999981</v>
      </c>
      <c r="J176">
        <f>SmtRes!AO162</f>
        <v>0</v>
      </c>
      <c r="K176">
        <f>SmtRes!AF162</f>
        <v>551.45000000000005</v>
      </c>
      <c r="M176">
        <f t="shared" si="14"/>
        <v>448.99</v>
      </c>
      <c r="N176">
        <f>SmtRes!AB162</f>
        <v>551.45000000000005</v>
      </c>
      <c r="O176">
        <f>SmtRes!DG162</f>
        <v>448.99</v>
      </c>
      <c r="P176">
        <f>SmtRes!AG162</f>
        <v>368.02</v>
      </c>
      <c r="R176">
        <f t="shared" si="15"/>
        <v>299.64</v>
      </c>
      <c r="S176">
        <f>SmtRes!AC162</f>
        <v>368.02</v>
      </c>
      <c r="T176">
        <f>SmtRes!DH162</f>
        <v>299.64</v>
      </c>
      <c r="U176">
        <v>2</v>
      </c>
      <c r="Z176">
        <f>SmtRes!X162</f>
        <v>-1152394969</v>
      </c>
      <c r="AA176">
        <v>-1365767090</v>
      </c>
      <c r="AB176">
        <v>-1365767090</v>
      </c>
    </row>
    <row r="177" spans="1:28" x14ac:dyDescent="0.25">
      <c r="A177">
        <v>20</v>
      </c>
      <c r="B177">
        <v>161</v>
      </c>
      <c r="C177">
        <v>1</v>
      </c>
      <c r="D177">
        <v>0</v>
      </c>
      <c r="E177">
        <f>SmtRes!AV161</f>
        <v>2</v>
      </c>
      <c r="F177" t="str">
        <f>SmtRes!I161</f>
        <v>4-100-00</v>
      </c>
      <c r="G177" t="str">
        <f>SmtRes!K161</f>
        <v>Затраты труда машинистов</v>
      </c>
      <c r="H177" t="str">
        <f>SmtRes!O161</f>
        <v>чел.-ч.</v>
      </c>
      <c r="I177">
        <f>SmtRes!Y161*Source!I163</f>
        <v>0.81419999999999981</v>
      </c>
      <c r="J177">
        <f>SmtRes!AO161</f>
        <v>0</v>
      </c>
      <c r="K177">
        <f>SmtRes!AH161</f>
        <v>0</v>
      </c>
      <c r="M177">
        <f t="shared" si="14"/>
        <v>0</v>
      </c>
      <c r="N177">
        <f>SmtRes!AD161</f>
        <v>0</v>
      </c>
      <c r="O177">
        <f>SmtRes!DI161</f>
        <v>0</v>
      </c>
      <c r="P177">
        <f>SmtRes!AG161</f>
        <v>0</v>
      </c>
      <c r="R177">
        <f t="shared" si="15"/>
        <v>0</v>
      </c>
      <c r="S177">
        <f>SmtRes!AC161</f>
        <v>0</v>
      </c>
      <c r="T177">
        <f>SmtRes!DH161</f>
        <v>0</v>
      </c>
      <c r="U177">
        <v>1</v>
      </c>
      <c r="Z177">
        <f>SmtRes!X161</f>
        <v>-1417349443</v>
      </c>
      <c r="AA177">
        <v>212567905</v>
      </c>
      <c r="AB177">
        <v>212567905</v>
      </c>
    </row>
    <row r="178" spans="1:28" x14ac:dyDescent="0.25">
      <c r="A178">
        <v>20</v>
      </c>
      <c r="B178">
        <v>160</v>
      </c>
      <c r="C178">
        <v>1</v>
      </c>
      <c r="D178">
        <v>0</v>
      </c>
      <c r="E178">
        <f>SmtRes!AV160</f>
        <v>1</v>
      </c>
      <c r="F178" t="str">
        <f>SmtRes!I160</f>
        <v>1-100-41</v>
      </c>
      <c r="G178" t="str">
        <f>SmtRes!K160</f>
        <v>Средний разряд работы 4,1</v>
      </c>
      <c r="H178" t="str">
        <f>SmtRes!O160</f>
        <v>чел.-ч.</v>
      </c>
      <c r="I178">
        <f>SmtRes!Y160*Source!I163</f>
        <v>19.319999999999997</v>
      </c>
      <c r="J178">
        <f>SmtRes!AO160</f>
        <v>0</v>
      </c>
      <c r="K178">
        <f>SmtRes!AH160</f>
        <v>373.51</v>
      </c>
      <c r="M178">
        <f t="shared" si="14"/>
        <v>7216.21</v>
      </c>
      <c r="N178">
        <f>SmtRes!AD160</f>
        <v>373.51</v>
      </c>
      <c r="O178">
        <f>SmtRes!DI160</f>
        <v>7216.21</v>
      </c>
      <c r="P178">
        <f>SmtRes!AG160</f>
        <v>0</v>
      </c>
      <c r="R178">
        <f t="shared" si="15"/>
        <v>0</v>
      </c>
      <c r="S178">
        <f>SmtRes!AC160</f>
        <v>0</v>
      </c>
      <c r="T178">
        <f>SmtRes!DH160</f>
        <v>0</v>
      </c>
      <c r="U178">
        <v>1</v>
      </c>
      <c r="Z178">
        <f>SmtRes!X160</f>
        <v>174150515</v>
      </c>
      <c r="AA178">
        <v>-76897492</v>
      </c>
      <c r="AB178">
        <v>-76897492</v>
      </c>
    </row>
    <row r="179" spans="1:28" x14ac:dyDescent="0.25">
      <c r="A179">
        <f>Source!A164</f>
        <v>18</v>
      </c>
      <c r="B179">
        <v>164</v>
      </c>
      <c r="C179">
        <v>3</v>
      </c>
      <c r="D179">
        <f>Source!BI164</f>
        <v>1</v>
      </c>
      <c r="E179">
        <f>Source!FS164</f>
        <v>0</v>
      </c>
      <c r="F179" t="str">
        <f>Source!F164</f>
        <v>12.2.04.04-0001</v>
      </c>
      <c r="G179" t="str">
        <f>Source!G164</f>
        <v>Маты прошивные теплоизоляционные из минеральной ваты, без обкладок, марка 100 (МП-100)</v>
      </c>
      <c r="H179" t="str">
        <f>Source!H164</f>
        <v>м3</v>
      </c>
      <c r="I179">
        <f>Source!I164</f>
        <v>1.296</v>
      </c>
      <c r="J179">
        <v>1</v>
      </c>
      <c r="K179">
        <f>Source!AC164</f>
        <v>3097.75</v>
      </c>
      <c r="M179">
        <f>ROUND(K179*I179, 2)</f>
        <v>4014.68</v>
      </c>
      <c r="N179">
        <f>Source!CQ164</f>
        <v>4429.78</v>
      </c>
      <c r="O179">
        <f>ROUND(N179*I179, 2)</f>
        <v>5740.99</v>
      </c>
      <c r="P179">
        <f>Source!AE164</f>
        <v>0</v>
      </c>
      <c r="R179">
        <f>ROUND(P179*I179, 2)</f>
        <v>0</v>
      </c>
      <c r="S179">
        <f>Source!AE164*IF(Source!BS164&lt;&gt; 0, Source!BS164, 1)</f>
        <v>0</v>
      </c>
      <c r="T179">
        <f>ROUND(S179*I179, 2)</f>
        <v>0</v>
      </c>
      <c r="U179">
        <v>3</v>
      </c>
      <c r="Z179">
        <f>Source!GF164</f>
        <v>1980577766</v>
      </c>
      <c r="AA179">
        <v>1055117895</v>
      </c>
      <c r="AB179">
        <v>-1989438400</v>
      </c>
    </row>
    <row r="180" spans="1:28" x14ac:dyDescent="0.25">
      <c r="A180">
        <v>20</v>
      </c>
      <c r="B180">
        <v>180</v>
      </c>
      <c r="C180">
        <v>3</v>
      </c>
      <c r="D180">
        <v>0</v>
      </c>
      <c r="E180">
        <f>SmtRes!AV180</f>
        <v>0</v>
      </c>
      <c r="F180" t="str">
        <f>SmtRes!I180</f>
        <v>14.4.03.03-0102</v>
      </c>
      <c r="G180" t="str">
        <f>SmtRes!K180</f>
        <v>Лак битумный БТ-577</v>
      </c>
      <c r="H180" t="str">
        <f>SmtRes!O180</f>
        <v>т</v>
      </c>
      <c r="I180">
        <f>SmtRes!Y180*Source!I165</f>
        <v>4.5360000000000002E-4</v>
      </c>
      <c r="J180">
        <f>SmtRes!AO180</f>
        <v>0</v>
      </c>
      <c r="K180">
        <f>SmtRes!AE180</f>
        <v>80020.98</v>
      </c>
      <c r="M180">
        <f t="shared" ref="M180:M188" si="16">ROUND(I180*K180, 2)</f>
        <v>36.299999999999997</v>
      </c>
      <c r="N180">
        <f>SmtRes!AA180</f>
        <v>104827.48</v>
      </c>
      <c r="O180">
        <f>SmtRes!DF180</f>
        <v>47.55</v>
      </c>
      <c r="P180">
        <f>SmtRes!AG180</f>
        <v>0</v>
      </c>
      <c r="R180">
        <f t="shared" ref="R180:R188" si="17">ROUND(I180*P180, 2)</f>
        <v>0</v>
      </c>
      <c r="S180">
        <f>SmtRes!AC180</f>
        <v>0</v>
      </c>
      <c r="T180">
        <f>SmtRes!DH180</f>
        <v>0</v>
      </c>
      <c r="U180">
        <v>3</v>
      </c>
      <c r="Z180">
        <f>SmtRes!X180</f>
        <v>1215516986</v>
      </c>
      <c r="AA180">
        <v>-2098807137</v>
      </c>
      <c r="AB180">
        <v>684008255</v>
      </c>
    </row>
    <row r="181" spans="1:28" x14ac:dyDescent="0.25">
      <c r="A181">
        <v>20</v>
      </c>
      <c r="B181">
        <v>178</v>
      </c>
      <c r="C181">
        <v>3</v>
      </c>
      <c r="D181">
        <v>0</v>
      </c>
      <c r="E181">
        <f>SmtRes!AV178</f>
        <v>0</v>
      </c>
      <c r="F181" t="str">
        <f>SmtRes!I178</f>
        <v>08.3.02.01-0041</v>
      </c>
      <c r="G181" t="str">
        <f>SmtRes!K178</f>
        <v>Ленты стальные упаковочные, мягкие, нормальной точности по толщине и ширине 0,7х20-50 мм</v>
      </c>
      <c r="H181" t="str">
        <f>SmtRes!O178</f>
        <v>т</v>
      </c>
      <c r="I181">
        <f>SmtRes!Y178*Source!I165</f>
        <v>1.6920000000000001E-2</v>
      </c>
      <c r="J181">
        <f>SmtRes!AO178</f>
        <v>0</v>
      </c>
      <c r="K181">
        <f>SmtRes!AE178</f>
        <v>89073.2</v>
      </c>
      <c r="M181">
        <f t="shared" si="16"/>
        <v>1507.12</v>
      </c>
      <c r="N181">
        <f>SmtRes!AA178</f>
        <v>63241.97</v>
      </c>
      <c r="O181">
        <f>SmtRes!DF178</f>
        <v>1070.05</v>
      </c>
      <c r="P181">
        <f>SmtRes!AG178</f>
        <v>0</v>
      </c>
      <c r="R181">
        <f t="shared" si="17"/>
        <v>0</v>
      </c>
      <c r="S181">
        <f>SmtRes!AC178</f>
        <v>0</v>
      </c>
      <c r="T181">
        <f>SmtRes!DH178</f>
        <v>0</v>
      </c>
      <c r="U181">
        <v>3</v>
      </c>
      <c r="Z181">
        <f>SmtRes!X178</f>
        <v>1160957577</v>
      </c>
      <c r="AA181">
        <v>-278354771</v>
      </c>
      <c r="AB181">
        <v>811104916</v>
      </c>
    </row>
    <row r="182" spans="1:28" x14ac:dyDescent="0.25">
      <c r="A182">
        <v>20</v>
      </c>
      <c r="B182">
        <v>177</v>
      </c>
      <c r="C182">
        <v>3</v>
      </c>
      <c r="D182">
        <v>0</v>
      </c>
      <c r="E182">
        <f>SmtRes!AV177</f>
        <v>0</v>
      </c>
      <c r="F182" t="str">
        <f>SmtRes!I177</f>
        <v>01.2.03.03-0107</v>
      </c>
      <c r="G182" t="str">
        <f>SmtRes!K177</f>
        <v>Мастика битумно-масляная МБ-50</v>
      </c>
      <c r="H182" t="str">
        <f>SmtRes!O177</f>
        <v>т</v>
      </c>
      <c r="I182">
        <f>SmtRes!Y177*Source!I165</f>
        <v>1.0799999999999999E-2</v>
      </c>
      <c r="J182">
        <f>SmtRes!AO177</f>
        <v>0</v>
      </c>
      <c r="K182">
        <f>SmtRes!AE177</f>
        <v>30195.360000000001</v>
      </c>
      <c r="M182">
        <f t="shared" si="16"/>
        <v>326.11</v>
      </c>
      <c r="N182">
        <f>SmtRes!AA177</f>
        <v>46198.9</v>
      </c>
      <c r="O182">
        <f>SmtRes!DF177</f>
        <v>498.95</v>
      </c>
      <c r="P182">
        <f>SmtRes!AG177</f>
        <v>0</v>
      </c>
      <c r="R182">
        <f t="shared" si="17"/>
        <v>0</v>
      </c>
      <c r="S182">
        <f>SmtRes!AC177</f>
        <v>0</v>
      </c>
      <c r="T182">
        <f>SmtRes!DH177</f>
        <v>0</v>
      </c>
      <c r="U182">
        <v>3</v>
      </c>
      <c r="Z182">
        <f>SmtRes!X177</f>
        <v>1007947411</v>
      </c>
      <c r="AA182">
        <v>-648738164</v>
      </c>
      <c r="AB182">
        <v>2009696039</v>
      </c>
    </row>
    <row r="183" spans="1:28" x14ac:dyDescent="0.25">
      <c r="A183">
        <v>20</v>
      </c>
      <c r="B183">
        <v>176</v>
      </c>
      <c r="C183">
        <v>3</v>
      </c>
      <c r="D183">
        <v>0</v>
      </c>
      <c r="E183">
        <f>SmtRes!AV176</f>
        <v>0</v>
      </c>
      <c r="F183" t="str">
        <f>SmtRes!I176</f>
        <v>01.2.01.02-0031</v>
      </c>
      <c r="G183" t="str">
        <f>SmtRes!K176</f>
        <v>Битум нефтяной строительный изоляционный БНИ-IV-3, БНИ-IV, БНИ-V</v>
      </c>
      <c r="H183" t="str">
        <f>SmtRes!O176</f>
        <v>т</v>
      </c>
      <c r="I183">
        <f>SmtRes!Y176*Source!I165</f>
        <v>4.5360000000000001E-3</v>
      </c>
      <c r="J183">
        <f>SmtRes!AO176</f>
        <v>0</v>
      </c>
      <c r="K183">
        <f>SmtRes!AE176</f>
        <v>23335.8</v>
      </c>
      <c r="M183">
        <f t="shared" si="16"/>
        <v>105.85</v>
      </c>
      <c r="N183">
        <f>SmtRes!AA176</f>
        <v>17968.57</v>
      </c>
      <c r="O183">
        <f>SmtRes!DF176</f>
        <v>81.510000000000005</v>
      </c>
      <c r="P183">
        <f>SmtRes!AG176</f>
        <v>0</v>
      </c>
      <c r="R183">
        <f t="shared" si="17"/>
        <v>0</v>
      </c>
      <c r="S183">
        <f>SmtRes!AC176</f>
        <v>0</v>
      </c>
      <c r="T183">
        <f>SmtRes!DH176</f>
        <v>0</v>
      </c>
      <c r="U183">
        <v>3</v>
      </c>
      <c r="Z183">
        <f>SmtRes!X176</f>
        <v>-681709444</v>
      </c>
      <c r="AA183">
        <v>-1885946792</v>
      </c>
      <c r="AB183">
        <v>1543449742</v>
      </c>
    </row>
    <row r="184" spans="1:28" x14ac:dyDescent="0.25">
      <c r="A184">
        <v>20</v>
      </c>
      <c r="B184">
        <v>175</v>
      </c>
      <c r="C184">
        <v>2</v>
      </c>
      <c r="D184">
        <v>0</v>
      </c>
      <c r="E184">
        <f>SmtRes!AV175</f>
        <v>1</v>
      </c>
      <c r="F184" t="str">
        <f>SmtRes!I175</f>
        <v>91.21.22-443</v>
      </c>
      <c r="G184" t="str">
        <f>SmtRes!K175</f>
        <v>Станки универсальные электромеханические для изготовления бандажей, диафрагм, пряжек, мощность 0,75 кВт</v>
      </c>
      <c r="H184" t="str">
        <f>SmtRes!O175</f>
        <v>маш.-ч</v>
      </c>
      <c r="I184">
        <f>SmtRes!Y175*Source!I165</f>
        <v>0.52163999999999988</v>
      </c>
      <c r="J184">
        <f>SmtRes!AO175</f>
        <v>0</v>
      </c>
      <c r="K184">
        <f>SmtRes!AF175</f>
        <v>21.39</v>
      </c>
      <c r="M184">
        <f t="shared" si="16"/>
        <v>11.16</v>
      </c>
      <c r="N184">
        <f>SmtRes!AB175</f>
        <v>33.15</v>
      </c>
      <c r="O184">
        <f>SmtRes!DG175</f>
        <v>17.29</v>
      </c>
      <c r="P184">
        <f>SmtRes!AG175</f>
        <v>0</v>
      </c>
      <c r="R184">
        <f t="shared" si="17"/>
        <v>0</v>
      </c>
      <c r="S184">
        <f>SmtRes!AC175</f>
        <v>0</v>
      </c>
      <c r="T184">
        <f>SmtRes!DH175</f>
        <v>0</v>
      </c>
      <c r="U184">
        <v>2</v>
      </c>
      <c r="Z184">
        <f>SmtRes!X175</f>
        <v>210516533</v>
      </c>
      <c r="AA184">
        <v>-1370424266</v>
      </c>
      <c r="AB184">
        <v>45691812</v>
      </c>
    </row>
    <row r="185" spans="1:28" x14ac:dyDescent="0.25">
      <c r="A185">
        <v>20</v>
      </c>
      <c r="B185">
        <v>174</v>
      </c>
      <c r="C185">
        <v>2</v>
      </c>
      <c r="D185">
        <v>0</v>
      </c>
      <c r="E185">
        <f>SmtRes!AV174</f>
        <v>1</v>
      </c>
      <c r="F185" t="str">
        <f>SmtRes!I174</f>
        <v>91.14.02-001</v>
      </c>
      <c r="G185" t="str">
        <f>SmtRes!K174</f>
        <v>Автомобили бортовые, грузоподъемность до 5 т</v>
      </c>
      <c r="H185" t="str">
        <f>SmtRes!O174</f>
        <v>маш.-ч</v>
      </c>
      <c r="I185">
        <f>SmtRes!Y174*Source!I165</f>
        <v>0.17801999999999998</v>
      </c>
      <c r="J185">
        <f>SmtRes!AO174</f>
        <v>0</v>
      </c>
      <c r="K185">
        <f>SmtRes!AF174</f>
        <v>551.45000000000005</v>
      </c>
      <c r="M185">
        <f t="shared" si="16"/>
        <v>98.17</v>
      </c>
      <c r="N185">
        <f>SmtRes!AB174</f>
        <v>551.45000000000005</v>
      </c>
      <c r="O185">
        <f>SmtRes!DG174</f>
        <v>98.17</v>
      </c>
      <c r="P185">
        <f>SmtRes!AG174</f>
        <v>368.02</v>
      </c>
      <c r="R185">
        <f t="shared" si="17"/>
        <v>65.510000000000005</v>
      </c>
      <c r="S185">
        <f>SmtRes!AC174</f>
        <v>368.02</v>
      </c>
      <c r="T185">
        <f>SmtRes!DH174</f>
        <v>65.510000000000005</v>
      </c>
      <c r="U185">
        <v>2</v>
      </c>
      <c r="Z185">
        <f>SmtRes!X174</f>
        <v>-1152394969</v>
      </c>
      <c r="AA185">
        <v>-1365767090</v>
      </c>
      <c r="AB185">
        <v>-1365767090</v>
      </c>
    </row>
    <row r="186" spans="1:28" x14ac:dyDescent="0.25">
      <c r="A186">
        <v>20</v>
      </c>
      <c r="B186">
        <v>173</v>
      </c>
      <c r="C186">
        <v>2</v>
      </c>
      <c r="D186">
        <v>0</v>
      </c>
      <c r="E186">
        <f>SmtRes!AV173</f>
        <v>1</v>
      </c>
      <c r="F186" t="str">
        <f>SmtRes!I173</f>
        <v>91.08.04-021</v>
      </c>
      <c r="G186" t="str">
        <f>SmtRes!K173</f>
        <v>Котлы битумные передвижные электрические с центробежной мешалкой, объем загрузочной емкости 400 л</v>
      </c>
      <c r="H186" t="str">
        <f>SmtRes!O173</f>
        <v>маш.-ч</v>
      </c>
      <c r="I186">
        <f>SmtRes!Y173*Source!I165</f>
        <v>9.5219999999999999E-2</v>
      </c>
      <c r="J186">
        <f>SmtRes!AO173</f>
        <v>0</v>
      </c>
      <c r="K186">
        <f>SmtRes!AF173</f>
        <v>95.25</v>
      </c>
      <c r="M186">
        <f t="shared" si="16"/>
        <v>9.07</v>
      </c>
      <c r="N186">
        <f>SmtRes!AB173</f>
        <v>151.44999999999999</v>
      </c>
      <c r="O186">
        <f>SmtRes!DG173</f>
        <v>14.42</v>
      </c>
      <c r="P186">
        <f>SmtRes!AG173</f>
        <v>0</v>
      </c>
      <c r="R186">
        <f t="shared" si="17"/>
        <v>0</v>
      </c>
      <c r="S186">
        <f>SmtRes!AC173</f>
        <v>0</v>
      </c>
      <c r="T186">
        <f>SmtRes!DH173</f>
        <v>0</v>
      </c>
      <c r="U186">
        <v>2</v>
      </c>
      <c r="Z186">
        <f>SmtRes!X173</f>
        <v>-1898721235</v>
      </c>
      <c r="AA186">
        <v>-909827751</v>
      </c>
      <c r="AB186">
        <v>-682838581</v>
      </c>
    </row>
    <row r="187" spans="1:28" x14ac:dyDescent="0.25">
      <c r="A187">
        <v>20</v>
      </c>
      <c r="B187">
        <v>172</v>
      </c>
      <c r="C187">
        <v>1</v>
      </c>
      <c r="D187">
        <v>0</v>
      </c>
      <c r="E187">
        <f>SmtRes!AV172</f>
        <v>2</v>
      </c>
      <c r="F187" t="str">
        <f>SmtRes!I172</f>
        <v>4-100-00</v>
      </c>
      <c r="G187" t="str">
        <f>SmtRes!K172</f>
        <v>Затраты труда машинистов</v>
      </c>
      <c r="H187" t="str">
        <f>SmtRes!O172</f>
        <v>чел.-ч.</v>
      </c>
      <c r="I187">
        <f>SmtRes!Y172*Source!I165</f>
        <v>0.17801999999999998</v>
      </c>
      <c r="J187">
        <f>SmtRes!AO172</f>
        <v>0</v>
      </c>
      <c r="K187">
        <f>SmtRes!AH172</f>
        <v>0</v>
      </c>
      <c r="M187">
        <f t="shared" si="16"/>
        <v>0</v>
      </c>
      <c r="N187">
        <f>SmtRes!AD172</f>
        <v>0</v>
      </c>
      <c r="O187">
        <f>SmtRes!DI172</f>
        <v>0</v>
      </c>
      <c r="P187">
        <f>SmtRes!AG172</f>
        <v>0</v>
      </c>
      <c r="R187">
        <f t="shared" si="17"/>
        <v>0</v>
      </c>
      <c r="S187">
        <f>SmtRes!AC172</f>
        <v>0</v>
      </c>
      <c r="T187">
        <f>SmtRes!DH172</f>
        <v>0</v>
      </c>
      <c r="U187">
        <v>1</v>
      </c>
      <c r="Z187">
        <f>SmtRes!X172</f>
        <v>-1417349443</v>
      </c>
      <c r="AA187">
        <v>212567905</v>
      </c>
      <c r="AB187">
        <v>212567905</v>
      </c>
    </row>
    <row r="188" spans="1:28" x14ac:dyDescent="0.25">
      <c r="A188">
        <v>20</v>
      </c>
      <c r="B188">
        <v>171</v>
      </c>
      <c r="C188">
        <v>1</v>
      </c>
      <c r="D188">
        <v>0</v>
      </c>
      <c r="E188">
        <f>SmtRes!AV171</f>
        <v>1</v>
      </c>
      <c r="F188" t="str">
        <f>SmtRes!I171</f>
        <v>1-100-31</v>
      </c>
      <c r="G188" t="str">
        <f>SmtRes!K171</f>
        <v>Средний разряд работы 3,1</v>
      </c>
      <c r="H188" t="str">
        <f>SmtRes!O171</f>
        <v>чел.-ч.</v>
      </c>
      <c r="I188">
        <f>SmtRes!Y171*Source!I165</f>
        <v>12.42</v>
      </c>
      <c r="J188">
        <f>SmtRes!AO171</f>
        <v>0</v>
      </c>
      <c r="K188">
        <f>SmtRes!AH171</f>
        <v>330.94</v>
      </c>
      <c r="M188">
        <f t="shared" si="16"/>
        <v>4110.2700000000004</v>
      </c>
      <c r="N188">
        <f>SmtRes!AD171</f>
        <v>330.94</v>
      </c>
      <c r="O188">
        <f>SmtRes!DI171</f>
        <v>4110.2700000000004</v>
      </c>
      <c r="P188">
        <f>SmtRes!AG171</f>
        <v>0</v>
      </c>
      <c r="R188">
        <f t="shared" si="17"/>
        <v>0</v>
      </c>
      <c r="S188">
        <f>SmtRes!AC171</f>
        <v>0</v>
      </c>
      <c r="T188">
        <f>SmtRes!DH171</f>
        <v>0</v>
      </c>
      <c r="U188">
        <v>1</v>
      </c>
      <c r="Z188">
        <f>SmtRes!X171</f>
        <v>1426738182</v>
      </c>
      <c r="AA188">
        <v>1645052596</v>
      </c>
      <c r="AB188">
        <v>1645052596</v>
      </c>
    </row>
    <row r="189" spans="1:28" x14ac:dyDescent="0.25">
      <c r="A189">
        <f>Source!A166</f>
        <v>18</v>
      </c>
      <c r="B189">
        <v>166</v>
      </c>
      <c r="C189">
        <v>3</v>
      </c>
      <c r="D189">
        <f>Source!BI166</f>
        <v>1</v>
      </c>
      <c r="E189">
        <f>Source!FS166</f>
        <v>0</v>
      </c>
      <c r="F189" t="str">
        <f>Source!F166</f>
        <v>12.2.03.11-0012</v>
      </c>
      <c r="G189" t="str">
        <f>Source!G166</f>
        <v>Ткань стеклянная изоляционная, плотность 230 г/м2, толщина 0,2 мм (*РСТ-415-Л, клей)</v>
      </c>
      <c r="H189" t="str">
        <f>Source!H166</f>
        <v>м2</v>
      </c>
      <c r="I189">
        <f>Source!I166</f>
        <v>41.4</v>
      </c>
      <c r="J189">
        <v>1</v>
      </c>
      <c r="K189">
        <f>Source!AC166</f>
        <v>115.84</v>
      </c>
      <c r="M189">
        <f>ROUND(K189*I189, 2)</f>
        <v>4795.78</v>
      </c>
      <c r="N189">
        <f>Source!CQ166</f>
        <v>104.26</v>
      </c>
      <c r="O189">
        <f>ROUND(N189*I189, 2)</f>
        <v>4316.3599999999997</v>
      </c>
      <c r="P189">
        <f>Source!AE166</f>
        <v>0</v>
      </c>
      <c r="R189">
        <f>ROUND(P189*I189, 2)</f>
        <v>0</v>
      </c>
      <c r="S189">
        <f>Source!AE166*IF(Source!BS166&lt;&gt; 0, Source!BS166, 1)</f>
        <v>0</v>
      </c>
      <c r="T189">
        <f>ROUND(S189*I189, 2)</f>
        <v>0</v>
      </c>
      <c r="U189">
        <v>3</v>
      </c>
      <c r="Z189">
        <f>Source!GF166</f>
        <v>921560166</v>
      </c>
      <c r="AA189">
        <v>-428207649</v>
      </c>
      <c r="AB189">
        <v>2001196716</v>
      </c>
    </row>
    <row r="190" spans="1:28" x14ac:dyDescent="0.25">
      <c r="A190">
        <v>20</v>
      </c>
      <c r="B190">
        <v>186</v>
      </c>
      <c r="C190">
        <v>3</v>
      </c>
      <c r="D190">
        <v>0</v>
      </c>
      <c r="E190">
        <f>SmtRes!AV186</f>
        <v>0</v>
      </c>
      <c r="F190" t="str">
        <f>SmtRes!I186</f>
        <v>01.7.11.07-0230</v>
      </c>
      <c r="G190" t="str">
        <f>SmtRes!K186</f>
        <v>Электроды сварочные для сварки низколегированных и углеродистых сталей УОНИ 13/55, Э50А, диаметр 4-5 мм</v>
      </c>
      <c r="H190" t="str">
        <f>SmtRes!O186</f>
        <v>кг</v>
      </c>
      <c r="I190">
        <f>SmtRes!Y186*Source!I168</f>
        <v>6.2E-2</v>
      </c>
      <c r="J190">
        <f>SmtRes!AO186</f>
        <v>0</v>
      </c>
      <c r="K190">
        <f>SmtRes!AE186</f>
        <v>148.86000000000001</v>
      </c>
      <c r="M190">
        <f t="shared" ref="M190:M219" si="18">ROUND(I190*K190, 2)</f>
        <v>9.23</v>
      </c>
      <c r="N190">
        <f>SmtRes!AA186</f>
        <v>126.53</v>
      </c>
      <c r="O190">
        <f>SmtRes!DF186</f>
        <v>7.84</v>
      </c>
      <c r="P190">
        <f>SmtRes!AG186</f>
        <v>0</v>
      </c>
      <c r="R190">
        <f t="shared" ref="R190:R219" si="19">ROUND(I190*P190, 2)</f>
        <v>0</v>
      </c>
      <c r="S190">
        <f>SmtRes!AC186</f>
        <v>0</v>
      </c>
      <c r="T190">
        <f>SmtRes!DH186</f>
        <v>0</v>
      </c>
      <c r="U190">
        <v>3</v>
      </c>
      <c r="Z190">
        <f>SmtRes!X186</f>
        <v>1622150853</v>
      </c>
      <c r="AA190">
        <v>-2065921121</v>
      </c>
      <c r="AB190">
        <v>780633038</v>
      </c>
    </row>
    <row r="191" spans="1:28" x14ac:dyDescent="0.25">
      <c r="A191">
        <v>20</v>
      </c>
      <c r="B191">
        <v>185</v>
      </c>
      <c r="C191">
        <v>3</v>
      </c>
      <c r="D191">
        <v>0</v>
      </c>
      <c r="E191">
        <f>SmtRes!AV185</f>
        <v>0</v>
      </c>
      <c r="F191" t="str">
        <f>SmtRes!I185</f>
        <v>01.7.03.04-0001</v>
      </c>
      <c r="G191" t="str">
        <f>SmtRes!K185</f>
        <v>Электроэнергия</v>
      </c>
      <c r="H191" t="str">
        <f>SmtRes!O185</f>
        <v>КВТ-Ч</v>
      </c>
      <c r="I191">
        <f>SmtRes!Y185*Source!I168</f>
        <v>0.86399999999999999</v>
      </c>
      <c r="J191">
        <f>SmtRes!AO185</f>
        <v>0</v>
      </c>
      <c r="K191">
        <f>SmtRes!AE185</f>
        <v>9.0399999999999991</v>
      </c>
      <c r="M191">
        <f t="shared" si="18"/>
        <v>7.81</v>
      </c>
      <c r="N191">
        <f>SmtRes!AA185</f>
        <v>9.0399999999999991</v>
      </c>
      <c r="O191">
        <f>SmtRes!DF185</f>
        <v>7.81</v>
      </c>
      <c r="P191">
        <f>SmtRes!AG185</f>
        <v>0</v>
      </c>
      <c r="R191">
        <f t="shared" si="19"/>
        <v>0</v>
      </c>
      <c r="S191">
        <f>SmtRes!AC185</f>
        <v>0</v>
      </c>
      <c r="T191">
        <f>SmtRes!DH185</f>
        <v>0</v>
      </c>
      <c r="U191">
        <v>3</v>
      </c>
      <c r="Z191">
        <f>SmtRes!X185</f>
        <v>-182421198</v>
      </c>
      <c r="AA191">
        <v>-852101439</v>
      </c>
      <c r="AB191">
        <v>-852101439</v>
      </c>
    </row>
    <row r="192" spans="1:28" x14ac:dyDescent="0.25">
      <c r="A192">
        <v>20</v>
      </c>
      <c r="B192">
        <v>184</v>
      </c>
      <c r="C192">
        <v>3</v>
      </c>
      <c r="D192">
        <v>0</v>
      </c>
      <c r="E192">
        <f>SmtRes!AV184</f>
        <v>0</v>
      </c>
      <c r="F192" t="str">
        <f>SmtRes!I184</f>
        <v>01.3.02.09-0022</v>
      </c>
      <c r="G192" t="str">
        <f>SmtRes!K184</f>
        <v>Пропан-бутан смесь техническая</v>
      </c>
      <c r="H192" t="str">
        <f>SmtRes!O184</f>
        <v>кг</v>
      </c>
      <c r="I192">
        <f>SmtRes!Y184*Source!I168</f>
        <v>0.22</v>
      </c>
      <c r="J192">
        <f>SmtRes!AO184</f>
        <v>0</v>
      </c>
      <c r="K192">
        <f>SmtRes!AE184</f>
        <v>41.38</v>
      </c>
      <c r="M192">
        <f t="shared" si="18"/>
        <v>9.1</v>
      </c>
      <c r="N192">
        <f>SmtRes!AA184</f>
        <v>62.48</v>
      </c>
      <c r="O192">
        <f>SmtRes!DF184</f>
        <v>13.75</v>
      </c>
      <c r="P192">
        <f>SmtRes!AG184</f>
        <v>0</v>
      </c>
      <c r="R192">
        <f t="shared" si="19"/>
        <v>0</v>
      </c>
      <c r="S192">
        <f>SmtRes!AC184</f>
        <v>0</v>
      </c>
      <c r="T192">
        <f>SmtRes!DH184</f>
        <v>0</v>
      </c>
      <c r="U192">
        <v>3</v>
      </c>
      <c r="Z192">
        <f>SmtRes!X184</f>
        <v>1843545816</v>
      </c>
      <c r="AA192">
        <v>-693499030</v>
      </c>
      <c r="AB192">
        <v>-241278685</v>
      </c>
    </row>
    <row r="193" spans="1:28" x14ac:dyDescent="0.25">
      <c r="A193">
        <v>20</v>
      </c>
      <c r="B193">
        <v>183</v>
      </c>
      <c r="C193">
        <v>3</v>
      </c>
      <c r="D193">
        <v>0</v>
      </c>
      <c r="E193">
        <f>SmtRes!AV183</f>
        <v>0</v>
      </c>
      <c r="F193" t="str">
        <f>SmtRes!I183</f>
        <v>01.3.02.08-0001</v>
      </c>
      <c r="G193" t="str">
        <f>SmtRes!K183</f>
        <v>Кислород газообразный технический</v>
      </c>
      <c r="H193" t="str">
        <f>SmtRes!O183</f>
        <v>м3</v>
      </c>
      <c r="I193">
        <f>SmtRes!Y183*Source!I168</f>
        <v>0.76</v>
      </c>
      <c r="J193">
        <f>SmtRes!AO183</f>
        <v>0</v>
      </c>
      <c r="K193">
        <f>SmtRes!AE183</f>
        <v>114.64</v>
      </c>
      <c r="M193">
        <f t="shared" si="18"/>
        <v>87.13</v>
      </c>
      <c r="N193">
        <f>SmtRes!AA183</f>
        <v>126.1</v>
      </c>
      <c r="O193">
        <f>SmtRes!DF183</f>
        <v>95.84</v>
      </c>
      <c r="P193">
        <f>SmtRes!AG183</f>
        <v>0</v>
      </c>
      <c r="R193">
        <f t="shared" si="19"/>
        <v>0</v>
      </c>
      <c r="S193">
        <f>SmtRes!AC183</f>
        <v>0</v>
      </c>
      <c r="T193">
        <f>SmtRes!DH183</f>
        <v>0</v>
      </c>
      <c r="U193">
        <v>3</v>
      </c>
      <c r="Z193">
        <f>SmtRes!X183</f>
        <v>1531571680</v>
      </c>
      <c r="AA193">
        <v>-811279051</v>
      </c>
      <c r="AB193">
        <v>-1636355577</v>
      </c>
    </row>
    <row r="194" spans="1:28" x14ac:dyDescent="0.25">
      <c r="A194">
        <v>20</v>
      </c>
      <c r="B194">
        <v>182</v>
      </c>
      <c r="C194">
        <v>2</v>
      </c>
      <c r="D194">
        <v>0</v>
      </c>
      <c r="E194">
        <f>SmtRes!AV182</f>
        <v>1</v>
      </c>
      <c r="F194" t="str">
        <f>SmtRes!I182</f>
        <v>91.17.04-233</v>
      </c>
      <c r="G194" t="str">
        <f>SmtRes!K182</f>
        <v>Аппараты сварочные для ручной дуговой сварки, сварочный ток до 350 А</v>
      </c>
      <c r="H194" t="str">
        <f>SmtRes!O182</f>
        <v>маш.-ч</v>
      </c>
      <c r="I194">
        <f>SmtRes!Y182*Source!I168</f>
        <v>0.39100000000000001</v>
      </c>
      <c r="J194">
        <f>SmtRes!AO182</f>
        <v>0</v>
      </c>
      <c r="K194">
        <f>SmtRes!AF182</f>
        <v>41.5</v>
      </c>
      <c r="M194">
        <f t="shared" si="18"/>
        <v>16.23</v>
      </c>
      <c r="N194">
        <f>SmtRes!AB182</f>
        <v>41.5</v>
      </c>
      <c r="O194">
        <f>SmtRes!DG182</f>
        <v>16.23</v>
      </c>
      <c r="P194">
        <f>SmtRes!AG182</f>
        <v>0</v>
      </c>
      <c r="R194">
        <f t="shared" si="19"/>
        <v>0</v>
      </c>
      <c r="S194">
        <f>SmtRes!AC182</f>
        <v>0</v>
      </c>
      <c r="T194">
        <f>SmtRes!DH182</f>
        <v>0</v>
      </c>
      <c r="U194">
        <v>2</v>
      </c>
      <c r="Z194">
        <f>SmtRes!X182</f>
        <v>462025989</v>
      </c>
      <c r="AA194">
        <v>393471399</v>
      </c>
      <c r="AB194">
        <v>393471399</v>
      </c>
    </row>
    <row r="195" spans="1:28" x14ac:dyDescent="0.25">
      <c r="A195">
        <v>20</v>
      </c>
      <c r="B195">
        <v>181</v>
      </c>
      <c r="C195">
        <v>1</v>
      </c>
      <c r="D195">
        <v>0</v>
      </c>
      <c r="E195">
        <f>SmtRes!AV181</f>
        <v>1</v>
      </c>
      <c r="F195" t="str">
        <f>SmtRes!I181</f>
        <v>1-100-44</v>
      </c>
      <c r="G195" t="str">
        <f>SmtRes!K181</f>
        <v>Средний разряд работы 4,4</v>
      </c>
      <c r="H195" t="str">
        <f>SmtRes!O181</f>
        <v>чел.-ч.</v>
      </c>
      <c r="I195">
        <f>SmtRes!Y181*Source!I168</f>
        <v>9.1999999999999993</v>
      </c>
      <c r="J195">
        <f>SmtRes!AO181</f>
        <v>0</v>
      </c>
      <c r="K195">
        <f>SmtRes!AH181</f>
        <v>389.99</v>
      </c>
      <c r="M195">
        <f t="shared" si="18"/>
        <v>3587.91</v>
      </c>
      <c r="N195">
        <f>SmtRes!AD181</f>
        <v>389.99</v>
      </c>
      <c r="O195">
        <f>SmtRes!DI181</f>
        <v>3587.91</v>
      </c>
      <c r="P195">
        <f>SmtRes!AG181</f>
        <v>0</v>
      </c>
      <c r="R195">
        <f t="shared" si="19"/>
        <v>0</v>
      </c>
      <c r="S195">
        <f>SmtRes!AC181</f>
        <v>0</v>
      </c>
      <c r="T195">
        <f>SmtRes!DH181</f>
        <v>0</v>
      </c>
      <c r="U195">
        <v>1</v>
      </c>
      <c r="Z195">
        <f>SmtRes!X181</f>
        <v>854221438</v>
      </c>
      <c r="AA195">
        <v>-1480232541</v>
      </c>
      <c r="AB195">
        <v>-1480232541</v>
      </c>
    </row>
    <row r="196" spans="1:28" x14ac:dyDescent="0.25">
      <c r="A196">
        <v>20</v>
      </c>
      <c r="B196">
        <v>192</v>
      </c>
      <c r="C196">
        <v>3</v>
      </c>
      <c r="D196">
        <v>0</v>
      </c>
      <c r="E196">
        <f>SmtRes!AV192</f>
        <v>0</v>
      </c>
      <c r="F196" t="str">
        <f>SmtRes!I192</f>
        <v>01.7.11.07-0230</v>
      </c>
      <c r="G196" t="str">
        <f>SmtRes!K192</f>
        <v>Электроды сварочные для сварки низколегированных и углеродистых сталей УОНИ 13/55, Э50А, диаметр 4-5 мм</v>
      </c>
      <c r="H196" t="str">
        <f>SmtRes!O192</f>
        <v>кг</v>
      </c>
      <c r="I196">
        <f>SmtRes!Y192*Source!I169</f>
        <v>0.27900000000000003</v>
      </c>
      <c r="J196">
        <f>SmtRes!AO192</f>
        <v>0</v>
      </c>
      <c r="K196">
        <f>SmtRes!AE192</f>
        <v>148.86000000000001</v>
      </c>
      <c r="M196">
        <f t="shared" si="18"/>
        <v>41.53</v>
      </c>
      <c r="N196">
        <f>SmtRes!AA192</f>
        <v>126.53</v>
      </c>
      <c r="O196">
        <f>SmtRes!DF192</f>
        <v>35.299999999999997</v>
      </c>
      <c r="P196">
        <f>SmtRes!AG192</f>
        <v>0</v>
      </c>
      <c r="R196">
        <f t="shared" si="19"/>
        <v>0</v>
      </c>
      <c r="S196">
        <f>SmtRes!AC192</f>
        <v>0</v>
      </c>
      <c r="T196">
        <f>SmtRes!DH192</f>
        <v>0</v>
      </c>
      <c r="U196">
        <v>3</v>
      </c>
      <c r="Z196">
        <f>SmtRes!X192</f>
        <v>1622150853</v>
      </c>
      <c r="AA196">
        <v>-2065921121</v>
      </c>
      <c r="AB196">
        <v>780633038</v>
      </c>
    </row>
    <row r="197" spans="1:28" x14ac:dyDescent="0.25">
      <c r="A197">
        <v>20</v>
      </c>
      <c r="B197">
        <v>191</v>
      </c>
      <c r="C197">
        <v>3</v>
      </c>
      <c r="D197">
        <v>0</v>
      </c>
      <c r="E197">
        <f>SmtRes!AV191</f>
        <v>0</v>
      </c>
      <c r="F197" t="str">
        <f>SmtRes!I191</f>
        <v>01.7.03.04-0001</v>
      </c>
      <c r="G197" t="str">
        <f>SmtRes!K191</f>
        <v>Электроэнергия</v>
      </c>
      <c r="H197" t="str">
        <f>SmtRes!O191</f>
        <v>КВТ-Ч</v>
      </c>
      <c r="I197">
        <f>SmtRes!Y191*Source!I169</f>
        <v>2.5920000000000001</v>
      </c>
      <c r="J197">
        <f>SmtRes!AO191</f>
        <v>0</v>
      </c>
      <c r="K197">
        <f>SmtRes!AE191</f>
        <v>9.0399999999999991</v>
      </c>
      <c r="M197">
        <f t="shared" si="18"/>
        <v>23.43</v>
      </c>
      <c r="N197">
        <f>SmtRes!AA191</f>
        <v>9.0399999999999991</v>
      </c>
      <c r="O197">
        <f>SmtRes!DF191</f>
        <v>23.43</v>
      </c>
      <c r="P197">
        <f>SmtRes!AG191</f>
        <v>0</v>
      </c>
      <c r="R197">
        <f t="shared" si="19"/>
        <v>0</v>
      </c>
      <c r="S197">
        <f>SmtRes!AC191</f>
        <v>0</v>
      </c>
      <c r="T197">
        <f>SmtRes!DH191</f>
        <v>0</v>
      </c>
      <c r="U197">
        <v>3</v>
      </c>
      <c r="Z197">
        <f>SmtRes!X191</f>
        <v>-182421198</v>
      </c>
      <c r="AA197">
        <v>-852101439</v>
      </c>
      <c r="AB197">
        <v>-852101439</v>
      </c>
    </row>
    <row r="198" spans="1:28" x14ac:dyDescent="0.25">
      <c r="A198">
        <v>20</v>
      </c>
      <c r="B198">
        <v>190</v>
      </c>
      <c r="C198">
        <v>3</v>
      </c>
      <c r="D198">
        <v>0</v>
      </c>
      <c r="E198">
        <f>SmtRes!AV190</f>
        <v>0</v>
      </c>
      <c r="F198" t="str">
        <f>SmtRes!I190</f>
        <v>01.3.02.09-0022</v>
      </c>
      <c r="G198" t="str">
        <f>SmtRes!K190</f>
        <v>Пропан-бутан смесь техническая</v>
      </c>
      <c r="H198" t="str">
        <f>SmtRes!O190</f>
        <v>кг</v>
      </c>
      <c r="I198">
        <f>SmtRes!Y190*Source!I169</f>
        <v>0.75</v>
      </c>
      <c r="J198">
        <f>SmtRes!AO190</f>
        <v>0</v>
      </c>
      <c r="K198">
        <f>SmtRes!AE190</f>
        <v>41.38</v>
      </c>
      <c r="M198">
        <f t="shared" si="18"/>
        <v>31.04</v>
      </c>
      <c r="N198">
        <f>SmtRes!AA190</f>
        <v>62.48</v>
      </c>
      <c r="O198">
        <f>SmtRes!DF190</f>
        <v>46.86</v>
      </c>
      <c r="P198">
        <f>SmtRes!AG190</f>
        <v>0</v>
      </c>
      <c r="R198">
        <f t="shared" si="19"/>
        <v>0</v>
      </c>
      <c r="S198">
        <f>SmtRes!AC190</f>
        <v>0</v>
      </c>
      <c r="T198">
        <f>SmtRes!DH190</f>
        <v>0</v>
      </c>
      <c r="U198">
        <v>3</v>
      </c>
      <c r="Z198">
        <f>SmtRes!X190</f>
        <v>1843545816</v>
      </c>
      <c r="AA198">
        <v>-693499030</v>
      </c>
      <c r="AB198">
        <v>-241278685</v>
      </c>
    </row>
    <row r="199" spans="1:28" x14ac:dyDescent="0.25">
      <c r="A199">
        <v>20</v>
      </c>
      <c r="B199">
        <v>189</v>
      </c>
      <c r="C199">
        <v>3</v>
      </c>
      <c r="D199">
        <v>0</v>
      </c>
      <c r="E199">
        <f>SmtRes!AV189</f>
        <v>0</v>
      </c>
      <c r="F199" t="str">
        <f>SmtRes!I189</f>
        <v>01.3.02.08-0001</v>
      </c>
      <c r="G199" t="str">
        <f>SmtRes!K189</f>
        <v>Кислород газообразный технический</v>
      </c>
      <c r="H199" t="str">
        <f>SmtRes!O189</f>
        <v>м3</v>
      </c>
      <c r="I199">
        <f>SmtRes!Y189*Source!I169</f>
        <v>2.64</v>
      </c>
      <c r="J199">
        <f>SmtRes!AO189</f>
        <v>0</v>
      </c>
      <c r="K199">
        <f>SmtRes!AE189</f>
        <v>114.64</v>
      </c>
      <c r="M199">
        <f t="shared" si="18"/>
        <v>302.64999999999998</v>
      </c>
      <c r="N199">
        <f>SmtRes!AA189</f>
        <v>126.1</v>
      </c>
      <c r="O199">
        <f>SmtRes!DF189</f>
        <v>332.9</v>
      </c>
      <c r="P199">
        <f>SmtRes!AG189</f>
        <v>0</v>
      </c>
      <c r="R199">
        <f t="shared" si="19"/>
        <v>0</v>
      </c>
      <c r="S199">
        <f>SmtRes!AC189</f>
        <v>0</v>
      </c>
      <c r="T199">
        <f>SmtRes!DH189</f>
        <v>0</v>
      </c>
      <c r="U199">
        <v>3</v>
      </c>
      <c r="Z199">
        <f>SmtRes!X189</f>
        <v>1531571680</v>
      </c>
      <c r="AA199">
        <v>-811279051</v>
      </c>
      <c r="AB199">
        <v>-1636355577</v>
      </c>
    </row>
    <row r="200" spans="1:28" x14ac:dyDescent="0.25">
      <c r="A200">
        <v>20</v>
      </c>
      <c r="B200">
        <v>188</v>
      </c>
      <c r="C200">
        <v>2</v>
      </c>
      <c r="D200">
        <v>0</v>
      </c>
      <c r="E200">
        <f>SmtRes!AV188</f>
        <v>1</v>
      </c>
      <c r="F200" t="str">
        <f>SmtRes!I188</f>
        <v>91.17.04-233</v>
      </c>
      <c r="G200" t="str">
        <f>SmtRes!K188</f>
        <v>Аппараты сварочные для ручной дуговой сварки, сварочный ток до 350 А</v>
      </c>
      <c r="H200" t="str">
        <f>SmtRes!O188</f>
        <v>маш.-ч</v>
      </c>
      <c r="I200">
        <f>SmtRes!Y188*Source!I169</f>
        <v>1.4834999999999998</v>
      </c>
      <c r="J200">
        <f>SmtRes!AO188</f>
        <v>0</v>
      </c>
      <c r="K200">
        <f>SmtRes!AF188</f>
        <v>41.5</v>
      </c>
      <c r="M200">
        <f t="shared" si="18"/>
        <v>61.57</v>
      </c>
      <c r="N200">
        <f>SmtRes!AB188</f>
        <v>41.5</v>
      </c>
      <c r="O200">
        <f>SmtRes!DG188</f>
        <v>61.57</v>
      </c>
      <c r="P200">
        <f>SmtRes!AG188</f>
        <v>0</v>
      </c>
      <c r="R200">
        <f t="shared" si="19"/>
        <v>0</v>
      </c>
      <c r="S200">
        <f>SmtRes!AC188</f>
        <v>0</v>
      </c>
      <c r="T200">
        <f>SmtRes!DH188</f>
        <v>0</v>
      </c>
      <c r="U200">
        <v>2</v>
      </c>
      <c r="Z200">
        <f>SmtRes!X188</f>
        <v>462025989</v>
      </c>
      <c r="AA200">
        <v>393471399</v>
      </c>
      <c r="AB200">
        <v>393471399</v>
      </c>
    </row>
    <row r="201" spans="1:28" x14ac:dyDescent="0.25">
      <c r="A201">
        <v>20</v>
      </c>
      <c r="B201">
        <v>187</v>
      </c>
      <c r="C201">
        <v>1</v>
      </c>
      <c r="D201">
        <v>0</v>
      </c>
      <c r="E201">
        <f>SmtRes!AV187</f>
        <v>1</v>
      </c>
      <c r="F201" t="str">
        <f>SmtRes!I187</f>
        <v>1-100-44</v>
      </c>
      <c r="G201" t="str">
        <f>SmtRes!K187</f>
        <v>Средний разряд работы 4,4</v>
      </c>
      <c r="H201" t="str">
        <f>SmtRes!O187</f>
        <v>чел.-ч.</v>
      </c>
      <c r="I201">
        <f>SmtRes!Y187*Source!I169</f>
        <v>31.049999999999997</v>
      </c>
      <c r="J201">
        <f>SmtRes!AO187</f>
        <v>0</v>
      </c>
      <c r="K201">
        <f>SmtRes!AH187</f>
        <v>389.99</v>
      </c>
      <c r="M201">
        <f t="shared" si="18"/>
        <v>12109.19</v>
      </c>
      <c r="N201">
        <f>SmtRes!AD187</f>
        <v>389.99</v>
      </c>
      <c r="O201">
        <f>SmtRes!DI187</f>
        <v>12109.19</v>
      </c>
      <c r="P201">
        <f>SmtRes!AG187</f>
        <v>0</v>
      </c>
      <c r="R201">
        <f t="shared" si="19"/>
        <v>0</v>
      </c>
      <c r="S201">
        <f>SmtRes!AC187</f>
        <v>0</v>
      </c>
      <c r="T201">
        <f>SmtRes!DH187</f>
        <v>0</v>
      </c>
      <c r="U201">
        <v>1</v>
      </c>
      <c r="Z201">
        <f>SmtRes!X187</f>
        <v>854221438</v>
      </c>
      <c r="AA201">
        <v>-1480232541</v>
      </c>
      <c r="AB201">
        <v>-1480232541</v>
      </c>
    </row>
    <row r="202" spans="1:28" x14ac:dyDescent="0.25">
      <c r="A202">
        <v>20</v>
      </c>
      <c r="B202">
        <v>205</v>
      </c>
      <c r="C202">
        <v>3</v>
      </c>
      <c r="D202">
        <v>0</v>
      </c>
      <c r="E202">
        <f>SmtRes!AV205</f>
        <v>0</v>
      </c>
      <c r="F202" t="str">
        <f>SmtRes!I205</f>
        <v>01.7.17.07-0054</v>
      </c>
      <c r="G202" t="str">
        <f>SmtRes!K205</f>
        <v>Круг шлифовальный прямого профиля, размеры 230х5х22 мм</v>
      </c>
      <c r="H202" t="str">
        <f>SmtRes!O205</f>
        <v>ШТ</v>
      </c>
      <c r="I202">
        <f>SmtRes!Y205*Source!I171</f>
        <v>0.06</v>
      </c>
      <c r="J202">
        <f>SmtRes!AO205</f>
        <v>0</v>
      </c>
      <c r="K202">
        <f>SmtRes!AE205</f>
        <v>104.63</v>
      </c>
      <c r="M202">
        <f t="shared" si="18"/>
        <v>6.28</v>
      </c>
      <c r="N202">
        <f>SmtRes!AA205</f>
        <v>127.65</v>
      </c>
      <c r="O202">
        <f>SmtRes!DF205</f>
        <v>7.66</v>
      </c>
      <c r="P202">
        <f>SmtRes!AG205</f>
        <v>0</v>
      </c>
      <c r="R202">
        <f t="shared" si="19"/>
        <v>0</v>
      </c>
      <c r="S202">
        <f>SmtRes!AC205</f>
        <v>0</v>
      </c>
      <c r="T202">
        <f>SmtRes!DH205</f>
        <v>0</v>
      </c>
      <c r="U202">
        <v>3</v>
      </c>
      <c r="Z202">
        <f>SmtRes!X205</f>
        <v>-540572236</v>
      </c>
      <c r="AA202">
        <v>2018182976</v>
      </c>
      <c r="AB202">
        <v>-111321349</v>
      </c>
    </row>
    <row r="203" spans="1:28" x14ac:dyDescent="0.25">
      <c r="A203">
        <v>20</v>
      </c>
      <c r="B203">
        <v>204</v>
      </c>
      <c r="C203">
        <v>3</v>
      </c>
      <c r="D203">
        <v>0</v>
      </c>
      <c r="E203">
        <f>SmtRes!AV204</f>
        <v>0</v>
      </c>
      <c r="F203" t="str">
        <f>SmtRes!I204</f>
        <v>01.7.11.07-0227</v>
      </c>
      <c r="G203" t="str">
        <f>SmtRes!K204</f>
        <v>Электроды сварочные для сварки низколегированных и углеродистых сталей УОНИ 13/45, Э42А, диаметр 4-5 мм</v>
      </c>
      <c r="H203" t="str">
        <f>SmtRes!O204</f>
        <v>кг</v>
      </c>
      <c r="I203">
        <f>SmtRes!Y204*Source!I171</f>
        <v>0.48799999999999999</v>
      </c>
      <c r="J203">
        <f>SmtRes!AO204</f>
        <v>0</v>
      </c>
      <c r="K203">
        <f>SmtRes!AE204</f>
        <v>155.63</v>
      </c>
      <c r="M203">
        <f t="shared" si="18"/>
        <v>75.95</v>
      </c>
      <c r="N203">
        <f>SmtRes!AA204</f>
        <v>132.29</v>
      </c>
      <c r="O203">
        <f>SmtRes!DF204</f>
        <v>64.56</v>
      </c>
      <c r="P203">
        <f>SmtRes!AG204</f>
        <v>0</v>
      </c>
      <c r="R203">
        <f t="shared" si="19"/>
        <v>0</v>
      </c>
      <c r="S203">
        <f>SmtRes!AC204</f>
        <v>0</v>
      </c>
      <c r="T203">
        <f>SmtRes!DH204</f>
        <v>0</v>
      </c>
      <c r="U203">
        <v>3</v>
      </c>
      <c r="Z203">
        <f>SmtRes!X204</f>
        <v>-1476217930</v>
      </c>
      <c r="AA203">
        <v>659203163</v>
      </c>
      <c r="AB203">
        <v>-1318828712</v>
      </c>
    </row>
    <row r="204" spans="1:28" x14ac:dyDescent="0.25">
      <c r="A204">
        <v>20</v>
      </c>
      <c r="B204">
        <v>203</v>
      </c>
      <c r="C204">
        <v>3</v>
      </c>
      <c r="D204">
        <v>0</v>
      </c>
      <c r="E204">
        <f>SmtRes!AV203</f>
        <v>0</v>
      </c>
      <c r="F204" t="str">
        <f>SmtRes!I203</f>
        <v>01.7.03.04-0001</v>
      </c>
      <c r="G204" t="str">
        <f>SmtRes!K203</f>
        <v>Электроэнергия</v>
      </c>
      <c r="H204" t="str">
        <f>SmtRes!O203</f>
        <v>КВТ-Ч</v>
      </c>
      <c r="I204">
        <f>SmtRes!Y203*Source!I171</f>
        <v>2.0840000000000001</v>
      </c>
      <c r="J204">
        <f>SmtRes!AO203</f>
        <v>0</v>
      </c>
      <c r="K204">
        <f>SmtRes!AE203</f>
        <v>9.0399999999999991</v>
      </c>
      <c r="M204">
        <f t="shared" si="18"/>
        <v>18.84</v>
      </c>
      <c r="N204">
        <f>SmtRes!AA203</f>
        <v>9.0399999999999991</v>
      </c>
      <c r="O204">
        <f>SmtRes!DF203</f>
        <v>18.84</v>
      </c>
      <c r="P204">
        <f>SmtRes!AG203</f>
        <v>0</v>
      </c>
      <c r="R204">
        <f t="shared" si="19"/>
        <v>0</v>
      </c>
      <c r="S204">
        <f>SmtRes!AC203</f>
        <v>0</v>
      </c>
      <c r="T204">
        <f>SmtRes!DH203</f>
        <v>0</v>
      </c>
      <c r="U204">
        <v>3</v>
      </c>
      <c r="Z204">
        <f>SmtRes!X203</f>
        <v>-182421198</v>
      </c>
      <c r="AA204">
        <v>-852101439</v>
      </c>
      <c r="AB204">
        <v>-852101439</v>
      </c>
    </row>
    <row r="205" spans="1:28" x14ac:dyDescent="0.25">
      <c r="A205">
        <v>20</v>
      </c>
      <c r="B205">
        <v>202</v>
      </c>
      <c r="C205">
        <v>3</v>
      </c>
      <c r="D205">
        <v>0</v>
      </c>
      <c r="E205">
        <f>SmtRes!AV202</f>
        <v>0</v>
      </c>
      <c r="F205" t="str">
        <f>SmtRes!I202</f>
        <v>01.3.02.08-0001</v>
      </c>
      <c r="G205" t="str">
        <f>SmtRes!K202</f>
        <v>Кислород газообразный технический</v>
      </c>
      <c r="H205" t="str">
        <f>SmtRes!O202</f>
        <v>м3</v>
      </c>
      <c r="I205">
        <f>SmtRes!Y202*Source!I171</f>
        <v>0.10400000000000001</v>
      </c>
      <c r="J205">
        <f>SmtRes!AO202</f>
        <v>0</v>
      </c>
      <c r="K205">
        <f>SmtRes!AE202</f>
        <v>114.64</v>
      </c>
      <c r="M205">
        <f t="shared" si="18"/>
        <v>11.92</v>
      </c>
      <c r="N205">
        <f>SmtRes!AA202</f>
        <v>126.1</v>
      </c>
      <c r="O205">
        <f>SmtRes!DF202</f>
        <v>13.11</v>
      </c>
      <c r="P205">
        <f>SmtRes!AG202</f>
        <v>0</v>
      </c>
      <c r="R205">
        <f t="shared" si="19"/>
        <v>0</v>
      </c>
      <c r="S205">
        <f>SmtRes!AC202</f>
        <v>0</v>
      </c>
      <c r="T205">
        <f>SmtRes!DH202</f>
        <v>0</v>
      </c>
      <c r="U205">
        <v>3</v>
      </c>
      <c r="Z205">
        <f>SmtRes!X202</f>
        <v>1531571680</v>
      </c>
      <c r="AA205">
        <v>-811279051</v>
      </c>
      <c r="AB205">
        <v>-1636355577</v>
      </c>
    </row>
    <row r="206" spans="1:28" x14ac:dyDescent="0.25">
      <c r="A206">
        <v>20</v>
      </c>
      <c r="B206">
        <v>201</v>
      </c>
      <c r="C206">
        <v>3</v>
      </c>
      <c r="D206">
        <v>0</v>
      </c>
      <c r="E206">
        <f>SmtRes!AV201</f>
        <v>0</v>
      </c>
      <c r="F206" t="str">
        <f>SmtRes!I201</f>
        <v>01.3.02.03-0001</v>
      </c>
      <c r="G206" t="str">
        <f>SmtRes!K201</f>
        <v>Ацетилен газообразный технический</v>
      </c>
      <c r="H206" t="str">
        <f>SmtRes!O201</f>
        <v>м3</v>
      </c>
      <c r="I206">
        <f>SmtRes!Y201*Source!I171</f>
        <v>2.2800000000000001E-2</v>
      </c>
      <c r="J206">
        <f>SmtRes!AO201</f>
        <v>0</v>
      </c>
      <c r="K206">
        <f>SmtRes!AE201</f>
        <v>340.41</v>
      </c>
      <c r="M206">
        <f t="shared" si="18"/>
        <v>7.76</v>
      </c>
      <c r="N206">
        <f>SmtRes!AA201</f>
        <v>571.89</v>
      </c>
      <c r="O206">
        <f>SmtRes!DF201</f>
        <v>13.04</v>
      </c>
      <c r="P206">
        <f>SmtRes!AG201</f>
        <v>0</v>
      </c>
      <c r="R206">
        <f t="shared" si="19"/>
        <v>0</v>
      </c>
      <c r="S206">
        <f>SmtRes!AC201</f>
        <v>0</v>
      </c>
      <c r="T206">
        <f>SmtRes!DH201</f>
        <v>0</v>
      </c>
      <c r="U206">
        <v>3</v>
      </c>
      <c r="Z206">
        <f>SmtRes!X201</f>
        <v>58756862</v>
      </c>
      <c r="AA206">
        <v>2011333622</v>
      </c>
      <c r="AB206">
        <v>-53888416</v>
      </c>
    </row>
    <row r="207" spans="1:28" x14ac:dyDescent="0.25">
      <c r="A207">
        <v>20</v>
      </c>
      <c r="B207">
        <v>200</v>
      </c>
      <c r="C207">
        <v>2</v>
      </c>
      <c r="D207">
        <v>0</v>
      </c>
      <c r="E207">
        <f>SmtRes!AV200</f>
        <v>1</v>
      </c>
      <c r="F207" t="str">
        <f>SmtRes!I200</f>
        <v>91.17.04-233</v>
      </c>
      <c r="G207" t="str">
        <f>SmtRes!K200</f>
        <v>Аппараты сварочные для ручной дуговой сварки, сварочный ток до 350 А</v>
      </c>
      <c r="H207" t="str">
        <f>SmtRes!O200</f>
        <v>маш.-ч</v>
      </c>
      <c r="I207">
        <f>SmtRes!Y200*Source!I171</f>
        <v>3.2199999999999998</v>
      </c>
      <c r="J207">
        <f>SmtRes!AO200</f>
        <v>0</v>
      </c>
      <c r="K207">
        <f>SmtRes!AF200</f>
        <v>41.5</v>
      </c>
      <c r="M207">
        <f t="shared" si="18"/>
        <v>133.63</v>
      </c>
      <c r="N207">
        <f>SmtRes!AB200</f>
        <v>41.5</v>
      </c>
      <c r="O207">
        <f>SmtRes!DG200</f>
        <v>133.63</v>
      </c>
      <c r="P207">
        <f>SmtRes!AG200</f>
        <v>0</v>
      </c>
      <c r="R207">
        <f t="shared" si="19"/>
        <v>0</v>
      </c>
      <c r="S207">
        <f>SmtRes!AC200</f>
        <v>0</v>
      </c>
      <c r="T207">
        <f>SmtRes!DH200</f>
        <v>0</v>
      </c>
      <c r="U207">
        <v>2</v>
      </c>
      <c r="Z207">
        <f>SmtRes!X200</f>
        <v>462025989</v>
      </c>
      <c r="AA207">
        <v>393471399</v>
      </c>
      <c r="AB207">
        <v>393471399</v>
      </c>
    </row>
    <row r="208" spans="1:28" x14ac:dyDescent="0.25">
      <c r="A208">
        <v>20</v>
      </c>
      <c r="B208">
        <v>199</v>
      </c>
      <c r="C208">
        <v>2</v>
      </c>
      <c r="D208">
        <v>0</v>
      </c>
      <c r="E208">
        <f>SmtRes!AV199</f>
        <v>1</v>
      </c>
      <c r="F208" t="str">
        <f>SmtRes!I199</f>
        <v>91.17.04-042</v>
      </c>
      <c r="G208" t="str">
        <f>SmtRes!K199</f>
        <v>Аппараты для газовой сварки и резки</v>
      </c>
      <c r="H208" t="str">
        <f>SmtRes!O199</f>
        <v>маш.-ч</v>
      </c>
      <c r="I208">
        <f>SmtRes!Y199*Source!I171</f>
        <v>0.82799999999999996</v>
      </c>
      <c r="J208">
        <f>SmtRes!AO199</f>
        <v>0</v>
      </c>
      <c r="K208">
        <f>SmtRes!AF199</f>
        <v>4.3499999999999996</v>
      </c>
      <c r="M208">
        <f t="shared" si="18"/>
        <v>3.6</v>
      </c>
      <c r="N208">
        <f>SmtRes!AB199</f>
        <v>5.35</v>
      </c>
      <c r="O208">
        <f>SmtRes!DG199</f>
        <v>4.43</v>
      </c>
      <c r="P208">
        <f>SmtRes!AG199</f>
        <v>0</v>
      </c>
      <c r="R208">
        <f t="shared" si="19"/>
        <v>0</v>
      </c>
      <c r="S208">
        <f>SmtRes!AC199</f>
        <v>0</v>
      </c>
      <c r="T208">
        <f>SmtRes!DH199</f>
        <v>0</v>
      </c>
      <c r="U208">
        <v>2</v>
      </c>
      <c r="Z208">
        <f>SmtRes!X199</f>
        <v>-536748942</v>
      </c>
      <c r="AA208">
        <v>1767300911</v>
      </c>
      <c r="AB208">
        <v>-773146550</v>
      </c>
    </row>
    <row r="209" spans="1:28" x14ac:dyDescent="0.25">
      <c r="A209">
        <v>20</v>
      </c>
      <c r="B209">
        <v>198</v>
      </c>
      <c r="C209">
        <v>2</v>
      </c>
      <c r="D209">
        <v>0</v>
      </c>
      <c r="E209">
        <f>SmtRes!AV198</f>
        <v>1</v>
      </c>
      <c r="F209" t="str">
        <f>SmtRes!I198</f>
        <v>91.14.02-001</v>
      </c>
      <c r="G209" t="str">
        <f>SmtRes!K198</f>
        <v>Автомобили бортовые, грузоподъемность до 5 т</v>
      </c>
      <c r="H209" t="str">
        <f>SmtRes!O198</f>
        <v>маш.-ч</v>
      </c>
      <c r="I209">
        <f>SmtRes!Y198*Source!I171</f>
        <v>0.161</v>
      </c>
      <c r="J209">
        <f>SmtRes!AO198</f>
        <v>0</v>
      </c>
      <c r="K209">
        <f>SmtRes!AF198</f>
        <v>551.45000000000005</v>
      </c>
      <c r="M209">
        <f t="shared" si="18"/>
        <v>88.78</v>
      </c>
      <c r="N209">
        <f>SmtRes!AB198</f>
        <v>551.45000000000005</v>
      </c>
      <c r="O209">
        <f>SmtRes!DG198</f>
        <v>88.78</v>
      </c>
      <c r="P209">
        <f>SmtRes!AG198</f>
        <v>368.02</v>
      </c>
      <c r="R209">
        <f t="shared" si="19"/>
        <v>59.25</v>
      </c>
      <c r="S209">
        <f>SmtRes!AC198</f>
        <v>368.02</v>
      </c>
      <c r="T209">
        <f>SmtRes!DH198</f>
        <v>59.25</v>
      </c>
      <c r="U209">
        <v>2</v>
      </c>
      <c r="Z209">
        <f>SmtRes!X198</f>
        <v>-312038840</v>
      </c>
      <c r="AA209">
        <v>280096454</v>
      </c>
      <c r="AB209">
        <v>280096454</v>
      </c>
    </row>
    <row r="210" spans="1:28" x14ac:dyDescent="0.25">
      <c r="A210">
        <v>20</v>
      </c>
      <c r="B210">
        <v>197</v>
      </c>
      <c r="C210">
        <v>1</v>
      </c>
      <c r="D210">
        <v>0</v>
      </c>
      <c r="E210">
        <f>SmtRes!AV197</f>
        <v>2</v>
      </c>
      <c r="F210" t="str">
        <f>SmtRes!I197</f>
        <v>4-100-00</v>
      </c>
      <c r="G210" t="str">
        <f>SmtRes!K197</f>
        <v>Затраты труда машинистов</v>
      </c>
      <c r="H210" t="str">
        <f>SmtRes!O197</f>
        <v>чел.-ч.</v>
      </c>
      <c r="I210">
        <f>SmtRes!Y197*Source!I171</f>
        <v>0.161</v>
      </c>
      <c r="J210">
        <f>SmtRes!AO197</f>
        <v>0</v>
      </c>
      <c r="K210">
        <f>SmtRes!AH197</f>
        <v>0</v>
      </c>
      <c r="M210">
        <f t="shared" si="18"/>
        <v>0</v>
      </c>
      <c r="N210">
        <f>SmtRes!AD197</f>
        <v>0</v>
      </c>
      <c r="O210">
        <f>SmtRes!DI197</f>
        <v>0</v>
      </c>
      <c r="P210">
        <f>SmtRes!AG197</f>
        <v>0</v>
      </c>
      <c r="R210">
        <f t="shared" si="19"/>
        <v>0</v>
      </c>
      <c r="S210">
        <f>SmtRes!AC197</f>
        <v>0</v>
      </c>
      <c r="T210">
        <f>SmtRes!DH197</f>
        <v>0</v>
      </c>
      <c r="U210">
        <v>1</v>
      </c>
      <c r="Z210">
        <f>SmtRes!X197</f>
        <v>-1417349443</v>
      </c>
      <c r="AA210">
        <v>212567905</v>
      </c>
      <c r="AB210">
        <v>212567905</v>
      </c>
    </row>
    <row r="211" spans="1:28" x14ac:dyDescent="0.25">
      <c r="A211">
        <v>20</v>
      </c>
      <c r="B211">
        <v>196</v>
      </c>
      <c r="C211">
        <v>1</v>
      </c>
      <c r="D211">
        <v>0</v>
      </c>
      <c r="E211">
        <f>SmtRes!AV196</f>
        <v>1</v>
      </c>
      <c r="F211" t="str">
        <f>SmtRes!I196</f>
        <v>2-100-05</v>
      </c>
      <c r="G211" t="str">
        <f>SmtRes!K196</f>
        <v>Рабочий 5 разряда</v>
      </c>
      <c r="H211" t="str">
        <f>SmtRes!O196</f>
        <v>чел.-ч</v>
      </c>
      <c r="I211">
        <f>SmtRes!Y196*Source!I171</f>
        <v>3.6018000000000003</v>
      </c>
      <c r="J211">
        <f>SmtRes!AO196</f>
        <v>0</v>
      </c>
      <c r="K211">
        <f>SmtRes!AH196</f>
        <v>422.95</v>
      </c>
      <c r="M211">
        <f t="shared" si="18"/>
        <v>1523.38</v>
      </c>
      <c r="N211">
        <f>SmtRes!AD196</f>
        <v>422.95</v>
      </c>
      <c r="O211">
        <f>SmtRes!DI196</f>
        <v>1523.38</v>
      </c>
      <c r="P211">
        <f>SmtRes!AG196</f>
        <v>0</v>
      </c>
      <c r="R211">
        <f t="shared" si="19"/>
        <v>0</v>
      </c>
      <c r="S211">
        <f>SmtRes!AC196</f>
        <v>0</v>
      </c>
      <c r="T211">
        <f>SmtRes!DH196</f>
        <v>0</v>
      </c>
      <c r="U211">
        <v>1</v>
      </c>
      <c r="Z211">
        <f>SmtRes!X196</f>
        <v>1518711480</v>
      </c>
      <c r="AA211">
        <v>798622759</v>
      </c>
      <c r="AB211">
        <v>798622759</v>
      </c>
    </row>
    <row r="212" spans="1:28" x14ac:dyDescent="0.25">
      <c r="A212">
        <v>20</v>
      </c>
      <c r="B212">
        <v>195</v>
      </c>
      <c r="C212">
        <v>1</v>
      </c>
      <c r="D212">
        <v>0</v>
      </c>
      <c r="E212">
        <f>SmtRes!AV195</f>
        <v>1</v>
      </c>
      <c r="F212" t="str">
        <f>SmtRes!I195</f>
        <v>2-100-04</v>
      </c>
      <c r="G212" t="str">
        <f>SmtRes!K195</f>
        <v>Рабочий 4 разряда</v>
      </c>
      <c r="H212" t="str">
        <f>SmtRes!O195</f>
        <v>чел.-ч</v>
      </c>
      <c r="I212">
        <f>SmtRes!Y195*Source!I171</f>
        <v>7.5808</v>
      </c>
      <c r="J212">
        <f>SmtRes!AO195</f>
        <v>0</v>
      </c>
      <c r="K212">
        <f>SmtRes!AH195</f>
        <v>368.02</v>
      </c>
      <c r="M212">
        <f t="shared" si="18"/>
        <v>2789.89</v>
      </c>
      <c r="N212">
        <f>SmtRes!AD195</f>
        <v>368.02</v>
      </c>
      <c r="O212">
        <f>SmtRes!DI195</f>
        <v>2789.89</v>
      </c>
      <c r="P212">
        <f>SmtRes!AG195</f>
        <v>0</v>
      </c>
      <c r="R212">
        <f t="shared" si="19"/>
        <v>0</v>
      </c>
      <c r="S212">
        <f>SmtRes!AC195</f>
        <v>0</v>
      </c>
      <c r="T212">
        <f>SmtRes!DH195</f>
        <v>0</v>
      </c>
      <c r="U212">
        <v>1</v>
      </c>
      <c r="Z212">
        <f>SmtRes!X195</f>
        <v>-512803540</v>
      </c>
      <c r="AA212">
        <v>-1972062232</v>
      </c>
      <c r="AB212">
        <v>-1972062232</v>
      </c>
    </row>
    <row r="213" spans="1:28" x14ac:dyDescent="0.25">
      <c r="A213">
        <v>20</v>
      </c>
      <c r="B213">
        <v>194</v>
      </c>
      <c r="C213">
        <v>1</v>
      </c>
      <c r="D213">
        <v>0</v>
      </c>
      <c r="E213">
        <f>SmtRes!AV194</f>
        <v>1</v>
      </c>
      <c r="F213" t="str">
        <f>SmtRes!I194</f>
        <v>2-100-03</v>
      </c>
      <c r="G213" t="str">
        <f>SmtRes!K194</f>
        <v>Рабочий 3 разряда</v>
      </c>
      <c r="H213" t="str">
        <f>SmtRes!O194</f>
        <v>чел.-ч</v>
      </c>
      <c r="I213">
        <f>SmtRes!Y194*Source!I171</f>
        <v>1.7986000000000002</v>
      </c>
      <c r="J213">
        <f>SmtRes!AO194</f>
        <v>0</v>
      </c>
      <c r="K213">
        <f>SmtRes!AH194</f>
        <v>326.82</v>
      </c>
      <c r="M213">
        <f t="shared" si="18"/>
        <v>587.82000000000005</v>
      </c>
      <c r="N213">
        <f>SmtRes!AD194</f>
        <v>326.82</v>
      </c>
      <c r="O213">
        <f>SmtRes!DI194</f>
        <v>587.82000000000005</v>
      </c>
      <c r="P213">
        <f>SmtRes!AG194</f>
        <v>0</v>
      </c>
      <c r="R213">
        <f t="shared" si="19"/>
        <v>0</v>
      </c>
      <c r="S213">
        <f>SmtRes!AC194</f>
        <v>0</v>
      </c>
      <c r="T213">
        <f>SmtRes!DH194</f>
        <v>0</v>
      </c>
      <c r="U213">
        <v>1</v>
      </c>
      <c r="Z213">
        <f>SmtRes!X194</f>
        <v>-587036825</v>
      </c>
      <c r="AA213">
        <v>-600513131</v>
      </c>
      <c r="AB213">
        <v>-600513131</v>
      </c>
    </row>
    <row r="214" spans="1:28" x14ac:dyDescent="0.25">
      <c r="A214">
        <v>20</v>
      </c>
      <c r="B214">
        <v>193</v>
      </c>
      <c r="C214">
        <v>1</v>
      </c>
      <c r="D214">
        <v>0</v>
      </c>
      <c r="E214">
        <f>SmtRes!AV193</f>
        <v>1</v>
      </c>
      <c r="F214" t="str">
        <f>SmtRes!I193</f>
        <v>2-100-02</v>
      </c>
      <c r="G214" t="str">
        <f>SmtRes!K193</f>
        <v>Рабочий 2 разряда</v>
      </c>
      <c r="H214" t="str">
        <f>SmtRes!O193</f>
        <v>чел.-ч</v>
      </c>
      <c r="I214">
        <f>SmtRes!Y193*Source!I171</f>
        <v>0.37260000000000004</v>
      </c>
      <c r="J214">
        <f>SmtRes!AO193</f>
        <v>0</v>
      </c>
      <c r="K214">
        <f>SmtRes!AH193</f>
        <v>299.36</v>
      </c>
      <c r="M214">
        <f t="shared" si="18"/>
        <v>111.54</v>
      </c>
      <c r="N214">
        <f>SmtRes!AD193</f>
        <v>299.36</v>
      </c>
      <c r="O214">
        <f>SmtRes!DI193</f>
        <v>111.54</v>
      </c>
      <c r="P214">
        <f>SmtRes!AG193</f>
        <v>0</v>
      </c>
      <c r="R214">
        <f t="shared" si="19"/>
        <v>0</v>
      </c>
      <c r="S214">
        <f>SmtRes!AC193</f>
        <v>0</v>
      </c>
      <c r="T214">
        <f>SmtRes!DH193</f>
        <v>0</v>
      </c>
      <c r="U214">
        <v>1</v>
      </c>
      <c r="Z214">
        <f>SmtRes!X193</f>
        <v>-236928766</v>
      </c>
      <c r="AA214">
        <v>1832336752</v>
      </c>
      <c r="AB214">
        <v>1832336752</v>
      </c>
    </row>
    <row r="215" spans="1:28" x14ac:dyDescent="0.25">
      <c r="A215">
        <v>20</v>
      </c>
      <c r="B215">
        <v>212</v>
      </c>
      <c r="C215">
        <v>3</v>
      </c>
      <c r="D215">
        <v>0</v>
      </c>
      <c r="E215">
        <f>SmtRes!AV212</f>
        <v>0</v>
      </c>
      <c r="F215" t="str">
        <f>SmtRes!I212</f>
        <v>08.1.02.11-0001</v>
      </c>
      <c r="G215" t="str">
        <f>SmtRes!K212</f>
        <v>Поковки из квадратных заготовок, масса 1,5-4,5 кг</v>
      </c>
      <c r="H215" t="str">
        <f>SmtRes!O212</f>
        <v>т</v>
      </c>
      <c r="I215">
        <f>SmtRes!Y212*Source!I173</f>
        <v>6.8999999999999997E-4</v>
      </c>
      <c r="J215">
        <f>SmtRes!AO212</f>
        <v>0</v>
      </c>
      <c r="K215">
        <f>SmtRes!AE212</f>
        <v>55898.18</v>
      </c>
      <c r="M215">
        <f t="shared" si="18"/>
        <v>38.57</v>
      </c>
      <c r="N215">
        <f>SmtRes!AA212</f>
        <v>73226.62</v>
      </c>
      <c r="O215">
        <f>SmtRes!DF212</f>
        <v>50.53</v>
      </c>
      <c r="P215">
        <f>SmtRes!AG212</f>
        <v>0</v>
      </c>
      <c r="R215">
        <f t="shared" si="19"/>
        <v>0</v>
      </c>
      <c r="S215">
        <f>SmtRes!AC212</f>
        <v>0</v>
      </c>
      <c r="T215">
        <f>SmtRes!DH212</f>
        <v>0</v>
      </c>
      <c r="U215">
        <v>3</v>
      </c>
      <c r="Z215">
        <f>SmtRes!X212</f>
        <v>-1732801658</v>
      </c>
      <c r="AA215">
        <v>1351371283</v>
      </c>
      <c r="AB215">
        <v>-394698039</v>
      </c>
    </row>
    <row r="216" spans="1:28" x14ac:dyDescent="0.25">
      <c r="A216">
        <v>20</v>
      </c>
      <c r="B216">
        <v>209</v>
      </c>
      <c r="C216">
        <v>3</v>
      </c>
      <c r="D216">
        <v>0</v>
      </c>
      <c r="E216">
        <f>SmtRes!AV209</f>
        <v>0</v>
      </c>
      <c r="F216" t="str">
        <f>SmtRes!I209</f>
        <v>01.7.03.01-0001</v>
      </c>
      <c r="G216" t="str">
        <f>SmtRes!K209</f>
        <v>Вода</v>
      </c>
      <c r="H216" t="str">
        <f>SmtRes!O209</f>
        <v>м3</v>
      </c>
      <c r="I216">
        <f>SmtRes!Y209*Source!I173</f>
        <v>0.13800000000000001</v>
      </c>
      <c r="J216">
        <f>SmtRes!AO209</f>
        <v>0</v>
      </c>
      <c r="K216">
        <f>SmtRes!AE209</f>
        <v>35.71</v>
      </c>
      <c r="M216">
        <f t="shared" si="18"/>
        <v>4.93</v>
      </c>
      <c r="N216">
        <f>SmtRes!AA209</f>
        <v>31.42</v>
      </c>
      <c r="O216">
        <f>SmtRes!DF209</f>
        <v>4.34</v>
      </c>
      <c r="P216">
        <f>SmtRes!AG209</f>
        <v>0</v>
      </c>
      <c r="R216">
        <f t="shared" si="19"/>
        <v>0</v>
      </c>
      <c r="S216">
        <f>SmtRes!AC209</f>
        <v>0</v>
      </c>
      <c r="T216">
        <f>SmtRes!DH209</f>
        <v>0</v>
      </c>
      <c r="U216">
        <v>3</v>
      </c>
      <c r="Z216">
        <f>SmtRes!X209</f>
        <v>727623859</v>
      </c>
      <c r="AA216">
        <v>-2104832873</v>
      </c>
      <c r="AB216">
        <v>-1077126727</v>
      </c>
    </row>
    <row r="217" spans="1:28" x14ac:dyDescent="0.25">
      <c r="A217">
        <v>20</v>
      </c>
      <c r="B217">
        <v>208</v>
      </c>
      <c r="C217">
        <v>2</v>
      </c>
      <c r="D217">
        <v>0</v>
      </c>
      <c r="E217">
        <f>SmtRes!AV208</f>
        <v>1</v>
      </c>
      <c r="F217" t="str">
        <f>SmtRes!I208</f>
        <v>91.05.01-017</v>
      </c>
      <c r="G217" t="str">
        <f>SmtRes!K208</f>
        <v>Краны башенные, грузоподъемность 8 т</v>
      </c>
      <c r="H217" t="str">
        <f>SmtRes!O208</f>
        <v>маш.-ч</v>
      </c>
      <c r="I217">
        <f>SmtRes!Y208*Source!I173</f>
        <v>0.12419999999999999</v>
      </c>
      <c r="J217">
        <f>SmtRes!AO208</f>
        <v>0</v>
      </c>
      <c r="K217">
        <f>SmtRes!AF208</f>
        <v>1051.72</v>
      </c>
      <c r="M217">
        <f t="shared" si="18"/>
        <v>130.62</v>
      </c>
      <c r="N217">
        <f>SmtRes!AB208</f>
        <v>1051.72</v>
      </c>
      <c r="O217">
        <f>SmtRes!DG208</f>
        <v>130.62</v>
      </c>
      <c r="P217">
        <f>SmtRes!AG208</f>
        <v>494.35</v>
      </c>
      <c r="R217">
        <f t="shared" si="19"/>
        <v>61.4</v>
      </c>
      <c r="S217">
        <f>SmtRes!AC208</f>
        <v>494.35</v>
      </c>
      <c r="T217">
        <f>SmtRes!DH208</f>
        <v>61.4</v>
      </c>
      <c r="U217">
        <v>2</v>
      </c>
      <c r="Z217">
        <f>SmtRes!X208</f>
        <v>-1073301144</v>
      </c>
      <c r="AA217">
        <v>-1112180527</v>
      </c>
      <c r="AB217">
        <v>-1112180527</v>
      </c>
    </row>
    <row r="218" spans="1:28" x14ac:dyDescent="0.25">
      <c r="A218">
        <v>20</v>
      </c>
      <c r="B218">
        <v>207</v>
      </c>
      <c r="C218">
        <v>1</v>
      </c>
      <c r="D218">
        <v>0</v>
      </c>
      <c r="E218">
        <f>SmtRes!AV207</f>
        <v>2</v>
      </c>
      <c r="F218" t="str">
        <f>SmtRes!I207</f>
        <v>4-100-00</v>
      </c>
      <c r="G218" t="str">
        <f>SmtRes!K207</f>
        <v>Затраты труда машинистов</v>
      </c>
      <c r="H218" t="str">
        <f>SmtRes!O207</f>
        <v>чел.-ч.</v>
      </c>
      <c r="I218">
        <f>SmtRes!Y207*Source!I173</f>
        <v>0.12419999999999999</v>
      </c>
      <c r="J218">
        <f>SmtRes!AO207</f>
        <v>0</v>
      </c>
      <c r="K218">
        <f>SmtRes!AH207</f>
        <v>0</v>
      </c>
      <c r="M218">
        <f t="shared" si="18"/>
        <v>0</v>
      </c>
      <c r="N218">
        <f>SmtRes!AD207</f>
        <v>0</v>
      </c>
      <c r="O218">
        <f>SmtRes!DI207</f>
        <v>0</v>
      </c>
      <c r="P218">
        <f>SmtRes!AG207</f>
        <v>0</v>
      </c>
      <c r="R218">
        <f t="shared" si="19"/>
        <v>0</v>
      </c>
      <c r="S218">
        <f>SmtRes!AC207</f>
        <v>0</v>
      </c>
      <c r="T218">
        <f>SmtRes!DH207</f>
        <v>0</v>
      </c>
      <c r="U218">
        <v>1</v>
      </c>
      <c r="Z218">
        <f>SmtRes!X207</f>
        <v>-1417349443</v>
      </c>
      <c r="AA218">
        <v>212567905</v>
      </c>
      <c r="AB218">
        <v>212567905</v>
      </c>
    </row>
    <row r="219" spans="1:28" x14ac:dyDescent="0.25">
      <c r="A219">
        <v>20</v>
      </c>
      <c r="B219">
        <v>206</v>
      </c>
      <c r="C219">
        <v>1</v>
      </c>
      <c r="D219">
        <v>0</v>
      </c>
      <c r="E219">
        <f>SmtRes!AV206</f>
        <v>1</v>
      </c>
      <c r="F219" t="str">
        <f>SmtRes!I206</f>
        <v>1-100-27</v>
      </c>
      <c r="G219" t="str">
        <f>SmtRes!K206</f>
        <v>Средний разряд работы 2,7</v>
      </c>
      <c r="H219" t="str">
        <f>SmtRes!O206</f>
        <v>чел.-ч.</v>
      </c>
      <c r="I219">
        <f>SmtRes!Y206*Source!I173</f>
        <v>2.0527499999999996</v>
      </c>
      <c r="J219">
        <f>SmtRes!AO206</f>
        <v>0</v>
      </c>
      <c r="K219">
        <f>SmtRes!AH206</f>
        <v>318.58</v>
      </c>
      <c r="M219">
        <f t="shared" si="18"/>
        <v>653.97</v>
      </c>
      <c r="N219">
        <f>SmtRes!AD206</f>
        <v>318.58</v>
      </c>
      <c r="O219">
        <f>SmtRes!DI206</f>
        <v>653.97</v>
      </c>
      <c r="P219">
        <f>SmtRes!AG206</f>
        <v>0</v>
      </c>
      <c r="R219">
        <f t="shared" si="19"/>
        <v>0</v>
      </c>
      <c r="S219">
        <f>SmtRes!AC206</f>
        <v>0</v>
      </c>
      <c r="T219">
        <f>SmtRes!DH206</f>
        <v>0</v>
      </c>
      <c r="U219">
        <v>1</v>
      </c>
      <c r="Z219">
        <f>SmtRes!X206</f>
        <v>1682852000</v>
      </c>
      <c r="AA219">
        <v>-113441231</v>
      </c>
      <c r="AB219">
        <v>-113441231</v>
      </c>
    </row>
    <row r="220" spans="1:28" x14ac:dyDescent="0.25">
      <c r="A220">
        <f>Source!A174</f>
        <v>18</v>
      </c>
      <c r="B220">
        <v>174</v>
      </c>
      <c r="C220">
        <v>3</v>
      </c>
      <c r="D220">
        <f>Source!BI174</f>
        <v>1</v>
      </c>
      <c r="E220">
        <f>Source!FS174</f>
        <v>0</v>
      </c>
      <c r="F220" t="str">
        <f>Source!F174</f>
        <v>04.3.01.09-0014</v>
      </c>
      <c r="G220" t="str">
        <f>Source!G174</f>
        <v>Раствор готовый кладочный, цементный, М100</v>
      </c>
      <c r="H220" t="str">
        <f>Source!H174</f>
        <v>м3</v>
      </c>
      <c r="I220">
        <f>Source!I174</f>
        <v>6.6299999999999998E-2</v>
      </c>
      <c r="J220">
        <v>1</v>
      </c>
      <c r="K220">
        <f>ROUND((Source!GE174),6)</f>
        <v>3778.62</v>
      </c>
      <c r="M220">
        <f>ROUND(K220*I220, 2)</f>
        <v>250.52</v>
      </c>
      <c r="N220">
        <f>Source!CQ174</f>
        <v>4988.2</v>
      </c>
      <c r="O220">
        <f>ROUND(N220*I220, 2)</f>
        <v>330.72</v>
      </c>
      <c r="P220">
        <f>Source!AE174</f>
        <v>0</v>
      </c>
      <c r="R220">
        <f>ROUND(P220*I220, 2)</f>
        <v>0</v>
      </c>
      <c r="S220">
        <f>Source!AE174*IF(Source!BS174&lt;&gt; 0, Source!BS174, 1)</f>
        <v>0</v>
      </c>
      <c r="T220">
        <f>ROUND(S220*I220, 2)</f>
        <v>0</v>
      </c>
      <c r="U220">
        <v>3</v>
      </c>
      <c r="Z220">
        <f>Source!GF174</f>
        <v>-614215973</v>
      </c>
      <c r="AA220">
        <v>1546627929</v>
      </c>
      <c r="AB220">
        <v>1854961465</v>
      </c>
    </row>
    <row r="221" spans="1:28" x14ac:dyDescent="0.25">
      <c r="A221">
        <f>Source!A175</f>
        <v>18</v>
      </c>
      <c r="B221">
        <v>175</v>
      </c>
      <c r="C221">
        <v>3</v>
      </c>
      <c r="D221">
        <f>Source!BI175</f>
        <v>1</v>
      </c>
      <c r="E221">
        <f>Source!FS175</f>
        <v>0</v>
      </c>
      <c r="F221" t="str">
        <f>Source!F175</f>
        <v>06.1.01.05-0037</v>
      </c>
      <c r="G221" t="str">
        <f>Source!G175</f>
        <v>Кирпич керамический рядовой полнотелый одинарный, размеры 250х120х65 мм, марка М150</v>
      </c>
      <c r="H221" t="str">
        <f>Source!H175</f>
        <v>1000 ШТ</v>
      </c>
      <c r="I221">
        <f>Source!I175</f>
        <v>0.12</v>
      </c>
      <c r="J221">
        <v>1</v>
      </c>
      <c r="K221">
        <f>ROUND((Source!GE175),6)</f>
        <v>17018.560000000001</v>
      </c>
      <c r="M221">
        <f>ROUND(K221*I221, 2)</f>
        <v>2042.23</v>
      </c>
      <c r="N221">
        <f>Source!CQ175</f>
        <v>18991.84</v>
      </c>
      <c r="O221">
        <f>ROUND(N221*I221, 2)</f>
        <v>2279.02</v>
      </c>
      <c r="P221">
        <f>Source!AE175</f>
        <v>0</v>
      </c>
      <c r="R221">
        <f>ROUND(P221*I221, 2)</f>
        <v>0</v>
      </c>
      <c r="S221">
        <f>Source!AE175*IF(Source!BS175&lt;&gt; 0, Source!BS175, 1)</f>
        <v>0</v>
      </c>
      <c r="T221">
        <f>ROUND(S221*I221, 2)</f>
        <v>0</v>
      </c>
      <c r="U221">
        <v>3</v>
      </c>
      <c r="Z221">
        <f>Source!GF175</f>
        <v>-826401075</v>
      </c>
      <c r="AA221">
        <v>1159885450</v>
      </c>
      <c r="AB221">
        <v>-2101524351</v>
      </c>
    </row>
    <row r="222" spans="1:28" x14ac:dyDescent="0.25">
      <c r="A222">
        <v>20</v>
      </c>
      <c r="B222">
        <v>233</v>
      </c>
      <c r="C222">
        <v>3</v>
      </c>
      <c r="D222">
        <v>0</v>
      </c>
      <c r="E222">
        <f>SmtRes!AV233</f>
        <v>0</v>
      </c>
      <c r="F222" t="str">
        <f>SmtRes!I233</f>
        <v>14.5.09.07-0030</v>
      </c>
      <c r="G222" t="str">
        <f>SmtRes!K233</f>
        <v>Растворитель Р-4</v>
      </c>
      <c r="H222" t="str">
        <f>SmtRes!O233</f>
        <v>т</v>
      </c>
      <c r="I222">
        <f>SmtRes!Y233*Source!I176</f>
        <v>2.9999999999999997E-5</v>
      </c>
      <c r="J222">
        <f>SmtRes!AO233</f>
        <v>0</v>
      </c>
      <c r="K222">
        <f>SmtRes!AE233</f>
        <v>98526.45</v>
      </c>
      <c r="M222">
        <f t="shared" ref="M222:M240" si="20">ROUND(I222*K222, 2)</f>
        <v>2.96</v>
      </c>
      <c r="N222">
        <f>SmtRes!AA233</f>
        <v>146804.41</v>
      </c>
      <c r="O222">
        <f>SmtRes!DF233</f>
        <v>4.4000000000000004</v>
      </c>
      <c r="P222">
        <f>SmtRes!AG233</f>
        <v>0</v>
      </c>
      <c r="R222">
        <f t="shared" ref="R222:R240" si="21">ROUND(I222*P222, 2)</f>
        <v>0</v>
      </c>
      <c r="S222">
        <f>SmtRes!AC233</f>
        <v>0</v>
      </c>
      <c r="T222">
        <f>SmtRes!DH233</f>
        <v>0</v>
      </c>
      <c r="U222">
        <v>3</v>
      </c>
      <c r="Z222">
        <f>SmtRes!X233</f>
        <v>-970634170</v>
      </c>
      <c r="AA222">
        <v>-1861376545</v>
      </c>
      <c r="AB222">
        <v>-119084382</v>
      </c>
    </row>
    <row r="223" spans="1:28" x14ac:dyDescent="0.25">
      <c r="A223">
        <v>20</v>
      </c>
      <c r="B223">
        <v>232</v>
      </c>
      <c r="C223">
        <v>3</v>
      </c>
      <c r="D223">
        <v>0</v>
      </c>
      <c r="E223">
        <f>SmtRes!AV232</f>
        <v>0</v>
      </c>
      <c r="F223" t="str">
        <f>SmtRes!I232</f>
        <v>14.4.01.01-0003</v>
      </c>
      <c r="G223" t="str">
        <f>SmtRes!K232</f>
        <v>Грунтовка ГФ-021</v>
      </c>
      <c r="H223" t="str">
        <f>SmtRes!O232</f>
        <v>т</v>
      </c>
      <c r="I223">
        <f>SmtRes!Y232*Source!I176</f>
        <v>1.5500000000000001E-5</v>
      </c>
      <c r="J223">
        <f>SmtRes!AO232</f>
        <v>0</v>
      </c>
      <c r="K223">
        <f>SmtRes!AE232</f>
        <v>51280.15</v>
      </c>
      <c r="M223">
        <f t="shared" si="20"/>
        <v>0.79</v>
      </c>
      <c r="N223">
        <f>SmtRes!AA232</f>
        <v>81535.44</v>
      </c>
      <c r="O223">
        <f>SmtRes!DF232</f>
        <v>1.26</v>
      </c>
      <c r="P223">
        <f>SmtRes!AG232</f>
        <v>0</v>
      </c>
      <c r="R223">
        <f t="shared" si="21"/>
        <v>0</v>
      </c>
      <c r="S223">
        <f>SmtRes!AC232</f>
        <v>0</v>
      </c>
      <c r="T223">
        <f>SmtRes!DH232</f>
        <v>0</v>
      </c>
      <c r="U223">
        <v>3</v>
      </c>
      <c r="Z223">
        <f>SmtRes!X232</f>
        <v>-490487806</v>
      </c>
      <c r="AA223">
        <v>1011055179</v>
      </c>
      <c r="AB223">
        <v>-264414510</v>
      </c>
    </row>
    <row r="224" spans="1:28" x14ac:dyDescent="0.25">
      <c r="A224">
        <v>20</v>
      </c>
      <c r="B224">
        <v>231</v>
      </c>
      <c r="C224">
        <v>3</v>
      </c>
      <c r="D224">
        <v>0</v>
      </c>
      <c r="E224">
        <f>SmtRes!AV231</f>
        <v>0</v>
      </c>
      <c r="F224" t="str">
        <f>SmtRes!I231</f>
        <v>08.3.11.01-1106</v>
      </c>
      <c r="G224" t="str">
        <f>SmtRes!K231</f>
        <v>Швеллеры стальные горячекатаные, марки стали Ст3пс, Ст3сп, № 40У, № 40П</v>
      </c>
      <c r="H224" t="str">
        <f>SmtRes!O231</f>
        <v>т</v>
      </c>
      <c r="I224">
        <f>SmtRes!Y231*Source!I176</f>
        <v>9.7000000000000013E-5</v>
      </c>
      <c r="J224">
        <f>SmtRes!AO231</f>
        <v>0</v>
      </c>
      <c r="K224">
        <f>SmtRes!AE231</f>
        <v>136760</v>
      </c>
      <c r="M224">
        <f t="shared" si="20"/>
        <v>13.27</v>
      </c>
      <c r="N224">
        <f>SmtRes!AA231</f>
        <v>124451.6</v>
      </c>
      <c r="O224">
        <f>SmtRes!DF231</f>
        <v>12.07</v>
      </c>
      <c r="P224">
        <f>SmtRes!AG231</f>
        <v>0</v>
      </c>
      <c r="R224">
        <f t="shared" si="21"/>
        <v>0</v>
      </c>
      <c r="S224">
        <f>SmtRes!AC231</f>
        <v>0</v>
      </c>
      <c r="T224">
        <f>SmtRes!DH231</f>
        <v>0</v>
      </c>
      <c r="U224">
        <v>3</v>
      </c>
      <c r="Z224">
        <f>SmtRes!X231</f>
        <v>506900767</v>
      </c>
      <c r="AA224">
        <v>-1842615747</v>
      </c>
      <c r="AB224">
        <v>571287693</v>
      </c>
    </row>
    <row r="225" spans="1:28" x14ac:dyDescent="0.25">
      <c r="A225">
        <v>20</v>
      </c>
      <c r="B225">
        <v>228</v>
      </c>
      <c r="C225">
        <v>3</v>
      </c>
      <c r="D225">
        <v>0</v>
      </c>
      <c r="E225">
        <f>SmtRes!AV228</f>
        <v>0</v>
      </c>
      <c r="F225" t="str">
        <f>SmtRes!I228</f>
        <v>08.3.03.06-0002</v>
      </c>
      <c r="G225" t="str">
        <f>SmtRes!K228</f>
        <v>Проволока горячекатаная в мотках, диаметр 6,3-6,5 мм</v>
      </c>
      <c r="H225" t="str">
        <f>SmtRes!O228</f>
        <v>т</v>
      </c>
      <c r="I225">
        <f>SmtRes!Y228*Source!I176</f>
        <v>1.5E-6</v>
      </c>
      <c r="J225">
        <f>SmtRes!AO228</f>
        <v>0</v>
      </c>
      <c r="K225">
        <f>SmtRes!AE228</f>
        <v>60258.2</v>
      </c>
      <c r="M225">
        <f t="shared" si="20"/>
        <v>0.09</v>
      </c>
      <c r="N225">
        <f>SmtRes!AA228</f>
        <v>52424.63</v>
      </c>
      <c r="O225">
        <f>SmtRes!DF228</f>
        <v>0.08</v>
      </c>
      <c r="P225">
        <f>SmtRes!AG228</f>
        <v>0</v>
      </c>
      <c r="R225">
        <f t="shared" si="21"/>
        <v>0</v>
      </c>
      <c r="S225">
        <f>SmtRes!AC228</f>
        <v>0</v>
      </c>
      <c r="T225">
        <f>SmtRes!DH228</f>
        <v>0</v>
      </c>
      <c r="U225">
        <v>3</v>
      </c>
      <c r="Z225">
        <f>SmtRes!X228</f>
        <v>1897739153</v>
      </c>
      <c r="AA225">
        <v>-527469755</v>
      </c>
      <c r="AB225">
        <v>945285004</v>
      </c>
    </row>
    <row r="226" spans="1:28" x14ac:dyDescent="0.25">
      <c r="A226">
        <v>20</v>
      </c>
      <c r="B226">
        <v>227</v>
      </c>
      <c r="C226">
        <v>3</v>
      </c>
      <c r="D226">
        <v>0</v>
      </c>
      <c r="E226">
        <f>SmtRes!AV227</f>
        <v>0</v>
      </c>
      <c r="F226" t="str">
        <f>SmtRes!I227</f>
        <v>08.2.02.11-0007</v>
      </c>
      <c r="G226" t="str">
        <f>SmtRes!K227</f>
        <v>Канат двойной свивки ТК, конструкции 6х19(1+6+12)+1 о.с., марка В, из оцинкованной по группе Ж проволоки, маркировочная группа 1570-1770 Н/мм2, диаметр 5,5 мм</v>
      </c>
      <c r="H226" t="str">
        <f>SmtRes!O227</f>
        <v>10 м</v>
      </c>
      <c r="I226">
        <f>SmtRes!Y227*Source!I176</f>
        <v>9.3500000000000007E-4</v>
      </c>
      <c r="J226">
        <f>SmtRes!AO227</f>
        <v>0</v>
      </c>
      <c r="K226">
        <f>SmtRes!AE227</f>
        <v>307.83999999999997</v>
      </c>
      <c r="M226">
        <f t="shared" si="20"/>
        <v>0.28999999999999998</v>
      </c>
      <c r="N226">
        <f>SmtRes!AA227</f>
        <v>221.64</v>
      </c>
      <c r="O226">
        <f>SmtRes!DF227</f>
        <v>0.21</v>
      </c>
      <c r="P226">
        <f>SmtRes!AG227</f>
        <v>0</v>
      </c>
      <c r="R226">
        <f t="shared" si="21"/>
        <v>0</v>
      </c>
      <c r="S226">
        <f>SmtRes!AC227</f>
        <v>0</v>
      </c>
      <c r="T226">
        <f>SmtRes!DH227</f>
        <v>0</v>
      </c>
      <c r="U226">
        <v>3</v>
      </c>
      <c r="Z226">
        <f>SmtRes!X227</f>
        <v>-16063298</v>
      </c>
      <c r="AA226">
        <v>-1486008716</v>
      </c>
      <c r="AB226">
        <v>-1390822173</v>
      </c>
    </row>
    <row r="227" spans="1:28" x14ac:dyDescent="0.25">
      <c r="A227">
        <v>20</v>
      </c>
      <c r="B227">
        <v>226</v>
      </c>
      <c r="C227">
        <v>3</v>
      </c>
      <c r="D227">
        <v>0</v>
      </c>
      <c r="E227">
        <f>SmtRes!AV226</f>
        <v>0</v>
      </c>
      <c r="F227" t="str">
        <f>SmtRes!I226</f>
        <v>01.7.20.08-0071</v>
      </c>
      <c r="G227" t="str">
        <f>SmtRes!K226</f>
        <v>Канат пеньковый тросовой свивки, пропитанный, диаметр 26 мм</v>
      </c>
      <c r="H227" t="str">
        <f>SmtRes!O226</f>
        <v>т</v>
      </c>
      <c r="I227">
        <f>SmtRes!Y226*Source!I176</f>
        <v>5.0000000000000004E-6</v>
      </c>
      <c r="J227">
        <f>SmtRes!AO226</f>
        <v>0</v>
      </c>
      <c r="K227">
        <f>SmtRes!AE226</f>
        <v>231787.35</v>
      </c>
      <c r="M227">
        <f t="shared" si="20"/>
        <v>1.1599999999999999</v>
      </c>
      <c r="N227">
        <f>SmtRes!AA226</f>
        <v>368541.89</v>
      </c>
      <c r="O227">
        <f>SmtRes!DF226</f>
        <v>1.84</v>
      </c>
      <c r="P227">
        <f>SmtRes!AG226</f>
        <v>0</v>
      </c>
      <c r="R227">
        <f t="shared" si="21"/>
        <v>0</v>
      </c>
      <c r="S227">
        <f>SmtRes!AC226</f>
        <v>0</v>
      </c>
      <c r="T227">
        <f>SmtRes!DH226</f>
        <v>0</v>
      </c>
      <c r="U227">
        <v>3</v>
      </c>
      <c r="Z227">
        <f>SmtRes!X226</f>
        <v>-196647353</v>
      </c>
      <c r="AA227">
        <v>709488840</v>
      </c>
      <c r="AB227">
        <v>-1487197942</v>
      </c>
    </row>
    <row r="228" spans="1:28" x14ac:dyDescent="0.25">
      <c r="A228">
        <v>20</v>
      </c>
      <c r="B228">
        <v>225</v>
      </c>
      <c r="C228">
        <v>3</v>
      </c>
      <c r="D228">
        <v>0</v>
      </c>
      <c r="E228">
        <f>SmtRes!AV225</f>
        <v>0</v>
      </c>
      <c r="F228" t="str">
        <f>SmtRes!I225</f>
        <v>01.7.15.06-0111</v>
      </c>
      <c r="G228" t="str">
        <f>SmtRes!K225</f>
        <v>Гвозди строительные</v>
      </c>
      <c r="H228" t="str">
        <f>SmtRes!O225</f>
        <v>т</v>
      </c>
      <c r="I228">
        <f>SmtRes!Y225*Source!I176</f>
        <v>5.0000000000000008E-7</v>
      </c>
      <c r="J228">
        <f>SmtRes!AO225</f>
        <v>0</v>
      </c>
      <c r="K228">
        <f>SmtRes!AE225</f>
        <v>70296.2</v>
      </c>
      <c r="M228">
        <f t="shared" si="20"/>
        <v>0.04</v>
      </c>
      <c r="N228">
        <f>SmtRes!AA225</f>
        <v>92790.98</v>
      </c>
      <c r="O228">
        <f>SmtRes!DF225</f>
        <v>0.05</v>
      </c>
      <c r="P228">
        <f>SmtRes!AG225</f>
        <v>0</v>
      </c>
      <c r="R228">
        <f t="shared" si="21"/>
        <v>0</v>
      </c>
      <c r="S228">
        <f>SmtRes!AC225</f>
        <v>0</v>
      </c>
      <c r="T228">
        <f>SmtRes!DH225</f>
        <v>0</v>
      </c>
      <c r="U228">
        <v>3</v>
      </c>
      <c r="Z228">
        <f>SmtRes!X225</f>
        <v>1479353699</v>
      </c>
      <c r="AA228">
        <v>860443849</v>
      </c>
      <c r="AB228">
        <v>214724844</v>
      </c>
    </row>
    <row r="229" spans="1:28" x14ac:dyDescent="0.25">
      <c r="A229">
        <v>20</v>
      </c>
      <c r="B229">
        <v>224</v>
      </c>
      <c r="C229">
        <v>3</v>
      </c>
      <c r="D229">
        <v>0</v>
      </c>
      <c r="E229">
        <f>SmtRes!AV224</f>
        <v>0</v>
      </c>
      <c r="F229" t="str">
        <f>SmtRes!I224</f>
        <v>01.7.15.03-0042</v>
      </c>
      <c r="G229" t="str">
        <f>SmtRes!K224</f>
        <v>Болты с гайками и шайбами строительные</v>
      </c>
      <c r="H229" t="str">
        <f>SmtRes!O224</f>
        <v>кг</v>
      </c>
      <c r="I229">
        <f>SmtRes!Y224*Source!I176</f>
        <v>0.16500000000000001</v>
      </c>
      <c r="J229">
        <f>SmtRes!AO224</f>
        <v>0</v>
      </c>
      <c r="K229">
        <f>SmtRes!AE224</f>
        <v>174.93</v>
      </c>
      <c r="M229">
        <f t="shared" si="20"/>
        <v>28.86</v>
      </c>
      <c r="N229">
        <f>SmtRes!AA224</f>
        <v>188.92</v>
      </c>
      <c r="O229">
        <f>SmtRes!DF224</f>
        <v>31.17</v>
      </c>
      <c r="P229">
        <f>SmtRes!AG224</f>
        <v>0</v>
      </c>
      <c r="R229">
        <f t="shared" si="21"/>
        <v>0</v>
      </c>
      <c r="S229">
        <f>SmtRes!AC224</f>
        <v>0</v>
      </c>
      <c r="T229">
        <f>SmtRes!DH224</f>
        <v>0</v>
      </c>
      <c r="U229">
        <v>3</v>
      </c>
      <c r="Z229">
        <f>SmtRes!X224</f>
        <v>-489290570</v>
      </c>
      <c r="AA229">
        <v>618056953</v>
      </c>
      <c r="AB229">
        <v>-1688742906</v>
      </c>
    </row>
    <row r="230" spans="1:28" x14ac:dyDescent="0.25">
      <c r="A230">
        <v>20</v>
      </c>
      <c r="B230">
        <v>223</v>
      </c>
      <c r="C230">
        <v>3</v>
      </c>
      <c r="D230">
        <v>0</v>
      </c>
      <c r="E230">
        <f>SmtRes!AV223</f>
        <v>0</v>
      </c>
      <c r="F230" t="str">
        <f>SmtRes!I223</f>
        <v>01.7.11.07-0036</v>
      </c>
      <c r="G230" t="str">
        <f>SmtRes!K223</f>
        <v>Электроды сварочные для сварки низколегированных и углеродистых сталей Э46, диаметр 4 мм</v>
      </c>
      <c r="H230" t="str">
        <f>SmtRes!O223</f>
        <v>кг</v>
      </c>
      <c r="I230">
        <f>SmtRes!Y223*Source!I176</f>
        <v>6.9999999999999993E-2</v>
      </c>
      <c r="J230">
        <f>SmtRes!AO223</f>
        <v>0</v>
      </c>
      <c r="K230">
        <f>SmtRes!AE223</f>
        <v>142.68</v>
      </c>
      <c r="M230">
        <f t="shared" si="20"/>
        <v>9.99</v>
      </c>
      <c r="N230">
        <f>SmtRes!AA223</f>
        <v>121.28</v>
      </c>
      <c r="O230">
        <f>SmtRes!DF223</f>
        <v>8.49</v>
      </c>
      <c r="P230">
        <f>SmtRes!AG223</f>
        <v>0</v>
      </c>
      <c r="R230">
        <f t="shared" si="21"/>
        <v>0</v>
      </c>
      <c r="S230">
        <f>SmtRes!AC223</f>
        <v>0</v>
      </c>
      <c r="T230">
        <f>SmtRes!DH223</f>
        <v>0</v>
      </c>
      <c r="U230">
        <v>3</v>
      </c>
      <c r="Z230">
        <f>SmtRes!X223</f>
        <v>-550460808</v>
      </c>
      <c r="AA230">
        <v>800957304</v>
      </c>
      <c r="AB230">
        <v>-702268366</v>
      </c>
    </row>
    <row r="231" spans="1:28" x14ac:dyDescent="0.25">
      <c r="A231">
        <v>20</v>
      </c>
      <c r="B231">
        <v>222</v>
      </c>
      <c r="C231">
        <v>3</v>
      </c>
      <c r="D231">
        <v>0</v>
      </c>
      <c r="E231">
        <f>SmtRes!AV222</f>
        <v>0</v>
      </c>
      <c r="F231" t="str">
        <f>SmtRes!I222</f>
        <v>01.7.03.04-0001</v>
      </c>
      <c r="G231" t="str">
        <f>SmtRes!K222</f>
        <v>Электроэнергия</v>
      </c>
      <c r="H231" t="str">
        <f>SmtRes!O222</f>
        <v>КВТ-Ч</v>
      </c>
      <c r="I231">
        <f>SmtRes!Y222*Source!I176</f>
        <v>7.9350000000000004E-2</v>
      </c>
      <c r="J231">
        <f>SmtRes!AO222</f>
        <v>0</v>
      </c>
      <c r="K231">
        <f>SmtRes!AE222</f>
        <v>9.0399999999999991</v>
      </c>
      <c r="M231">
        <f t="shared" si="20"/>
        <v>0.72</v>
      </c>
      <c r="N231">
        <f>SmtRes!AA222</f>
        <v>9.0399999999999991</v>
      </c>
      <c r="O231">
        <f>SmtRes!DF222</f>
        <v>0.72</v>
      </c>
      <c r="P231">
        <f>SmtRes!AG222</f>
        <v>0</v>
      </c>
      <c r="R231">
        <f t="shared" si="21"/>
        <v>0</v>
      </c>
      <c r="S231">
        <f>SmtRes!AC222</f>
        <v>0</v>
      </c>
      <c r="T231">
        <f>SmtRes!DH222</f>
        <v>0</v>
      </c>
      <c r="U231">
        <v>3</v>
      </c>
      <c r="Z231">
        <f>SmtRes!X222</f>
        <v>-182421198</v>
      </c>
      <c r="AA231">
        <v>-852101439</v>
      </c>
      <c r="AB231">
        <v>-852101439</v>
      </c>
    </row>
    <row r="232" spans="1:28" x14ac:dyDescent="0.25">
      <c r="A232">
        <v>20</v>
      </c>
      <c r="B232">
        <v>221</v>
      </c>
      <c r="C232">
        <v>3</v>
      </c>
      <c r="D232">
        <v>0</v>
      </c>
      <c r="E232">
        <f>SmtRes!AV221</f>
        <v>0</v>
      </c>
      <c r="F232" t="str">
        <f>SmtRes!I221</f>
        <v>01.3.02.09-0022</v>
      </c>
      <c r="G232" t="str">
        <f>SmtRes!K221</f>
        <v>Пропан-бутан смесь техническая</v>
      </c>
      <c r="H232" t="str">
        <f>SmtRes!O221</f>
        <v>кг</v>
      </c>
      <c r="I232">
        <f>SmtRes!Y221*Source!I176</f>
        <v>2.2500000000000003E-2</v>
      </c>
      <c r="J232">
        <f>SmtRes!AO221</f>
        <v>0</v>
      </c>
      <c r="K232">
        <f>SmtRes!AE221</f>
        <v>41.38</v>
      </c>
      <c r="M232">
        <f t="shared" si="20"/>
        <v>0.93</v>
      </c>
      <c r="N232">
        <f>SmtRes!AA221</f>
        <v>62.48</v>
      </c>
      <c r="O232">
        <f>SmtRes!DF221</f>
        <v>1.41</v>
      </c>
      <c r="P232">
        <f>SmtRes!AG221</f>
        <v>0</v>
      </c>
      <c r="R232">
        <f t="shared" si="21"/>
        <v>0</v>
      </c>
      <c r="S232">
        <f>SmtRes!AC221</f>
        <v>0</v>
      </c>
      <c r="T232">
        <f>SmtRes!DH221</f>
        <v>0</v>
      </c>
      <c r="U232">
        <v>3</v>
      </c>
      <c r="Z232">
        <f>SmtRes!X221</f>
        <v>1843545816</v>
      </c>
      <c r="AA232">
        <v>-693499030</v>
      </c>
      <c r="AB232">
        <v>-241278685</v>
      </c>
    </row>
    <row r="233" spans="1:28" x14ac:dyDescent="0.25">
      <c r="A233">
        <v>20</v>
      </c>
      <c r="B233">
        <v>220</v>
      </c>
      <c r="C233">
        <v>3</v>
      </c>
      <c r="D233">
        <v>0</v>
      </c>
      <c r="E233">
        <f>SmtRes!AV220</f>
        <v>0</v>
      </c>
      <c r="F233" t="str">
        <f>SmtRes!I220</f>
        <v>01.3.02.08-0001</v>
      </c>
      <c r="G233" t="str">
        <f>SmtRes!K220</f>
        <v>Кислород газообразный технический</v>
      </c>
      <c r="H233" t="str">
        <f>SmtRes!O220</f>
        <v>м3</v>
      </c>
      <c r="I233">
        <f>SmtRes!Y220*Source!I176</f>
        <v>7.5000000000000011E-2</v>
      </c>
      <c r="J233">
        <f>SmtRes!AO220</f>
        <v>0</v>
      </c>
      <c r="K233">
        <f>SmtRes!AE220</f>
        <v>114.64</v>
      </c>
      <c r="M233">
        <f t="shared" si="20"/>
        <v>8.6</v>
      </c>
      <c r="N233">
        <f>SmtRes!AA220</f>
        <v>126.1</v>
      </c>
      <c r="O233">
        <f>SmtRes!DF220</f>
        <v>9.4600000000000009</v>
      </c>
      <c r="P233">
        <f>SmtRes!AG220</f>
        <v>0</v>
      </c>
      <c r="R233">
        <f t="shared" si="21"/>
        <v>0</v>
      </c>
      <c r="S233">
        <f>SmtRes!AC220</f>
        <v>0</v>
      </c>
      <c r="T233">
        <f>SmtRes!DH220</f>
        <v>0</v>
      </c>
      <c r="U233">
        <v>3</v>
      </c>
      <c r="Z233">
        <f>SmtRes!X220</f>
        <v>1531571680</v>
      </c>
      <c r="AA233">
        <v>-811279051</v>
      </c>
      <c r="AB233">
        <v>-1636355577</v>
      </c>
    </row>
    <row r="234" spans="1:28" x14ac:dyDescent="0.25">
      <c r="A234">
        <v>20</v>
      </c>
      <c r="B234">
        <v>219</v>
      </c>
      <c r="C234">
        <v>2</v>
      </c>
      <c r="D234">
        <v>0</v>
      </c>
      <c r="E234">
        <f>SmtRes!AV219</f>
        <v>1</v>
      </c>
      <c r="F234" t="str">
        <f>SmtRes!I219</f>
        <v>91.17.04-171</v>
      </c>
      <c r="G234" t="str">
        <f>SmtRes!K219</f>
        <v>Аппараты сварочные для ручной дуговой сварки, сварочный ток до 500 А</v>
      </c>
      <c r="H234" t="str">
        <f>SmtRes!O219</f>
        <v>маш.-ч</v>
      </c>
      <c r="I234">
        <f>SmtRes!Y219*Source!I176</f>
        <v>0.10062499999999999</v>
      </c>
      <c r="J234">
        <f>SmtRes!AO219</f>
        <v>0</v>
      </c>
      <c r="K234">
        <f>SmtRes!AF219</f>
        <v>90.36</v>
      </c>
      <c r="M234">
        <f t="shared" si="20"/>
        <v>9.09</v>
      </c>
      <c r="N234">
        <f>SmtRes!AB219</f>
        <v>90.36</v>
      </c>
      <c r="O234">
        <f>SmtRes!DG219</f>
        <v>9.09</v>
      </c>
      <c r="P234">
        <f>SmtRes!AG219</f>
        <v>0</v>
      </c>
      <c r="R234">
        <f t="shared" si="21"/>
        <v>0</v>
      </c>
      <c r="S234">
        <f>SmtRes!AC219</f>
        <v>0</v>
      </c>
      <c r="T234">
        <f>SmtRes!DH219</f>
        <v>0</v>
      </c>
      <c r="U234">
        <v>2</v>
      </c>
      <c r="Z234">
        <f>SmtRes!X219</f>
        <v>-565700713</v>
      </c>
      <c r="AA234">
        <v>1403789219</v>
      </c>
      <c r="AB234">
        <v>1403789219</v>
      </c>
    </row>
    <row r="235" spans="1:28" x14ac:dyDescent="0.25">
      <c r="A235">
        <v>20</v>
      </c>
      <c r="B235">
        <v>218</v>
      </c>
      <c r="C235">
        <v>2</v>
      </c>
      <c r="D235">
        <v>0</v>
      </c>
      <c r="E235">
        <f>SmtRes!AV218</f>
        <v>1</v>
      </c>
      <c r="F235" t="str">
        <f>SmtRes!I218</f>
        <v>91.17.04-042</v>
      </c>
      <c r="G235" t="str">
        <f>SmtRes!K218</f>
        <v>Аппараты для газовой сварки и резки</v>
      </c>
      <c r="H235" t="str">
        <f>SmtRes!O218</f>
        <v>маш.-ч</v>
      </c>
      <c r="I235">
        <f>SmtRes!Y218*Source!I176</f>
        <v>0.10694999999999999</v>
      </c>
      <c r="J235">
        <f>SmtRes!AO218</f>
        <v>0</v>
      </c>
      <c r="K235">
        <f>SmtRes!AF218</f>
        <v>4.3499999999999996</v>
      </c>
      <c r="M235">
        <f t="shared" si="20"/>
        <v>0.47</v>
      </c>
      <c r="N235">
        <f>SmtRes!AB218</f>
        <v>5.35</v>
      </c>
      <c r="O235">
        <f>SmtRes!DG218</f>
        <v>0.56999999999999995</v>
      </c>
      <c r="P235">
        <f>SmtRes!AG218</f>
        <v>0</v>
      </c>
      <c r="R235">
        <f t="shared" si="21"/>
        <v>0</v>
      </c>
      <c r="S235">
        <f>SmtRes!AC218</f>
        <v>0</v>
      </c>
      <c r="T235">
        <f>SmtRes!DH218</f>
        <v>0</v>
      </c>
      <c r="U235">
        <v>2</v>
      </c>
      <c r="Z235">
        <f>SmtRes!X218</f>
        <v>-536748942</v>
      </c>
      <c r="AA235">
        <v>1767300911</v>
      </c>
      <c r="AB235">
        <v>-773146550</v>
      </c>
    </row>
    <row r="236" spans="1:28" x14ac:dyDescent="0.25">
      <c r="A236">
        <v>20</v>
      </c>
      <c r="B236">
        <v>217</v>
      </c>
      <c r="C236">
        <v>2</v>
      </c>
      <c r="D236">
        <v>0</v>
      </c>
      <c r="E236">
        <f>SmtRes!AV217</f>
        <v>1</v>
      </c>
      <c r="F236" t="str">
        <f>SmtRes!I217</f>
        <v>91.14.02-001</v>
      </c>
      <c r="G236" t="str">
        <f>SmtRes!K217</f>
        <v>Автомобили бортовые, грузоподъемность до 5 т</v>
      </c>
      <c r="H236" t="str">
        <f>SmtRes!O217</f>
        <v>маш.-ч</v>
      </c>
      <c r="I236">
        <f>SmtRes!Y217*Source!I176</f>
        <v>1.0924999999999999E-2</v>
      </c>
      <c r="J236">
        <f>SmtRes!AO217</f>
        <v>0</v>
      </c>
      <c r="K236">
        <f>SmtRes!AF217</f>
        <v>551.45000000000005</v>
      </c>
      <c r="M236">
        <f t="shared" si="20"/>
        <v>6.02</v>
      </c>
      <c r="N236">
        <f>SmtRes!AB217</f>
        <v>551.45000000000005</v>
      </c>
      <c r="O236">
        <f>SmtRes!DG217</f>
        <v>6.02</v>
      </c>
      <c r="P236">
        <f>SmtRes!AG217</f>
        <v>368.02</v>
      </c>
      <c r="R236">
        <f t="shared" si="21"/>
        <v>4.0199999999999996</v>
      </c>
      <c r="S236">
        <f>SmtRes!AC217</f>
        <v>368.02</v>
      </c>
      <c r="T236">
        <f>SmtRes!DH217</f>
        <v>4.0199999999999996</v>
      </c>
      <c r="U236">
        <v>2</v>
      </c>
      <c r="Z236">
        <f>SmtRes!X217</f>
        <v>-312038840</v>
      </c>
      <c r="AA236">
        <v>280096454</v>
      </c>
      <c r="AB236">
        <v>280096454</v>
      </c>
    </row>
    <row r="237" spans="1:28" x14ac:dyDescent="0.25">
      <c r="A237">
        <v>20</v>
      </c>
      <c r="B237">
        <v>216</v>
      </c>
      <c r="C237">
        <v>2</v>
      </c>
      <c r="D237">
        <v>0</v>
      </c>
      <c r="E237">
        <f>SmtRes!AV216</f>
        <v>1</v>
      </c>
      <c r="F237" t="str">
        <f>SmtRes!I216</f>
        <v>91.06.03-062</v>
      </c>
      <c r="G237" t="str">
        <f>SmtRes!K216</f>
        <v>Лебедки электрические тяговым усилием до 31,39 кН (3,2 т)</v>
      </c>
      <c r="H237" t="str">
        <f>SmtRes!O216</f>
        <v>маш.-ч</v>
      </c>
      <c r="I237">
        <f>SmtRes!Y216*Source!I176</f>
        <v>0.5220999999999999</v>
      </c>
      <c r="J237">
        <f>SmtRes!AO216</f>
        <v>0</v>
      </c>
      <c r="K237">
        <f>SmtRes!AF216</f>
        <v>13.44</v>
      </c>
      <c r="M237">
        <f t="shared" si="20"/>
        <v>7.02</v>
      </c>
      <c r="N237">
        <f>SmtRes!AB216</f>
        <v>20.43</v>
      </c>
      <c r="O237">
        <f>SmtRes!DG216</f>
        <v>10.67</v>
      </c>
      <c r="P237">
        <f>SmtRes!AG216</f>
        <v>0</v>
      </c>
      <c r="R237">
        <f t="shared" si="21"/>
        <v>0</v>
      </c>
      <c r="S237">
        <f>SmtRes!AC216</f>
        <v>0</v>
      </c>
      <c r="T237">
        <f>SmtRes!DH216</f>
        <v>0</v>
      </c>
      <c r="U237">
        <v>2</v>
      </c>
      <c r="Z237">
        <f>SmtRes!X216</f>
        <v>-769439360</v>
      </c>
      <c r="AA237">
        <v>498787679</v>
      </c>
      <c r="AB237">
        <v>-691296830</v>
      </c>
    </row>
    <row r="238" spans="1:28" x14ac:dyDescent="0.25">
      <c r="A238">
        <v>20</v>
      </c>
      <c r="B238">
        <v>215</v>
      </c>
      <c r="C238">
        <v>2</v>
      </c>
      <c r="D238">
        <v>0</v>
      </c>
      <c r="E238">
        <f>SmtRes!AV215</f>
        <v>1</v>
      </c>
      <c r="F238" t="str">
        <f>SmtRes!I215</f>
        <v>91.05.05-015</v>
      </c>
      <c r="G238" t="str">
        <f>SmtRes!K215</f>
        <v>Краны на автомобильном ходу, грузоподъемность 16 т</v>
      </c>
      <c r="H238" t="str">
        <f>SmtRes!O215</f>
        <v>маш.-ч</v>
      </c>
      <c r="I238">
        <f>SmtRes!Y215*Source!I176</f>
        <v>6.8999999999999999E-3</v>
      </c>
      <c r="J238">
        <f>SmtRes!AO215</f>
        <v>0</v>
      </c>
      <c r="K238">
        <f>SmtRes!AF215</f>
        <v>1598.95</v>
      </c>
      <c r="M238">
        <f t="shared" si="20"/>
        <v>11.03</v>
      </c>
      <c r="N238">
        <f>SmtRes!AB215</f>
        <v>1598.95</v>
      </c>
      <c r="O238">
        <f>SmtRes!DG215</f>
        <v>11.03</v>
      </c>
      <c r="P238">
        <f>SmtRes!AG215</f>
        <v>494.35</v>
      </c>
      <c r="R238">
        <f t="shared" si="21"/>
        <v>3.41</v>
      </c>
      <c r="S238">
        <f>SmtRes!AC215</f>
        <v>494.35</v>
      </c>
      <c r="T238">
        <f>SmtRes!DH215</f>
        <v>3.41</v>
      </c>
      <c r="U238">
        <v>2</v>
      </c>
      <c r="Z238">
        <f>SmtRes!X215</f>
        <v>-1068589559</v>
      </c>
      <c r="AA238">
        <v>-2133770313</v>
      </c>
      <c r="AB238">
        <v>-2133770313</v>
      </c>
    </row>
    <row r="239" spans="1:28" x14ac:dyDescent="0.25">
      <c r="A239">
        <v>20</v>
      </c>
      <c r="B239">
        <v>214</v>
      </c>
      <c r="C239">
        <v>1</v>
      </c>
      <c r="D239">
        <v>0</v>
      </c>
      <c r="E239">
        <f>SmtRes!AV214</f>
        <v>2</v>
      </c>
      <c r="F239" t="str">
        <f>SmtRes!I214</f>
        <v>4-100-00</v>
      </c>
      <c r="G239" t="str">
        <f>SmtRes!K214</f>
        <v>Затраты труда машинистов</v>
      </c>
      <c r="H239" t="str">
        <f>SmtRes!O214</f>
        <v>чел.-ч.</v>
      </c>
      <c r="I239">
        <f>SmtRes!Y214*Source!I176</f>
        <v>1.7825000000000001E-2</v>
      </c>
      <c r="J239">
        <f>SmtRes!AO214</f>
        <v>0</v>
      </c>
      <c r="K239">
        <f>SmtRes!AH214</f>
        <v>0</v>
      </c>
      <c r="M239">
        <f t="shared" si="20"/>
        <v>0</v>
      </c>
      <c r="N239">
        <f>SmtRes!AD214</f>
        <v>0</v>
      </c>
      <c r="O239">
        <f>SmtRes!DI214</f>
        <v>0</v>
      </c>
      <c r="P239">
        <f>SmtRes!AG214</f>
        <v>0</v>
      </c>
      <c r="R239">
        <f t="shared" si="21"/>
        <v>0</v>
      </c>
      <c r="S239">
        <f>SmtRes!AC214</f>
        <v>0</v>
      </c>
      <c r="T239">
        <f>SmtRes!DH214</f>
        <v>0</v>
      </c>
      <c r="U239">
        <v>1</v>
      </c>
      <c r="Z239">
        <f>SmtRes!X214</f>
        <v>-1417349443</v>
      </c>
      <c r="AA239">
        <v>212567905</v>
      </c>
      <c r="AB239">
        <v>212567905</v>
      </c>
    </row>
    <row r="240" spans="1:28" x14ac:dyDescent="0.25">
      <c r="A240">
        <v>20</v>
      </c>
      <c r="B240">
        <v>213</v>
      </c>
      <c r="C240">
        <v>1</v>
      </c>
      <c r="D240">
        <v>0</v>
      </c>
      <c r="E240">
        <f>SmtRes!AV213</f>
        <v>1</v>
      </c>
      <c r="F240" t="str">
        <f>SmtRes!I213</f>
        <v>1-100-30</v>
      </c>
      <c r="G240" t="str">
        <f>SmtRes!K213</f>
        <v>Средний разряд работы 3,0</v>
      </c>
      <c r="H240" t="str">
        <f>SmtRes!O213</f>
        <v>чел.-ч.</v>
      </c>
      <c r="I240">
        <f>SmtRes!Y213*Source!I176</f>
        <v>2.6795</v>
      </c>
      <c r="J240">
        <f>SmtRes!AO213</f>
        <v>0</v>
      </c>
      <c r="K240">
        <f>SmtRes!AH213</f>
        <v>326.82</v>
      </c>
      <c r="M240">
        <f t="shared" si="20"/>
        <v>875.71</v>
      </c>
      <c r="N240">
        <f>SmtRes!AD213</f>
        <v>326.82</v>
      </c>
      <c r="O240">
        <f>SmtRes!DI213</f>
        <v>875.71</v>
      </c>
      <c r="P240">
        <f>SmtRes!AG213</f>
        <v>0</v>
      </c>
      <c r="R240">
        <f t="shared" si="21"/>
        <v>0</v>
      </c>
      <c r="S240">
        <f>SmtRes!AC213</f>
        <v>0</v>
      </c>
      <c r="T240">
        <f>SmtRes!DH213</f>
        <v>0</v>
      </c>
      <c r="U240">
        <v>1</v>
      </c>
      <c r="Z240">
        <f>SmtRes!X213</f>
        <v>-1833565283</v>
      </c>
      <c r="AA240">
        <v>-1727274270</v>
      </c>
      <c r="AB240">
        <v>-1727274270</v>
      </c>
    </row>
    <row r="241" spans="1:28" x14ac:dyDescent="0.25">
      <c r="A241">
        <f>Source!A177</f>
        <v>18</v>
      </c>
      <c r="B241">
        <v>177</v>
      </c>
      <c r="C241">
        <v>3</v>
      </c>
      <c r="D241">
        <f>Source!BI177</f>
        <v>1</v>
      </c>
      <c r="E241">
        <f>Source!FS177</f>
        <v>0</v>
      </c>
      <c r="F241" t="str">
        <f>Source!F177</f>
        <v>08.3.08.02-0058</v>
      </c>
      <c r="G241" t="str">
        <f>Source!G177</f>
        <v>Уголок стальной горячекатаный равнополочный, марки стали Ст3сп, Ст3пс, ширина полок 35-56 мм, толщина полки 3-5 мм (уголок 50х50х4 - 4м * 3,05кг=12,2 кг)</v>
      </c>
      <c r="H241" t="str">
        <f>Source!H177</f>
        <v>т</v>
      </c>
      <c r="I241">
        <f>Source!I177</f>
        <v>1.2200000000000001E-2</v>
      </c>
      <c r="J241">
        <v>1</v>
      </c>
      <c r="K241">
        <f>ROUND((Source!GE177),6)</f>
        <v>70842.5</v>
      </c>
      <c r="M241">
        <f>ROUND(K241*I241, 2)</f>
        <v>864.28</v>
      </c>
      <c r="N241">
        <f>Source!CQ177</f>
        <v>42246.27</v>
      </c>
      <c r="O241">
        <f>ROUND(N241*I241, 2)</f>
        <v>515.4</v>
      </c>
      <c r="P241">
        <f>Source!AE177</f>
        <v>0</v>
      </c>
      <c r="R241">
        <f>ROUND(P241*I241, 2)</f>
        <v>0</v>
      </c>
      <c r="S241">
        <f>Source!AE177*IF(Source!BS177&lt;&gt; 0, Source!BS177, 1)</f>
        <v>0</v>
      </c>
      <c r="T241">
        <f>ROUND(S241*I241, 2)</f>
        <v>0</v>
      </c>
      <c r="U241">
        <v>3</v>
      </c>
      <c r="Z241">
        <f>Source!GF177</f>
        <v>985670142</v>
      </c>
      <c r="AA241">
        <v>-684585756</v>
      </c>
      <c r="AB241">
        <v>-1247319341</v>
      </c>
    </row>
    <row r="242" spans="1:28" x14ac:dyDescent="0.25">
      <c r="A242">
        <f>Source!A178</f>
        <v>18</v>
      </c>
      <c r="B242">
        <v>178</v>
      </c>
      <c r="C242">
        <v>3</v>
      </c>
      <c r="D242">
        <f>Source!BI178</f>
        <v>1</v>
      </c>
      <c r="E242">
        <f>Source!FS178</f>
        <v>0</v>
      </c>
      <c r="F242" t="str">
        <f>Source!F178</f>
        <v>08.3.05.02-0021</v>
      </c>
      <c r="G242" t="str">
        <f>Source!G178</f>
        <v>Прокат листовой горячекатаный, марки стали Ст3сп, Ст3пс, ширина 1200-3000 мм, толщина 1-8 мм (лист т.5мм 1,2мх0,8м=0,96м2)</v>
      </c>
      <c r="H242" t="str">
        <f>Source!H178</f>
        <v>т</v>
      </c>
      <c r="I242">
        <f>Source!I178</f>
        <v>3.78E-2</v>
      </c>
      <c r="J242">
        <v>1</v>
      </c>
      <c r="K242">
        <f>ROUND((Source!GE178),6)</f>
        <v>71131.5</v>
      </c>
      <c r="M242">
        <f>ROUND(K242*I242, 2)</f>
        <v>2688.77</v>
      </c>
      <c r="N242">
        <f>Source!CQ178</f>
        <v>46372.91</v>
      </c>
      <c r="O242">
        <f>ROUND(N242*I242, 2)</f>
        <v>1752.9</v>
      </c>
      <c r="P242">
        <f>Source!AE178</f>
        <v>0</v>
      </c>
      <c r="R242">
        <f>ROUND(P242*I242, 2)</f>
        <v>0</v>
      </c>
      <c r="S242">
        <f>Source!AE178*IF(Source!BS178&lt;&gt; 0, Source!BS178, 1)</f>
        <v>0</v>
      </c>
      <c r="T242">
        <f>ROUND(S242*I242, 2)</f>
        <v>0</v>
      </c>
      <c r="U242">
        <v>3</v>
      </c>
      <c r="Z242">
        <f>Source!GF178</f>
        <v>1472636897</v>
      </c>
      <c r="AA242">
        <v>1685080466</v>
      </c>
      <c r="AB242">
        <v>-791039022</v>
      </c>
    </row>
    <row r="243" spans="1:28" x14ac:dyDescent="0.25">
      <c r="A243">
        <v>20</v>
      </c>
      <c r="B243">
        <v>239</v>
      </c>
      <c r="C243">
        <v>2</v>
      </c>
      <c r="D243">
        <v>0</v>
      </c>
      <c r="E243">
        <f>SmtRes!AV239</f>
        <v>1</v>
      </c>
      <c r="F243" t="str">
        <f>SmtRes!I239</f>
        <v>91.21.01-012</v>
      </c>
      <c r="G243" t="str">
        <f>SmtRes!K239</f>
        <v>Агрегаты окрасочные высокого давления для окраски поверхностей конструкций, мощность 1 кВт</v>
      </c>
      <c r="H243" t="str">
        <f>SmtRes!O239</f>
        <v>маш.-ч</v>
      </c>
      <c r="I243">
        <f>SmtRes!Y239*Source!I179</f>
        <v>0.10304000000000001</v>
      </c>
      <c r="J243">
        <f>SmtRes!AO239</f>
        <v>0</v>
      </c>
      <c r="K243">
        <f>SmtRes!AF239</f>
        <v>4.5199999999999996</v>
      </c>
      <c r="M243">
        <f t="shared" ref="M243:M248" si="22">ROUND(I243*K243, 2)</f>
        <v>0.47</v>
      </c>
      <c r="N243">
        <f>SmtRes!AB239</f>
        <v>6.33</v>
      </c>
      <c r="O243">
        <f>SmtRes!DG239</f>
        <v>0.65</v>
      </c>
      <c r="P243">
        <f>SmtRes!AG239</f>
        <v>0</v>
      </c>
      <c r="R243">
        <f t="shared" ref="R243:R248" si="23">ROUND(I243*P243, 2)</f>
        <v>0</v>
      </c>
      <c r="S243">
        <f>SmtRes!AC239</f>
        <v>0</v>
      </c>
      <c r="T243">
        <f>SmtRes!DH239</f>
        <v>0</v>
      </c>
      <c r="U243">
        <v>2</v>
      </c>
      <c r="Z243">
        <f>SmtRes!X239</f>
        <v>1784360336</v>
      </c>
      <c r="AA243">
        <v>-1390222325</v>
      </c>
      <c r="AB243">
        <v>645315472</v>
      </c>
    </row>
    <row r="244" spans="1:28" x14ac:dyDescent="0.25">
      <c r="A244">
        <v>20</v>
      </c>
      <c r="B244">
        <v>238</v>
      </c>
      <c r="C244">
        <v>2</v>
      </c>
      <c r="D244">
        <v>0</v>
      </c>
      <c r="E244">
        <f>SmtRes!AV238</f>
        <v>1</v>
      </c>
      <c r="F244" t="str">
        <f>SmtRes!I238</f>
        <v>91.14.02-001</v>
      </c>
      <c r="G244" t="str">
        <f>SmtRes!K238</f>
        <v>Автомобили бортовые, грузоподъемность до 5 т</v>
      </c>
      <c r="H244" t="str">
        <f>SmtRes!O238</f>
        <v>маш.-ч</v>
      </c>
      <c r="I244">
        <f>SmtRes!Y238*Source!I179</f>
        <v>2.7599999999999999E-3</v>
      </c>
      <c r="J244">
        <f>SmtRes!AO238</f>
        <v>0</v>
      </c>
      <c r="K244">
        <f>SmtRes!AF238</f>
        <v>551.45000000000005</v>
      </c>
      <c r="M244">
        <f t="shared" si="22"/>
        <v>1.52</v>
      </c>
      <c r="N244">
        <f>SmtRes!AB238</f>
        <v>551.45000000000005</v>
      </c>
      <c r="O244">
        <f>SmtRes!DG238</f>
        <v>1.52</v>
      </c>
      <c r="P244">
        <f>SmtRes!AG238</f>
        <v>368.02</v>
      </c>
      <c r="R244">
        <f t="shared" si="23"/>
        <v>1.02</v>
      </c>
      <c r="S244">
        <f>SmtRes!AC238</f>
        <v>368.02</v>
      </c>
      <c r="T244">
        <f>SmtRes!DH238</f>
        <v>1.02</v>
      </c>
      <c r="U244">
        <v>2</v>
      </c>
      <c r="Z244">
        <f>SmtRes!X238</f>
        <v>-312038840</v>
      </c>
      <c r="AA244">
        <v>280096454</v>
      </c>
      <c r="AB244">
        <v>280096454</v>
      </c>
    </row>
    <row r="245" spans="1:28" x14ac:dyDescent="0.25">
      <c r="A245">
        <v>20</v>
      </c>
      <c r="B245">
        <v>237</v>
      </c>
      <c r="C245">
        <v>2</v>
      </c>
      <c r="D245">
        <v>0</v>
      </c>
      <c r="E245">
        <f>SmtRes!AV237</f>
        <v>1</v>
      </c>
      <c r="F245" t="str">
        <f>SmtRes!I237</f>
        <v>91.06.05-011</v>
      </c>
      <c r="G245" t="str">
        <f>SmtRes!K237</f>
        <v>Погрузчики одноковшовые универсальные фронтальные пневмоколесные, номинальная вместимость основного ковша 2,6 м3, грузоподъемность 5 т</v>
      </c>
      <c r="H245" t="str">
        <f>SmtRes!O237</f>
        <v>маш.-ч</v>
      </c>
      <c r="I245">
        <f>SmtRes!Y237*Source!I179</f>
        <v>9.2000000000000003E-4</v>
      </c>
      <c r="J245">
        <f>SmtRes!AO237</f>
        <v>0</v>
      </c>
      <c r="K245">
        <f>SmtRes!AF237</f>
        <v>1569.2</v>
      </c>
      <c r="M245">
        <f t="shared" si="22"/>
        <v>1.44</v>
      </c>
      <c r="N245">
        <f>SmtRes!AB237</f>
        <v>1569.2</v>
      </c>
      <c r="O245">
        <f>SmtRes!DG237</f>
        <v>1.44</v>
      </c>
      <c r="P245">
        <f>SmtRes!AG237</f>
        <v>422.95</v>
      </c>
      <c r="R245">
        <f t="shared" si="23"/>
        <v>0.39</v>
      </c>
      <c r="S245">
        <f>SmtRes!AC237</f>
        <v>422.95</v>
      </c>
      <c r="T245">
        <f>SmtRes!DH237</f>
        <v>0.39</v>
      </c>
      <c r="U245">
        <v>2</v>
      </c>
      <c r="Z245">
        <f>SmtRes!X237</f>
        <v>-771947225</v>
      </c>
      <c r="AA245">
        <v>2003623210</v>
      </c>
      <c r="AB245">
        <v>2003623210</v>
      </c>
    </row>
    <row r="246" spans="1:28" x14ac:dyDescent="0.25">
      <c r="A246">
        <v>20</v>
      </c>
      <c r="B246">
        <v>236</v>
      </c>
      <c r="C246">
        <v>2</v>
      </c>
      <c r="D246">
        <v>0</v>
      </c>
      <c r="E246">
        <f>SmtRes!AV236</f>
        <v>1</v>
      </c>
      <c r="F246" t="str">
        <f>SmtRes!I236</f>
        <v>91.06.03-060</v>
      </c>
      <c r="G246" t="str">
        <f>SmtRes!K236</f>
        <v>Лебедки электрические тяговым усилием до 5,79 кН (0,59 т)</v>
      </c>
      <c r="H246" t="str">
        <f>SmtRes!O236</f>
        <v>маш.-ч</v>
      </c>
      <c r="I246">
        <f>SmtRes!Y236*Source!I179</f>
        <v>9.2000000000000003E-4</v>
      </c>
      <c r="J246">
        <f>SmtRes!AO236</f>
        <v>0</v>
      </c>
      <c r="K246">
        <f>SmtRes!AF236</f>
        <v>6.62</v>
      </c>
      <c r="M246">
        <f t="shared" si="22"/>
        <v>0.01</v>
      </c>
      <c r="N246">
        <f>SmtRes!AB236</f>
        <v>10.06</v>
      </c>
      <c r="O246">
        <f>SmtRes!DG236</f>
        <v>0.01</v>
      </c>
      <c r="P246">
        <f>SmtRes!AG236</f>
        <v>0</v>
      </c>
      <c r="R246">
        <f t="shared" si="23"/>
        <v>0</v>
      </c>
      <c r="S246">
        <f>SmtRes!AC236</f>
        <v>0</v>
      </c>
      <c r="T246">
        <f>SmtRes!DH236</f>
        <v>0</v>
      </c>
      <c r="U246">
        <v>2</v>
      </c>
      <c r="Z246">
        <f>SmtRes!X236</f>
        <v>-43419242</v>
      </c>
      <c r="AA246">
        <v>1845704089</v>
      </c>
      <c r="AB246">
        <v>527246034</v>
      </c>
    </row>
    <row r="247" spans="1:28" x14ac:dyDescent="0.25">
      <c r="A247">
        <v>20</v>
      </c>
      <c r="B247">
        <v>235</v>
      </c>
      <c r="C247">
        <v>1</v>
      </c>
      <c r="D247">
        <v>0</v>
      </c>
      <c r="E247">
        <f>SmtRes!AV235</f>
        <v>2</v>
      </c>
      <c r="F247" t="str">
        <f>SmtRes!I235</f>
        <v>4-100-00</v>
      </c>
      <c r="G247" t="str">
        <f>SmtRes!K235</f>
        <v>Затраты труда машинистов</v>
      </c>
      <c r="H247" t="str">
        <f>SmtRes!O235</f>
        <v>чел.-ч.</v>
      </c>
      <c r="I247">
        <f>SmtRes!Y235*Source!I179</f>
        <v>3.6800000000000001E-3</v>
      </c>
      <c r="J247">
        <f>SmtRes!AO235</f>
        <v>0</v>
      </c>
      <c r="K247">
        <f>SmtRes!AH235</f>
        <v>0</v>
      </c>
      <c r="M247">
        <f t="shared" si="22"/>
        <v>0</v>
      </c>
      <c r="N247">
        <f>SmtRes!AD235</f>
        <v>0</v>
      </c>
      <c r="O247">
        <f>SmtRes!DI235</f>
        <v>0</v>
      </c>
      <c r="P247">
        <f>SmtRes!AG235</f>
        <v>0</v>
      </c>
      <c r="R247">
        <f t="shared" si="23"/>
        <v>0</v>
      </c>
      <c r="S247">
        <f>SmtRes!AC235</f>
        <v>0</v>
      </c>
      <c r="T247">
        <f>SmtRes!DH235</f>
        <v>0</v>
      </c>
      <c r="U247">
        <v>1</v>
      </c>
      <c r="Z247">
        <f>SmtRes!X235</f>
        <v>-1417349443</v>
      </c>
      <c r="AA247">
        <v>212567905</v>
      </c>
      <c r="AB247">
        <v>212567905</v>
      </c>
    </row>
    <row r="248" spans="1:28" x14ac:dyDescent="0.25">
      <c r="A248">
        <v>20</v>
      </c>
      <c r="B248">
        <v>234</v>
      </c>
      <c r="C248">
        <v>1</v>
      </c>
      <c r="D248">
        <v>0</v>
      </c>
      <c r="E248">
        <f>SmtRes!AV234</f>
        <v>1</v>
      </c>
      <c r="F248" t="str">
        <f>SmtRes!I234</f>
        <v>1-100-35</v>
      </c>
      <c r="G248" t="str">
        <f>SmtRes!K234</f>
        <v>Средний разряд работы 3,5</v>
      </c>
      <c r="H248" t="str">
        <f>SmtRes!O234</f>
        <v>чел.-ч.</v>
      </c>
      <c r="I248">
        <f>SmtRes!Y234*Source!I179</f>
        <v>0.23368</v>
      </c>
      <c r="J248">
        <f>SmtRes!AO234</f>
        <v>0</v>
      </c>
      <c r="K248">
        <f>SmtRes!AH234</f>
        <v>347.42</v>
      </c>
      <c r="M248">
        <f t="shared" si="22"/>
        <v>81.19</v>
      </c>
      <c r="N248">
        <f>SmtRes!AD234</f>
        <v>347.42</v>
      </c>
      <c r="O248">
        <f>SmtRes!DI234</f>
        <v>81.19</v>
      </c>
      <c r="P248">
        <f>SmtRes!AG234</f>
        <v>0</v>
      </c>
      <c r="R248">
        <f t="shared" si="23"/>
        <v>0</v>
      </c>
      <c r="S248">
        <f>SmtRes!AC234</f>
        <v>0</v>
      </c>
      <c r="T248">
        <f>SmtRes!DH234</f>
        <v>0</v>
      </c>
      <c r="U248">
        <v>1</v>
      </c>
      <c r="Z248">
        <f>SmtRes!X234</f>
        <v>-715079457</v>
      </c>
      <c r="AA248">
        <v>-575432323</v>
      </c>
      <c r="AB248">
        <v>-575432323</v>
      </c>
    </row>
    <row r="249" spans="1:28" x14ac:dyDescent="0.25">
      <c r="A249">
        <f>Source!A180</f>
        <v>18</v>
      </c>
      <c r="B249">
        <v>180</v>
      </c>
      <c r="C249">
        <v>3</v>
      </c>
      <c r="D249">
        <f>Source!BI180</f>
        <v>1</v>
      </c>
      <c r="E249">
        <f>Source!FS180</f>
        <v>0</v>
      </c>
      <c r="F249" t="str">
        <f>Source!F180</f>
        <v>14.2.01.01-0003</v>
      </c>
      <c r="G249" t="str">
        <f>Source!G180</f>
        <v>Композиция органосиликатная ОС-12-03</v>
      </c>
      <c r="H249" t="str">
        <f>Source!H180</f>
        <v>т</v>
      </c>
      <c r="I249">
        <f>Source!I180</f>
        <v>7.2000000000000005E-4</v>
      </c>
      <c r="J249">
        <v>1</v>
      </c>
      <c r="K249">
        <f>Source!AC180</f>
        <v>130472.1</v>
      </c>
      <c r="M249">
        <f>ROUND(K249*I249, 2)</f>
        <v>93.94</v>
      </c>
      <c r="N249">
        <f>Source!CQ180</f>
        <v>249201.71</v>
      </c>
      <c r="O249">
        <f>ROUND(N249*I249, 2)</f>
        <v>179.43</v>
      </c>
      <c r="P249">
        <f>Source!AE180</f>
        <v>0</v>
      </c>
      <c r="R249">
        <f>ROUND(P249*I249, 2)</f>
        <v>0</v>
      </c>
      <c r="S249">
        <f>Source!AE180*IF(Source!BS180&lt;&gt; 0, Source!BS180, 1)</f>
        <v>0</v>
      </c>
      <c r="T249">
        <f>ROUND(S249*I249, 2)</f>
        <v>0</v>
      </c>
      <c r="U249">
        <v>3</v>
      </c>
      <c r="Z249">
        <f>Source!GF180</f>
        <v>284279185</v>
      </c>
      <c r="AA249">
        <v>-234439050</v>
      </c>
      <c r="AB249">
        <v>-1139901846</v>
      </c>
    </row>
    <row r="250" spans="1:28" x14ac:dyDescent="0.25">
      <c r="A250">
        <f>Source!A181</f>
        <v>18</v>
      </c>
      <c r="B250">
        <v>181</v>
      </c>
      <c r="C250">
        <v>3</v>
      </c>
      <c r="D250">
        <f>Source!BI181</f>
        <v>1</v>
      </c>
      <c r="E250">
        <f>Source!FS181</f>
        <v>0</v>
      </c>
      <c r="F250" t="str">
        <f>Source!F181</f>
        <v>14.5.09.10-0001</v>
      </c>
      <c r="G250" t="str">
        <f>Source!G181</f>
        <v>Толуол каменноугольный и сланцевый, марки А, Б</v>
      </c>
      <c r="H250" t="str">
        <f>Source!H181</f>
        <v>т</v>
      </c>
      <c r="I250">
        <f>Source!I181</f>
        <v>8.0000000000000007E-5</v>
      </c>
      <c r="J250">
        <v>1</v>
      </c>
      <c r="K250">
        <f>Source!AC181</f>
        <v>74165.73</v>
      </c>
      <c r="M250">
        <f>ROUND(K250*I250, 2)</f>
        <v>5.93</v>
      </c>
      <c r="N250">
        <f>Source!CQ181</f>
        <v>110506.94</v>
      </c>
      <c r="O250">
        <f>ROUND(N250*I250, 2)</f>
        <v>8.84</v>
      </c>
      <c r="P250">
        <f>Source!AE181</f>
        <v>0</v>
      </c>
      <c r="R250">
        <f>ROUND(P250*I250, 2)</f>
        <v>0</v>
      </c>
      <c r="S250">
        <f>Source!AE181*IF(Source!BS181&lt;&gt; 0, Source!BS181, 1)</f>
        <v>0</v>
      </c>
      <c r="T250">
        <f>ROUND(S250*I250, 2)</f>
        <v>0</v>
      </c>
      <c r="U250">
        <v>3</v>
      </c>
      <c r="Z250">
        <f>Source!GF181</f>
        <v>-1034340975</v>
      </c>
      <c r="AA250">
        <v>657913286</v>
      </c>
      <c r="AB250">
        <v>-2024286164</v>
      </c>
    </row>
    <row r="251" spans="1:28" x14ac:dyDescent="0.25">
      <c r="A251">
        <v>20</v>
      </c>
      <c r="B251">
        <v>245</v>
      </c>
      <c r="C251">
        <v>3</v>
      </c>
      <c r="D251">
        <v>0</v>
      </c>
      <c r="E251">
        <f>SmtRes!AV245</f>
        <v>0</v>
      </c>
      <c r="F251" t="str">
        <f>SmtRes!I245</f>
        <v>01.7.03.01-0001</v>
      </c>
      <c r="G251" t="str">
        <f>SmtRes!K245</f>
        <v>Вода</v>
      </c>
      <c r="H251" t="str">
        <f>SmtRes!O245</f>
        <v>м3</v>
      </c>
      <c r="I251">
        <f>SmtRes!Y245*Source!I182</f>
        <v>6.9999999999999993E-3</v>
      </c>
      <c r="J251">
        <f>SmtRes!AO245</f>
        <v>0</v>
      </c>
      <c r="K251">
        <f>SmtRes!AE245</f>
        <v>35.71</v>
      </c>
      <c r="M251">
        <f>ROUND(I251*K251, 2)</f>
        <v>0.25</v>
      </c>
      <c r="N251">
        <f>SmtRes!AA245</f>
        <v>31.42</v>
      </c>
      <c r="O251">
        <f>SmtRes!DF245</f>
        <v>0.22</v>
      </c>
      <c r="P251">
        <f>SmtRes!AG245</f>
        <v>0</v>
      </c>
      <c r="R251">
        <f>ROUND(I251*P251, 2)</f>
        <v>0</v>
      </c>
      <c r="S251">
        <f>SmtRes!AC245</f>
        <v>0</v>
      </c>
      <c r="T251">
        <f>SmtRes!DH245</f>
        <v>0</v>
      </c>
      <c r="U251">
        <v>3</v>
      </c>
      <c r="Z251">
        <f>SmtRes!X245</f>
        <v>727623859</v>
      </c>
      <c r="AA251">
        <v>-2104832873</v>
      </c>
      <c r="AB251">
        <v>-1077126727</v>
      </c>
    </row>
    <row r="252" spans="1:28" x14ac:dyDescent="0.25">
      <c r="A252">
        <v>20</v>
      </c>
      <c r="B252">
        <v>244</v>
      </c>
      <c r="C252">
        <v>2</v>
      </c>
      <c r="D252">
        <v>0</v>
      </c>
      <c r="E252">
        <f>SmtRes!AV244</f>
        <v>1</v>
      </c>
      <c r="F252" t="str">
        <f>SmtRes!I244</f>
        <v>91.07.07-011</v>
      </c>
      <c r="G252" t="str">
        <f>SmtRes!K244</f>
        <v>Растворонасосы, производительность 4 м3/ч</v>
      </c>
      <c r="H252" t="str">
        <f>SmtRes!O244</f>
        <v>маш.-ч</v>
      </c>
      <c r="I252">
        <f>SmtRes!Y244*Source!I182</f>
        <v>5.5199999999999999E-2</v>
      </c>
      <c r="J252">
        <f>SmtRes!AO244</f>
        <v>0</v>
      </c>
      <c r="K252">
        <f>SmtRes!AF244</f>
        <v>24.19</v>
      </c>
      <c r="M252">
        <f>ROUND(I252*K252, 2)</f>
        <v>1.34</v>
      </c>
      <c r="N252">
        <f>SmtRes!AB244</f>
        <v>24.19</v>
      </c>
      <c r="O252">
        <f>SmtRes!DG244</f>
        <v>1.34</v>
      </c>
      <c r="P252">
        <f>SmtRes!AG244</f>
        <v>0</v>
      </c>
      <c r="R252">
        <f>ROUND(I252*P252, 2)</f>
        <v>0</v>
      </c>
      <c r="S252">
        <f>SmtRes!AC244</f>
        <v>0</v>
      </c>
      <c r="T252">
        <f>SmtRes!DH244</f>
        <v>0</v>
      </c>
      <c r="U252">
        <v>2</v>
      </c>
      <c r="Z252">
        <f>SmtRes!X244</f>
        <v>-1133879444</v>
      </c>
      <c r="AA252">
        <v>-686606106</v>
      </c>
      <c r="AB252">
        <v>-686606106</v>
      </c>
    </row>
    <row r="253" spans="1:28" x14ac:dyDescent="0.25">
      <c r="A253">
        <v>20</v>
      </c>
      <c r="B253">
        <v>243</v>
      </c>
      <c r="C253">
        <v>2</v>
      </c>
      <c r="D253">
        <v>0</v>
      </c>
      <c r="E253">
        <f>SmtRes!AV243</f>
        <v>1</v>
      </c>
      <c r="F253" t="str">
        <f>SmtRes!I243</f>
        <v>91.06.03-061</v>
      </c>
      <c r="G253" t="str">
        <f>SmtRes!K243</f>
        <v>Лебедки электрические тяговым усилием до 12,26 кН (1,25 т)</v>
      </c>
      <c r="H253" t="str">
        <f>SmtRes!O243</f>
        <v>маш.-ч</v>
      </c>
      <c r="I253">
        <f>SmtRes!Y243*Source!I182</f>
        <v>2.07E-2</v>
      </c>
      <c r="J253">
        <f>SmtRes!AO243</f>
        <v>0</v>
      </c>
      <c r="K253">
        <f>SmtRes!AF243</f>
        <v>8.84</v>
      </c>
      <c r="M253">
        <f>ROUND(I253*K253, 2)</f>
        <v>0.18</v>
      </c>
      <c r="N253">
        <f>SmtRes!AB243</f>
        <v>13.44</v>
      </c>
      <c r="O253">
        <f>SmtRes!DG243</f>
        <v>0.28000000000000003</v>
      </c>
      <c r="P253">
        <f>SmtRes!AG243</f>
        <v>0</v>
      </c>
      <c r="R253">
        <f>ROUND(I253*P253, 2)</f>
        <v>0</v>
      </c>
      <c r="S253">
        <f>SmtRes!AC243</f>
        <v>0</v>
      </c>
      <c r="T253">
        <f>SmtRes!DH243</f>
        <v>0</v>
      </c>
      <c r="U253">
        <v>2</v>
      </c>
      <c r="Z253">
        <f>SmtRes!X243</f>
        <v>805750914</v>
      </c>
      <c r="AA253">
        <v>872673850</v>
      </c>
      <c r="AB253">
        <v>734785388</v>
      </c>
    </row>
    <row r="254" spans="1:28" x14ac:dyDescent="0.25">
      <c r="A254">
        <v>20</v>
      </c>
      <c r="B254">
        <v>242</v>
      </c>
      <c r="C254">
        <v>1</v>
      </c>
      <c r="D254">
        <v>0</v>
      </c>
      <c r="E254">
        <f>SmtRes!AV242</f>
        <v>1</v>
      </c>
      <c r="F254" t="str">
        <f>SmtRes!I242</f>
        <v>1-100-40</v>
      </c>
      <c r="G254" t="str">
        <f>SmtRes!K242</f>
        <v>Средний разряд работы 4,0</v>
      </c>
      <c r="H254" t="str">
        <f>SmtRes!O242</f>
        <v>чел.-ч.</v>
      </c>
      <c r="I254">
        <f>SmtRes!Y242*Source!I182</f>
        <v>1.4053</v>
      </c>
      <c r="J254">
        <f>SmtRes!AO242</f>
        <v>0</v>
      </c>
      <c r="K254">
        <f>SmtRes!AH242</f>
        <v>368.02</v>
      </c>
      <c r="M254">
        <f>ROUND(I254*K254, 2)</f>
        <v>517.17999999999995</v>
      </c>
      <c r="N254">
        <f>SmtRes!AD242</f>
        <v>368.02</v>
      </c>
      <c r="O254">
        <f>SmtRes!DI242</f>
        <v>517.17999999999995</v>
      </c>
      <c r="P254">
        <f>SmtRes!AG242</f>
        <v>0</v>
      </c>
      <c r="R254">
        <f>ROUND(I254*P254, 2)</f>
        <v>0</v>
      </c>
      <c r="S254">
        <f>SmtRes!AC242</f>
        <v>0</v>
      </c>
      <c r="T254">
        <f>SmtRes!DH242</f>
        <v>0</v>
      </c>
      <c r="U254">
        <v>1</v>
      </c>
      <c r="Z254">
        <f>SmtRes!X242</f>
        <v>888410196</v>
      </c>
      <c r="AA254">
        <v>-991456032</v>
      </c>
      <c r="AB254">
        <v>-991456032</v>
      </c>
    </row>
    <row r="255" spans="1:28" x14ac:dyDescent="0.25">
      <c r="A255">
        <f>Source!A183</f>
        <v>18</v>
      </c>
      <c r="B255">
        <v>183</v>
      </c>
      <c r="C255">
        <v>3</v>
      </c>
      <c r="D255">
        <f>Source!BI183</f>
        <v>1</v>
      </c>
      <c r="E255">
        <f>Source!FS183</f>
        <v>0</v>
      </c>
      <c r="F255" t="str">
        <f>Source!F183</f>
        <v>04.3.01.12-0005</v>
      </c>
      <c r="G255" t="str">
        <f>Source!G183</f>
        <v>Раствор кладочный, цементно-известковый, М100</v>
      </c>
      <c r="H255" t="str">
        <f>Source!H183</f>
        <v>м3</v>
      </c>
      <c r="I255">
        <f>Source!I183</f>
        <v>3.78E-2</v>
      </c>
      <c r="J255">
        <v>1</v>
      </c>
      <c r="K255">
        <f>Source!AC183</f>
        <v>3925.97</v>
      </c>
      <c r="M255">
        <f>ROUND(K255*I255, 2)</f>
        <v>148.4</v>
      </c>
      <c r="N255">
        <f>Source!CQ183</f>
        <v>6045.99</v>
      </c>
      <c r="O255">
        <f>ROUND(N255*I255, 2)</f>
        <v>228.54</v>
      </c>
      <c r="P255">
        <f>Source!AE183</f>
        <v>0</v>
      </c>
      <c r="R255">
        <f>ROUND(P255*I255, 2)</f>
        <v>0</v>
      </c>
      <c r="S255">
        <f>Source!AE183*IF(Source!BS183&lt;&gt; 0, Source!BS183, 1)</f>
        <v>0</v>
      </c>
      <c r="T255">
        <f>ROUND(S255*I255, 2)</f>
        <v>0</v>
      </c>
      <c r="U255">
        <v>3</v>
      </c>
      <c r="Z255">
        <f>Source!GF183</f>
        <v>2020741444</v>
      </c>
      <c r="AA255">
        <v>-239806633</v>
      </c>
      <c r="AB255">
        <v>-327454305</v>
      </c>
    </row>
    <row r="256" spans="1:28" x14ac:dyDescent="0.25">
      <c r="A256">
        <v>20</v>
      </c>
      <c r="B256">
        <v>254</v>
      </c>
      <c r="C256">
        <v>3</v>
      </c>
      <c r="D256">
        <v>0</v>
      </c>
      <c r="E256">
        <f>SmtRes!AV254</f>
        <v>0</v>
      </c>
      <c r="F256" t="str">
        <f>SmtRes!I254</f>
        <v>01.7.20.08-0051</v>
      </c>
      <c r="G256" t="str">
        <f>SmtRes!K254</f>
        <v>Ветошь хлопчатобумажная цветная</v>
      </c>
      <c r="H256" t="str">
        <f>SmtRes!O254</f>
        <v>кг</v>
      </c>
      <c r="I256">
        <f>SmtRes!Y254*Source!I184</f>
        <v>2E-3</v>
      </c>
      <c r="J256">
        <f>SmtRes!AO254</f>
        <v>0</v>
      </c>
      <c r="K256">
        <f>SmtRes!AE254</f>
        <v>56.11</v>
      </c>
      <c r="M256">
        <f t="shared" ref="M256:M261" si="24">ROUND(I256*K256, 2)</f>
        <v>0.11</v>
      </c>
      <c r="N256">
        <f>SmtRes!AA254</f>
        <v>89.21</v>
      </c>
      <c r="O256">
        <f>SmtRes!DF254</f>
        <v>0.18</v>
      </c>
      <c r="P256">
        <f>SmtRes!AG254</f>
        <v>0</v>
      </c>
      <c r="R256">
        <f t="shared" ref="R256:R261" si="25">ROUND(I256*P256, 2)</f>
        <v>0</v>
      </c>
      <c r="S256">
        <f>SmtRes!AC254</f>
        <v>0</v>
      </c>
      <c r="T256">
        <f>SmtRes!DH254</f>
        <v>0</v>
      </c>
      <c r="U256">
        <v>3</v>
      </c>
      <c r="Z256">
        <f>SmtRes!X254</f>
        <v>651944166</v>
      </c>
      <c r="AA256">
        <v>119467367</v>
      </c>
      <c r="AB256">
        <v>-1933546941</v>
      </c>
    </row>
    <row r="257" spans="1:28" x14ac:dyDescent="0.25">
      <c r="A257">
        <v>20</v>
      </c>
      <c r="B257">
        <v>253</v>
      </c>
      <c r="C257">
        <v>3</v>
      </c>
      <c r="D257">
        <v>0</v>
      </c>
      <c r="E257">
        <f>SmtRes!AV253</f>
        <v>0</v>
      </c>
      <c r="F257" t="str">
        <f>SmtRes!I253</f>
        <v>01.3.01.03-0002</v>
      </c>
      <c r="G257" t="str">
        <f>SmtRes!K253</f>
        <v>Керосин для технических целей</v>
      </c>
      <c r="H257" t="str">
        <f>SmtRes!O253</f>
        <v>т</v>
      </c>
      <c r="I257">
        <f>SmtRes!Y253*Source!I184</f>
        <v>4.8000000000000001E-4</v>
      </c>
      <c r="J257">
        <f>SmtRes!AO253</f>
        <v>0</v>
      </c>
      <c r="K257">
        <f>SmtRes!AE253</f>
        <v>62186.75</v>
      </c>
      <c r="M257">
        <f t="shared" si="24"/>
        <v>29.85</v>
      </c>
      <c r="N257">
        <f>SmtRes!AA253</f>
        <v>69649.16</v>
      </c>
      <c r="O257">
        <f>SmtRes!DF253</f>
        <v>33.43</v>
      </c>
      <c r="P257">
        <f>SmtRes!AG253</f>
        <v>0</v>
      </c>
      <c r="R257">
        <f t="shared" si="25"/>
        <v>0</v>
      </c>
      <c r="S257">
        <f>SmtRes!AC253</f>
        <v>0</v>
      </c>
      <c r="T257">
        <f>SmtRes!DH253</f>
        <v>0</v>
      </c>
      <c r="U257">
        <v>3</v>
      </c>
      <c r="Z257">
        <f>SmtRes!X253</f>
        <v>778448453</v>
      </c>
      <c r="AA257">
        <v>-1797164448</v>
      </c>
      <c r="AB257">
        <v>-652010167</v>
      </c>
    </row>
    <row r="258" spans="1:28" x14ac:dyDescent="0.25">
      <c r="A258">
        <v>20</v>
      </c>
      <c r="B258">
        <v>250</v>
      </c>
      <c r="C258">
        <v>2</v>
      </c>
      <c r="D258">
        <v>0</v>
      </c>
      <c r="E258">
        <f>SmtRes!AV250</f>
        <v>1</v>
      </c>
      <c r="F258" t="str">
        <f>SmtRes!I250</f>
        <v>91.14.02-001</v>
      </c>
      <c r="G258" t="str">
        <f>SmtRes!K250</f>
        <v>Автомобили бортовые, грузоподъемность до 5 т</v>
      </c>
      <c r="H258" t="str">
        <f>SmtRes!O250</f>
        <v>маш.-ч</v>
      </c>
      <c r="I258">
        <f>SmtRes!Y250*Source!I184</f>
        <v>4.5999999999999999E-3</v>
      </c>
      <c r="J258">
        <f>SmtRes!AO250</f>
        <v>0</v>
      </c>
      <c r="K258">
        <f>SmtRes!AF250</f>
        <v>551.45000000000005</v>
      </c>
      <c r="M258">
        <f t="shared" si="24"/>
        <v>2.54</v>
      </c>
      <c r="N258">
        <f>SmtRes!AB250</f>
        <v>551.45000000000005</v>
      </c>
      <c r="O258">
        <f>SmtRes!DG250</f>
        <v>2.54</v>
      </c>
      <c r="P258">
        <f>SmtRes!AG250</f>
        <v>368.02</v>
      </c>
      <c r="R258">
        <f t="shared" si="25"/>
        <v>1.69</v>
      </c>
      <c r="S258">
        <f>SmtRes!AC250</f>
        <v>368.02</v>
      </c>
      <c r="T258">
        <f>SmtRes!DH250</f>
        <v>1.69</v>
      </c>
      <c r="U258">
        <v>2</v>
      </c>
      <c r="Z258">
        <f>SmtRes!X250</f>
        <v>-312038840</v>
      </c>
      <c r="AA258">
        <v>280096454</v>
      </c>
      <c r="AB258">
        <v>280096454</v>
      </c>
    </row>
    <row r="259" spans="1:28" x14ac:dyDescent="0.25">
      <c r="A259">
        <v>20</v>
      </c>
      <c r="B259">
        <v>249</v>
      </c>
      <c r="C259">
        <v>2</v>
      </c>
      <c r="D259">
        <v>0</v>
      </c>
      <c r="E259">
        <f>SmtRes!AV249</f>
        <v>1</v>
      </c>
      <c r="F259" t="str">
        <f>SmtRes!I249</f>
        <v>91.08.04-021</v>
      </c>
      <c r="G259" t="str">
        <f>SmtRes!K249</f>
        <v>Котлы битумные передвижные электрические с центробежной мешалкой, объем загрузочной емкости 400 л</v>
      </c>
      <c r="H259" t="str">
        <f>SmtRes!O249</f>
        <v>маш.-ч</v>
      </c>
      <c r="I259">
        <f>SmtRes!Y249*Source!I184</f>
        <v>4.4849999999999994E-2</v>
      </c>
      <c r="J259">
        <f>SmtRes!AO249</f>
        <v>0</v>
      </c>
      <c r="K259">
        <f>SmtRes!AF249</f>
        <v>95.25</v>
      </c>
      <c r="M259">
        <f t="shared" si="24"/>
        <v>4.2699999999999996</v>
      </c>
      <c r="N259">
        <f>SmtRes!AB249</f>
        <v>151.44999999999999</v>
      </c>
      <c r="O259">
        <f>SmtRes!DG249</f>
        <v>6.79</v>
      </c>
      <c r="P259">
        <f>SmtRes!AG249</f>
        <v>0</v>
      </c>
      <c r="R259">
        <f t="shared" si="25"/>
        <v>0</v>
      </c>
      <c r="S259">
        <f>SmtRes!AC249</f>
        <v>0</v>
      </c>
      <c r="T259">
        <f>SmtRes!DH249</f>
        <v>0</v>
      </c>
      <c r="U259">
        <v>2</v>
      </c>
      <c r="Z259">
        <f>SmtRes!X249</f>
        <v>-1433341575</v>
      </c>
      <c r="AA259">
        <v>-2138035364</v>
      </c>
      <c r="AB259">
        <v>-1485892530</v>
      </c>
    </row>
    <row r="260" spans="1:28" x14ac:dyDescent="0.25">
      <c r="A260">
        <v>20</v>
      </c>
      <c r="B260">
        <v>248</v>
      </c>
      <c r="C260">
        <v>1</v>
      </c>
      <c r="D260">
        <v>0</v>
      </c>
      <c r="E260">
        <f>SmtRes!AV248</f>
        <v>2</v>
      </c>
      <c r="F260" t="str">
        <f>SmtRes!I248</f>
        <v>4-100-00</v>
      </c>
      <c r="G260" t="str">
        <f>SmtRes!K248</f>
        <v>Затраты труда машинистов</v>
      </c>
      <c r="H260" t="str">
        <f>SmtRes!O248</f>
        <v>чел.-ч.</v>
      </c>
      <c r="I260">
        <f>SmtRes!Y248*Source!I184</f>
        <v>4.5999999999999999E-3</v>
      </c>
      <c r="J260">
        <f>SmtRes!AO248</f>
        <v>0</v>
      </c>
      <c r="K260">
        <f>SmtRes!AH248</f>
        <v>0</v>
      </c>
      <c r="M260">
        <f t="shared" si="24"/>
        <v>0</v>
      </c>
      <c r="N260">
        <f>SmtRes!AD248</f>
        <v>0</v>
      </c>
      <c r="O260">
        <f>SmtRes!DI248</f>
        <v>0</v>
      </c>
      <c r="P260">
        <f>SmtRes!AG248</f>
        <v>0</v>
      </c>
      <c r="R260">
        <f t="shared" si="25"/>
        <v>0</v>
      </c>
      <c r="S260">
        <f>SmtRes!AC248</f>
        <v>0</v>
      </c>
      <c r="T260">
        <f>SmtRes!DH248</f>
        <v>0</v>
      </c>
      <c r="U260">
        <v>1</v>
      </c>
      <c r="Z260">
        <f>SmtRes!X248</f>
        <v>-1417349443</v>
      </c>
      <c r="AA260">
        <v>212567905</v>
      </c>
      <c r="AB260">
        <v>212567905</v>
      </c>
    </row>
    <row r="261" spans="1:28" x14ac:dyDescent="0.25">
      <c r="A261">
        <v>20</v>
      </c>
      <c r="B261">
        <v>247</v>
      </c>
      <c r="C261">
        <v>1</v>
      </c>
      <c r="D261">
        <v>0</v>
      </c>
      <c r="E261">
        <f>SmtRes!AV247</f>
        <v>1</v>
      </c>
      <c r="F261" t="str">
        <f>SmtRes!I247</f>
        <v>1-100-39</v>
      </c>
      <c r="G261" t="str">
        <f>SmtRes!K247</f>
        <v>Средний разряд работы 3,9</v>
      </c>
      <c r="H261" t="str">
        <f>SmtRes!O247</f>
        <v>чел.-ч.</v>
      </c>
      <c r="I261">
        <f>SmtRes!Y247*Source!I184</f>
        <v>0.48759999999999998</v>
      </c>
      <c r="J261">
        <f>SmtRes!AO247</f>
        <v>0</v>
      </c>
      <c r="K261">
        <f>SmtRes!AH247</f>
        <v>363.9</v>
      </c>
      <c r="M261">
        <f t="shared" si="24"/>
        <v>177.44</v>
      </c>
      <c r="N261">
        <f>SmtRes!AD247</f>
        <v>363.9</v>
      </c>
      <c r="O261">
        <f>SmtRes!DI247</f>
        <v>177.44</v>
      </c>
      <c r="P261">
        <f>SmtRes!AG247</f>
        <v>0</v>
      </c>
      <c r="R261">
        <f t="shared" si="25"/>
        <v>0</v>
      </c>
      <c r="S261">
        <f>SmtRes!AC247</f>
        <v>0</v>
      </c>
      <c r="T261">
        <f>SmtRes!DH247</f>
        <v>0</v>
      </c>
      <c r="U261">
        <v>1</v>
      </c>
      <c r="Z261">
        <f>SmtRes!X247</f>
        <v>-1088579471</v>
      </c>
      <c r="AA261">
        <v>1379082334</v>
      </c>
      <c r="AB261">
        <v>1379082334</v>
      </c>
    </row>
    <row r="262" spans="1:28" x14ac:dyDescent="0.25">
      <c r="A262">
        <f>Source!A185</f>
        <v>18</v>
      </c>
      <c r="B262">
        <v>185</v>
      </c>
      <c r="C262">
        <v>3</v>
      </c>
      <c r="D262">
        <f>Source!BI185</f>
        <v>1</v>
      </c>
      <c r="E262">
        <f>Source!FS185</f>
        <v>0</v>
      </c>
      <c r="F262" t="str">
        <f>Source!F185</f>
        <v>01.2.01.02-0042</v>
      </c>
      <c r="G262" t="str">
        <f>Source!G185</f>
        <v>Битум нефтяной строительный кровельный БНК-90/30</v>
      </c>
      <c r="H262" t="str">
        <f>Source!H185</f>
        <v>т</v>
      </c>
      <c r="I262">
        <f>Source!I185</f>
        <v>3.2000000000000003E-4</v>
      </c>
      <c r="J262">
        <v>1</v>
      </c>
      <c r="K262">
        <f>Source!AC185</f>
        <v>23356.13</v>
      </c>
      <c r="M262">
        <f>ROUND(K262*I262, 2)</f>
        <v>7.47</v>
      </c>
      <c r="N262">
        <f>Source!CQ185</f>
        <v>17984.22</v>
      </c>
      <c r="O262">
        <f>ROUND(N262*I262, 2)</f>
        <v>5.75</v>
      </c>
      <c r="P262">
        <f>Source!AE185</f>
        <v>0</v>
      </c>
      <c r="R262">
        <f>ROUND(P262*I262, 2)</f>
        <v>0</v>
      </c>
      <c r="S262">
        <f>Source!AE185*IF(Source!BS185&lt;&gt; 0, Source!BS185, 1)</f>
        <v>0</v>
      </c>
      <c r="T262">
        <f>ROUND(S262*I262, 2)</f>
        <v>0</v>
      </c>
      <c r="U262">
        <v>3</v>
      </c>
      <c r="Z262">
        <f>Source!GF185</f>
        <v>2072643849</v>
      </c>
      <c r="AA262">
        <v>-1586176979</v>
      </c>
      <c r="AB262">
        <v>1956426708</v>
      </c>
    </row>
    <row r="263" spans="1:28" x14ac:dyDescent="0.25">
      <c r="A263">
        <f>Source!A186</f>
        <v>18</v>
      </c>
      <c r="B263">
        <v>186</v>
      </c>
      <c r="C263">
        <v>3</v>
      </c>
      <c r="D263">
        <f>Source!BI186</f>
        <v>1</v>
      </c>
      <c r="E263">
        <f>Source!FS186</f>
        <v>0</v>
      </c>
      <c r="F263" t="str">
        <f>Source!F186</f>
        <v>01.2.03.03-0014</v>
      </c>
      <c r="G263" t="str">
        <f>Source!G186</f>
        <v>Мастика битумная кровельная горячая МБК-Г-55, МБК-Г-65, МБК-Г-75, МБК-Г-85, МБК-Г-100</v>
      </c>
      <c r="H263" t="str">
        <f>Source!H186</f>
        <v>т</v>
      </c>
      <c r="I263">
        <f>Source!I186</f>
        <v>4.7999999999999996E-3</v>
      </c>
      <c r="J263">
        <v>1</v>
      </c>
      <c r="K263">
        <f>Source!AC186</f>
        <v>24767.25</v>
      </c>
      <c r="M263">
        <f>ROUND(K263*I263, 2)</f>
        <v>118.88</v>
      </c>
      <c r="N263">
        <f>Source!CQ186</f>
        <v>37893.89</v>
      </c>
      <c r="O263">
        <f>ROUND(N263*I263, 2)</f>
        <v>181.89</v>
      </c>
      <c r="P263">
        <f>Source!AE186</f>
        <v>0</v>
      </c>
      <c r="R263">
        <f>ROUND(P263*I263, 2)</f>
        <v>0</v>
      </c>
      <c r="S263">
        <f>Source!AE186*IF(Source!BS186&lt;&gt; 0, Source!BS186, 1)</f>
        <v>0</v>
      </c>
      <c r="T263">
        <f>ROUND(S263*I263, 2)</f>
        <v>0</v>
      </c>
      <c r="U263">
        <v>3</v>
      </c>
      <c r="Z263">
        <f>Source!GF186</f>
        <v>-587443483</v>
      </c>
      <c r="AA263">
        <v>1253849820</v>
      </c>
      <c r="AB263">
        <v>-1195166163</v>
      </c>
    </row>
    <row r="264" spans="1:28" x14ac:dyDescent="0.25">
      <c r="A264">
        <f>Source!A220</f>
        <v>4</v>
      </c>
      <c r="B264">
        <v>220</v>
      </c>
      <c r="G264" t="str">
        <f>Source!G220</f>
        <v>Раздел Восстановление благоустройства</v>
      </c>
    </row>
    <row r="265" spans="1:28" x14ac:dyDescent="0.25">
      <c r="A265">
        <v>20</v>
      </c>
      <c r="B265">
        <v>258</v>
      </c>
      <c r="C265">
        <v>2</v>
      </c>
      <c r="D265">
        <v>0</v>
      </c>
      <c r="E265">
        <f>SmtRes!AV258</f>
        <v>1</v>
      </c>
      <c r="F265" t="str">
        <f>SmtRes!I258</f>
        <v>91.15.03-014</v>
      </c>
      <c r="G265" t="str">
        <f>SmtRes!K258</f>
        <v>Тракторы на пневмоколесном ходу, мощность 59 кВт (80 л.с.)</v>
      </c>
      <c r="H265" t="str">
        <f>SmtRes!O258</f>
        <v>маш.-ч</v>
      </c>
      <c r="I265">
        <f>SmtRes!Y258*Source!I224</f>
        <v>2.3E-2</v>
      </c>
      <c r="J265">
        <f>SmtRes!AO258</f>
        <v>0</v>
      </c>
      <c r="K265">
        <f>SmtRes!AF258</f>
        <v>650.61</v>
      </c>
      <c r="M265">
        <f>ROUND(I265*K265, 2)</f>
        <v>14.96</v>
      </c>
      <c r="N265">
        <f>SmtRes!AB258</f>
        <v>650.61</v>
      </c>
      <c r="O265">
        <f>SmtRes!DG258</f>
        <v>14.96</v>
      </c>
      <c r="P265">
        <f>SmtRes!AG258</f>
        <v>368.02</v>
      </c>
      <c r="R265">
        <f>ROUND(I265*P265, 2)</f>
        <v>8.4600000000000009</v>
      </c>
      <c r="S265">
        <f>SmtRes!AC258</f>
        <v>368.02</v>
      </c>
      <c r="T265">
        <f>SmtRes!DH258</f>
        <v>8.4600000000000009</v>
      </c>
      <c r="U265">
        <v>2</v>
      </c>
      <c r="Z265">
        <f>SmtRes!X258</f>
        <v>-203367391</v>
      </c>
      <c r="AA265">
        <v>-1298519240</v>
      </c>
      <c r="AB265">
        <v>-1298519240</v>
      </c>
    </row>
    <row r="266" spans="1:28" x14ac:dyDescent="0.25">
      <c r="A266">
        <v>20</v>
      </c>
      <c r="B266">
        <v>257</v>
      </c>
      <c r="C266">
        <v>2</v>
      </c>
      <c r="D266">
        <v>0</v>
      </c>
      <c r="E266">
        <f>SmtRes!AV257</f>
        <v>1</v>
      </c>
      <c r="F266" t="str">
        <f>SmtRes!I257</f>
        <v>91.12.08-051</v>
      </c>
      <c r="G266" t="str">
        <f>SmtRes!K257</f>
        <v>Катки прицепные кольчатые 2 т</v>
      </c>
      <c r="H266" t="str">
        <f>SmtRes!O257</f>
        <v>маш.-ч</v>
      </c>
      <c r="I266">
        <f>SmtRes!Y257*Source!I224</f>
        <v>6.4399999999999999E-2</v>
      </c>
      <c r="J266">
        <f>SmtRes!AO257</f>
        <v>0</v>
      </c>
      <c r="K266">
        <f>SmtRes!AF257</f>
        <v>50.89</v>
      </c>
      <c r="M266">
        <f>ROUND(I266*K266, 2)</f>
        <v>3.28</v>
      </c>
      <c r="N266">
        <f>SmtRes!AB257</f>
        <v>75.319999999999993</v>
      </c>
      <c r="O266">
        <f>SmtRes!DG257</f>
        <v>4.8499999999999996</v>
      </c>
      <c r="P266">
        <f>SmtRes!AG257</f>
        <v>0</v>
      </c>
      <c r="R266">
        <f>ROUND(I266*P266, 2)</f>
        <v>0</v>
      </c>
      <c r="S266">
        <f>SmtRes!AC257</f>
        <v>0</v>
      </c>
      <c r="T266">
        <f>SmtRes!DH257</f>
        <v>0</v>
      </c>
      <c r="U266">
        <v>2</v>
      </c>
      <c r="Z266">
        <f>SmtRes!X257</f>
        <v>114626288</v>
      </c>
      <c r="AA266">
        <v>-1775953585</v>
      </c>
      <c r="AB266">
        <v>-1357006242</v>
      </c>
    </row>
    <row r="267" spans="1:28" x14ac:dyDescent="0.25">
      <c r="A267">
        <v>20</v>
      </c>
      <c r="B267">
        <v>256</v>
      </c>
      <c r="C267">
        <v>1</v>
      </c>
      <c r="D267">
        <v>0</v>
      </c>
      <c r="E267">
        <f>SmtRes!AV256</f>
        <v>2</v>
      </c>
      <c r="F267" t="str">
        <f>SmtRes!I256</f>
        <v>4-100-00</v>
      </c>
      <c r="G267" t="str">
        <f>SmtRes!K256</f>
        <v>Затраты труда машинистов</v>
      </c>
      <c r="H267" t="str">
        <f>SmtRes!O256</f>
        <v>чел.-ч.</v>
      </c>
      <c r="I267">
        <f>SmtRes!Y256*Source!I224</f>
        <v>2.3E-2</v>
      </c>
      <c r="J267">
        <f>SmtRes!AO256</f>
        <v>0</v>
      </c>
      <c r="K267">
        <f>SmtRes!AH256</f>
        <v>0</v>
      </c>
      <c r="M267">
        <f>ROUND(I267*K267, 2)</f>
        <v>0</v>
      </c>
      <c r="N267">
        <f>SmtRes!AD256</f>
        <v>0</v>
      </c>
      <c r="O267">
        <f>SmtRes!DI256</f>
        <v>0</v>
      </c>
      <c r="P267">
        <f>SmtRes!AG256</f>
        <v>0</v>
      </c>
      <c r="R267">
        <f>ROUND(I267*P267, 2)</f>
        <v>0</v>
      </c>
      <c r="S267">
        <f>SmtRes!AC256</f>
        <v>0</v>
      </c>
      <c r="T267">
        <f>SmtRes!DH256</f>
        <v>0</v>
      </c>
      <c r="U267">
        <v>1</v>
      </c>
      <c r="Z267">
        <f>SmtRes!X256</f>
        <v>-1417349443</v>
      </c>
      <c r="AA267">
        <v>212567905</v>
      </c>
      <c r="AB267">
        <v>212567905</v>
      </c>
    </row>
    <row r="268" spans="1:28" x14ac:dyDescent="0.25">
      <c r="A268">
        <v>20</v>
      </c>
      <c r="B268">
        <v>255</v>
      </c>
      <c r="C268">
        <v>1</v>
      </c>
      <c r="D268">
        <v>0</v>
      </c>
      <c r="E268">
        <f>SmtRes!AV255</f>
        <v>1</v>
      </c>
      <c r="F268" t="str">
        <f>SmtRes!I255</f>
        <v>1-100-22</v>
      </c>
      <c r="G268" t="str">
        <f>SmtRes!K255</f>
        <v>Средний разряд работы 2,2</v>
      </c>
      <c r="H268" t="str">
        <f>SmtRes!O255</f>
        <v>чел.-ч.</v>
      </c>
      <c r="I268">
        <f>SmtRes!Y255*Source!I224</f>
        <v>12.318800000000001</v>
      </c>
      <c r="J268">
        <f>SmtRes!AO255</f>
        <v>0</v>
      </c>
      <c r="K268">
        <f>SmtRes!AH255</f>
        <v>304.85000000000002</v>
      </c>
      <c r="M268">
        <f>ROUND(I268*K268, 2)</f>
        <v>3755.39</v>
      </c>
      <c r="N268">
        <f>SmtRes!AD255</f>
        <v>304.85000000000002</v>
      </c>
      <c r="O268">
        <f>SmtRes!DI255</f>
        <v>3755.39</v>
      </c>
      <c r="P268">
        <f>SmtRes!AG255</f>
        <v>0</v>
      </c>
      <c r="R268">
        <f>ROUND(I268*P268, 2)</f>
        <v>0</v>
      </c>
      <c r="S268">
        <f>SmtRes!AC255</f>
        <v>0</v>
      </c>
      <c r="T268">
        <f>SmtRes!DH255</f>
        <v>0</v>
      </c>
      <c r="U268">
        <v>1</v>
      </c>
      <c r="Z268">
        <f>SmtRes!X255</f>
        <v>1048598872</v>
      </c>
      <c r="AA268">
        <v>-247763580</v>
      </c>
      <c r="AB268">
        <v>-247763580</v>
      </c>
    </row>
    <row r="269" spans="1:28" x14ac:dyDescent="0.25">
      <c r="A269">
        <f>Source!A225</f>
        <v>18</v>
      </c>
      <c r="B269">
        <v>225</v>
      </c>
      <c r="C269">
        <v>3</v>
      </c>
      <c r="D269">
        <f>Source!BI225</f>
        <v>1</v>
      </c>
      <c r="E269">
        <f>Source!FS225</f>
        <v>0</v>
      </c>
      <c r="F269" t="str">
        <f>Source!F225</f>
        <v>16.2.01.02-0001</v>
      </c>
      <c r="G269" t="str">
        <f>Source!G225</f>
        <v>Земля растительная</v>
      </c>
      <c r="H269" t="str">
        <f>Source!H225</f>
        <v>м3</v>
      </c>
      <c r="I269">
        <f>Source!I225</f>
        <v>6</v>
      </c>
      <c r="J269">
        <v>1</v>
      </c>
      <c r="K269">
        <f>Source!AC225</f>
        <v>1062.45</v>
      </c>
      <c r="M269">
        <f>ROUND(K269*I269, 2)</f>
        <v>6374.7</v>
      </c>
      <c r="N269">
        <f>Source!CQ225</f>
        <v>1423.68</v>
      </c>
      <c r="O269">
        <f>ROUND(N269*I269, 2)</f>
        <v>8542.08</v>
      </c>
      <c r="P269">
        <f>Source!AE225</f>
        <v>0</v>
      </c>
      <c r="R269">
        <f>ROUND(P269*I269, 2)</f>
        <v>0</v>
      </c>
      <c r="S269">
        <f>Source!AE225*IF(Source!BS225&lt;&gt; 0, Source!BS225, 1)</f>
        <v>0</v>
      </c>
      <c r="T269">
        <f>ROUND(S269*I269, 2)</f>
        <v>0</v>
      </c>
      <c r="U269">
        <v>3</v>
      </c>
      <c r="Z269">
        <f>Source!GF225</f>
        <v>-349141523</v>
      </c>
      <c r="AA269">
        <v>-871810164</v>
      </c>
      <c r="AB269">
        <v>1445176832</v>
      </c>
    </row>
    <row r="270" spans="1:28" x14ac:dyDescent="0.25">
      <c r="A270">
        <v>20</v>
      </c>
      <c r="B270">
        <v>260</v>
      </c>
      <c r="C270">
        <v>1</v>
      </c>
      <c r="D270">
        <v>0</v>
      </c>
      <c r="E270">
        <f>SmtRes!AV260</f>
        <v>1</v>
      </c>
      <c r="F270" t="str">
        <f>SmtRes!I260</f>
        <v>1-100-22</v>
      </c>
      <c r="G270" t="str">
        <f>SmtRes!K260</f>
        <v>Средний разряд работы 2,2</v>
      </c>
      <c r="H270" t="str">
        <f>SmtRes!O260</f>
        <v>чел.-ч.</v>
      </c>
      <c r="I270">
        <f>SmtRes!Y260*Source!I227</f>
        <v>-2.5161999999999995</v>
      </c>
      <c r="J270">
        <f>SmtRes!AO260</f>
        <v>0</v>
      </c>
      <c r="K270">
        <f>SmtRes!AH260</f>
        <v>304.85000000000002</v>
      </c>
      <c r="M270">
        <f>ROUND(I270*K270, 2)</f>
        <v>-767.06</v>
      </c>
      <c r="N270">
        <f>SmtRes!AD260</f>
        <v>304.85000000000002</v>
      </c>
      <c r="O270">
        <f>SmtRes!DI260</f>
        <v>-767.06</v>
      </c>
      <c r="P270">
        <f>SmtRes!AG260</f>
        <v>0</v>
      </c>
      <c r="R270">
        <f>ROUND(I270*P270, 2)</f>
        <v>0</v>
      </c>
      <c r="S270">
        <f>SmtRes!AC260</f>
        <v>0</v>
      </c>
      <c r="T270">
        <f>SmtRes!DH260</f>
        <v>0</v>
      </c>
      <c r="U270">
        <v>1</v>
      </c>
      <c r="Z270">
        <f>SmtRes!X260</f>
        <v>1048598872</v>
      </c>
      <c r="AA270">
        <v>-247763580</v>
      </c>
      <c r="AB270">
        <v>-247763580</v>
      </c>
    </row>
    <row r="271" spans="1:28" x14ac:dyDescent="0.25">
      <c r="A271">
        <f>Source!A228</f>
        <v>18</v>
      </c>
      <c r="B271">
        <v>228</v>
      </c>
      <c r="C271">
        <v>3</v>
      </c>
      <c r="D271">
        <f>Source!BI228</f>
        <v>1</v>
      </c>
      <c r="E271">
        <f>Source!FS228</f>
        <v>0</v>
      </c>
      <c r="F271" t="str">
        <f>Source!F228</f>
        <v>16.2.01.02-0001</v>
      </c>
      <c r="G271" t="str">
        <f>Source!G228</f>
        <v>Земля растительная</v>
      </c>
      <c r="H271" t="str">
        <f>Source!H228</f>
        <v>м3</v>
      </c>
      <c r="I271">
        <f>Source!I228</f>
        <v>-2</v>
      </c>
      <c r="J271">
        <v>1</v>
      </c>
      <c r="K271">
        <f>Source!AC228</f>
        <v>1062.45</v>
      </c>
      <c r="M271">
        <f>ROUND(K271*I271, 2)</f>
        <v>-2124.9</v>
      </c>
      <c r="N271">
        <f>Source!CQ228</f>
        <v>1423.68</v>
      </c>
      <c r="O271">
        <f>ROUND(N271*I271, 2)</f>
        <v>-2847.36</v>
      </c>
      <c r="P271">
        <f>Source!AE228</f>
        <v>0</v>
      </c>
      <c r="R271">
        <f>ROUND(P271*I271, 2)</f>
        <v>0</v>
      </c>
      <c r="S271">
        <f>Source!AE228*IF(Source!BS228&lt;&gt; 0, Source!BS228, 1)</f>
        <v>0</v>
      </c>
      <c r="T271">
        <f>ROUND(S271*I271, 2)</f>
        <v>0</v>
      </c>
      <c r="U271">
        <v>3</v>
      </c>
      <c r="Z271">
        <f>Source!GF228</f>
        <v>-349141523</v>
      </c>
      <c r="AA271">
        <v>-871810164</v>
      </c>
      <c r="AB271">
        <v>1445176832</v>
      </c>
    </row>
    <row r="272" spans="1:28" x14ac:dyDescent="0.25">
      <c r="A272">
        <v>999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Q128"/>
  <sheetViews>
    <sheetView workbookViewId="0">
      <selection activeCell="A8" sqref="A8:XFD60"/>
    </sheetView>
  </sheetViews>
  <sheetFormatPr defaultRowHeight="13.2" x14ac:dyDescent="0.25"/>
  <cols>
    <col min="1" max="1" width="18.6640625" customWidth="1"/>
    <col min="2" max="2" width="40.6640625" customWidth="1"/>
    <col min="3" max="6" width="12.6640625" customWidth="1"/>
    <col min="15" max="18" width="0" hidden="1" customWidth="1"/>
  </cols>
  <sheetData>
    <row r="2" spans="1:17" ht="16.8" x14ac:dyDescent="0.25">
      <c r="A2" s="153" t="s">
        <v>1059</v>
      </c>
      <c r="B2" s="154"/>
      <c r="C2" s="154"/>
      <c r="D2" s="154"/>
      <c r="E2" s="154"/>
      <c r="F2" s="154"/>
    </row>
    <row r="3" spans="1:17" ht="16.8" x14ac:dyDescent="0.25">
      <c r="A3" s="153" t="str">
        <f>CONCATENATE("Объект: ",IF(Source!G292&lt;&gt;"Новый объект", Source!G292, ""))</f>
        <v xml:space="preserve">Объект: </v>
      </c>
      <c r="B3" s="154"/>
      <c r="C3" s="154"/>
      <c r="D3" s="154"/>
      <c r="E3" s="154"/>
      <c r="F3" s="154"/>
    </row>
    <row r="4" spans="1:17" x14ac:dyDescent="0.25">
      <c r="A4" s="155" t="s">
        <v>846</v>
      </c>
      <c r="B4" s="155" t="s">
        <v>1060</v>
      </c>
      <c r="C4" s="155" t="s">
        <v>814</v>
      </c>
      <c r="D4" s="155" t="s">
        <v>1061</v>
      </c>
      <c r="E4" s="158" t="s">
        <v>1062</v>
      </c>
      <c r="F4" s="159"/>
    </row>
    <row r="5" spans="1:17" x14ac:dyDescent="0.25">
      <c r="A5" s="156"/>
      <c r="B5" s="156"/>
      <c r="C5" s="156"/>
      <c r="D5" s="156"/>
      <c r="E5" s="160"/>
      <c r="F5" s="161"/>
    </row>
    <row r="6" spans="1:17" ht="13.8" x14ac:dyDescent="0.25">
      <c r="A6" s="157"/>
      <c r="B6" s="157"/>
      <c r="C6" s="157"/>
      <c r="D6" s="157"/>
      <c r="E6" s="20" t="s">
        <v>1063</v>
      </c>
      <c r="F6" s="20" t="s">
        <v>1064</v>
      </c>
    </row>
    <row r="7" spans="1:17" ht="13.8" x14ac:dyDescent="0.25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</row>
    <row r="8" spans="1:17" ht="13.8" hidden="1" x14ac:dyDescent="0.25">
      <c r="A8" s="162" t="s">
        <v>1065</v>
      </c>
      <c r="B8" s="163"/>
      <c r="C8" s="163"/>
      <c r="D8" s="163"/>
      <c r="E8" s="163"/>
      <c r="F8" s="163"/>
    </row>
    <row r="9" spans="1:17" ht="13.8" hidden="1" x14ac:dyDescent="0.25">
      <c r="A9" s="110" t="s">
        <v>502</v>
      </c>
      <c r="B9" s="102" t="s">
        <v>503</v>
      </c>
      <c r="C9" s="102" t="s">
        <v>501</v>
      </c>
      <c r="D9" s="103">
        <f>ROUND(SUMIF(RV_DATA!AB6:AB271, 548894885, RV_DATA!I6:I271), 6)</f>
        <v>17.659721999999999</v>
      </c>
      <c r="E9" s="111">
        <f>ROUND(RV_DATA!N9, 6)</f>
        <v>287</v>
      </c>
      <c r="F9" s="111">
        <f>ROUND(SUMIF(RV_DATA!AB6:AB271, 548894885, RV_DATA!O6:O271), 6)</f>
        <v>5068.34</v>
      </c>
      <c r="Q9">
        <v>1</v>
      </c>
    </row>
    <row r="10" spans="1:17" ht="13.8" hidden="1" x14ac:dyDescent="0.25">
      <c r="A10" s="110" t="s">
        <v>572</v>
      </c>
      <c r="B10" s="102" t="s">
        <v>573</v>
      </c>
      <c r="C10" s="102" t="s">
        <v>501</v>
      </c>
      <c r="D10" s="103">
        <f>ROUND(SUMIF(RV_DATA!AB6:AB271, 1867757539, RV_DATA!I6:I271), 6)</f>
        <v>23.846399999999999</v>
      </c>
      <c r="E10" s="111">
        <f>ROUND(RV_DATA!N60, 6)</f>
        <v>296.89</v>
      </c>
      <c r="F10" s="111">
        <f>ROUND(SUMIF(RV_DATA!AB6:AB271, 1867757539, RV_DATA!O6:O271), 6)</f>
        <v>7079.76</v>
      </c>
      <c r="Q10">
        <v>1</v>
      </c>
    </row>
    <row r="11" spans="1:17" ht="13.8" hidden="1" x14ac:dyDescent="0.25">
      <c r="A11" s="110" t="s">
        <v>499</v>
      </c>
      <c r="B11" s="102" t="s">
        <v>500</v>
      </c>
      <c r="C11" s="102" t="s">
        <v>501</v>
      </c>
      <c r="D11" s="103">
        <f>ROUND(SUMIF(RV_DATA!AB6:AB271, -1587801246, RV_DATA!I6:I271), 6)</f>
        <v>54.45158</v>
      </c>
      <c r="E11" s="111">
        <f>ROUND(RV_DATA!N8, 6)</f>
        <v>299.36</v>
      </c>
      <c r="F11" s="111">
        <f>ROUND(SUMIF(RV_DATA!AB6:AB271, -1587801246, RV_DATA!O6:O271), 6)</f>
        <v>16300.63</v>
      </c>
      <c r="Q11">
        <v>1</v>
      </c>
    </row>
    <row r="12" spans="1:17" ht="13.8" hidden="1" x14ac:dyDescent="0.25">
      <c r="A12" s="110" t="s">
        <v>731</v>
      </c>
      <c r="B12" s="102" t="s">
        <v>732</v>
      </c>
      <c r="C12" s="102" t="s">
        <v>501</v>
      </c>
      <c r="D12" s="103">
        <f>ROUND(SUMIF(RV_DATA!AB6:AB271, -247763580, RV_DATA!I6:I271), 6)</f>
        <v>9.8026</v>
      </c>
      <c r="E12" s="111">
        <f>ROUND(RV_DATA!N268, 6)</f>
        <v>304.85000000000002</v>
      </c>
      <c r="F12" s="111">
        <f>ROUND(SUMIF(RV_DATA!AB6:AB271, -247763580, RV_DATA!O6:O271), 6)</f>
        <v>2988.33</v>
      </c>
      <c r="Q12">
        <v>1</v>
      </c>
    </row>
    <row r="13" spans="1:17" ht="13.8" hidden="1" x14ac:dyDescent="0.25">
      <c r="A13" s="110" t="s">
        <v>570</v>
      </c>
      <c r="B13" s="102" t="s">
        <v>571</v>
      </c>
      <c r="C13" s="102" t="s">
        <v>501</v>
      </c>
      <c r="D13" s="103">
        <f>ROUND(SUMIF(RV_DATA!AB6:AB271, -113441231, RV_DATA!I6:I271), 6)</f>
        <v>7.5589500000000003</v>
      </c>
      <c r="E13" s="111">
        <f>ROUND(RV_DATA!N59, 6)</f>
        <v>318.58</v>
      </c>
      <c r="F13" s="111">
        <f>ROUND(SUMIF(RV_DATA!AB6:AB271, -113441231, RV_DATA!O6:O271), 6)</f>
        <v>2408.14</v>
      </c>
      <c r="Q13">
        <v>1</v>
      </c>
    </row>
    <row r="14" spans="1:17" ht="13.8" hidden="1" x14ac:dyDescent="0.25">
      <c r="A14" s="110" t="s">
        <v>514</v>
      </c>
      <c r="B14" s="102" t="s">
        <v>515</v>
      </c>
      <c r="C14" s="102" t="s">
        <v>501</v>
      </c>
      <c r="D14" s="103">
        <f>ROUND(SUMIF(RV_DATA!AB6:AB271, -1727274270, RV_DATA!I6:I271), 6)</f>
        <v>52.460700000000003</v>
      </c>
      <c r="E14" s="111">
        <f>ROUND(RV_DATA!N24, 6)</f>
        <v>326.82</v>
      </c>
      <c r="F14" s="111">
        <f>ROUND(SUMIF(RV_DATA!AB6:AB271, -1727274270, RV_DATA!O6:O271), 6)</f>
        <v>17145.2</v>
      </c>
      <c r="Q14">
        <v>1</v>
      </c>
    </row>
    <row r="15" spans="1:17" ht="13.8" hidden="1" x14ac:dyDescent="0.25">
      <c r="A15" s="110" t="s">
        <v>587</v>
      </c>
      <c r="B15" s="102" t="s">
        <v>588</v>
      </c>
      <c r="C15" s="102" t="s">
        <v>501</v>
      </c>
      <c r="D15" s="103">
        <f>ROUND(SUMIF(RV_DATA!AB6:AB271, 1645052596, RV_DATA!I6:I271), 6)</f>
        <v>15.226000000000001</v>
      </c>
      <c r="E15" s="111">
        <f>ROUND(RV_DATA!N78, 6)</f>
        <v>330.94</v>
      </c>
      <c r="F15" s="111">
        <f>ROUND(SUMIF(RV_DATA!AB6:AB271, 1645052596, RV_DATA!O6:O271), 6)</f>
        <v>5038.8900000000003</v>
      </c>
      <c r="Q15">
        <v>1</v>
      </c>
    </row>
    <row r="16" spans="1:17" ht="13.8" hidden="1" x14ac:dyDescent="0.25">
      <c r="A16" s="110" t="s">
        <v>612</v>
      </c>
      <c r="B16" s="102" t="s">
        <v>613</v>
      </c>
      <c r="C16" s="102" t="s">
        <v>501</v>
      </c>
      <c r="D16" s="103">
        <f>ROUND(SUMIF(RV_DATA!AB6:AB271, -575432323, RV_DATA!I6:I271), 6)</f>
        <v>2.9077519999999999</v>
      </c>
      <c r="E16" s="111">
        <f>ROUND(RV_DATA!N115, 6)</f>
        <v>347.42</v>
      </c>
      <c r="F16" s="111">
        <f>ROUND(SUMIF(RV_DATA!AB6:AB271, -575432323, RV_DATA!O6:O271), 6)</f>
        <v>1010.22</v>
      </c>
      <c r="Q16">
        <v>1</v>
      </c>
    </row>
    <row r="17" spans="1:17" ht="13.8" hidden="1" x14ac:dyDescent="0.25">
      <c r="A17" s="110" t="s">
        <v>723</v>
      </c>
      <c r="B17" s="102" t="s">
        <v>724</v>
      </c>
      <c r="C17" s="102" t="s">
        <v>501</v>
      </c>
      <c r="D17" s="103">
        <f>ROUND(SUMIF(RV_DATA!AB6:AB271, 1379082334, RV_DATA!I6:I271), 6)</f>
        <v>0.48759999999999998</v>
      </c>
      <c r="E17" s="111">
        <f>ROUND(RV_DATA!N261, 6)</f>
        <v>363.9</v>
      </c>
      <c r="F17" s="111">
        <f>ROUND(SUMIF(RV_DATA!AB6:AB271, 1379082334, RV_DATA!O6:O271), 6)</f>
        <v>177.44</v>
      </c>
      <c r="Q17">
        <v>1</v>
      </c>
    </row>
    <row r="18" spans="1:17" ht="13.8" hidden="1" x14ac:dyDescent="0.25">
      <c r="A18" s="110" t="s">
        <v>645</v>
      </c>
      <c r="B18" s="102" t="s">
        <v>646</v>
      </c>
      <c r="C18" s="102" t="s">
        <v>501</v>
      </c>
      <c r="D18" s="103">
        <f>ROUND(SUMIF(RV_DATA!AB6:AB271, -991456032, RV_DATA!I6:I271), 6)</f>
        <v>47.994100000000003</v>
      </c>
      <c r="E18" s="111">
        <f>ROUND(RV_DATA!N160, 6)</f>
        <v>368.02</v>
      </c>
      <c r="F18" s="111">
        <f>ROUND(SUMIF(RV_DATA!AB6:AB271, -991456032, RV_DATA!O6:O271), 6)</f>
        <v>17662.79</v>
      </c>
      <c r="Q18">
        <v>1</v>
      </c>
    </row>
    <row r="19" spans="1:17" ht="13.8" hidden="1" x14ac:dyDescent="0.25">
      <c r="A19" s="110" t="s">
        <v>589</v>
      </c>
      <c r="B19" s="102" t="s">
        <v>590</v>
      </c>
      <c r="C19" s="102" t="s">
        <v>501</v>
      </c>
      <c r="D19" s="103">
        <f>ROUND(SUMIF(RV_DATA!AB6:AB271, -76897492, RV_DATA!I6:I271), 6)</f>
        <v>48.783000000000001</v>
      </c>
      <c r="E19" s="111">
        <f>ROUND(RV_DATA!N92, 6)</f>
        <v>373.51</v>
      </c>
      <c r="F19" s="111">
        <f>ROUND(SUMIF(RV_DATA!AB6:AB271, -76897492, RV_DATA!O6:O271), 6)</f>
        <v>18220.93</v>
      </c>
      <c r="Q19">
        <v>1</v>
      </c>
    </row>
    <row r="20" spans="1:17" ht="13.8" hidden="1" x14ac:dyDescent="0.25">
      <c r="A20" s="110" t="s">
        <v>701</v>
      </c>
      <c r="B20" s="102" t="s">
        <v>702</v>
      </c>
      <c r="C20" s="102" t="s">
        <v>501</v>
      </c>
      <c r="D20" s="103">
        <f>ROUND(SUMIF(RV_DATA!AB6:AB271, -1480232541, RV_DATA!I6:I271), 6)</f>
        <v>40.25</v>
      </c>
      <c r="E20" s="111">
        <f>ROUND(RV_DATA!N195, 6)</f>
        <v>389.99</v>
      </c>
      <c r="F20" s="111">
        <f>ROUND(SUMIF(RV_DATA!AB6:AB271, -1480232541, RV_DATA!O6:O271), 6)</f>
        <v>15697.1</v>
      </c>
      <c r="Q20">
        <v>1</v>
      </c>
    </row>
    <row r="21" spans="1:17" ht="13.8" hidden="1" x14ac:dyDescent="0.25">
      <c r="A21" s="110" t="s">
        <v>548</v>
      </c>
      <c r="B21" s="102" t="s">
        <v>549</v>
      </c>
      <c r="C21" s="102" t="s">
        <v>550</v>
      </c>
      <c r="D21" s="103">
        <f>ROUND(SUMIF(RV_DATA!AB6:AB271, -648927094, RV_DATA!I6:I271), 6)</f>
        <v>1.472E-2</v>
      </c>
      <c r="E21" s="111">
        <f>ROUND(RV_DATA!N47, 6)</f>
        <v>274.64</v>
      </c>
      <c r="F21" s="111">
        <f>ROUND(SUMIF(RV_DATA!AB6:AB271, -648927094, RV_DATA!O6:O271), 6)</f>
        <v>4.05</v>
      </c>
      <c r="Q21">
        <v>1</v>
      </c>
    </row>
    <row r="22" spans="1:17" ht="13.8" hidden="1" x14ac:dyDescent="0.25">
      <c r="A22" s="110" t="s">
        <v>706</v>
      </c>
      <c r="B22" s="102" t="s">
        <v>707</v>
      </c>
      <c r="C22" s="102" t="s">
        <v>550</v>
      </c>
      <c r="D22" s="103">
        <f>ROUND(SUMIF(RV_DATA!AB6:AB271, 1832336752, RV_DATA!I6:I271), 6)</f>
        <v>0.37259999999999999</v>
      </c>
      <c r="E22" s="111">
        <f>ROUND(RV_DATA!N214, 6)</f>
        <v>299.36</v>
      </c>
      <c r="F22" s="111">
        <f>ROUND(SUMIF(RV_DATA!AB6:AB271, 1832336752, RV_DATA!O6:O271), 6)</f>
        <v>111.54</v>
      </c>
      <c r="Q22">
        <v>1</v>
      </c>
    </row>
    <row r="23" spans="1:17" ht="13.8" hidden="1" x14ac:dyDescent="0.25">
      <c r="A23" s="110" t="s">
        <v>551</v>
      </c>
      <c r="B23" s="102" t="s">
        <v>552</v>
      </c>
      <c r="C23" s="102" t="s">
        <v>550</v>
      </c>
      <c r="D23" s="103">
        <f>ROUND(SUMIF(RV_DATA!AB6:AB271, -600513131, RV_DATA!I6:I271), 6)</f>
        <v>6.3470800000000001</v>
      </c>
      <c r="E23" s="111">
        <f>ROUND(RV_DATA!N46, 6)</f>
        <v>326.82</v>
      </c>
      <c r="F23" s="111">
        <f>ROUND(SUMIF(RV_DATA!AB6:AB271, -600513131, RV_DATA!O6:O271), 6)</f>
        <v>2074.35</v>
      </c>
      <c r="Q23">
        <v>1</v>
      </c>
    </row>
    <row r="24" spans="1:17" ht="13.8" hidden="1" x14ac:dyDescent="0.25">
      <c r="A24" s="110" t="s">
        <v>553</v>
      </c>
      <c r="B24" s="102" t="s">
        <v>554</v>
      </c>
      <c r="C24" s="102" t="s">
        <v>550</v>
      </c>
      <c r="D24" s="103">
        <f>ROUND(SUMIF(RV_DATA!AB6:AB271, -1972062232, RV_DATA!I6:I271), 6)</f>
        <v>8.6406399999999994</v>
      </c>
      <c r="E24" s="111">
        <f>ROUND(RV_DATA!N45, 6)</f>
        <v>368.02</v>
      </c>
      <c r="F24" s="111">
        <f>ROUND(SUMIF(RV_DATA!AB6:AB271, -1972062232, RV_DATA!O6:O271), 6)</f>
        <v>3179.94</v>
      </c>
      <c r="Q24">
        <v>1</v>
      </c>
    </row>
    <row r="25" spans="1:17" ht="13.8" hidden="1" x14ac:dyDescent="0.25">
      <c r="A25" s="110" t="s">
        <v>555</v>
      </c>
      <c r="B25" s="102" t="s">
        <v>556</v>
      </c>
      <c r="C25" s="102" t="s">
        <v>550</v>
      </c>
      <c r="D25" s="103">
        <f>ROUND(SUMIF(RV_DATA!AB6:AB271, 798622759, RV_DATA!I6:I271), 6)</f>
        <v>9.1806800000000006</v>
      </c>
      <c r="E25" s="111">
        <f>ROUND(RV_DATA!N44, 6)</f>
        <v>422.95</v>
      </c>
      <c r="F25" s="111">
        <f>ROUND(SUMIF(RV_DATA!AB6:AB271, 798622759, RV_DATA!O6:O271), 6)</f>
        <v>3882.97</v>
      </c>
      <c r="Q25">
        <v>1</v>
      </c>
    </row>
    <row r="26" spans="1:17" ht="13.8" hidden="1" x14ac:dyDescent="0.25">
      <c r="A26" s="110" t="s">
        <v>504</v>
      </c>
      <c r="B26" s="102" t="s">
        <v>505</v>
      </c>
      <c r="C26" s="102" t="s">
        <v>501</v>
      </c>
      <c r="D26" s="103">
        <f>ROUND(SUMIF(RV_DATA!AB6:AB271, 212567905, RV_DATA!I6:I271), 6)</f>
        <v>24.553016</v>
      </c>
      <c r="E26" s="111">
        <f>ROUND(RV_DATA!N11, 6)</f>
        <v>0</v>
      </c>
      <c r="F26" s="111">
        <f>ROUND(SUMIF(RV_DATA!AB6:AB271, 212567905, RV_DATA!O6:O271), 6)</f>
        <v>0</v>
      </c>
      <c r="Q26">
        <v>1</v>
      </c>
    </row>
    <row r="27" spans="1:17" ht="13.8" hidden="1" x14ac:dyDescent="0.25">
      <c r="A27" s="164" t="s">
        <v>1066</v>
      </c>
      <c r="B27" s="164"/>
      <c r="C27" s="164"/>
      <c r="D27" s="164"/>
      <c r="E27" s="165">
        <f>SUMIF(Q9:Q26, 1, F9:F26)</f>
        <v>118050.62</v>
      </c>
      <c r="F27" s="164"/>
    </row>
    <row r="28" spans="1:17" ht="13.8" hidden="1" x14ac:dyDescent="0.25">
      <c r="A28" s="162" t="s">
        <v>1067</v>
      </c>
      <c r="B28" s="163"/>
      <c r="C28" s="163"/>
      <c r="D28" s="163"/>
      <c r="E28" s="163"/>
      <c r="F28" s="163"/>
    </row>
    <row r="29" spans="1:17" ht="41.4" hidden="1" x14ac:dyDescent="0.25">
      <c r="A29" s="110" t="s">
        <v>511</v>
      </c>
      <c r="B29" s="102" t="s">
        <v>513</v>
      </c>
      <c r="C29" s="102" t="s">
        <v>509</v>
      </c>
      <c r="D29" s="103">
        <f>ROUND(SUMIF(RV_DATA!AB6:AB271, -1925885685, RV_DATA!I6:I271), 6)</f>
        <v>1.2275100000000001</v>
      </c>
      <c r="E29" s="111">
        <f>ROUND(RV_DATA!N18, 6)</f>
        <v>857.8</v>
      </c>
      <c r="F29" s="111">
        <f>ROUND(SUMIF(RV_DATA!AB6:AB271, -1925885685, RV_DATA!O6:O271), 6)</f>
        <v>1052.96</v>
      </c>
      <c r="Q29">
        <v>2</v>
      </c>
    </row>
    <row r="30" spans="1:17" ht="41.4" hidden="1" x14ac:dyDescent="0.25">
      <c r="A30" s="110" t="s">
        <v>506</v>
      </c>
      <c r="B30" s="102" t="s">
        <v>508</v>
      </c>
      <c r="C30" s="102" t="s">
        <v>509</v>
      </c>
      <c r="D30" s="103">
        <f>ROUND(SUMIF(RV_DATA!AB6:AB271, -1646974774, RV_DATA!I6:I271), 6)</f>
        <v>6.9103500000000002</v>
      </c>
      <c r="E30" s="111">
        <f>ROUND(RV_DATA!N10, 6)</f>
        <v>960.44</v>
      </c>
      <c r="F30" s="111">
        <f>ROUND(SUMIF(RV_DATA!AB6:AB271, -1646974774, RV_DATA!O6:O271), 6)</f>
        <v>6636.98</v>
      </c>
      <c r="Q30">
        <v>2</v>
      </c>
    </row>
    <row r="31" spans="1:17" ht="13.8" hidden="1" x14ac:dyDescent="0.25">
      <c r="A31" s="110" t="s">
        <v>714</v>
      </c>
      <c r="B31" s="102" t="s">
        <v>716</v>
      </c>
      <c r="C31" s="102" t="s">
        <v>509</v>
      </c>
      <c r="D31" s="103">
        <f>ROUND(SUMIF(RV_DATA!AB6:AB271, -1112180527, RV_DATA!I6:I271), 6)</f>
        <v>0.1242</v>
      </c>
      <c r="E31" s="111">
        <f>ROUND(RV_DATA!N217, 6)</f>
        <v>1051.72</v>
      </c>
      <c r="F31" s="111">
        <f>ROUND(SUMIF(RV_DATA!AB6:AB271, -1112180527, RV_DATA!O6:O271), 6)</f>
        <v>130.62</v>
      </c>
      <c r="Q31">
        <v>2</v>
      </c>
    </row>
    <row r="32" spans="1:17" ht="27.6" hidden="1" x14ac:dyDescent="0.25">
      <c r="A32" s="110" t="s">
        <v>574</v>
      </c>
      <c r="B32" s="102" t="s">
        <v>576</v>
      </c>
      <c r="C32" s="102" t="s">
        <v>509</v>
      </c>
      <c r="D32" s="103">
        <f>ROUND(SUMIF(RV_DATA!AB6:AB271, -2133770313, RV_DATA!I6:I271), 6)</f>
        <v>1.3063549999999999</v>
      </c>
      <c r="E32" s="111">
        <f>ROUND(RV_DATA!N66, 6)</f>
        <v>1598.95</v>
      </c>
      <c r="F32" s="111">
        <f>ROUND(SUMIF(RV_DATA!AB6:AB271, -2133770313, RV_DATA!O6:O271), 6)</f>
        <v>2088.8000000000002</v>
      </c>
      <c r="Q32">
        <v>2</v>
      </c>
    </row>
    <row r="33" spans="1:17" ht="27.6" hidden="1" x14ac:dyDescent="0.25">
      <c r="A33" s="110" t="s">
        <v>647</v>
      </c>
      <c r="B33" s="102" t="s">
        <v>649</v>
      </c>
      <c r="C33" s="102" t="s">
        <v>509</v>
      </c>
      <c r="D33" s="103">
        <f>ROUND(SUMIF(RV_DATA!AB6:AB271, -1398546736, RV_DATA!I6:I271), 6)</f>
        <v>14.39616</v>
      </c>
      <c r="E33" s="111">
        <f>ROUND(RV_DATA!N158, 6)</f>
        <v>2.13</v>
      </c>
      <c r="F33" s="111">
        <f>ROUND(SUMIF(RV_DATA!AB6:AB271, -1398546736, RV_DATA!O6:O271), 6)</f>
        <v>30.66</v>
      </c>
      <c r="Q33">
        <v>2</v>
      </c>
    </row>
    <row r="34" spans="1:17" ht="27.6" hidden="1" x14ac:dyDescent="0.25">
      <c r="A34" s="110" t="s">
        <v>659</v>
      </c>
      <c r="B34" s="102" t="s">
        <v>661</v>
      </c>
      <c r="C34" s="102" t="s">
        <v>509</v>
      </c>
      <c r="D34" s="103">
        <f>ROUND(SUMIF(RV_DATA!AB6:AB271, 1902842784, RV_DATA!I6:I271), 6)</f>
        <v>3.6800000000000001E-3</v>
      </c>
      <c r="E34" s="111">
        <f>ROUND(RV_DATA!N166, 6)</f>
        <v>10.06</v>
      </c>
      <c r="F34" s="111">
        <f>ROUND(SUMIF(RV_DATA!AB6:AB271, 1902842784, RV_DATA!O6:O271), 6)</f>
        <v>0.04</v>
      </c>
      <c r="Q34">
        <v>2</v>
      </c>
    </row>
    <row r="35" spans="1:17" ht="27.6" hidden="1" x14ac:dyDescent="0.25">
      <c r="A35" s="110" t="s">
        <v>659</v>
      </c>
      <c r="B35" s="102" t="s">
        <v>661</v>
      </c>
      <c r="C35" s="102" t="s">
        <v>509</v>
      </c>
      <c r="D35" s="103">
        <f>ROUND(SUMIF(RV_DATA!AB6:AB271, 527246034, RV_DATA!I6:I271), 6)</f>
        <v>9.2000000000000003E-4</v>
      </c>
      <c r="E35" s="111">
        <f>ROUND(RV_DATA!N246, 6)</f>
        <v>10.06</v>
      </c>
      <c r="F35" s="111">
        <f>ROUND(SUMIF(RV_DATA!AB6:AB271, 527246034, RV_DATA!O6:O271), 6)</f>
        <v>0.01</v>
      </c>
      <c r="Q35">
        <v>2</v>
      </c>
    </row>
    <row r="36" spans="1:17" ht="27.6" hidden="1" x14ac:dyDescent="0.25">
      <c r="A36" s="110" t="s">
        <v>717</v>
      </c>
      <c r="B36" s="102" t="s">
        <v>719</v>
      </c>
      <c r="C36" s="102" t="s">
        <v>509</v>
      </c>
      <c r="D36" s="103">
        <f>ROUND(SUMIF(RV_DATA!AB6:AB271, 734785388, RV_DATA!I6:I271), 6)</f>
        <v>2.07E-2</v>
      </c>
      <c r="E36" s="111">
        <f>ROUND(RV_DATA!N253, 6)</f>
        <v>13.44</v>
      </c>
      <c r="F36" s="111">
        <f>ROUND(SUMIF(RV_DATA!AB6:AB271, 734785388, RV_DATA!O6:O271), 6)</f>
        <v>0.28000000000000003</v>
      </c>
      <c r="Q36">
        <v>2</v>
      </c>
    </row>
    <row r="37" spans="1:17" ht="27.6" hidden="1" x14ac:dyDescent="0.25">
      <c r="A37" s="110" t="s">
        <v>614</v>
      </c>
      <c r="B37" s="102" t="s">
        <v>616</v>
      </c>
      <c r="C37" s="102" t="s">
        <v>509</v>
      </c>
      <c r="D37" s="103">
        <f>ROUND(SUMIF(RV_DATA!AB6:AB271, -691296830, RV_DATA!I6:I271), 6)</f>
        <v>0.60953999999999997</v>
      </c>
      <c r="E37" s="111">
        <f>ROUND(RV_DATA!N112, 6)</f>
        <v>20.43</v>
      </c>
      <c r="F37" s="111">
        <f>ROUND(SUMIF(RV_DATA!AB6:AB271, -691296830, RV_DATA!O6:O271), 6)</f>
        <v>12.46</v>
      </c>
      <c r="Q37">
        <v>2</v>
      </c>
    </row>
    <row r="38" spans="1:17" ht="69" hidden="1" x14ac:dyDescent="0.25">
      <c r="A38" s="110" t="s">
        <v>662</v>
      </c>
      <c r="B38" s="102" t="s">
        <v>664</v>
      </c>
      <c r="C38" s="102" t="s">
        <v>509</v>
      </c>
      <c r="D38" s="103">
        <f>ROUND(SUMIF(RV_DATA!AB6:AB271, 127869950, RV_DATA!I6:I271), 6)</f>
        <v>3.6800000000000001E-3</v>
      </c>
      <c r="E38" s="111">
        <f>ROUND(RV_DATA!N165, 6)</f>
        <v>1569.2</v>
      </c>
      <c r="F38" s="111">
        <f>ROUND(SUMIF(RV_DATA!AB6:AB271, 127869950, RV_DATA!O6:O271), 6)</f>
        <v>5.77</v>
      </c>
      <c r="Q38">
        <v>2</v>
      </c>
    </row>
    <row r="39" spans="1:17" ht="69" hidden="1" x14ac:dyDescent="0.25">
      <c r="A39" s="110" t="s">
        <v>662</v>
      </c>
      <c r="B39" s="102" t="s">
        <v>664</v>
      </c>
      <c r="C39" s="102" t="s">
        <v>509</v>
      </c>
      <c r="D39" s="103">
        <f>ROUND(SUMIF(RV_DATA!AB6:AB271, 2003623210, RV_DATA!I6:I271), 6)</f>
        <v>9.2000000000000003E-4</v>
      </c>
      <c r="E39" s="111">
        <f>ROUND(RV_DATA!N245, 6)</f>
        <v>1569.2</v>
      </c>
      <c r="F39" s="111">
        <f>ROUND(SUMIF(RV_DATA!AB6:AB271, 2003623210, RV_DATA!O6:O271), 6)</f>
        <v>1.44</v>
      </c>
      <c r="Q39">
        <v>2</v>
      </c>
    </row>
    <row r="40" spans="1:17" ht="27.6" hidden="1" x14ac:dyDescent="0.25">
      <c r="A40" s="110" t="s">
        <v>720</v>
      </c>
      <c r="B40" s="102" t="s">
        <v>722</v>
      </c>
      <c r="C40" s="102" t="s">
        <v>509</v>
      </c>
      <c r="D40" s="103">
        <f>ROUND(SUMIF(RV_DATA!AB6:AB271, -686606106, RV_DATA!I6:I271), 6)</f>
        <v>5.5199999999999999E-2</v>
      </c>
      <c r="E40" s="111">
        <f>ROUND(RV_DATA!N252, 6)</f>
        <v>24.19</v>
      </c>
      <c r="F40" s="111">
        <f>ROUND(SUMIF(RV_DATA!AB6:AB271, -686606106, RV_DATA!O6:O271), 6)</f>
        <v>1.34</v>
      </c>
      <c r="Q40">
        <v>2</v>
      </c>
    </row>
    <row r="41" spans="1:17" ht="55.2" hidden="1" x14ac:dyDescent="0.25">
      <c r="A41" s="110" t="s">
        <v>689</v>
      </c>
      <c r="B41" s="102" t="s">
        <v>691</v>
      </c>
      <c r="C41" s="102" t="s">
        <v>509</v>
      </c>
      <c r="D41" s="103">
        <f>ROUND(SUMIF(RV_DATA!AB6:AB271, -682838581, RV_DATA!I6:I271), 6)</f>
        <v>9.5219999999999999E-2</v>
      </c>
      <c r="E41" s="111">
        <f>ROUND(RV_DATA!N186, 6)</f>
        <v>151.44999999999999</v>
      </c>
      <c r="F41" s="111">
        <f>ROUND(SUMIF(RV_DATA!AB6:AB271, -682838581, RV_DATA!O6:O271), 6)</f>
        <v>14.42</v>
      </c>
      <c r="Q41">
        <v>2</v>
      </c>
    </row>
    <row r="42" spans="1:17" ht="55.2" hidden="1" x14ac:dyDescent="0.25">
      <c r="A42" s="110" t="s">
        <v>689</v>
      </c>
      <c r="B42" s="102" t="s">
        <v>691</v>
      </c>
      <c r="C42" s="102" t="s">
        <v>509</v>
      </c>
      <c r="D42" s="103">
        <f>ROUND(SUMIF(RV_DATA!AB6:AB271, -1485892530, RV_DATA!I6:I271), 6)</f>
        <v>4.4850000000000001E-2</v>
      </c>
      <c r="E42" s="111">
        <f>ROUND(RV_DATA!N259, 6)</f>
        <v>151.44999999999999</v>
      </c>
      <c r="F42" s="111">
        <f>ROUND(SUMIF(RV_DATA!AB6:AB271, -1485892530, RV_DATA!O6:O271), 6)</f>
        <v>6.79</v>
      </c>
      <c r="Q42">
        <v>2</v>
      </c>
    </row>
    <row r="43" spans="1:17" ht="41.4" hidden="1" x14ac:dyDescent="0.25">
      <c r="A43" s="110" t="s">
        <v>516</v>
      </c>
      <c r="B43" s="102" t="s">
        <v>518</v>
      </c>
      <c r="C43" s="102" t="s">
        <v>509</v>
      </c>
      <c r="D43" s="103">
        <f>ROUND(SUMIF(RV_DATA!AB6:AB271, 2134615238, RV_DATA!I6:I271), 6)</f>
        <v>7.2450000000000001</v>
      </c>
      <c r="E43" s="111">
        <f>ROUND(RV_DATA!N22, 6)</f>
        <v>2.58</v>
      </c>
      <c r="F43" s="111">
        <f>ROUND(SUMIF(RV_DATA!AB6:AB271, 2134615238, RV_DATA!O6:O271), 6)</f>
        <v>18.690000000000001</v>
      </c>
      <c r="Q43">
        <v>2</v>
      </c>
    </row>
    <row r="44" spans="1:17" ht="27.6" hidden="1" x14ac:dyDescent="0.25">
      <c r="A44" s="110" t="s">
        <v>591</v>
      </c>
      <c r="B44" s="102" t="s">
        <v>593</v>
      </c>
      <c r="C44" s="102" t="s">
        <v>509</v>
      </c>
      <c r="D44" s="103">
        <f>ROUND(SUMIF(RV_DATA!AB6:AB271, -1067618093, RV_DATA!I6:I271), 6)</f>
        <v>1.7250000000000001</v>
      </c>
      <c r="E44" s="111">
        <f>ROUND(RV_DATA!N89, 6)</f>
        <v>1756.11</v>
      </c>
      <c r="F44" s="111">
        <f>ROUND(SUMIF(RV_DATA!AB6:AB271, -1067618093, RV_DATA!O6:O271), 6)</f>
        <v>3029.29</v>
      </c>
      <c r="Q44">
        <v>2</v>
      </c>
    </row>
    <row r="45" spans="1:17" ht="27.6" hidden="1" x14ac:dyDescent="0.25">
      <c r="A45" s="110" t="s">
        <v>594</v>
      </c>
      <c r="B45" s="102" t="s">
        <v>596</v>
      </c>
      <c r="C45" s="102" t="s">
        <v>509</v>
      </c>
      <c r="D45" s="103">
        <f>ROUND(SUMIF(RV_DATA!AB6:AB271, -765263138, RV_DATA!I6:I271), 6)</f>
        <v>1.699125</v>
      </c>
      <c r="E45" s="111">
        <f>ROUND(RV_DATA!N88, 6)</f>
        <v>1113.29</v>
      </c>
      <c r="F45" s="111">
        <f>ROUND(SUMIF(RV_DATA!AB6:AB271, -765263138, RV_DATA!O6:O271), 6)</f>
        <v>1891.62</v>
      </c>
      <c r="Q45">
        <v>2</v>
      </c>
    </row>
    <row r="46" spans="1:17" ht="27.6" hidden="1" x14ac:dyDescent="0.25">
      <c r="A46" s="110" t="s">
        <v>523</v>
      </c>
      <c r="B46" s="102" t="s">
        <v>525</v>
      </c>
      <c r="C46" s="102" t="s">
        <v>509</v>
      </c>
      <c r="D46" s="103">
        <f>ROUND(SUMIF(RV_DATA!AB6:AB271, -932207474, RV_DATA!I6:I271), 6)</f>
        <v>0.63249999999999995</v>
      </c>
      <c r="E46" s="111">
        <f>ROUND(RV_DATA!N32, 6)</f>
        <v>2552.84</v>
      </c>
      <c r="F46" s="111">
        <f>ROUND(SUMIF(RV_DATA!AB6:AB271, -932207474, RV_DATA!O6:O271), 6)</f>
        <v>1614.67</v>
      </c>
      <c r="Q46">
        <v>2</v>
      </c>
    </row>
    <row r="47" spans="1:17" ht="13.8" hidden="1" x14ac:dyDescent="0.25">
      <c r="A47" s="110" t="s">
        <v>733</v>
      </c>
      <c r="B47" s="102" t="s">
        <v>735</v>
      </c>
      <c r="C47" s="102" t="s">
        <v>509</v>
      </c>
      <c r="D47" s="103">
        <f>ROUND(SUMIF(RV_DATA!AB6:AB271, -1357006242, RV_DATA!I6:I271), 6)</f>
        <v>6.4399999999999999E-2</v>
      </c>
      <c r="E47" s="111">
        <f>ROUND(RV_DATA!N266, 6)</f>
        <v>75.319999999999993</v>
      </c>
      <c r="F47" s="111">
        <f>ROUND(SUMIF(RV_DATA!AB6:AB271, -1357006242, RV_DATA!O6:O271), 6)</f>
        <v>4.8499999999999996</v>
      </c>
      <c r="Q47">
        <v>2</v>
      </c>
    </row>
    <row r="48" spans="1:17" ht="27.6" hidden="1" x14ac:dyDescent="0.25">
      <c r="A48" s="110" t="s">
        <v>527</v>
      </c>
      <c r="B48" s="102" t="s">
        <v>529</v>
      </c>
      <c r="C48" s="102" t="s">
        <v>509</v>
      </c>
      <c r="D48" s="103">
        <f>ROUND(SUMIF(RV_DATA!AB6:AB271, 280096454, RV_DATA!I6:I271), 6)</f>
        <v>1.8098559999999999</v>
      </c>
      <c r="E48" s="111">
        <f>ROUND(RV_DATA!N31, 6)</f>
        <v>551.45000000000005</v>
      </c>
      <c r="F48" s="111">
        <f>ROUND(SUMIF(RV_DATA!AB6:AB271, 280096454, RV_DATA!O6:O271), 6)</f>
        <v>998.06</v>
      </c>
      <c r="Q48">
        <v>2</v>
      </c>
    </row>
    <row r="49" spans="1:17" ht="27.6" hidden="1" x14ac:dyDescent="0.25">
      <c r="A49" s="110" t="s">
        <v>527</v>
      </c>
      <c r="B49" s="102" t="s">
        <v>529</v>
      </c>
      <c r="C49" s="102" t="s">
        <v>509</v>
      </c>
      <c r="D49" s="103">
        <f>ROUND(SUMIF(RV_DATA!AB6:AB271, -1365767090, RV_DATA!I6:I271), 6)</f>
        <v>1.00326</v>
      </c>
      <c r="E49" s="111">
        <f>ROUND(RV_DATA!N164, 6)</f>
        <v>551.45000000000005</v>
      </c>
      <c r="F49" s="111">
        <f>ROUND(SUMIF(RV_DATA!AB6:AB271, -1365767090, RV_DATA!O6:O271), 6)</f>
        <v>553.25</v>
      </c>
      <c r="Q49">
        <v>2</v>
      </c>
    </row>
    <row r="50" spans="1:17" ht="27.6" hidden="1" x14ac:dyDescent="0.25">
      <c r="A50" s="110" t="s">
        <v>736</v>
      </c>
      <c r="B50" s="102" t="s">
        <v>738</v>
      </c>
      <c r="C50" s="102" t="s">
        <v>509</v>
      </c>
      <c r="D50" s="103">
        <f>ROUND(SUMIF(RV_DATA!AB6:AB271, -1298519240, RV_DATA!I6:I271), 6)</f>
        <v>2.3E-2</v>
      </c>
      <c r="E50" s="111">
        <f>ROUND(RV_DATA!N265, 6)</f>
        <v>650.61</v>
      </c>
      <c r="F50" s="111">
        <f>ROUND(SUMIF(RV_DATA!AB6:AB271, -1298519240, RV_DATA!O6:O271), 6)</f>
        <v>14.96</v>
      </c>
      <c r="Q50">
        <v>2</v>
      </c>
    </row>
    <row r="51" spans="1:17" ht="55.2" hidden="1" x14ac:dyDescent="0.25">
      <c r="A51" s="110" t="s">
        <v>557</v>
      </c>
      <c r="B51" s="102" t="s">
        <v>559</v>
      </c>
      <c r="C51" s="102" t="s">
        <v>509</v>
      </c>
      <c r="D51" s="103">
        <f>ROUND(SUMIF(RV_DATA!AB6:AB271, -2102158770, RV_DATA!I6:I271), 6)</f>
        <v>5.4169600000000004</v>
      </c>
      <c r="E51" s="111">
        <f>ROUND(RV_DATA!N41, 6)</f>
        <v>1379.11</v>
      </c>
      <c r="F51" s="111">
        <f>ROUND(SUMIF(RV_DATA!AB6:AB271, -2102158770, RV_DATA!O6:O271), 6)</f>
        <v>7470.58</v>
      </c>
      <c r="Q51">
        <v>2</v>
      </c>
    </row>
    <row r="52" spans="1:17" ht="13.8" hidden="1" x14ac:dyDescent="0.25">
      <c r="A52" s="110" t="s">
        <v>578</v>
      </c>
      <c r="B52" s="102" t="s">
        <v>580</v>
      </c>
      <c r="C52" s="102" t="s">
        <v>509</v>
      </c>
      <c r="D52" s="103">
        <f>ROUND(SUMIF(RV_DATA!AB6:AB271, -773146550, RV_DATA!I6:I271), 6)</f>
        <v>2.174852</v>
      </c>
      <c r="E52" s="111">
        <f>ROUND(RV_DATA!N64, 6)</f>
        <v>5.35</v>
      </c>
      <c r="F52" s="111">
        <f>ROUND(SUMIF(RV_DATA!AB6:AB271, -773146550, RV_DATA!O6:O271), 6)</f>
        <v>11.63</v>
      </c>
      <c r="Q52">
        <v>2</v>
      </c>
    </row>
    <row r="53" spans="1:17" ht="27.6" hidden="1" x14ac:dyDescent="0.25">
      <c r="A53" s="110" t="s">
        <v>617</v>
      </c>
      <c r="B53" s="102" t="s">
        <v>619</v>
      </c>
      <c r="C53" s="102" t="s">
        <v>509</v>
      </c>
      <c r="D53" s="103">
        <f>ROUND(SUMIF(RV_DATA!AB6:AB271, 1403789219, RV_DATA!I6:I271), 6)</f>
        <v>0.48583500000000002</v>
      </c>
      <c r="E53" s="111">
        <f>ROUND(RV_DATA!N109, 6)</f>
        <v>90.36</v>
      </c>
      <c r="F53" s="111">
        <f>ROUND(SUMIF(RV_DATA!AB6:AB271, 1403789219, RV_DATA!O6:O271), 6)</f>
        <v>43.9</v>
      </c>
      <c r="Q53">
        <v>2</v>
      </c>
    </row>
    <row r="54" spans="1:17" ht="27.6" hidden="1" x14ac:dyDescent="0.25">
      <c r="A54" s="110" t="s">
        <v>597</v>
      </c>
      <c r="B54" s="102" t="s">
        <v>599</v>
      </c>
      <c r="C54" s="102" t="s">
        <v>509</v>
      </c>
      <c r="D54" s="103">
        <f>ROUND(SUMIF(RV_DATA!AB6:AB271, 393471399, RV_DATA!I6:I271), 6)</f>
        <v>10.03145</v>
      </c>
      <c r="E54" s="111">
        <f>ROUND(RV_DATA!N86, 6)</f>
        <v>41.5</v>
      </c>
      <c r="F54" s="111">
        <f>ROUND(SUMIF(RV_DATA!AB6:AB271, 393471399, RV_DATA!O6:O271), 6)</f>
        <v>416.31</v>
      </c>
      <c r="Q54">
        <v>2</v>
      </c>
    </row>
    <row r="55" spans="1:17" ht="55.2" hidden="1" x14ac:dyDescent="0.25">
      <c r="A55" s="110" t="s">
        <v>519</v>
      </c>
      <c r="B55" s="102" t="s">
        <v>521</v>
      </c>
      <c r="C55" s="102" t="s">
        <v>509</v>
      </c>
      <c r="D55" s="103">
        <f>ROUND(SUMIF(RV_DATA!AB6:AB271, 1446526422, RV_DATA!I6:I271), 6)</f>
        <v>2.6703000000000001</v>
      </c>
      <c r="E55" s="111">
        <f>ROUND(RV_DATA!N21, 6)</f>
        <v>385.61</v>
      </c>
      <c r="F55" s="111">
        <f>ROUND(SUMIF(RV_DATA!AB6:AB271, 1446526422, RV_DATA!O6:O271), 6)</f>
        <v>1029.7</v>
      </c>
      <c r="Q55">
        <v>2</v>
      </c>
    </row>
    <row r="56" spans="1:17" ht="27.6" hidden="1" x14ac:dyDescent="0.25">
      <c r="A56" s="110" t="s">
        <v>545</v>
      </c>
      <c r="B56" s="102" t="s">
        <v>547</v>
      </c>
      <c r="C56" s="102" t="s">
        <v>509</v>
      </c>
      <c r="D56" s="103">
        <f>ROUND(SUMIF(RV_DATA!AB6:AB271, 1197353431, RV_DATA!I6:I271), 6)</f>
        <v>118.404</v>
      </c>
      <c r="E56" s="111">
        <f>ROUND(RV_DATA!N36, 6)</f>
        <v>22.17</v>
      </c>
      <c r="F56" s="111">
        <f>ROUND(SUMIF(RV_DATA!AB6:AB271, 1197353431, RV_DATA!O6:O271), 6)</f>
        <v>2625.02</v>
      </c>
      <c r="Q56">
        <v>2</v>
      </c>
    </row>
    <row r="57" spans="1:17" ht="41.4" hidden="1" x14ac:dyDescent="0.25">
      <c r="A57" s="110" t="s">
        <v>665</v>
      </c>
      <c r="B57" s="102" t="s">
        <v>667</v>
      </c>
      <c r="C57" s="102" t="s">
        <v>509</v>
      </c>
      <c r="D57" s="103">
        <f>ROUND(SUMIF(RV_DATA!AB6:AB271, -1274458485, RV_DATA!I6:I271), 6)</f>
        <v>0.41216000000000003</v>
      </c>
      <c r="E57" s="111">
        <f>ROUND(RV_DATA!N163, 6)</f>
        <v>6.33</v>
      </c>
      <c r="F57" s="111">
        <f>ROUND(SUMIF(RV_DATA!AB6:AB271, -1274458485, RV_DATA!O6:O271), 6)</f>
        <v>2.61</v>
      </c>
      <c r="Q57">
        <v>2</v>
      </c>
    </row>
    <row r="58" spans="1:17" ht="41.4" hidden="1" x14ac:dyDescent="0.25">
      <c r="A58" s="110" t="s">
        <v>665</v>
      </c>
      <c r="B58" s="102" t="s">
        <v>667</v>
      </c>
      <c r="C58" s="102" t="s">
        <v>509</v>
      </c>
      <c r="D58" s="103">
        <f>ROUND(SUMIF(RV_DATA!AB6:AB271, 645315472, RV_DATA!I6:I271), 6)</f>
        <v>0.10304000000000001</v>
      </c>
      <c r="E58" s="111">
        <f>ROUND(RV_DATA!N243, 6)</f>
        <v>6.33</v>
      </c>
      <c r="F58" s="111">
        <f>ROUND(SUMIF(RV_DATA!AB6:AB271, 645315472, RV_DATA!O6:O271), 6)</f>
        <v>0.65</v>
      </c>
      <c r="Q58">
        <v>2</v>
      </c>
    </row>
    <row r="59" spans="1:17" ht="55.2" hidden="1" x14ac:dyDescent="0.25">
      <c r="A59" s="110" t="s">
        <v>668</v>
      </c>
      <c r="B59" s="102" t="s">
        <v>670</v>
      </c>
      <c r="C59" s="102" t="s">
        <v>509</v>
      </c>
      <c r="D59" s="103">
        <f>ROUND(SUMIF(RV_DATA!AB6:AB271, 45691812, RV_DATA!I6:I271), 6)</f>
        <v>1.3910400000000001</v>
      </c>
      <c r="E59" s="111">
        <f>ROUND(RV_DATA!N175, 6)</f>
        <v>33.15</v>
      </c>
      <c r="F59" s="111">
        <f>ROUND(SUMIF(RV_DATA!AB6:AB271, 45691812, RV_DATA!O6:O271), 6)</f>
        <v>46.11</v>
      </c>
      <c r="Q59">
        <v>2</v>
      </c>
    </row>
    <row r="60" spans="1:17" ht="13.8" hidden="1" x14ac:dyDescent="0.25">
      <c r="A60" s="164" t="s">
        <v>1068</v>
      </c>
      <c r="B60" s="164"/>
      <c r="C60" s="164"/>
      <c r="D60" s="164"/>
      <c r="E60" s="165">
        <f>SUMIF(Q29:Q59, 2, F29:F59)</f>
        <v>29754.470000000008</v>
      </c>
      <c r="F60" s="164"/>
    </row>
    <row r="61" spans="1:17" ht="13.8" x14ac:dyDescent="0.25">
      <c r="A61" s="162" t="s">
        <v>1069</v>
      </c>
      <c r="B61" s="163"/>
      <c r="C61" s="163"/>
      <c r="D61" s="163"/>
      <c r="E61" s="163"/>
      <c r="F61" s="163"/>
    </row>
    <row r="62" spans="1:17" ht="27.6" x14ac:dyDescent="0.25">
      <c r="A62" s="110" t="s">
        <v>692</v>
      </c>
      <c r="B62" s="102" t="s">
        <v>694</v>
      </c>
      <c r="C62" s="102" t="s">
        <v>174</v>
      </c>
      <c r="D62" s="103">
        <f>ROUND(SUMIF(RV_DATA!AB6:AB271, 1543449742, RV_DATA!I6:I271), 6)</f>
        <v>4.5360000000000001E-3</v>
      </c>
      <c r="E62" s="111">
        <f>ROUND(RV_DATA!N183, 6)</f>
        <v>17968.57</v>
      </c>
      <c r="F62" s="111">
        <f>ROUND(SUMIF(RV_DATA!AB6:AB271, 1543449742, RV_DATA!O6:O271), 6)</f>
        <v>81.510000000000005</v>
      </c>
      <c r="Q62">
        <v>3</v>
      </c>
    </row>
    <row r="63" spans="1:17" ht="27.6" x14ac:dyDescent="0.25">
      <c r="A63" s="110" t="s">
        <v>396</v>
      </c>
      <c r="B63" s="102" t="s">
        <v>397</v>
      </c>
      <c r="C63" s="102" t="s">
        <v>174</v>
      </c>
      <c r="D63" s="103">
        <f>ROUND(SUMIF(RV_DATA!AB6:AB271, 1956426708, RV_DATA!I6:I271), 6)</f>
        <v>3.2000000000000003E-4</v>
      </c>
      <c r="E63" s="111">
        <f>ROUND(RV_DATA!N262, 6)</f>
        <v>17984.22</v>
      </c>
      <c r="F63" s="111">
        <f>ROUND(SUMIF(RV_DATA!AB6:AB271, 1956426708, RV_DATA!O6:O271), 6)</f>
        <v>5.75</v>
      </c>
      <c r="Q63">
        <v>3</v>
      </c>
    </row>
    <row r="64" spans="1:17" ht="41.4" x14ac:dyDescent="0.25">
      <c r="A64" s="110" t="s">
        <v>400</v>
      </c>
      <c r="B64" s="102" t="s">
        <v>401</v>
      </c>
      <c r="C64" s="102" t="s">
        <v>174</v>
      </c>
      <c r="D64" s="103">
        <f>ROUND(SUMIF(RV_DATA!AB6:AB271, -1195166163, RV_DATA!I6:I271), 6)</f>
        <v>4.7999999999999996E-3</v>
      </c>
      <c r="E64" s="111">
        <f>ROUND(RV_DATA!N263, 6)</f>
        <v>37893.89</v>
      </c>
      <c r="F64" s="111">
        <f>ROUND(SUMIF(RV_DATA!AB6:AB271, -1195166163, RV_DATA!O6:O271), 6)</f>
        <v>181.89</v>
      </c>
      <c r="Q64">
        <v>3</v>
      </c>
    </row>
    <row r="65" spans="1:17" ht="13.8" x14ac:dyDescent="0.25">
      <c r="A65" s="110" t="s">
        <v>695</v>
      </c>
      <c r="B65" s="102" t="s">
        <v>697</v>
      </c>
      <c r="C65" s="102" t="s">
        <v>174</v>
      </c>
      <c r="D65" s="103">
        <f>ROUND(SUMIF(RV_DATA!AB6:AB271, 2009696039, RV_DATA!I6:I271), 6)</f>
        <v>1.0800000000000001E-2</v>
      </c>
      <c r="E65" s="111">
        <f>ROUND(RV_DATA!N182, 6)</f>
        <v>46198.9</v>
      </c>
      <c r="F65" s="111">
        <f>ROUND(SUMIF(RV_DATA!AB6:AB271, 2009696039, RV_DATA!O6:O271), 6)</f>
        <v>498.95</v>
      </c>
      <c r="Q65">
        <v>3</v>
      </c>
    </row>
    <row r="66" spans="1:17" ht="13.8" x14ac:dyDescent="0.25">
      <c r="A66" s="110" t="s">
        <v>725</v>
      </c>
      <c r="B66" s="102" t="s">
        <v>727</v>
      </c>
      <c r="C66" s="102" t="s">
        <v>174</v>
      </c>
      <c r="D66" s="103">
        <f>ROUND(SUMIF(RV_DATA!AB6:AB271, -652010167, RV_DATA!I6:I271), 6)</f>
        <v>4.8000000000000001E-4</v>
      </c>
      <c r="E66" s="111">
        <f>ROUND(RV_DATA!N257, 6)</f>
        <v>69649.16</v>
      </c>
      <c r="F66" s="111">
        <f>ROUND(SUMIF(RV_DATA!AB6:AB271, -652010167, RV_DATA!O6:O271), 6)</f>
        <v>33.43</v>
      </c>
      <c r="Q66">
        <v>3</v>
      </c>
    </row>
    <row r="67" spans="1:17" ht="13.8" x14ac:dyDescent="0.25">
      <c r="A67" s="110" t="s">
        <v>650</v>
      </c>
      <c r="B67" s="102" t="s">
        <v>652</v>
      </c>
      <c r="C67" s="102" t="s">
        <v>240</v>
      </c>
      <c r="D67" s="103">
        <f>ROUND(SUMIF(RV_DATA!AB6:AB271, 75641291, RV_DATA!I6:I271), 6)</f>
        <v>0</v>
      </c>
      <c r="E67" s="111">
        <f>ROUND(RV_DATA!N156, 6)</f>
        <v>90.72</v>
      </c>
      <c r="F67" s="111">
        <f>ROUND(SUMIF(RV_DATA!AB6:AB271, 75641291, RV_DATA!O6:O271), 6)</f>
        <v>0</v>
      </c>
      <c r="Q67">
        <v>3</v>
      </c>
    </row>
    <row r="68" spans="1:17" ht="13.8" x14ac:dyDescent="0.25">
      <c r="A68" s="110" t="s">
        <v>708</v>
      </c>
      <c r="B68" s="102" t="s">
        <v>710</v>
      </c>
      <c r="C68" s="102" t="s">
        <v>205</v>
      </c>
      <c r="D68" s="103">
        <f>ROUND(SUMIF(RV_DATA!AB6:AB271, -53888416, RV_DATA!I6:I271), 6)</f>
        <v>2.2800000000000001E-2</v>
      </c>
      <c r="E68" s="111">
        <f>ROUND(RV_DATA!N206, 6)</f>
        <v>571.89</v>
      </c>
      <c r="F68" s="111">
        <f>ROUND(SUMIF(RV_DATA!AB6:AB271, -53888416, RV_DATA!O6:O271), 6)</f>
        <v>13.04</v>
      </c>
      <c r="Q68">
        <v>3</v>
      </c>
    </row>
    <row r="69" spans="1:17" ht="13.8" x14ac:dyDescent="0.25">
      <c r="A69" s="110" t="s">
        <v>581</v>
      </c>
      <c r="B69" s="102" t="s">
        <v>583</v>
      </c>
      <c r="C69" s="102" t="s">
        <v>205</v>
      </c>
      <c r="D69" s="103">
        <f>ROUND(SUMIF(RV_DATA!AB6:AB271, -1636355577, RV_DATA!I6:I271), 6)</f>
        <v>4.363073</v>
      </c>
      <c r="E69" s="111">
        <f>ROUND(RV_DATA!N63, 6)</f>
        <v>126.1</v>
      </c>
      <c r="F69" s="111">
        <f>ROUND(SUMIF(RV_DATA!AB6:AB271, -1636355577, RV_DATA!O6:O271), 6)</f>
        <v>550.19000000000005</v>
      </c>
      <c r="Q69">
        <v>3</v>
      </c>
    </row>
    <row r="70" spans="1:17" ht="13.8" x14ac:dyDescent="0.25">
      <c r="A70" s="110" t="s">
        <v>584</v>
      </c>
      <c r="B70" s="102" t="s">
        <v>586</v>
      </c>
      <c r="C70" s="102" t="s">
        <v>240</v>
      </c>
      <c r="D70" s="103">
        <f>ROUND(SUMIF(RV_DATA!AB6:AB271, -241278685, RV_DATA!I6:I271), 6)</f>
        <v>1.190625</v>
      </c>
      <c r="E70" s="111">
        <f>ROUND(RV_DATA!N62, 6)</f>
        <v>62.48</v>
      </c>
      <c r="F70" s="111">
        <f>ROUND(SUMIF(RV_DATA!AB6:AB271, -241278685, RV_DATA!O6:O271), 6)</f>
        <v>74.400000000000006</v>
      </c>
      <c r="Q70">
        <v>3</v>
      </c>
    </row>
    <row r="71" spans="1:17" ht="13.8" x14ac:dyDescent="0.25">
      <c r="A71" s="110" t="s">
        <v>600</v>
      </c>
      <c r="B71" s="102" t="s">
        <v>602</v>
      </c>
      <c r="C71" s="102" t="s">
        <v>205</v>
      </c>
      <c r="D71" s="103">
        <f>ROUND(SUMIF(RV_DATA!AB6:AB271, -1077126727, RV_DATA!I6:I271), 6)</f>
        <v>1.1499999999999999</v>
      </c>
      <c r="E71" s="111">
        <f>ROUND(RV_DATA!N84, 6)</f>
        <v>31.42</v>
      </c>
      <c r="F71" s="111">
        <f>ROUND(SUMIF(RV_DATA!AB6:AB271, -1077126727, RV_DATA!O6:O271), 6)</f>
        <v>36.130000000000003</v>
      </c>
      <c r="Q71">
        <v>3</v>
      </c>
    </row>
    <row r="72" spans="1:17" ht="13.8" x14ac:dyDescent="0.25">
      <c r="A72" s="110" t="s">
        <v>560</v>
      </c>
      <c r="B72" s="102" t="s">
        <v>562</v>
      </c>
      <c r="C72" s="102" t="s">
        <v>563</v>
      </c>
      <c r="D72" s="103">
        <f>ROUND(SUMIF(RV_DATA!AB6:AB271, -852101439, RV_DATA!I6:I271), 6)</f>
        <v>7.7841889999999996</v>
      </c>
      <c r="E72" s="111">
        <f>ROUND(RV_DATA!N40, 6)</f>
        <v>9.0399999999999991</v>
      </c>
      <c r="F72" s="111">
        <f>ROUND(SUMIF(RV_DATA!AB6:AB271, -852101439, RV_DATA!O6:O271), 6)</f>
        <v>70.37</v>
      </c>
      <c r="Q72">
        <v>3</v>
      </c>
    </row>
    <row r="73" spans="1:17" ht="41.4" x14ac:dyDescent="0.25">
      <c r="A73" s="110" t="s">
        <v>620</v>
      </c>
      <c r="B73" s="102" t="s">
        <v>622</v>
      </c>
      <c r="C73" s="102" t="s">
        <v>240</v>
      </c>
      <c r="D73" s="103">
        <f>ROUND(SUMIF(RV_DATA!AB6:AB271, -702268366, RV_DATA!I6:I271), 6)</f>
        <v>0.35770000000000002</v>
      </c>
      <c r="E73" s="111">
        <f>ROUND(RV_DATA!N105, 6)</f>
        <v>121.28</v>
      </c>
      <c r="F73" s="111">
        <f>ROUND(SUMIF(RV_DATA!AB6:AB271, -702268366, RV_DATA!O6:O271), 6)</f>
        <v>43.38</v>
      </c>
      <c r="Q73">
        <v>3</v>
      </c>
    </row>
    <row r="74" spans="1:17" ht="41.4" x14ac:dyDescent="0.25">
      <c r="A74" s="110" t="s">
        <v>564</v>
      </c>
      <c r="B74" s="102" t="s">
        <v>566</v>
      </c>
      <c r="C74" s="102" t="s">
        <v>240</v>
      </c>
      <c r="D74" s="103">
        <f>ROUND(SUMIF(RV_DATA!AB6:AB271, -1937312769, RV_DATA!I6:I271), 6)</f>
        <v>0.88</v>
      </c>
      <c r="E74" s="111">
        <f>ROUND(RV_DATA!N39, 6)</f>
        <v>158.96</v>
      </c>
      <c r="F74" s="111">
        <f>ROUND(SUMIF(RV_DATA!AB6:AB271, -1937312769, RV_DATA!O6:O271), 6)</f>
        <v>139.88</v>
      </c>
      <c r="Q74">
        <v>3</v>
      </c>
    </row>
    <row r="75" spans="1:17" ht="55.2" x14ac:dyDescent="0.25">
      <c r="A75" s="110" t="s">
        <v>603</v>
      </c>
      <c r="B75" s="102" t="s">
        <v>605</v>
      </c>
      <c r="C75" s="102" t="s">
        <v>240</v>
      </c>
      <c r="D75" s="103">
        <f>ROUND(SUMIF(RV_DATA!AB6:AB271, -1318828712, RV_DATA!I6:I271), 6)</f>
        <v>3.4129999999999998</v>
      </c>
      <c r="E75" s="111">
        <f>ROUND(RV_DATA!N82, 6)</f>
        <v>132.29</v>
      </c>
      <c r="F75" s="111">
        <f>ROUND(SUMIF(RV_DATA!AB6:AB271, -1318828712, RV_DATA!O6:O271), 6)</f>
        <v>451.51</v>
      </c>
      <c r="Q75">
        <v>3</v>
      </c>
    </row>
    <row r="76" spans="1:17" ht="55.2" x14ac:dyDescent="0.25">
      <c r="A76" s="110" t="s">
        <v>703</v>
      </c>
      <c r="B76" s="102" t="s">
        <v>705</v>
      </c>
      <c r="C76" s="102" t="s">
        <v>240</v>
      </c>
      <c r="D76" s="103">
        <f>ROUND(SUMIF(RV_DATA!AB6:AB271, 780633038, RV_DATA!I6:I271), 6)</f>
        <v>0.34100000000000003</v>
      </c>
      <c r="E76" s="111">
        <f>ROUND(RV_DATA!N190, 6)</f>
        <v>126.53</v>
      </c>
      <c r="F76" s="111">
        <f>ROUND(SUMIF(RV_DATA!AB6:AB271, 780633038, RV_DATA!O6:O271), 6)</f>
        <v>43.14</v>
      </c>
      <c r="Q76">
        <v>3</v>
      </c>
    </row>
    <row r="77" spans="1:17" ht="27.6" x14ac:dyDescent="0.25">
      <c r="A77" s="110" t="s">
        <v>623</v>
      </c>
      <c r="B77" s="102" t="s">
        <v>625</v>
      </c>
      <c r="C77" s="102" t="s">
        <v>240</v>
      </c>
      <c r="D77" s="103">
        <f>ROUND(SUMIF(RV_DATA!AB6:AB271, -1688742906, RV_DATA!I6:I271), 6)</f>
        <v>0.26774999999999999</v>
      </c>
      <c r="E77" s="111">
        <f>ROUND(RV_DATA!N104, 6)</f>
        <v>188.92</v>
      </c>
      <c r="F77" s="111">
        <f>ROUND(SUMIF(RV_DATA!AB6:AB271, -1688742906, RV_DATA!O6:O271), 6)</f>
        <v>50.58</v>
      </c>
      <c r="Q77">
        <v>3</v>
      </c>
    </row>
    <row r="78" spans="1:17" ht="13.8" x14ac:dyDescent="0.25">
      <c r="A78" s="110" t="s">
        <v>530</v>
      </c>
      <c r="B78" s="102" t="s">
        <v>532</v>
      </c>
      <c r="C78" s="102" t="s">
        <v>174</v>
      </c>
      <c r="D78" s="103">
        <f>ROUND(SUMIF(RV_DATA!AB6:AB271, 214724844, RV_DATA!I6:I271), 6)</f>
        <v>1.4009999999999999E-3</v>
      </c>
      <c r="E78" s="111">
        <f>ROUND(RV_DATA!N30, 6)</f>
        <v>92790.98</v>
      </c>
      <c r="F78" s="111">
        <f>ROUND(SUMIF(RV_DATA!AB6:AB271, 214724844, RV_DATA!O6:O271), 6)</f>
        <v>129.97999999999999</v>
      </c>
      <c r="Q78">
        <v>3</v>
      </c>
    </row>
    <row r="79" spans="1:17" ht="69" x14ac:dyDescent="0.25">
      <c r="A79" s="110" t="s">
        <v>671</v>
      </c>
      <c r="B79" s="102" t="s">
        <v>673</v>
      </c>
      <c r="C79" s="102" t="s">
        <v>174</v>
      </c>
      <c r="D79" s="103">
        <f>ROUND(SUMIF(RV_DATA!AB6:AB271, 1729625560, RV_DATA!I6:I271), 6)</f>
        <v>4.8000000000000001E-5</v>
      </c>
      <c r="E79" s="111">
        <f>ROUND(RV_DATA!N174, 6)</f>
        <v>347444.39</v>
      </c>
      <c r="F79" s="111">
        <f>ROUND(SUMIF(RV_DATA!AB6:AB271, 1729625560, RV_DATA!O6:O271), 6)</f>
        <v>16.68</v>
      </c>
      <c r="Q79">
        <v>3</v>
      </c>
    </row>
    <row r="80" spans="1:17" ht="27.6" x14ac:dyDescent="0.25">
      <c r="A80" s="110" t="s">
        <v>567</v>
      </c>
      <c r="B80" s="102" t="s">
        <v>569</v>
      </c>
      <c r="C80" s="102" t="s">
        <v>222</v>
      </c>
      <c r="D80" s="103">
        <f>ROUND(SUMIF(RV_DATA!AB6:AB271, 1855674189, RV_DATA!I6:I271), 6)</f>
        <v>9.6000000000000002E-2</v>
      </c>
      <c r="E80" s="111">
        <f>ROUND(RV_DATA!N38, 6)</f>
        <v>123.37</v>
      </c>
      <c r="F80" s="111">
        <f>ROUND(SUMIF(RV_DATA!AB6:AB271, 1855674189, RV_DATA!O6:O271), 6)</f>
        <v>11.84</v>
      </c>
      <c r="Q80">
        <v>3</v>
      </c>
    </row>
    <row r="81" spans="1:17" ht="27.6" x14ac:dyDescent="0.25">
      <c r="A81" s="110" t="s">
        <v>711</v>
      </c>
      <c r="B81" s="102" t="s">
        <v>713</v>
      </c>
      <c r="C81" s="102" t="s">
        <v>222</v>
      </c>
      <c r="D81" s="103">
        <f>ROUND(SUMIF(RV_DATA!AB6:AB271, -111321349, RV_DATA!I6:I271), 6)</f>
        <v>0.06</v>
      </c>
      <c r="E81" s="111">
        <f>ROUND(RV_DATA!N202, 6)</f>
        <v>127.65</v>
      </c>
      <c r="F81" s="111">
        <f>ROUND(SUMIF(RV_DATA!AB6:AB271, -111321349, RV_DATA!O6:O271), 6)</f>
        <v>7.66</v>
      </c>
      <c r="Q81">
        <v>3</v>
      </c>
    </row>
    <row r="82" spans="1:17" ht="27.6" x14ac:dyDescent="0.25">
      <c r="A82" s="110" t="s">
        <v>653</v>
      </c>
      <c r="B82" s="102" t="s">
        <v>655</v>
      </c>
      <c r="C82" s="102" t="s">
        <v>240</v>
      </c>
      <c r="D82" s="103">
        <f>ROUND(SUMIF(RV_DATA!AB6:AB271, 310889941, RV_DATA!I6:I271), 6)</f>
        <v>0</v>
      </c>
      <c r="E82" s="111">
        <f>ROUND(RV_DATA!N155, 6)</f>
        <v>131.93</v>
      </c>
      <c r="F82" s="111">
        <f>ROUND(SUMIF(RV_DATA!AB6:AB271, 310889941, RV_DATA!O6:O271), 6)</f>
        <v>0</v>
      </c>
      <c r="Q82">
        <v>3</v>
      </c>
    </row>
    <row r="83" spans="1:17" ht="13.8" x14ac:dyDescent="0.25">
      <c r="A83" s="110" t="s">
        <v>728</v>
      </c>
      <c r="B83" s="102" t="s">
        <v>730</v>
      </c>
      <c r="C83" s="102" t="s">
        <v>240</v>
      </c>
      <c r="D83" s="103">
        <f>ROUND(SUMIF(RV_DATA!AB6:AB271, -1933546941, RV_DATA!I6:I271), 6)</f>
        <v>2E-3</v>
      </c>
      <c r="E83" s="111">
        <f>ROUND(RV_DATA!N256, 6)</f>
        <v>89.21</v>
      </c>
      <c r="F83" s="111">
        <f>ROUND(SUMIF(RV_DATA!AB6:AB271, -1933546941, RV_DATA!O6:O271), 6)</f>
        <v>0.18</v>
      </c>
      <c r="Q83">
        <v>3</v>
      </c>
    </row>
    <row r="84" spans="1:17" ht="27.6" x14ac:dyDescent="0.25">
      <c r="A84" s="110" t="s">
        <v>626</v>
      </c>
      <c r="B84" s="102" t="s">
        <v>628</v>
      </c>
      <c r="C84" s="102" t="s">
        <v>174</v>
      </c>
      <c r="D84" s="103">
        <f>ROUND(SUMIF(RV_DATA!AB6:AB271, -1487197942, RV_DATA!I6:I271), 6)</f>
        <v>6.9999999999999999E-6</v>
      </c>
      <c r="E84" s="111">
        <f>ROUND(RV_DATA!N102, 6)</f>
        <v>368541.89</v>
      </c>
      <c r="F84" s="111">
        <f>ROUND(SUMIF(RV_DATA!AB6:AB271, -1487197942, RV_DATA!O6:O271), 6)</f>
        <v>2.61</v>
      </c>
      <c r="Q84">
        <v>3</v>
      </c>
    </row>
    <row r="85" spans="1:17" ht="13.8" x14ac:dyDescent="0.25">
      <c r="A85" s="110" t="s">
        <v>606</v>
      </c>
      <c r="B85" s="102" t="s">
        <v>608</v>
      </c>
      <c r="C85" s="102" t="s">
        <v>174</v>
      </c>
      <c r="D85" s="103">
        <f>ROUND(SUMIF(RV_DATA!AB6:AB271, -744844665, RV_DATA!I6:I271), 6)</f>
        <v>6.3E-5</v>
      </c>
      <c r="E85" s="111">
        <f>ROUND(RV_DATA!N81, 6)</f>
        <v>38176.699999999997</v>
      </c>
      <c r="F85" s="111">
        <f>ROUND(SUMIF(RV_DATA!AB6:AB271, -744844665, RV_DATA!O6:O271), 6)</f>
        <v>2.4</v>
      </c>
      <c r="Q85">
        <v>3</v>
      </c>
    </row>
    <row r="86" spans="1:17" ht="27.6" x14ac:dyDescent="0.25">
      <c r="A86" s="110" t="s">
        <v>347</v>
      </c>
      <c r="B86" s="102" t="s">
        <v>348</v>
      </c>
      <c r="C86" s="102" t="s">
        <v>205</v>
      </c>
      <c r="D86" s="103">
        <f>ROUND(SUMIF(RV_DATA!AB6:AB271, 1854961465, RV_DATA!I6:I271), 6)</f>
        <v>6.6299999999999998E-2</v>
      </c>
      <c r="E86" s="111">
        <f>ROUND(RV_DATA!N220, 6)</f>
        <v>4988.2</v>
      </c>
      <c r="F86" s="111">
        <f>ROUND(SUMIF(RV_DATA!AB6:AB271, 1854961465, RV_DATA!O6:O271), 6)</f>
        <v>330.72</v>
      </c>
      <c r="Q86">
        <v>3</v>
      </c>
    </row>
    <row r="87" spans="1:17" ht="27.6" x14ac:dyDescent="0.25">
      <c r="A87" s="110" t="s">
        <v>388</v>
      </c>
      <c r="B87" s="102" t="s">
        <v>389</v>
      </c>
      <c r="C87" s="102" t="s">
        <v>205</v>
      </c>
      <c r="D87" s="103">
        <f>ROUND(SUMIF(RV_DATA!AB6:AB271, -327454305, RV_DATA!I6:I271), 6)</f>
        <v>3.78E-2</v>
      </c>
      <c r="E87" s="111">
        <f>ROUND(RV_DATA!N255, 6)</f>
        <v>6045.99</v>
      </c>
      <c r="F87" s="111">
        <f>ROUND(SUMIF(RV_DATA!AB6:AB271, -327454305, RV_DATA!O6:O271), 6)</f>
        <v>228.54</v>
      </c>
      <c r="Q87">
        <v>3</v>
      </c>
    </row>
    <row r="88" spans="1:17" ht="41.4" x14ac:dyDescent="0.25">
      <c r="A88" s="110" t="s">
        <v>351</v>
      </c>
      <c r="B88" s="102" t="s">
        <v>352</v>
      </c>
      <c r="C88" s="102" t="s">
        <v>353</v>
      </c>
      <c r="D88" s="103">
        <f>ROUND(SUMIF(RV_DATA!AB6:AB271, -2101524351, RV_DATA!I6:I271), 6)</f>
        <v>0.12</v>
      </c>
      <c r="E88" s="111">
        <f>ROUND(RV_DATA!N221, 6)</f>
        <v>18991.84</v>
      </c>
      <c r="F88" s="111">
        <f>ROUND(SUMIF(RV_DATA!AB6:AB271, -2101524351, RV_DATA!O6:O271), 6)</f>
        <v>2279.02</v>
      </c>
      <c r="Q88">
        <v>3</v>
      </c>
    </row>
    <row r="89" spans="1:17" ht="27.6" x14ac:dyDescent="0.25">
      <c r="A89" s="110" t="s">
        <v>609</v>
      </c>
      <c r="B89" s="102" t="s">
        <v>611</v>
      </c>
      <c r="C89" s="102" t="s">
        <v>174</v>
      </c>
      <c r="D89" s="103">
        <f>ROUND(SUMIF(RV_DATA!AB6:AB271, 1075082453, RV_DATA!I6:I271), 6)</f>
        <v>5.9999999999999995E-4</v>
      </c>
      <c r="E89" s="111">
        <f>ROUND(RV_DATA!N80, 6)</f>
        <v>140114.95000000001</v>
      </c>
      <c r="F89" s="111">
        <f>ROUND(SUMIF(RV_DATA!AB6:AB271, 1075082453, RV_DATA!O6:O271), 6)</f>
        <v>84.07</v>
      </c>
      <c r="Q89">
        <v>3</v>
      </c>
    </row>
    <row r="90" spans="1:17" ht="27.6" x14ac:dyDescent="0.25">
      <c r="A90" s="110" t="s">
        <v>656</v>
      </c>
      <c r="B90" s="102" t="s">
        <v>658</v>
      </c>
      <c r="C90" s="102" t="s">
        <v>174</v>
      </c>
      <c r="D90" s="103">
        <f>ROUND(SUMIF(RV_DATA!AB6:AB271, -394698039, RV_DATA!I6:I271), 6)</f>
        <v>6.8999999999999997E-4</v>
      </c>
      <c r="E90" s="111">
        <f>ROUND(RV_DATA!N154, 6)</f>
        <v>73226.62</v>
      </c>
      <c r="F90" s="111">
        <f>ROUND(SUMIF(RV_DATA!AB6:AB271, -394698039, RV_DATA!O6:O271), 6)</f>
        <v>50.53</v>
      </c>
      <c r="Q90">
        <v>3</v>
      </c>
    </row>
    <row r="91" spans="1:17" ht="27.6" x14ac:dyDescent="0.25">
      <c r="A91" s="110" t="s">
        <v>238</v>
      </c>
      <c r="B91" s="102" t="s">
        <v>239</v>
      </c>
      <c r="C91" s="102" t="s">
        <v>240</v>
      </c>
      <c r="D91" s="103">
        <f>ROUND(SUMIF(RV_DATA!AB6:AB271, -1491515246, RV_DATA!I6:I271), 6)</f>
        <v>8.85</v>
      </c>
      <c r="E91" s="111">
        <f>ROUND(RV_DATA!N93, 6)</f>
        <v>230.1</v>
      </c>
      <c r="F91" s="111">
        <f>ROUND(SUMIF(RV_DATA!AB6:AB271, -1491515246, RV_DATA!O6:O271), 6)</f>
        <v>2036.39</v>
      </c>
      <c r="Q91">
        <v>3</v>
      </c>
    </row>
    <row r="92" spans="1:17" ht="27.6" x14ac:dyDescent="0.25">
      <c r="A92" s="110" t="s">
        <v>238</v>
      </c>
      <c r="B92" s="102" t="s">
        <v>266</v>
      </c>
      <c r="C92" s="102" t="s">
        <v>240</v>
      </c>
      <c r="D92" s="103">
        <f>ROUND(SUMIF(RV_DATA!AB6:AB271, -106609631, RV_DATA!I6:I271), 6)</f>
        <v>29.1</v>
      </c>
      <c r="E92" s="111">
        <f>ROUND(RV_DATA!N130, 6)</f>
        <v>230.1</v>
      </c>
      <c r="F92" s="111">
        <f>ROUND(SUMIF(RV_DATA!AB6:AB271, -106609631, RV_DATA!O6:O271), 6)</f>
        <v>6695.92</v>
      </c>
      <c r="Q92">
        <v>3</v>
      </c>
    </row>
    <row r="93" spans="1:17" ht="69" x14ac:dyDescent="0.25">
      <c r="A93" s="110" t="s">
        <v>629</v>
      </c>
      <c r="B93" s="102" t="s">
        <v>631</v>
      </c>
      <c r="C93" s="102" t="s">
        <v>632</v>
      </c>
      <c r="D93" s="103">
        <f>ROUND(SUMIF(RV_DATA!AB6:AB271, -1390822173, RV_DATA!I6:I271), 6)</f>
        <v>1.3190000000000001E-3</v>
      </c>
      <c r="E93" s="111">
        <f>ROUND(RV_DATA!N101, 6)</f>
        <v>221.64</v>
      </c>
      <c r="F93" s="111">
        <f>ROUND(SUMIF(RV_DATA!AB6:AB271, -1390822173, RV_DATA!O6:O271), 6)</f>
        <v>0.3</v>
      </c>
      <c r="Q93">
        <v>3</v>
      </c>
    </row>
    <row r="94" spans="1:17" ht="41.4" x14ac:dyDescent="0.25">
      <c r="A94" s="110" t="s">
        <v>674</v>
      </c>
      <c r="B94" s="102" t="s">
        <v>676</v>
      </c>
      <c r="C94" s="102" t="s">
        <v>174</v>
      </c>
      <c r="D94" s="103">
        <f>ROUND(SUMIF(RV_DATA!AB6:AB271, 811104916, RV_DATA!I6:I271), 6)</f>
        <v>2.964E-2</v>
      </c>
      <c r="E94" s="111">
        <f>ROUND(RV_DATA!N173, 6)</f>
        <v>63241.97</v>
      </c>
      <c r="F94" s="111">
        <f>ROUND(SUMIF(RV_DATA!AB6:AB271, 811104916, RV_DATA!O6:O271), 6)</f>
        <v>1874.49</v>
      </c>
      <c r="Q94">
        <v>3</v>
      </c>
    </row>
    <row r="95" spans="1:17" ht="41.4" x14ac:dyDescent="0.25">
      <c r="A95" s="110" t="s">
        <v>677</v>
      </c>
      <c r="B95" s="102" t="s">
        <v>679</v>
      </c>
      <c r="C95" s="102" t="s">
        <v>174</v>
      </c>
      <c r="D95" s="103">
        <f>ROUND(SUMIF(RV_DATA!AB6:AB271, -1089526497, RV_DATA!I6:I271), 6)</f>
        <v>6.3599999999999996E-4</v>
      </c>
      <c r="E95" s="111">
        <f>ROUND(RV_DATA!N172, 6)</f>
        <v>112730.86</v>
      </c>
      <c r="F95" s="111">
        <f>ROUND(SUMIF(RV_DATA!AB6:AB271, -1089526497, RV_DATA!O6:O271), 6)</f>
        <v>71.7</v>
      </c>
      <c r="Q95">
        <v>3</v>
      </c>
    </row>
    <row r="96" spans="1:17" ht="41.4" x14ac:dyDescent="0.25">
      <c r="A96" s="110" t="s">
        <v>680</v>
      </c>
      <c r="B96" s="102" t="s">
        <v>682</v>
      </c>
      <c r="C96" s="102" t="s">
        <v>174</v>
      </c>
      <c r="D96" s="103">
        <f>ROUND(SUMIF(RV_DATA!AB6:AB271, -1848513203, RV_DATA!I6:I271), 6)</f>
        <v>1.212E-3</v>
      </c>
      <c r="E96" s="111">
        <f>ROUND(RV_DATA!N171, 6)</f>
        <v>75903.759999999995</v>
      </c>
      <c r="F96" s="111">
        <f>ROUND(SUMIF(RV_DATA!AB6:AB271, -1848513203, RV_DATA!O6:O271), 6)</f>
        <v>92</v>
      </c>
      <c r="Q96">
        <v>3</v>
      </c>
    </row>
    <row r="97" spans="1:17" ht="27.6" x14ac:dyDescent="0.25">
      <c r="A97" s="110" t="s">
        <v>533</v>
      </c>
      <c r="B97" s="102" t="s">
        <v>535</v>
      </c>
      <c r="C97" s="102" t="s">
        <v>174</v>
      </c>
      <c r="D97" s="103">
        <f>ROUND(SUMIF(RV_DATA!AB6:AB271, 945285004, RV_DATA!I6:I271), 6)</f>
        <v>1.0501999999999999E-2</v>
      </c>
      <c r="E97" s="111">
        <f>ROUND(RV_DATA!N29, 6)</f>
        <v>52424.63</v>
      </c>
      <c r="F97" s="111">
        <f>ROUND(SUMIF(RV_DATA!AB6:AB271, 945285004, RV_DATA!O6:O271), 6)</f>
        <v>550.58000000000004</v>
      </c>
      <c r="Q97">
        <v>3</v>
      </c>
    </row>
    <row r="98" spans="1:17" ht="55.2" x14ac:dyDescent="0.25">
      <c r="A98" s="110" t="s">
        <v>364</v>
      </c>
      <c r="B98" s="102" t="s">
        <v>365</v>
      </c>
      <c r="C98" s="102" t="s">
        <v>174</v>
      </c>
      <c r="D98" s="103">
        <f>ROUND(SUMIF(RV_DATA!AB6:AB271, -791039022, RV_DATA!I6:I271), 6)</f>
        <v>3.78E-2</v>
      </c>
      <c r="E98" s="111">
        <f>ROUND(RV_DATA!N242, 6)</f>
        <v>46372.91</v>
      </c>
      <c r="F98" s="111">
        <f>ROUND(SUMIF(RV_DATA!AB6:AB271, -791039022, RV_DATA!O6:O271), 6)</f>
        <v>1752.9</v>
      </c>
      <c r="Q98">
        <v>3</v>
      </c>
    </row>
    <row r="99" spans="1:17" ht="41.4" x14ac:dyDescent="0.25">
      <c r="A99" s="110" t="s">
        <v>172</v>
      </c>
      <c r="B99" s="102" t="s">
        <v>173</v>
      </c>
      <c r="C99" s="102" t="s">
        <v>174</v>
      </c>
      <c r="D99" s="103">
        <f>ROUND(SUMIF(RV_DATA!AB6:AB271, 646946353, RV_DATA!I6:I271), 6)</f>
        <v>5.0000000000000001E-3</v>
      </c>
      <c r="E99" s="111">
        <f>ROUND(RV_DATA!N48, 6)</f>
        <v>53058.17</v>
      </c>
      <c r="F99" s="111">
        <f>ROUND(SUMIF(RV_DATA!AB6:AB271, 646946353, RV_DATA!O6:O271), 6)</f>
        <v>265.29000000000002</v>
      </c>
      <c r="Q99">
        <v>3</v>
      </c>
    </row>
    <row r="100" spans="1:17" ht="27.6" x14ac:dyDescent="0.25">
      <c r="A100" s="110" t="s">
        <v>683</v>
      </c>
      <c r="B100" s="102" t="s">
        <v>685</v>
      </c>
      <c r="C100" s="102" t="s">
        <v>174</v>
      </c>
      <c r="D100" s="103">
        <f>ROUND(SUMIF(RV_DATA!AB6:AB271, -1633341673, RV_DATA!I6:I271), 6)</f>
        <v>1.6199999999999999E-2</v>
      </c>
      <c r="E100" s="111">
        <f>ROUND(RV_DATA!N170, 6)</f>
        <v>70048.22</v>
      </c>
      <c r="F100" s="111">
        <f>ROUND(SUMIF(RV_DATA!AB6:AB271, -1633341673, RV_DATA!O6:O271), 6)</f>
        <v>1134.78</v>
      </c>
      <c r="Q100">
        <v>3</v>
      </c>
    </row>
    <row r="101" spans="1:17" ht="69" x14ac:dyDescent="0.25">
      <c r="A101" s="110" t="s">
        <v>360</v>
      </c>
      <c r="B101" s="102" t="s">
        <v>361</v>
      </c>
      <c r="C101" s="102" t="s">
        <v>174</v>
      </c>
      <c r="D101" s="103">
        <f>ROUND(SUMIF(RV_DATA!AB6:AB271, -1247319341, RV_DATA!I6:I271), 6)</f>
        <v>1.2200000000000001E-2</v>
      </c>
      <c r="E101" s="111">
        <f>ROUND(RV_DATA!N241, 6)</f>
        <v>42246.27</v>
      </c>
      <c r="F101" s="111">
        <f>ROUND(SUMIF(RV_DATA!AB6:AB271, -1247319341, RV_DATA!O6:O271), 6)</f>
        <v>515.4</v>
      </c>
      <c r="Q101">
        <v>3</v>
      </c>
    </row>
    <row r="102" spans="1:17" ht="27.6" x14ac:dyDescent="0.25">
      <c r="A102" s="110" t="s">
        <v>633</v>
      </c>
      <c r="B102" s="102" t="s">
        <v>635</v>
      </c>
      <c r="C102" s="102" t="s">
        <v>174</v>
      </c>
      <c r="D102" s="103">
        <f>ROUND(SUMIF(RV_DATA!AB6:AB271, 571287693, RV_DATA!I6:I271), 6)</f>
        <v>1.37E-4</v>
      </c>
      <c r="E102" s="111">
        <f>ROUND(RV_DATA!N99, 6)</f>
        <v>124451.6</v>
      </c>
      <c r="F102" s="111">
        <f>ROUND(SUMIF(RV_DATA!AB6:AB271, 571287693, RV_DATA!O6:O271), 6)</f>
        <v>17.02</v>
      </c>
      <c r="Q102">
        <v>3</v>
      </c>
    </row>
    <row r="103" spans="1:17" ht="41.4" x14ac:dyDescent="0.25">
      <c r="A103" s="110" t="s">
        <v>536</v>
      </c>
      <c r="B103" s="102" t="s">
        <v>538</v>
      </c>
      <c r="C103" s="102" t="s">
        <v>205</v>
      </c>
      <c r="D103" s="103">
        <f>ROUND(SUMIF(RV_DATA!AB6:AB271, -773749515, RV_DATA!I6:I271), 6)</f>
        <v>0.18</v>
      </c>
      <c r="E103" s="111">
        <f>ROUND(RV_DATA!N28, 6)</f>
        <v>5346.91</v>
      </c>
      <c r="F103" s="111">
        <f>ROUND(SUMIF(RV_DATA!AB6:AB271, -773749515, RV_DATA!O6:O271), 6)</f>
        <v>962.44</v>
      </c>
      <c r="Q103">
        <v>3</v>
      </c>
    </row>
    <row r="104" spans="1:17" ht="55.2" x14ac:dyDescent="0.25">
      <c r="A104" s="110" t="s">
        <v>636</v>
      </c>
      <c r="B104" s="102" t="s">
        <v>638</v>
      </c>
      <c r="C104" s="102" t="s">
        <v>205</v>
      </c>
      <c r="D104" s="103">
        <f>ROUND(SUMIF(RV_DATA!AB6:AB271, -695802141, RV_DATA!I6:I271), 6)</f>
        <v>2.0999999999999999E-5</v>
      </c>
      <c r="E104" s="111">
        <f>ROUND(RV_DATA!N98, 6)</f>
        <v>12701.94</v>
      </c>
      <c r="F104" s="111">
        <f>ROUND(SUMIF(RV_DATA!AB6:AB271, -695802141, RV_DATA!O6:O271), 6)</f>
        <v>0.27</v>
      </c>
      <c r="Q104">
        <v>3</v>
      </c>
    </row>
    <row r="105" spans="1:17" ht="55.2" x14ac:dyDescent="0.25">
      <c r="A105" s="110" t="s">
        <v>539</v>
      </c>
      <c r="B105" s="102" t="s">
        <v>541</v>
      </c>
      <c r="C105" s="102" t="s">
        <v>205</v>
      </c>
      <c r="D105" s="103">
        <f>ROUND(SUMIF(RV_DATA!AB6:AB271, 1254574288, RV_DATA!I6:I271), 6)</f>
        <v>1.2500000000000001E-2</v>
      </c>
      <c r="E105" s="111">
        <f>ROUND(RV_DATA!N27, 6)</f>
        <v>12701.94</v>
      </c>
      <c r="F105" s="111">
        <f>ROUND(SUMIF(RV_DATA!AB6:AB271, 1254574288, RV_DATA!O6:O271), 6)</f>
        <v>158.77000000000001</v>
      </c>
      <c r="Q105">
        <v>3</v>
      </c>
    </row>
    <row r="106" spans="1:17" ht="55.2" x14ac:dyDescent="0.25">
      <c r="A106" s="110" t="s">
        <v>542</v>
      </c>
      <c r="B106" s="102" t="s">
        <v>544</v>
      </c>
      <c r="C106" s="102" t="s">
        <v>205</v>
      </c>
      <c r="D106" s="103">
        <f>ROUND(SUMIF(RV_DATA!AB6:AB271, 1329168431, RV_DATA!I6:I271), 6)</f>
        <v>0.26500000000000001</v>
      </c>
      <c r="E106" s="111">
        <f>ROUND(RV_DATA!N26, 6)</f>
        <v>8934.85</v>
      </c>
      <c r="F106" s="111">
        <f>ROUND(SUMIF(RV_DATA!AB6:AB271, 1329168431, RV_DATA!O6:O271), 6)</f>
        <v>2367.7399999999998</v>
      </c>
      <c r="Q106">
        <v>3</v>
      </c>
    </row>
    <row r="107" spans="1:17" ht="27.6" x14ac:dyDescent="0.25">
      <c r="A107" s="110" t="s">
        <v>686</v>
      </c>
      <c r="B107" s="102" t="s">
        <v>688</v>
      </c>
      <c r="C107" s="102" t="s">
        <v>314</v>
      </c>
      <c r="D107" s="103">
        <f>ROUND(SUMIF(RV_DATA!AB6:AB271, -1462542397, RV_DATA!I6:I271), 6)</f>
        <v>0.6</v>
      </c>
      <c r="E107" s="111">
        <f>ROUND(RV_DATA!N169, 6)</f>
        <v>40.18</v>
      </c>
      <c r="F107" s="111">
        <f>ROUND(SUMIF(RV_DATA!AB6:AB271, -1462542397, RV_DATA!O6:O271), 6)</f>
        <v>24.11</v>
      </c>
      <c r="Q107">
        <v>3</v>
      </c>
    </row>
    <row r="108" spans="1:17" ht="41.4" x14ac:dyDescent="0.25">
      <c r="A108" s="110" t="s">
        <v>312</v>
      </c>
      <c r="B108" s="102" t="s">
        <v>313</v>
      </c>
      <c r="C108" s="102" t="s">
        <v>314</v>
      </c>
      <c r="D108" s="103">
        <f>ROUND(SUMIF(RV_DATA!AB6:AB271, 2001196716, RV_DATA!I6:I271), 6)</f>
        <v>41.4</v>
      </c>
      <c r="E108" s="111">
        <f>ROUND(RV_DATA!N189, 6)</f>
        <v>104.26</v>
      </c>
      <c r="F108" s="111">
        <f>ROUND(SUMIF(RV_DATA!AB6:AB271, 2001196716, RV_DATA!O6:O271), 6)</f>
        <v>4316.3599999999997</v>
      </c>
      <c r="Q108">
        <v>3</v>
      </c>
    </row>
    <row r="109" spans="1:17" ht="41.4" x14ac:dyDescent="0.25">
      <c r="A109" s="110" t="s">
        <v>304</v>
      </c>
      <c r="B109" s="102" t="s">
        <v>305</v>
      </c>
      <c r="C109" s="102" t="s">
        <v>205</v>
      </c>
      <c r="D109" s="103">
        <f>ROUND(SUMIF(RV_DATA!AB6:AB271, -1989438400, RV_DATA!I6:I271), 6)</f>
        <v>1.296</v>
      </c>
      <c r="E109" s="111">
        <f>ROUND(RV_DATA!N179, 6)</f>
        <v>4429.78</v>
      </c>
      <c r="F109" s="111">
        <f>ROUND(SUMIF(RV_DATA!AB6:AB271, -1989438400, RV_DATA!O6:O271), 6)</f>
        <v>5740.99</v>
      </c>
      <c r="Q109">
        <v>3</v>
      </c>
    </row>
    <row r="110" spans="1:17" ht="13.8" x14ac:dyDescent="0.25">
      <c r="A110" s="110" t="s">
        <v>372</v>
      </c>
      <c r="B110" s="102" t="s">
        <v>373</v>
      </c>
      <c r="C110" s="102" t="s">
        <v>174</v>
      </c>
      <c r="D110" s="103">
        <f>ROUND(SUMIF(RV_DATA!AB6:AB271, 1563425988, RV_DATA!I6:I271), 6)</f>
        <v>5.7600000000000004E-3</v>
      </c>
      <c r="E110" s="111">
        <f>ROUND(RV_DATA!N162, 6)</f>
        <v>249201.71</v>
      </c>
      <c r="F110" s="111">
        <f>ROUND(SUMIF(RV_DATA!AB6:AB271, 1563425988, RV_DATA!O6:O271), 6)</f>
        <v>1435.4</v>
      </c>
      <c r="Q110">
        <v>3</v>
      </c>
    </row>
    <row r="111" spans="1:17" ht="13.8" x14ac:dyDescent="0.25">
      <c r="A111" s="110" t="s">
        <v>372</v>
      </c>
      <c r="B111" s="102" t="s">
        <v>373</v>
      </c>
      <c r="C111" s="102" t="s">
        <v>174</v>
      </c>
      <c r="D111" s="103">
        <f>ROUND(SUMIF(RV_DATA!AB6:AB271, -1139901846, RV_DATA!I6:I271), 6)</f>
        <v>7.2000000000000005E-4</v>
      </c>
      <c r="E111" s="111">
        <f>ROUND(RV_DATA!N249, 6)</f>
        <v>249201.71</v>
      </c>
      <c r="F111" s="111">
        <f>ROUND(SUMIF(RV_DATA!AB6:AB271, -1139901846, RV_DATA!O6:O271), 6)</f>
        <v>179.43</v>
      </c>
      <c r="Q111">
        <v>3</v>
      </c>
    </row>
    <row r="112" spans="1:17" ht="13.8" x14ac:dyDescent="0.25">
      <c r="A112" s="110" t="s">
        <v>639</v>
      </c>
      <c r="B112" s="102" t="s">
        <v>641</v>
      </c>
      <c r="C112" s="102" t="s">
        <v>174</v>
      </c>
      <c r="D112" s="103">
        <f>ROUND(SUMIF(RV_DATA!AB6:AB271, -264414510, RV_DATA!I6:I271), 6)</f>
        <v>2.1999999999999999E-5</v>
      </c>
      <c r="E112" s="111">
        <f>ROUND(RV_DATA!N97, 6)</f>
        <v>81535.44</v>
      </c>
      <c r="F112" s="111">
        <f>ROUND(SUMIF(RV_DATA!AB6:AB271, -264414510, RV_DATA!O6:O271), 6)</f>
        <v>1.78</v>
      </c>
      <c r="Q112">
        <v>3</v>
      </c>
    </row>
    <row r="113" spans="1:17" ht="13.8" x14ac:dyDescent="0.25">
      <c r="A113" s="110" t="s">
        <v>698</v>
      </c>
      <c r="B113" s="102" t="s">
        <v>700</v>
      </c>
      <c r="C113" s="102" t="s">
        <v>174</v>
      </c>
      <c r="D113" s="103">
        <f>ROUND(SUMIF(RV_DATA!AB6:AB271, 684008255, RV_DATA!I6:I271), 6)</f>
        <v>4.5399999999999998E-4</v>
      </c>
      <c r="E113" s="111">
        <f>ROUND(RV_DATA!N180, 6)</f>
        <v>104827.48</v>
      </c>
      <c r="F113" s="111">
        <f>ROUND(SUMIF(RV_DATA!AB6:AB271, 684008255, RV_DATA!O6:O271), 6)</f>
        <v>47.55</v>
      </c>
      <c r="Q113">
        <v>3</v>
      </c>
    </row>
    <row r="114" spans="1:17" ht="13.8" x14ac:dyDescent="0.25">
      <c r="A114" s="110" t="s">
        <v>642</v>
      </c>
      <c r="B114" s="102" t="s">
        <v>644</v>
      </c>
      <c r="C114" s="102" t="s">
        <v>174</v>
      </c>
      <c r="D114" s="103">
        <f>ROUND(SUMIF(RV_DATA!AB6:AB271, -119084382, RV_DATA!I6:I271), 6)</f>
        <v>4.1999999999999998E-5</v>
      </c>
      <c r="E114" s="111">
        <f>ROUND(RV_DATA!N96, 6)</f>
        <v>146804.41</v>
      </c>
      <c r="F114" s="111">
        <f>ROUND(SUMIF(RV_DATA!AB6:AB271, -119084382, RV_DATA!O6:O271), 6)</f>
        <v>6.21</v>
      </c>
      <c r="Q114">
        <v>3</v>
      </c>
    </row>
    <row r="115" spans="1:17" ht="27.6" x14ac:dyDescent="0.25">
      <c r="A115" s="110" t="s">
        <v>376</v>
      </c>
      <c r="B115" s="102" t="s">
        <v>377</v>
      </c>
      <c r="C115" s="102" t="s">
        <v>174</v>
      </c>
      <c r="D115" s="103">
        <f>ROUND(SUMIF(RV_DATA!AB6:AB271, 334416543, RV_DATA!I6:I271), 6)</f>
        <v>6.4000000000000005E-4</v>
      </c>
      <c r="E115" s="111">
        <f>ROUND(RV_DATA!N161, 6)</f>
        <v>110506.94</v>
      </c>
      <c r="F115" s="111">
        <f>ROUND(SUMIF(RV_DATA!AB6:AB271, 334416543, RV_DATA!O6:O271), 6)</f>
        <v>70.72</v>
      </c>
      <c r="Q115">
        <v>3</v>
      </c>
    </row>
    <row r="116" spans="1:17" ht="27.6" x14ac:dyDescent="0.25">
      <c r="A116" s="110" t="s">
        <v>376</v>
      </c>
      <c r="B116" s="102" t="s">
        <v>377</v>
      </c>
      <c r="C116" s="102" t="s">
        <v>174</v>
      </c>
      <c r="D116" s="103">
        <f>ROUND(SUMIF(RV_DATA!AB6:AB271, -2024286164, RV_DATA!I6:I271), 6)</f>
        <v>8.0000000000000007E-5</v>
      </c>
      <c r="E116" s="111">
        <f>ROUND(RV_DATA!N250, 6)</f>
        <v>110506.94</v>
      </c>
      <c r="F116" s="111">
        <f>ROUND(SUMIF(RV_DATA!AB6:AB271, -2024286164, RV_DATA!O6:O271), 6)</f>
        <v>8.84</v>
      </c>
      <c r="Q116">
        <v>3</v>
      </c>
    </row>
    <row r="117" spans="1:17" ht="13.8" x14ac:dyDescent="0.25">
      <c r="A117" s="110" t="s">
        <v>413</v>
      </c>
      <c r="B117" s="102" t="s">
        <v>414</v>
      </c>
      <c r="C117" s="102" t="s">
        <v>205</v>
      </c>
      <c r="D117" s="103">
        <f>ROUND(SUMIF(RV_DATA!AB6:AB271, 1445176832, RV_DATA!I6:I271), 6)</f>
        <v>4</v>
      </c>
      <c r="E117" s="111">
        <f>ROUND(RV_DATA!N269, 6)</f>
        <v>1423.68</v>
      </c>
      <c r="F117" s="111">
        <f>ROUND(SUMIF(RV_DATA!AB6:AB271, 1445176832, RV_DATA!O6:O271), 6)</f>
        <v>5694.72</v>
      </c>
      <c r="Q117">
        <v>3</v>
      </c>
    </row>
    <row r="118" spans="1:17" ht="55.2" x14ac:dyDescent="0.25">
      <c r="A118" s="110" t="s">
        <v>243</v>
      </c>
      <c r="B118" s="102" t="s">
        <v>244</v>
      </c>
      <c r="C118" s="102" t="s">
        <v>98</v>
      </c>
      <c r="D118" s="103">
        <f>ROUND(SUMIF(RV_DATA!AB6:AB271, -1787559141, RV_DATA!I6:I271), 6)</f>
        <v>15</v>
      </c>
      <c r="E118" s="111">
        <f>ROUND(RV_DATA!N94, 6)</f>
        <v>361.18</v>
      </c>
      <c r="F118" s="111">
        <f>ROUND(SUMIF(RV_DATA!AB6:AB271, -1787559141, RV_DATA!O6:O271), 6)</f>
        <v>5417.7</v>
      </c>
      <c r="Q118">
        <v>3</v>
      </c>
    </row>
    <row r="119" spans="1:17" ht="55.2" x14ac:dyDescent="0.25">
      <c r="A119" s="110" t="s">
        <v>268</v>
      </c>
      <c r="B119" s="102" t="s">
        <v>269</v>
      </c>
      <c r="C119" s="102" t="s">
        <v>98</v>
      </c>
      <c r="D119" s="103">
        <f>ROUND(SUMIF(RV_DATA!AB6:AB271, -464300109, RV_DATA!I6:I271), 6)</f>
        <v>45</v>
      </c>
      <c r="E119" s="111">
        <f>ROUND(RV_DATA!N131, 6)</f>
        <v>405.51</v>
      </c>
      <c r="F119" s="111">
        <f>ROUND(SUMIF(RV_DATA!AB6:AB271, -464300109, RV_DATA!O6:O271), 6)</f>
        <v>18247.95</v>
      </c>
      <c r="Q119">
        <v>3</v>
      </c>
    </row>
    <row r="120" spans="1:17" ht="69" x14ac:dyDescent="0.25">
      <c r="A120" s="110" t="s">
        <v>247</v>
      </c>
      <c r="B120" s="102" t="s">
        <v>248</v>
      </c>
      <c r="C120" s="102" t="s">
        <v>222</v>
      </c>
      <c r="D120" s="103">
        <f>ROUND(SUMIF(RV_DATA!AB6:AB271, 1126280119, RV_DATA!I6:I271), 6)</f>
        <v>4</v>
      </c>
      <c r="E120" s="111">
        <f>ROUND(RV_DATA!N95, 6)</f>
        <v>197.17</v>
      </c>
      <c r="F120" s="111">
        <f>ROUND(SUMIF(RV_DATA!AB6:AB271, 1126280119, RV_DATA!O6:O271), 6)</f>
        <v>788.68</v>
      </c>
      <c r="Q120">
        <v>3</v>
      </c>
    </row>
    <row r="121" spans="1:17" ht="55.2" x14ac:dyDescent="0.25">
      <c r="A121" s="110" t="s">
        <v>272</v>
      </c>
      <c r="B121" s="102" t="s">
        <v>273</v>
      </c>
      <c r="C121" s="102" t="s">
        <v>222</v>
      </c>
      <c r="D121" s="103">
        <f>ROUND(SUMIF(RV_DATA!AB6:AB271, 432834047, RV_DATA!I6:I271), 6)</f>
        <v>12</v>
      </c>
      <c r="E121" s="111">
        <f>ROUND(RV_DATA!N132, 6)</f>
        <v>315.77999999999997</v>
      </c>
      <c r="F121" s="111">
        <f>ROUND(SUMIF(RV_DATA!AB6:AB271, 432834047, RV_DATA!O6:O271), 6)</f>
        <v>3789.36</v>
      </c>
      <c r="Q121">
        <v>3</v>
      </c>
    </row>
    <row r="122" spans="1:17" ht="13.8" x14ac:dyDescent="0.25">
      <c r="A122" s="164" t="s">
        <v>1070</v>
      </c>
      <c r="B122" s="164"/>
      <c r="C122" s="164"/>
      <c r="D122" s="164"/>
      <c r="E122" s="165">
        <f>SUMIF(Q62:Q121, 3, F62:F121)</f>
        <v>69684.17</v>
      </c>
      <c r="F122" s="164"/>
    </row>
    <row r="124" spans="1:17" ht="16.8" x14ac:dyDescent="0.25">
      <c r="A124" s="166" t="str">
        <f>CONCATENATE("Итого по объекту: ",IF(Source!G292&lt;&gt;"Новый объект", Source!G292, ""))</f>
        <v xml:space="preserve">Итого по объекту: </v>
      </c>
      <c r="B124" s="167"/>
      <c r="C124" s="167"/>
      <c r="D124" s="167"/>
      <c r="E124" s="167"/>
      <c r="F124" s="168"/>
    </row>
    <row r="125" spans="1:17" ht="13.8" x14ac:dyDescent="0.25">
      <c r="A125" s="164" t="s">
        <v>1066</v>
      </c>
      <c r="B125" s="164"/>
      <c r="C125" s="164"/>
      <c r="D125" s="164"/>
      <c r="E125" s="165">
        <f>SUMIF(Q1:Q124, 1, F1:F124)</f>
        <v>118050.62</v>
      </c>
      <c r="F125" s="164"/>
    </row>
    <row r="126" spans="1:17" ht="13.8" x14ac:dyDescent="0.25">
      <c r="A126" s="164" t="s">
        <v>1068</v>
      </c>
      <c r="B126" s="164"/>
      <c r="C126" s="164"/>
      <c r="D126" s="164"/>
      <c r="E126" s="165">
        <f>SUMIF(Q1:Q125, 2, F1:F125)</f>
        <v>29754.470000000008</v>
      </c>
      <c r="F126" s="164"/>
    </row>
    <row r="127" spans="1:17" ht="13.8" x14ac:dyDescent="0.25">
      <c r="A127" s="164" t="s">
        <v>1070</v>
      </c>
      <c r="B127" s="164"/>
      <c r="C127" s="164"/>
      <c r="D127" s="164"/>
      <c r="E127" s="165">
        <f>SUMIF(Q1:Q126, 3, F1:F126)</f>
        <v>69684.17</v>
      </c>
      <c r="F127" s="164"/>
    </row>
    <row r="128" spans="1:17" ht="13.95" hidden="1" customHeight="1" x14ac:dyDescent="0.25">
      <c r="A128" s="164" t="s">
        <v>1071</v>
      </c>
      <c r="B128" s="164"/>
      <c r="C128" s="164"/>
      <c r="D128" s="164"/>
      <c r="E128" s="165">
        <f>SUMIF(Q1:Q127, 4, F1:F127)</f>
        <v>0</v>
      </c>
      <c r="F128" s="164"/>
    </row>
  </sheetData>
  <sortState xmlns:xlrd2="http://schemas.microsoft.com/office/spreadsheetml/2017/richdata2" ref="A62:Q121">
    <sortCondition ref="A62"/>
  </sortState>
  <mergeCells count="25">
    <mergeCell ref="A126:D126"/>
    <mergeCell ref="E126:F126"/>
    <mergeCell ref="A127:D127"/>
    <mergeCell ref="E127:F127"/>
    <mergeCell ref="A128:D128"/>
    <mergeCell ref="E128:F128"/>
    <mergeCell ref="A61:F61"/>
    <mergeCell ref="A122:D122"/>
    <mergeCell ref="E122:F122"/>
    <mergeCell ref="A124:F124"/>
    <mergeCell ref="A125:D125"/>
    <mergeCell ref="E125:F125"/>
    <mergeCell ref="A8:F8"/>
    <mergeCell ref="A27:D27"/>
    <mergeCell ref="E27:F27"/>
    <mergeCell ref="A28:F28"/>
    <mergeCell ref="A60:D60"/>
    <mergeCell ref="E60:F60"/>
    <mergeCell ref="A2:F2"/>
    <mergeCell ref="A3:F3"/>
    <mergeCell ref="A4:A6"/>
    <mergeCell ref="B4:B6"/>
    <mergeCell ref="C4:C6"/>
    <mergeCell ref="D4:D6"/>
    <mergeCell ref="E4:F5"/>
  </mergeCells>
  <pageMargins left="0.6" right="0.4" top="0.65" bottom="0.4" header="0.4" footer="0.4"/>
  <pageSetup paperSize="9" scale="86" fitToHeight="0" orientation="portrait" verticalDpi="0" r:id="rId1"/>
  <headerFooter>
    <oddHeader>&amp;C&amp;P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U357"/>
  <sheetViews>
    <sheetView workbookViewId="0">
      <selection activeCell="G20" sqref="G20"/>
    </sheetView>
  </sheetViews>
  <sheetFormatPr defaultColWidth="9.21875" defaultRowHeight="13.2" x14ac:dyDescent="0.25"/>
  <cols>
    <col min="1" max="256" width="9.21875" customWidth="1"/>
  </cols>
  <sheetData>
    <row r="1" spans="1:133" x14ac:dyDescent="0.25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73345</v>
      </c>
      <c r="M1">
        <v>10</v>
      </c>
      <c r="N1">
        <v>12</v>
      </c>
      <c r="O1">
        <v>1</v>
      </c>
      <c r="P1">
        <v>0</v>
      </c>
      <c r="Q1">
        <v>4</v>
      </c>
    </row>
    <row r="4" spans="1:133" x14ac:dyDescent="0.25">
      <c r="A4" s="1">
        <v>8</v>
      </c>
      <c r="B4" s="1">
        <v>1</v>
      </c>
      <c r="C4" s="1">
        <v>-1</v>
      </c>
      <c r="D4" s="1"/>
      <c r="E4" s="1"/>
      <c r="F4" s="1" t="s">
        <v>4</v>
      </c>
      <c r="G4" s="1" t="s">
        <v>5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>
        <v>0</v>
      </c>
    </row>
    <row r="12" spans="1:133" x14ac:dyDescent="0.25">
      <c r="A12" s="1">
        <v>1</v>
      </c>
      <c r="B12" s="1">
        <v>351</v>
      </c>
      <c r="C12" s="1">
        <v>0</v>
      </c>
      <c r="D12" s="1">
        <f>ROW(A292)</f>
        <v>292</v>
      </c>
      <c r="E12" s="1">
        <v>0</v>
      </c>
      <c r="F12" s="1" t="s">
        <v>6</v>
      </c>
      <c r="G12" s="1"/>
      <c r="H12" s="1" t="s">
        <v>3</v>
      </c>
      <c r="I12" s="1">
        <v>0</v>
      </c>
      <c r="J12" s="1" t="s">
        <v>3</v>
      </c>
      <c r="K12" s="1">
        <v>0</v>
      </c>
      <c r="L12" s="1">
        <v>0</v>
      </c>
      <c r="M12" s="1">
        <v>523</v>
      </c>
      <c r="N12" s="1"/>
      <c r="O12" s="1">
        <v>0</v>
      </c>
      <c r="P12" s="1">
        <v>0</v>
      </c>
      <c r="Q12" s="1">
        <v>7</v>
      </c>
      <c r="R12" s="1">
        <v>0</v>
      </c>
      <c r="S12" s="1"/>
      <c r="T12" s="1">
        <v>4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8</v>
      </c>
      <c r="BI12" s="1" t="s">
        <v>9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1</v>
      </c>
      <c r="BW12" s="1">
        <v>0</v>
      </c>
      <c r="BX12" s="1">
        <v>0</v>
      </c>
      <c r="BY12" s="1" t="s">
        <v>10</v>
      </c>
      <c r="BZ12" s="1" t="s">
        <v>11</v>
      </c>
      <c r="CA12" s="1" t="s">
        <v>12</v>
      </c>
      <c r="CB12" s="1" t="s">
        <v>12</v>
      </c>
      <c r="CC12" s="1" t="s">
        <v>12</v>
      </c>
      <c r="CD12" s="1" t="s">
        <v>12</v>
      </c>
      <c r="CE12" s="1" t="s">
        <v>13</v>
      </c>
      <c r="CF12" s="1">
        <v>0</v>
      </c>
      <c r="CG12" s="1">
        <v>0</v>
      </c>
      <c r="CH12" s="1">
        <v>487096328</v>
      </c>
      <c r="CI12" s="1" t="s">
        <v>3</v>
      </c>
      <c r="CJ12" s="1" t="s">
        <v>3</v>
      </c>
      <c r="CK12" s="1">
        <v>18</v>
      </c>
      <c r="CL12" s="1"/>
      <c r="CM12" s="1"/>
      <c r="CN12" s="1"/>
      <c r="CO12" s="1"/>
      <c r="CP12" s="1"/>
      <c r="CQ12" s="1" t="s">
        <v>14</v>
      </c>
      <c r="CR12" s="1" t="s">
        <v>15</v>
      </c>
      <c r="CS12" s="1">
        <v>46161</v>
      </c>
      <c r="CT12" s="1">
        <v>567</v>
      </c>
      <c r="CU12" s="1">
        <v>18</v>
      </c>
      <c r="CV12" s="1" t="s">
        <v>800</v>
      </c>
      <c r="CW12" s="1"/>
      <c r="CX12" s="1"/>
      <c r="CY12" s="1">
        <v>0</v>
      </c>
      <c r="CZ12" s="1" t="s">
        <v>3</v>
      </c>
      <c r="DA12" s="1" t="s">
        <v>3</v>
      </c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5" spans="1:133" x14ac:dyDescent="0.25">
      <c r="A15" s="1">
        <v>15</v>
      </c>
      <c r="B15" s="1">
        <v>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</row>
    <row r="17" spans="1:255" ht="13.05" customHeight="1" x14ac:dyDescent="0.25"/>
    <row r="18" spans="1:255" ht="13.05" customHeight="1" x14ac:dyDescent="0.25">
      <c r="A18" s="3">
        <v>52</v>
      </c>
      <c r="B18" s="3">
        <f t="shared" ref="B18:F18" si="0">B292</f>
        <v>351</v>
      </c>
      <c r="C18" s="3">
        <f t="shared" si="0"/>
        <v>1</v>
      </c>
      <c r="D18" s="3">
        <f t="shared" si="0"/>
        <v>12</v>
      </c>
      <c r="E18" s="3">
        <f t="shared" si="0"/>
        <v>0</v>
      </c>
      <c r="F18" s="3" t="str">
        <f t="shared" si="0"/>
        <v>01-02-01</v>
      </c>
      <c r="G18" s="3"/>
      <c r="H18" s="3"/>
      <c r="I18" s="3"/>
      <c r="J18" s="3"/>
      <c r="K18" s="3"/>
      <c r="L18" s="3"/>
      <c r="M18" s="3"/>
      <c r="N18" s="3"/>
      <c r="O18" s="3">
        <f t="shared" ref="O18:AT18" si="1">O292</f>
        <v>227644.87</v>
      </c>
      <c r="P18" s="3">
        <f t="shared" si="1"/>
        <v>69684.17</v>
      </c>
      <c r="Q18" s="3">
        <f t="shared" si="1"/>
        <v>29754.47</v>
      </c>
      <c r="R18" s="3">
        <f t="shared" si="1"/>
        <v>10155.61</v>
      </c>
      <c r="S18" s="3">
        <f t="shared" si="1"/>
        <v>118050.62</v>
      </c>
      <c r="T18" s="3">
        <f t="shared" si="1"/>
        <v>0</v>
      </c>
      <c r="U18" s="3">
        <f t="shared" si="1"/>
        <v>345.98412399999995</v>
      </c>
      <c r="V18" s="3">
        <f t="shared" si="1"/>
        <v>24.553015800000001</v>
      </c>
      <c r="W18" s="3">
        <f t="shared" si="1"/>
        <v>0</v>
      </c>
      <c r="X18" s="3">
        <f t="shared" si="1"/>
        <v>128707.19</v>
      </c>
      <c r="Y18" s="3">
        <f t="shared" si="1"/>
        <v>72131.88</v>
      </c>
      <c r="Z18" s="3">
        <f t="shared" si="1"/>
        <v>0</v>
      </c>
      <c r="AA18" s="3">
        <f t="shared" si="1"/>
        <v>0</v>
      </c>
      <c r="AB18" s="3">
        <f t="shared" si="1"/>
        <v>0</v>
      </c>
      <c r="AC18" s="3">
        <f t="shared" si="1"/>
        <v>0</v>
      </c>
      <c r="AD18" s="3">
        <f t="shared" si="1"/>
        <v>0</v>
      </c>
      <c r="AE18" s="3">
        <f t="shared" si="1"/>
        <v>0</v>
      </c>
      <c r="AF18" s="3">
        <f t="shared" si="1"/>
        <v>0</v>
      </c>
      <c r="AG18" s="3">
        <f t="shared" si="1"/>
        <v>0</v>
      </c>
      <c r="AH18" s="3">
        <f t="shared" si="1"/>
        <v>0</v>
      </c>
      <c r="AI18" s="3">
        <f t="shared" si="1"/>
        <v>0</v>
      </c>
      <c r="AJ18" s="3">
        <f t="shared" si="1"/>
        <v>0</v>
      </c>
      <c r="AK18" s="3">
        <f t="shared" si="1"/>
        <v>0</v>
      </c>
      <c r="AL18" s="3">
        <f t="shared" si="1"/>
        <v>0</v>
      </c>
      <c r="AM18" s="3">
        <f t="shared" si="1"/>
        <v>0</v>
      </c>
      <c r="AN18" s="3">
        <f t="shared" si="1"/>
        <v>0</v>
      </c>
      <c r="AO18" s="3">
        <f t="shared" si="1"/>
        <v>0</v>
      </c>
      <c r="AP18" s="3">
        <f t="shared" si="1"/>
        <v>0</v>
      </c>
      <c r="AQ18" s="3">
        <f t="shared" si="1"/>
        <v>0</v>
      </c>
      <c r="AR18" s="3">
        <f t="shared" si="1"/>
        <v>491721.49</v>
      </c>
      <c r="AS18" s="3">
        <f t="shared" si="1"/>
        <v>454034.8</v>
      </c>
      <c r="AT18" s="3">
        <f t="shared" si="1"/>
        <v>37686.69</v>
      </c>
      <c r="AU18" s="3">
        <f t="shared" ref="AU18:BZ18" si="2">AU292</f>
        <v>0</v>
      </c>
      <c r="AV18" s="3">
        <f t="shared" si="2"/>
        <v>69684.17</v>
      </c>
      <c r="AW18" s="3">
        <f t="shared" si="2"/>
        <v>69684.17</v>
      </c>
      <c r="AX18" s="3">
        <f t="shared" si="2"/>
        <v>0</v>
      </c>
      <c r="AY18" s="3">
        <f t="shared" si="2"/>
        <v>69684.17</v>
      </c>
      <c r="AZ18" s="3">
        <f t="shared" si="2"/>
        <v>0</v>
      </c>
      <c r="BA18" s="3">
        <f t="shared" si="2"/>
        <v>0</v>
      </c>
      <c r="BB18" s="3">
        <f t="shared" si="2"/>
        <v>0</v>
      </c>
      <c r="BC18" s="3">
        <f t="shared" si="2"/>
        <v>0</v>
      </c>
      <c r="BD18" s="3">
        <f t="shared" si="2"/>
        <v>63237.55</v>
      </c>
      <c r="BE18" s="3">
        <f t="shared" si="2"/>
        <v>0</v>
      </c>
      <c r="BF18" s="3">
        <f t="shared" si="2"/>
        <v>0</v>
      </c>
      <c r="BG18" s="3">
        <f t="shared" si="2"/>
        <v>0</v>
      </c>
      <c r="BH18" s="3">
        <f t="shared" si="2"/>
        <v>0</v>
      </c>
      <c r="BI18" s="3">
        <f t="shared" si="2"/>
        <v>0</v>
      </c>
      <c r="BJ18" s="3">
        <f t="shared" si="2"/>
        <v>0</v>
      </c>
      <c r="BK18" s="3">
        <f t="shared" si="2"/>
        <v>0</v>
      </c>
      <c r="BL18" s="3">
        <f t="shared" si="2"/>
        <v>0</v>
      </c>
      <c r="BM18" s="3">
        <f t="shared" si="2"/>
        <v>0</v>
      </c>
      <c r="BN18" s="3">
        <f t="shared" si="2"/>
        <v>0</v>
      </c>
      <c r="BO18" s="3">
        <f t="shared" si="2"/>
        <v>0</v>
      </c>
      <c r="BP18" s="3">
        <f t="shared" si="2"/>
        <v>0</v>
      </c>
      <c r="BQ18" s="3">
        <f t="shared" si="2"/>
        <v>0</v>
      </c>
      <c r="BR18" s="3">
        <f t="shared" si="2"/>
        <v>0</v>
      </c>
      <c r="BS18" s="3">
        <f t="shared" si="2"/>
        <v>0</v>
      </c>
      <c r="BT18" s="3">
        <f t="shared" si="2"/>
        <v>0</v>
      </c>
      <c r="BU18" s="3">
        <f t="shared" si="2"/>
        <v>0</v>
      </c>
      <c r="BV18" s="3">
        <f t="shared" si="2"/>
        <v>0</v>
      </c>
      <c r="BW18" s="3">
        <f t="shared" si="2"/>
        <v>0</v>
      </c>
      <c r="BX18" s="3">
        <f t="shared" si="2"/>
        <v>0</v>
      </c>
      <c r="BY18" s="3">
        <f t="shared" si="2"/>
        <v>0</v>
      </c>
      <c r="BZ18" s="3">
        <f t="shared" si="2"/>
        <v>0</v>
      </c>
      <c r="CA18" s="3">
        <f t="shared" ref="CA18:DF18" si="3">CA292</f>
        <v>0</v>
      </c>
      <c r="CB18" s="3">
        <f t="shared" si="3"/>
        <v>0</v>
      </c>
      <c r="CC18" s="3">
        <f t="shared" si="3"/>
        <v>0</v>
      </c>
      <c r="CD18" s="3">
        <f t="shared" si="3"/>
        <v>0</v>
      </c>
      <c r="CE18" s="3">
        <f t="shared" si="3"/>
        <v>0</v>
      </c>
      <c r="CF18" s="3">
        <f t="shared" si="3"/>
        <v>0</v>
      </c>
      <c r="CG18" s="3">
        <f t="shared" si="3"/>
        <v>0</v>
      </c>
      <c r="CH18" s="3">
        <f t="shared" si="3"/>
        <v>0</v>
      </c>
      <c r="CI18" s="3">
        <f t="shared" si="3"/>
        <v>0</v>
      </c>
      <c r="CJ18" s="3">
        <f t="shared" si="3"/>
        <v>0</v>
      </c>
      <c r="CK18" s="3">
        <f t="shared" si="3"/>
        <v>0</v>
      </c>
      <c r="CL18" s="3">
        <f t="shared" si="3"/>
        <v>0</v>
      </c>
      <c r="CM18" s="3">
        <f t="shared" si="3"/>
        <v>0</v>
      </c>
      <c r="CN18" s="3">
        <f t="shared" si="3"/>
        <v>0</v>
      </c>
      <c r="CO18" s="3">
        <f t="shared" si="3"/>
        <v>0</v>
      </c>
      <c r="CP18" s="3">
        <f t="shared" si="3"/>
        <v>0</v>
      </c>
      <c r="CQ18" s="3">
        <f t="shared" si="3"/>
        <v>0</v>
      </c>
      <c r="CR18" s="3">
        <f t="shared" si="3"/>
        <v>0</v>
      </c>
      <c r="CS18" s="3">
        <f t="shared" si="3"/>
        <v>0</v>
      </c>
      <c r="CT18" s="3">
        <f t="shared" si="3"/>
        <v>0</v>
      </c>
      <c r="CU18" s="3">
        <f t="shared" si="3"/>
        <v>0</v>
      </c>
      <c r="CV18" s="3">
        <f t="shared" si="3"/>
        <v>0</v>
      </c>
      <c r="CW18" s="3">
        <f t="shared" si="3"/>
        <v>0</v>
      </c>
      <c r="CX18" s="3">
        <f t="shared" si="3"/>
        <v>0</v>
      </c>
      <c r="CY18" s="3">
        <f t="shared" si="3"/>
        <v>0</v>
      </c>
      <c r="CZ18" s="3">
        <f t="shared" si="3"/>
        <v>0</v>
      </c>
      <c r="DA18" s="3">
        <f t="shared" si="3"/>
        <v>0</v>
      </c>
      <c r="DB18" s="3">
        <f t="shared" si="3"/>
        <v>0</v>
      </c>
      <c r="DC18" s="3">
        <f t="shared" si="3"/>
        <v>0</v>
      </c>
      <c r="DD18" s="3">
        <f t="shared" si="3"/>
        <v>0</v>
      </c>
      <c r="DE18" s="3">
        <f t="shared" si="3"/>
        <v>0</v>
      </c>
      <c r="DF18" s="3">
        <f t="shared" si="3"/>
        <v>0</v>
      </c>
      <c r="DG18" s="4">
        <f t="shared" ref="DG18:EL18" si="4">DG292</f>
        <v>0</v>
      </c>
      <c r="DH18" s="4">
        <f t="shared" si="4"/>
        <v>0</v>
      </c>
      <c r="DI18" s="4">
        <f t="shared" si="4"/>
        <v>0</v>
      </c>
      <c r="DJ18" s="4">
        <f t="shared" si="4"/>
        <v>0</v>
      </c>
      <c r="DK18" s="4">
        <f t="shared" si="4"/>
        <v>0</v>
      </c>
      <c r="DL18" s="4">
        <f t="shared" si="4"/>
        <v>0</v>
      </c>
      <c r="DM18" s="4">
        <f t="shared" si="4"/>
        <v>0</v>
      </c>
      <c r="DN18" s="4">
        <f t="shared" si="4"/>
        <v>0</v>
      </c>
      <c r="DO18" s="4">
        <f t="shared" si="4"/>
        <v>0</v>
      </c>
      <c r="DP18" s="4">
        <f t="shared" si="4"/>
        <v>0</v>
      </c>
      <c r="DQ18" s="4">
        <f t="shared" si="4"/>
        <v>0</v>
      </c>
      <c r="DR18" s="4">
        <f t="shared" si="4"/>
        <v>0</v>
      </c>
      <c r="DS18" s="4">
        <f t="shared" si="4"/>
        <v>0</v>
      </c>
      <c r="DT18" s="4">
        <f t="shared" si="4"/>
        <v>0</v>
      </c>
      <c r="DU18" s="4">
        <f t="shared" si="4"/>
        <v>0</v>
      </c>
      <c r="DV18" s="4">
        <f t="shared" si="4"/>
        <v>0</v>
      </c>
      <c r="DW18" s="4">
        <f t="shared" si="4"/>
        <v>0</v>
      </c>
      <c r="DX18" s="4">
        <f t="shared" si="4"/>
        <v>0</v>
      </c>
      <c r="DY18" s="4">
        <f t="shared" si="4"/>
        <v>0</v>
      </c>
      <c r="DZ18" s="4">
        <f t="shared" si="4"/>
        <v>0</v>
      </c>
      <c r="EA18" s="4">
        <f t="shared" si="4"/>
        <v>0</v>
      </c>
      <c r="EB18" s="4">
        <f t="shared" si="4"/>
        <v>0</v>
      </c>
      <c r="EC18" s="4">
        <f t="shared" si="4"/>
        <v>0</v>
      </c>
      <c r="ED18" s="4">
        <f t="shared" si="4"/>
        <v>0</v>
      </c>
      <c r="EE18" s="4">
        <f t="shared" si="4"/>
        <v>0</v>
      </c>
      <c r="EF18" s="4">
        <f t="shared" si="4"/>
        <v>0</v>
      </c>
      <c r="EG18" s="4">
        <f t="shared" si="4"/>
        <v>0</v>
      </c>
      <c r="EH18" s="4">
        <f t="shared" si="4"/>
        <v>0</v>
      </c>
      <c r="EI18" s="4">
        <f t="shared" si="4"/>
        <v>0</v>
      </c>
      <c r="EJ18" s="4">
        <f t="shared" si="4"/>
        <v>0</v>
      </c>
      <c r="EK18" s="4">
        <f t="shared" si="4"/>
        <v>0</v>
      </c>
      <c r="EL18" s="4">
        <f t="shared" si="4"/>
        <v>0</v>
      </c>
      <c r="EM18" s="4">
        <f t="shared" ref="EM18:FR18" si="5">EM292</f>
        <v>0</v>
      </c>
      <c r="EN18" s="4">
        <f t="shared" si="5"/>
        <v>0</v>
      </c>
      <c r="EO18" s="4">
        <f t="shared" si="5"/>
        <v>0</v>
      </c>
      <c r="EP18" s="4">
        <f t="shared" si="5"/>
        <v>0</v>
      </c>
      <c r="EQ18" s="4">
        <f t="shared" si="5"/>
        <v>0</v>
      </c>
      <c r="ER18" s="4">
        <f t="shared" si="5"/>
        <v>0</v>
      </c>
      <c r="ES18" s="4">
        <f t="shared" si="5"/>
        <v>0</v>
      </c>
      <c r="ET18" s="4">
        <f t="shared" si="5"/>
        <v>0</v>
      </c>
      <c r="EU18" s="4">
        <f t="shared" si="5"/>
        <v>0</v>
      </c>
      <c r="EV18" s="4">
        <f t="shared" si="5"/>
        <v>0</v>
      </c>
      <c r="EW18" s="4">
        <f t="shared" si="5"/>
        <v>0</v>
      </c>
      <c r="EX18" s="4">
        <f t="shared" si="5"/>
        <v>0</v>
      </c>
      <c r="EY18" s="4">
        <f t="shared" si="5"/>
        <v>0</v>
      </c>
      <c r="EZ18" s="4">
        <f t="shared" si="5"/>
        <v>0</v>
      </c>
      <c r="FA18" s="4">
        <f t="shared" si="5"/>
        <v>0</v>
      </c>
      <c r="FB18" s="4">
        <f t="shared" si="5"/>
        <v>0</v>
      </c>
      <c r="FC18" s="4">
        <f t="shared" si="5"/>
        <v>0</v>
      </c>
      <c r="FD18" s="4">
        <f t="shared" si="5"/>
        <v>0</v>
      </c>
      <c r="FE18" s="4">
        <f t="shared" si="5"/>
        <v>0</v>
      </c>
      <c r="FF18" s="4">
        <f t="shared" si="5"/>
        <v>0</v>
      </c>
      <c r="FG18" s="4">
        <f t="shared" si="5"/>
        <v>0</v>
      </c>
      <c r="FH18" s="4">
        <f t="shared" si="5"/>
        <v>0</v>
      </c>
      <c r="FI18" s="4">
        <f t="shared" si="5"/>
        <v>0</v>
      </c>
      <c r="FJ18" s="4">
        <f t="shared" si="5"/>
        <v>0</v>
      </c>
      <c r="FK18" s="4">
        <f t="shared" si="5"/>
        <v>0</v>
      </c>
      <c r="FL18" s="4">
        <f t="shared" si="5"/>
        <v>0</v>
      </c>
      <c r="FM18" s="4">
        <f t="shared" si="5"/>
        <v>0</v>
      </c>
      <c r="FN18" s="4">
        <f t="shared" si="5"/>
        <v>0</v>
      </c>
      <c r="FO18" s="4">
        <f t="shared" si="5"/>
        <v>0</v>
      </c>
      <c r="FP18" s="4">
        <f t="shared" si="5"/>
        <v>0</v>
      </c>
      <c r="FQ18" s="4">
        <f t="shared" si="5"/>
        <v>0</v>
      </c>
      <c r="FR18" s="4">
        <f t="shared" si="5"/>
        <v>0</v>
      </c>
      <c r="FS18" s="4">
        <f t="shared" ref="FS18:GX18" si="6">FS292</f>
        <v>0</v>
      </c>
      <c r="FT18" s="4">
        <f t="shared" si="6"/>
        <v>0</v>
      </c>
      <c r="FU18" s="4">
        <f t="shared" si="6"/>
        <v>0</v>
      </c>
      <c r="FV18" s="4">
        <f t="shared" si="6"/>
        <v>0</v>
      </c>
      <c r="FW18" s="4">
        <f t="shared" si="6"/>
        <v>0</v>
      </c>
      <c r="FX18" s="4">
        <f t="shared" si="6"/>
        <v>0</v>
      </c>
      <c r="FY18" s="4">
        <f t="shared" si="6"/>
        <v>0</v>
      </c>
      <c r="FZ18" s="4">
        <f t="shared" si="6"/>
        <v>0</v>
      </c>
      <c r="GA18" s="4">
        <f t="shared" si="6"/>
        <v>0</v>
      </c>
      <c r="GB18" s="4">
        <f t="shared" si="6"/>
        <v>0</v>
      </c>
      <c r="GC18" s="4">
        <f t="shared" si="6"/>
        <v>0</v>
      </c>
      <c r="GD18" s="4">
        <f t="shared" si="6"/>
        <v>0</v>
      </c>
      <c r="GE18" s="4">
        <f t="shared" si="6"/>
        <v>0</v>
      </c>
      <c r="GF18" s="4">
        <f t="shared" si="6"/>
        <v>0</v>
      </c>
      <c r="GG18" s="4">
        <f t="shared" si="6"/>
        <v>0</v>
      </c>
      <c r="GH18" s="4">
        <f t="shared" si="6"/>
        <v>0</v>
      </c>
      <c r="GI18" s="4">
        <f t="shared" si="6"/>
        <v>0</v>
      </c>
      <c r="GJ18" s="4">
        <f t="shared" si="6"/>
        <v>0</v>
      </c>
      <c r="GK18" s="4">
        <f t="shared" si="6"/>
        <v>0</v>
      </c>
      <c r="GL18" s="4">
        <f t="shared" si="6"/>
        <v>0</v>
      </c>
      <c r="GM18" s="4">
        <f t="shared" si="6"/>
        <v>0</v>
      </c>
      <c r="GN18" s="4">
        <f t="shared" si="6"/>
        <v>0</v>
      </c>
      <c r="GO18" s="4">
        <f t="shared" si="6"/>
        <v>0</v>
      </c>
      <c r="GP18" s="4">
        <f t="shared" si="6"/>
        <v>0</v>
      </c>
      <c r="GQ18" s="4">
        <f t="shared" si="6"/>
        <v>0</v>
      </c>
      <c r="GR18" s="4">
        <f t="shared" si="6"/>
        <v>0</v>
      </c>
      <c r="GS18" s="4">
        <f t="shared" si="6"/>
        <v>0</v>
      </c>
      <c r="GT18" s="4">
        <f t="shared" si="6"/>
        <v>0</v>
      </c>
      <c r="GU18" s="4">
        <f t="shared" si="6"/>
        <v>0</v>
      </c>
      <c r="GV18" s="4">
        <f t="shared" si="6"/>
        <v>0</v>
      </c>
      <c r="GW18" s="4">
        <f t="shared" si="6"/>
        <v>0</v>
      </c>
      <c r="GX18" s="4">
        <f t="shared" si="6"/>
        <v>0</v>
      </c>
    </row>
    <row r="19" spans="1:255" ht="13.05" customHeight="1" x14ac:dyDescent="0.25"/>
    <row r="20" spans="1:255" ht="13.05" customHeight="1" x14ac:dyDescent="0.25">
      <c r="A20" s="1">
        <v>3</v>
      </c>
      <c r="B20" s="1">
        <v>1</v>
      </c>
      <c r="C20" s="1"/>
      <c r="D20" s="1">
        <f>ROW(A262)</f>
        <v>262</v>
      </c>
      <c r="E20" s="1"/>
      <c r="F20" s="1" t="s">
        <v>16</v>
      </c>
      <c r="G20" s="1" t="s">
        <v>1078</v>
      </c>
      <c r="H20" s="1" t="s">
        <v>3</v>
      </c>
      <c r="I20" s="1">
        <v>0</v>
      </c>
      <c r="J20" s="1" t="s">
        <v>3</v>
      </c>
      <c r="K20" s="1">
        <v>0</v>
      </c>
      <c r="L20" s="1" t="s">
        <v>16</v>
      </c>
      <c r="M20" s="1" t="s">
        <v>3</v>
      </c>
      <c r="N20" s="1"/>
      <c r="O20" s="1"/>
      <c r="P20" s="1"/>
      <c r="Q20" s="1"/>
      <c r="R20" s="1"/>
      <c r="S20" s="1">
        <v>0</v>
      </c>
      <c r="T20" s="1"/>
      <c r="U20" s="1" t="s">
        <v>3</v>
      </c>
      <c r="V20" s="1">
        <v>0</v>
      </c>
      <c r="W20" s="1"/>
      <c r="X20" s="1"/>
      <c r="Y20" s="1"/>
      <c r="Z20" s="1"/>
      <c r="AA20" s="1"/>
      <c r="AB20" s="1" t="s">
        <v>3</v>
      </c>
      <c r="AC20" s="1" t="s">
        <v>3</v>
      </c>
      <c r="AD20" s="1" t="s">
        <v>3</v>
      </c>
      <c r="AE20" s="1" t="s">
        <v>3</v>
      </c>
      <c r="AF20" s="1" t="s">
        <v>3</v>
      </c>
      <c r="AG20" s="1" t="s">
        <v>3</v>
      </c>
      <c r="AH20" s="1"/>
      <c r="AI20" s="1"/>
      <c r="AJ20" s="1"/>
      <c r="AK20" s="1"/>
      <c r="AL20" s="1"/>
      <c r="AM20" s="1"/>
      <c r="AN20" s="1"/>
      <c r="AO20" s="1"/>
      <c r="AP20" s="1" t="s">
        <v>3</v>
      </c>
      <c r="AQ20" s="1" t="s">
        <v>3</v>
      </c>
      <c r="AR20" s="1" t="s">
        <v>3</v>
      </c>
      <c r="AS20" s="1"/>
      <c r="AT20" s="1"/>
      <c r="AU20" s="1"/>
      <c r="AV20" s="1"/>
      <c r="AW20" s="1"/>
      <c r="AX20" s="1"/>
      <c r="AY20" s="1"/>
      <c r="AZ20" s="1" t="s">
        <v>3</v>
      </c>
      <c r="BA20" s="1"/>
      <c r="BB20" s="1" t="s">
        <v>3</v>
      </c>
      <c r="BC20" s="1" t="s">
        <v>3</v>
      </c>
      <c r="BD20" s="1" t="s">
        <v>3</v>
      </c>
      <c r="BE20" s="1" t="s">
        <v>3</v>
      </c>
      <c r="BF20" s="1" t="s">
        <v>3</v>
      </c>
      <c r="BG20" s="1" t="s">
        <v>3</v>
      </c>
      <c r="BH20" s="1" t="s">
        <v>3</v>
      </c>
      <c r="BI20" s="1" t="s">
        <v>3</v>
      </c>
      <c r="BJ20" s="1" t="s">
        <v>3</v>
      </c>
      <c r="BK20" s="1" t="s">
        <v>3</v>
      </c>
      <c r="BL20" s="1" t="s">
        <v>3</v>
      </c>
      <c r="BM20" s="1" t="s">
        <v>3</v>
      </c>
      <c r="BN20" s="1" t="s">
        <v>3</v>
      </c>
      <c r="BO20" s="1" t="s">
        <v>3</v>
      </c>
      <c r="BP20" s="1" t="s">
        <v>3</v>
      </c>
      <c r="BQ20" s="1"/>
      <c r="BR20" s="1"/>
      <c r="BS20" s="1"/>
      <c r="BT20" s="1"/>
      <c r="BU20" s="1"/>
      <c r="BV20" s="1"/>
      <c r="BW20" s="1"/>
      <c r="BX20" s="1">
        <v>0</v>
      </c>
      <c r="BY20" s="1"/>
      <c r="BZ20" s="1"/>
      <c r="CA20" s="1"/>
      <c r="CB20" s="1"/>
      <c r="CC20" s="1"/>
      <c r="CD20" s="1"/>
      <c r="CE20" s="1"/>
      <c r="CF20" s="1">
        <v>0</v>
      </c>
      <c r="CG20" s="1">
        <v>0</v>
      </c>
      <c r="CH20" s="1"/>
      <c r="CI20" s="1" t="s">
        <v>3</v>
      </c>
      <c r="CJ20" s="1" t="s">
        <v>3</v>
      </c>
      <c r="CK20" t="s">
        <v>3</v>
      </c>
      <c r="CL20" t="s">
        <v>3</v>
      </c>
      <c r="CM20" t="s">
        <v>3</v>
      </c>
      <c r="CN20" t="s">
        <v>3</v>
      </c>
      <c r="CO20" t="s">
        <v>3</v>
      </c>
      <c r="CP20" t="s">
        <v>3</v>
      </c>
      <c r="CQ20" t="s">
        <v>3</v>
      </c>
    </row>
    <row r="21" spans="1:255" ht="13.05" customHeight="1" x14ac:dyDescent="0.25"/>
    <row r="22" spans="1:255" ht="13.05" customHeight="1" x14ac:dyDescent="0.25">
      <c r="A22" s="3">
        <v>52</v>
      </c>
      <c r="B22" s="3">
        <f t="shared" ref="B22:G22" si="7">B262</f>
        <v>1</v>
      </c>
      <c r="C22" s="3">
        <f t="shared" si="7"/>
        <v>3</v>
      </c>
      <c r="D22" s="3">
        <f t="shared" si="7"/>
        <v>20</v>
      </c>
      <c r="E22" s="3">
        <f t="shared" si="7"/>
        <v>0</v>
      </c>
      <c r="F22" s="3" t="str">
        <f t="shared" si="7"/>
        <v>Новая локальная смета</v>
      </c>
      <c r="G22" s="3" t="str">
        <f t="shared" si="7"/>
        <v>Аварийный ремонт систмы теплоснабжения и ГВС к общежитию ФГБОУ «Рязанский государственный агротехнологический университет имени П.А. Костычева»</v>
      </c>
      <c r="H22" s="3"/>
      <c r="I22" s="3"/>
      <c r="J22" s="3"/>
      <c r="K22" s="3"/>
      <c r="L22" s="3"/>
      <c r="M22" s="3"/>
      <c r="N22" s="3"/>
      <c r="O22" s="3">
        <f t="shared" ref="O22:AT22" si="8">O262</f>
        <v>227644.87</v>
      </c>
      <c r="P22" s="3">
        <f t="shared" si="8"/>
        <v>69684.17</v>
      </c>
      <c r="Q22" s="3">
        <f t="shared" si="8"/>
        <v>29754.47</v>
      </c>
      <c r="R22" s="3">
        <f t="shared" si="8"/>
        <v>10155.61</v>
      </c>
      <c r="S22" s="3">
        <f t="shared" si="8"/>
        <v>118050.62</v>
      </c>
      <c r="T22" s="3">
        <f t="shared" si="8"/>
        <v>0</v>
      </c>
      <c r="U22" s="3">
        <f t="shared" si="8"/>
        <v>345.98412399999995</v>
      </c>
      <c r="V22" s="3">
        <f t="shared" si="8"/>
        <v>24.553015800000001</v>
      </c>
      <c r="W22" s="3">
        <f t="shared" si="8"/>
        <v>0</v>
      </c>
      <c r="X22" s="3">
        <f t="shared" si="8"/>
        <v>128707.19</v>
      </c>
      <c r="Y22" s="3">
        <f t="shared" si="8"/>
        <v>72131.88</v>
      </c>
      <c r="Z22" s="3">
        <f t="shared" si="8"/>
        <v>0</v>
      </c>
      <c r="AA22" s="3">
        <f t="shared" si="8"/>
        <v>0</v>
      </c>
      <c r="AB22" s="3">
        <f t="shared" si="8"/>
        <v>0</v>
      </c>
      <c r="AC22" s="3">
        <f t="shared" si="8"/>
        <v>0</v>
      </c>
      <c r="AD22" s="3">
        <f t="shared" si="8"/>
        <v>0</v>
      </c>
      <c r="AE22" s="3">
        <f t="shared" si="8"/>
        <v>0</v>
      </c>
      <c r="AF22" s="3">
        <f t="shared" si="8"/>
        <v>0</v>
      </c>
      <c r="AG22" s="3">
        <f t="shared" si="8"/>
        <v>0</v>
      </c>
      <c r="AH22" s="3">
        <f t="shared" si="8"/>
        <v>0</v>
      </c>
      <c r="AI22" s="3">
        <f t="shared" si="8"/>
        <v>0</v>
      </c>
      <c r="AJ22" s="3">
        <f t="shared" si="8"/>
        <v>0</v>
      </c>
      <c r="AK22" s="3">
        <f t="shared" si="8"/>
        <v>0</v>
      </c>
      <c r="AL22" s="3">
        <f t="shared" si="8"/>
        <v>0</v>
      </c>
      <c r="AM22" s="3">
        <f t="shared" si="8"/>
        <v>0</v>
      </c>
      <c r="AN22" s="3">
        <f t="shared" si="8"/>
        <v>0</v>
      </c>
      <c r="AO22" s="3">
        <f t="shared" si="8"/>
        <v>0</v>
      </c>
      <c r="AP22" s="3">
        <f t="shared" si="8"/>
        <v>0</v>
      </c>
      <c r="AQ22" s="3">
        <f t="shared" si="8"/>
        <v>0</v>
      </c>
      <c r="AR22" s="3">
        <f t="shared" si="8"/>
        <v>491721.49</v>
      </c>
      <c r="AS22" s="3">
        <f t="shared" si="8"/>
        <v>454034.8</v>
      </c>
      <c r="AT22" s="3">
        <f t="shared" si="8"/>
        <v>37686.69</v>
      </c>
      <c r="AU22" s="3">
        <f t="shared" ref="AU22:BZ22" si="9">AU262</f>
        <v>0</v>
      </c>
      <c r="AV22" s="3">
        <f t="shared" si="9"/>
        <v>69684.17</v>
      </c>
      <c r="AW22" s="3">
        <f t="shared" si="9"/>
        <v>69684.17</v>
      </c>
      <c r="AX22" s="3">
        <f t="shared" si="9"/>
        <v>0</v>
      </c>
      <c r="AY22" s="3">
        <f t="shared" si="9"/>
        <v>69684.17</v>
      </c>
      <c r="AZ22" s="3">
        <f t="shared" si="9"/>
        <v>0</v>
      </c>
      <c r="BA22" s="3">
        <f t="shared" si="9"/>
        <v>0</v>
      </c>
      <c r="BB22" s="3">
        <f t="shared" si="9"/>
        <v>0</v>
      </c>
      <c r="BC22" s="3">
        <f t="shared" si="9"/>
        <v>0</v>
      </c>
      <c r="BD22" s="3">
        <f t="shared" si="9"/>
        <v>63237.55</v>
      </c>
      <c r="BE22" s="3">
        <f t="shared" si="9"/>
        <v>0</v>
      </c>
      <c r="BF22" s="3">
        <f t="shared" si="9"/>
        <v>0</v>
      </c>
      <c r="BG22" s="3">
        <f t="shared" si="9"/>
        <v>0</v>
      </c>
      <c r="BH22" s="3">
        <f t="shared" si="9"/>
        <v>0</v>
      </c>
      <c r="BI22" s="3">
        <f t="shared" si="9"/>
        <v>0</v>
      </c>
      <c r="BJ22" s="3">
        <f t="shared" si="9"/>
        <v>0</v>
      </c>
      <c r="BK22" s="3">
        <f t="shared" si="9"/>
        <v>0</v>
      </c>
      <c r="BL22" s="3">
        <f t="shared" si="9"/>
        <v>0</v>
      </c>
      <c r="BM22" s="3">
        <f t="shared" si="9"/>
        <v>0</v>
      </c>
      <c r="BN22" s="3">
        <f t="shared" si="9"/>
        <v>0</v>
      </c>
      <c r="BO22" s="3">
        <f t="shared" si="9"/>
        <v>0</v>
      </c>
      <c r="BP22" s="3">
        <f t="shared" si="9"/>
        <v>0</v>
      </c>
      <c r="BQ22" s="3">
        <f t="shared" si="9"/>
        <v>0</v>
      </c>
      <c r="BR22" s="3">
        <f t="shared" si="9"/>
        <v>0</v>
      </c>
      <c r="BS22" s="3">
        <f t="shared" si="9"/>
        <v>0</v>
      </c>
      <c r="BT22" s="3">
        <f t="shared" si="9"/>
        <v>0</v>
      </c>
      <c r="BU22" s="3">
        <f t="shared" si="9"/>
        <v>0</v>
      </c>
      <c r="BV22" s="3">
        <f t="shared" si="9"/>
        <v>0</v>
      </c>
      <c r="BW22" s="3">
        <f t="shared" si="9"/>
        <v>0</v>
      </c>
      <c r="BX22" s="3">
        <f t="shared" si="9"/>
        <v>0</v>
      </c>
      <c r="BY22" s="3">
        <f t="shared" si="9"/>
        <v>0</v>
      </c>
      <c r="BZ22" s="3">
        <f t="shared" si="9"/>
        <v>0</v>
      </c>
      <c r="CA22" s="3">
        <f t="shared" ref="CA22:DF22" si="10">CA262</f>
        <v>0</v>
      </c>
      <c r="CB22" s="3">
        <f t="shared" si="10"/>
        <v>0</v>
      </c>
      <c r="CC22" s="3">
        <f t="shared" si="10"/>
        <v>0</v>
      </c>
      <c r="CD22" s="3">
        <f t="shared" si="10"/>
        <v>0</v>
      </c>
      <c r="CE22" s="3">
        <f t="shared" si="10"/>
        <v>0</v>
      </c>
      <c r="CF22" s="3">
        <f t="shared" si="10"/>
        <v>0</v>
      </c>
      <c r="CG22" s="3">
        <f t="shared" si="10"/>
        <v>0</v>
      </c>
      <c r="CH22" s="3">
        <f t="shared" si="10"/>
        <v>0</v>
      </c>
      <c r="CI22" s="3">
        <f t="shared" si="10"/>
        <v>0</v>
      </c>
      <c r="CJ22" s="3">
        <f t="shared" si="10"/>
        <v>0</v>
      </c>
      <c r="CK22" s="3">
        <f t="shared" si="10"/>
        <v>0</v>
      </c>
      <c r="CL22" s="3">
        <f t="shared" si="10"/>
        <v>0</v>
      </c>
      <c r="CM22" s="3">
        <f t="shared" si="10"/>
        <v>0</v>
      </c>
      <c r="CN22" s="3">
        <f t="shared" si="10"/>
        <v>0</v>
      </c>
      <c r="CO22" s="3">
        <f t="shared" si="10"/>
        <v>0</v>
      </c>
      <c r="CP22" s="3">
        <f t="shared" si="10"/>
        <v>0</v>
      </c>
      <c r="CQ22" s="3">
        <f t="shared" si="10"/>
        <v>0</v>
      </c>
      <c r="CR22" s="3">
        <f t="shared" si="10"/>
        <v>0</v>
      </c>
      <c r="CS22" s="3">
        <f t="shared" si="10"/>
        <v>0</v>
      </c>
      <c r="CT22" s="3">
        <f t="shared" si="10"/>
        <v>0</v>
      </c>
      <c r="CU22" s="3">
        <f t="shared" si="10"/>
        <v>0</v>
      </c>
      <c r="CV22" s="3">
        <f t="shared" si="10"/>
        <v>0</v>
      </c>
      <c r="CW22" s="3">
        <f t="shared" si="10"/>
        <v>0</v>
      </c>
      <c r="CX22" s="3">
        <f t="shared" si="10"/>
        <v>0</v>
      </c>
      <c r="CY22" s="3">
        <f t="shared" si="10"/>
        <v>0</v>
      </c>
      <c r="CZ22" s="3">
        <f t="shared" si="10"/>
        <v>0</v>
      </c>
      <c r="DA22" s="3">
        <f t="shared" si="10"/>
        <v>0</v>
      </c>
      <c r="DB22" s="3">
        <f t="shared" si="10"/>
        <v>0</v>
      </c>
      <c r="DC22" s="3">
        <f t="shared" si="10"/>
        <v>0</v>
      </c>
      <c r="DD22" s="3">
        <f t="shared" si="10"/>
        <v>0</v>
      </c>
      <c r="DE22" s="3">
        <f t="shared" si="10"/>
        <v>0</v>
      </c>
      <c r="DF22" s="3">
        <f t="shared" si="10"/>
        <v>0</v>
      </c>
      <c r="DG22" s="4">
        <f t="shared" ref="DG22:EL22" si="11">DG262</f>
        <v>0</v>
      </c>
      <c r="DH22" s="4">
        <f t="shared" si="11"/>
        <v>0</v>
      </c>
      <c r="DI22" s="4">
        <f t="shared" si="11"/>
        <v>0</v>
      </c>
      <c r="DJ22" s="4">
        <f t="shared" si="11"/>
        <v>0</v>
      </c>
      <c r="DK22" s="4">
        <f t="shared" si="11"/>
        <v>0</v>
      </c>
      <c r="DL22" s="4">
        <f t="shared" si="11"/>
        <v>0</v>
      </c>
      <c r="DM22" s="4">
        <f t="shared" si="11"/>
        <v>0</v>
      </c>
      <c r="DN22" s="4">
        <f t="shared" si="11"/>
        <v>0</v>
      </c>
      <c r="DO22" s="4">
        <f t="shared" si="11"/>
        <v>0</v>
      </c>
      <c r="DP22" s="4">
        <f t="shared" si="11"/>
        <v>0</v>
      </c>
      <c r="DQ22" s="4">
        <f t="shared" si="11"/>
        <v>0</v>
      </c>
      <c r="DR22" s="4">
        <f t="shared" si="11"/>
        <v>0</v>
      </c>
      <c r="DS22" s="4">
        <f t="shared" si="11"/>
        <v>0</v>
      </c>
      <c r="DT22" s="4">
        <f t="shared" si="11"/>
        <v>0</v>
      </c>
      <c r="DU22" s="4">
        <f t="shared" si="11"/>
        <v>0</v>
      </c>
      <c r="DV22" s="4">
        <f t="shared" si="11"/>
        <v>0</v>
      </c>
      <c r="DW22" s="4">
        <f t="shared" si="11"/>
        <v>0</v>
      </c>
      <c r="DX22" s="4">
        <f t="shared" si="11"/>
        <v>0</v>
      </c>
      <c r="DY22" s="4">
        <f t="shared" si="11"/>
        <v>0</v>
      </c>
      <c r="DZ22" s="4">
        <f t="shared" si="11"/>
        <v>0</v>
      </c>
      <c r="EA22" s="4">
        <f t="shared" si="11"/>
        <v>0</v>
      </c>
      <c r="EB22" s="4">
        <f t="shared" si="11"/>
        <v>0</v>
      </c>
      <c r="EC22" s="4">
        <f t="shared" si="11"/>
        <v>0</v>
      </c>
      <c r="ED22" s="4">
        <f t="shared" si="11"/>
        <v>0</v>
      </c>
      <c r="EE22" s="4">
        <f t="shared" si="11"/>
        <v>0</v>
      </c>
      <c r="EF22" s="4">
        <f t="shared" si="11"/>
        <v>0</v>
      </c>
      <c r="EG22" s="4">
        <f t="shared" si="11"/>
        <v>0</v>
      </c>
      <c r="EH22" s="4">
        <f t="shared" si="11"/>
        <v>0</v>
      </c>
      <c r="EI22" s="4">
        <f t="shared" si="11"/>
        <v>0</v>
      </c>
      <c r="EJ22" s="4">
        <f t="shared" si="11"/>
        <v>0</v>
      </c>
      <c r="EK22" s="4">
        <f t="shared" si="11"/>
        <v>0</v>
      </c>
      <c r="EL22" s="4">
        <f t="shared" si="11"/>
        <v>0</v>
      </c>
      <c r="EM22" s="4">
        <f t="shared" ref="EM22:FR22" si="12">EM262</f>
        <v>0</v>
      </c>
      <c r="EN22" s="4">
        <f t="shared" si="12"/>
        <v>0</v>
      </c>
      <c r="EO22" s="4">
        <f t="shared" si="12"/>
        <v>0</v>
      </c>
      <c r="EP22" s="4">
        <f t="shared" si="12"/>
        <v>0</v>
      </c>
      <c r="EQ22" s="4">
        <f t="shared" si="12"/>
        <v>0</v>
      </c>
      <c r="ER22" s="4">
        <f t="shared" si="12"/>
        <v>0</v>
      </c>
      <c r="ES22" s="4">
        <f t="shared" si="12"/>
        <v>0</v>
      </c>
      <c r="ET22" s="4">
        <f t="shared" si="12"/>
        <v>0</v>
      </c>
      <c r="EU22" s="4">
        <f t="shared" si="12"/>
        <v>0</v>
      </c>
      <c r="EV22" s="4">
        <f t="shared" si="12"/>
        <v>0</v>
      </c>
      <c r="EW22" s="4">
        <f t="shared" si="12"/>
        <v>0</v>
      </c>
      <c r="EX22" s="4">
        <f t="shared" si="12"/>
        <v>0</v>
      </c>
      <c r="EY22" s="4">
        <f t="shared" si="12"/>
        <v>0</v>
      </c>
      <c r="EZ22" s="4">
        <f t="shared" si="12"/>
        <v>0</v>
      </c>
      <c r="FA22" s="4">
        <f t="shared" si="12"/>
        <v>0</v>
      </c>
      <c r="FB22" s="4">
        <f t="shared" si="12"/>
        <v>0</v>
      </c>
      <c r="FC22" s="4">
        <f t="shared" si="12"/>
        <v>0</v>
      </c>
      <c r="FD22" s="4">
        <f t="shared" si="12"/>
        <v>0</v>
      </c>
      <c r="FE22" s="4">
        <f t="shared" si="12"/>
        <v>0</v>
      </c>
      <c r="FF22" s="4">
        <f t="shared" si="12"/>
        <v>0</v>
      </c>
      <c r="FG22" s="4">
        <f t="shared" si="12"/>
        <v>0</v>
      </c>
      <c r="FH22" s="4">
        <f t="shared" si="12"/>
        <v>0</v>
      </c>
      <c r="FI22" s="4">
        <f t="shared" si="12"/>
        <v>0</v>
      </c>
      <c r="FJ22" s="4">
        <f t="shared" si="12"/>
        <v>0</v>
      </c>
      <c r="FK22" s="4">
        <f t="shared" si="12"/>
        <v>0</v>
      </c>
      <c r="FL22" s="4">
        <f t="shared" si="12"/>
        <v>0</v>
      </c>
      <c r="FM22" s="4">
        <f t="shared" si="12"/>
        <v>0</v>
      </c>
      <c r="FN22" s="4">
        <f t="shared" si="12"/>
        <v>0</v>
      </c>
      <c r="FO22" s="4">
        <f t="shared" si="12"/>
        <v>0</v>
      </c>
      <c r="FP22" s="4">
        <f t="shared" si="12"/>
        <v>0</v>
      </c>
      <c r="FQ22" s="4">
        <f t="shared" si="12"/>
        <v>0</v>
      </c>
      <c r="FR22" s="4">
        <f t="shared" si="12"/>
        <v>0</v>
      </c>
      <c r="FS22" s="4">
        <f t="shared" ref="FS22:GX22" si="13">FS262</f>
        <v>0</v>
      </c>
      <c r="FT22" s="4">
        <f t="shared" si="13"/>
        <v>0</v>
      </c>
      <c r="FU22" s="4">
        <f t="shared" si="13"/>
        <v>0</v>
      </c>
      <c r="FV22" s="4">
        <f t="shared" si="13"/>
        <v>0</v>
      </c>
      <c r="FW22" s="4">
        <f t="shared" si="13"/>
        <v>0</v>
      </c>
      <c r="FX22" s="4">
        <f t="shared" si="13"/>
        <v>0</v>
      </c>
      <c r="FY22" s="4">
        <f t="shared" si="13"/>
        <v>0</v>
      </c>
      <c r="FZ22" s="4">
        <f t="shared" si="13"/>
        <v>0</v>
      </c>
      <c r="GA22" s="4">
        <f t="shared" si="13"/>
        <v>0</v>
      </c>
      <c r="GB22" s="4">
        <f t="shared" si="13"/>
        <v>0</v>
      </c>
      <c r="GC22" s="4">
        <f t="shared" si="13"/>
        <v>0</v>
      </c>
      <c r="GD22" s="4">
        <f t="shared" si="13"/>
        <v>0</v>
      </c>
      <c r="GE22" s="4">
        <f t="shared" si="13"/>
        <v>0</v>
      </c>
      <c r="GF22" s="4">
        <f t="shared" si="13"/>
        <v>0</v>
      </c>
      <c r="GG22" s="4">
        <f t="shared" si="13"/>
        <v>0</v>
      </c>
      <c r="GH22" s="4">
        <f t="shared" si="13"/>
        <v>0</v>
      </c>
      <c r="GI22" s="4">
        <f t="shared" si="13"/>
        <v>0</v>
      </c>
      <c r="GJ22" s="4">
        <f t="shared" si="13"/>
        <v>0</v>
      </c>
      <c r="GK22" s="4">
        <f t="shared" si="13"/>
        <v>0</v>
      </c>
      <c r="GL22" s="4">
        <f t="shared" si="13"/>
        <v>0</v>
      </c>
      <c r="GM22" s="4">
        <f t="shared" si="13"/>
        <v>0</v>
      </c>
      <c r="GN22" s="4">
        <f t="shared" si="13"/>
        <v>0</v>
      </c>
      <c r="GO22" s="4">
        <f t="shared" si="13"/>
        <v>0</v>
      </c>
      <c r="GP22" s="4">
        <f t="shared" si="13"/>
        <v>0</v>
      </c>
      <c r="GQ22" s="4">
        <f t="shared" si="13"/>
        <v>0</v>
      </c>
      <c r="GR22" s="4">
        <f t="shared" si="13"/>
        <v>0</v>
      </c>
      <c r="GS22" s="4">
        <f t="shared" si="13"/>
        <v>0</v>
      </c>
      <c r="GT22" s="4">
        <f t="shared" si="13"/>
        <v>0</v>
      </c>
      <c r="GU22" s="4">
        <f t="shared" si="13"/>
        <v>0</v>
      </c>
      <c r="GV22" s="4">
        <f t="shared" si="13"/>
        <v>0</v>
      </c>
      <c r="GW22" s="4">
        <f t="shared" si="13"/>
        <v>0</v>
      </c>
      <c r="GX22" s="4">
        <f t="shared" si="13"/>
        <v>0</v>
      </c>
    </row>
    <row r="23" spans="1:255" ht="13.05" customHeight="1" x14ac:dyDescent="0.25"/>
    <row r="24" spans="1:255" ht="13.05" customHeight="1" x14ac:dyDescent="0.25">
      <c r="A24">
        <v>19</v>
      </c>
      <c r="B24">
        <v>1</v>
      </c>
      <c r="F24" t="s">
        <v>3</v>
      </c>
      <c r="G24" t="s">
        <v>18</v>
      </c>
      <c r="H24" t="s">
        <v>3</v>
      </c>
      <c r="AA24">
        <v>1</v>
      </c>
      <c r="IK24">
        <v>0</v>
      </c>
    </row>
    <row r="25" spans="1:255" ht="13.05" customHeight="1" x14ac:dyDescent="0.25"/>
    <row r="26" spans="1:255" ht="13.05" customHeight="1" x14ac:dyDescent="0.25">
      <c r="A26" s="1">
        <v>4</v>
      </c>
      <c r="B26" s="1">
        <v>1</v>
      </c>
      <c r="C26" s="1"/>
      <c r="D26" s="1">
        <f>ROW(A51)</f>
        <v>51</v>
      </c>
      <c r="E26" s="1"/>
      <c r="F26" s="1" t="s">
        <v>19</v>
      </c>
      <c r="G26" s="1" t="s">
        <v>20</v>
      </c>
      <c r="H26" s="1" t="s">
        <v>3</v>
      </c>
      <c r="I26" s="1">
        <v>0</v>
      </c>
      <c r="J26" s="1"/>
      <c r="K26" s="1">
        <v>0</v>
      </c>
      <c r="L26" s="1"/>
      <c r="M26" s="1" t="s">
        <v>3</v>
      </c>
      <c r="N26" s="1"/>
      <c r="O26" s="1"/>
      <c r="P26" s="1"/>
      <c r="Q26" s="1"/>
      <c r="R26" s="1"/>
      <c r="S26" s="1">
        <v>0</v>
      </c>
      <c r="T26" s="1"/>
      <c r="U26" s="1" t="s">
        <v>3</v>
      </c>
      <c r="V26" s="1">
        <v>0</v>
      </c>
      <c r="W26" s="1"/>
      <c r="X26" s="1"/>
      <c r="Y26" s="1"/>
      <c r="Z26" s="1"/>
      <c r="AA26" s="1"/>
      <c r="AB26" s="1" t="s">
        <v>3</v>
      </c>
      <c r="AC26" s="1" t="s">
        <v>3</v>
      </c>
      <c r="AD26" s="1" t="s">
        <v>3</v>
      </c>
      <c r="AE26" s="1" t="s">
        <v>3</v>
      </c>
      <c r="AF26" s="1" t="s">
        <v>3</v>
      </c>
      <c r="AG26" s="1" t="s">
        <v>3</v>
      </c>
      <c r="AH26" s="1"/>
      <c r="AI26" s="1"/>
      <c r="AJ26" s="1"/>
      <c r="AK26" s="1"/>
      <c r="AL26" s="1"/>
      <c r="AM26" s="1"/>
      <c r="AN26" s="1"/>
      <c r="AO26" s="1"/>
      <c r="AP26" s="1" t="s">
        <v>3</v>
      </c>
      <c r="AQ26" s="1" t="s">
        <v>3</v>
      </c>
      <c r="AR26" s="1" t="s">
        <v>3</v>
      </c>
      <c r="AS26" s="1"/>
      <c r="AT26" s="1"/>
      <c r="AU26" s="1"/>
      <c r="AV26" s="1"/>
      <c r="AW26" s="1"/>
      <c r="AX26" s="1"/>
      <c r="AY26" s="1"/>
      <c r="AZ26" s="1" t="s">
        <v>3</v>
      </c>
      <c r="BA26" s="1"/>
      <c r="BB26" s="1" t="s">
        <v>3</v>
      </c>
      <c r="BC26" s="1" t="s">
        <v>3</v>
      </c>
      <c r="BD26" s="1" t="s">
        <v>3</v>
      </c>
      <c r="BE26" s="1" t="s">
        <v>3</v>
      </c>
      <c r="BF26" s="1" t="s">
        <v>3</v>
      </c>
      <c r="BG26" s="1" t="s">
        <v>3</v>
      </c>
      <c r="BH26" s="1" t="s">
        <v>3</v>
      </c>
      <c r="BI26" s="1" t="s">
        <v>3</v>
      </c>
      <c r="BJ26" s="1" t="s">
        <v>3</v>
      </c>
      <c r="BK26" s="1" t="s">
        <v>3</v>
      </c>
      <c r="BL26" s="1" t="s">
        <v>3</v>
      </c>
      <c r="BM26" s="1" t="s">
        <v>3</v>
      </c>
      <c r="BN26" s="1" t="s">
        <v>3</v>
      </c>
      <c r="BO26" s="1" t="s">
        <v>3</v>
      </c>
      <c r="BP26" s="1" t="s">
        <v>3</v>
      </c>
      <c r="BQ26" s="1"/>
      <c r="BR26" s="1"/>
      <c r="BS26" s="1"/>
      <c r="BT26" s="1"/>
      <c r="BU26" s="1"/>
      <c r="BV26" s="1"/>
      <c r="BW26" s="1"/>
      <c r="BX26" s="1">
        <v>0</v>
      </c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>
        <v>0</v>
      </c>
    </row>
    <row r="27" spans="1:255" ht="13.05" customHeight="1" x14ac:dyDescent="0.25"/>
    <row r="28" spans="1:255" ht="13.05" customHeight="1" x14ac:dyDescent="0.25">
      <c r="A28" s="3">
        <v>52</v>
      </c>
      <c r="B28" s="3">
        <f t="shared" ref="B28:G28" si="14">B51</f>
        <v>1</v>
      </c>
      <c r="C28" s="3">
        <f t="shared" si="14"/>
        <v>4</v>
      </c>
      <c r="D28" s="3">
        <f t="shared" si="14"/>
        <v>26</v>
      </c>
      <c r="E28" s="3">
        <f t="shared" si="14"/>
        <v>0</v>
      </c>
      <c r="F28" s="3" t="str">
        <f t="shared" si="14"/>
        <v>Новый раздел</v>
      </c>
      <c r="G28" s="3" t="str">
        <f t="shared" si="14"/>
        <v>Раздел 1. Земляные работы</v>
      </c>
      <c r="H28" s="3"/>
      <c r="I28" s="3"/>
      <c r="J28" s="3"/>
      <c r="K28" s="3"/>
      <c r="L28" s="3"/>
      <c r="M28" s="3"/>
      <c r="N28" s="3"/>
      <c r="O28" s="3">
        <f t="shared" ref="O28:AT28" si="15">O51</f>
        <v>38653.29</v>
      </c>
      <c r="P28" s="3">
        <f t="shared" si="15"/>
        <v>4169.32</v>
      </c>
      <c r="Q28" s="3">
        <f t="shared" si="15"/>
        <v>10527.74</v>
      </c>
      <c r="R28" s="3">
        <f t="shared" si="15"/>
        <v>4779.32</v>
      </c>
      <c r="S28" s="3">
        <f t="shared" si="15"/>
        <v>19176.91</v>
      </c>
      <c r="T28" s="3">
        <f t="shared" si="15"/>
        <v>0</v>
      </c>
      <c r="U28" s="3">
        <f t="shared" si="15"/>
        <v>62.059290000000004</v>
      </c>
      <c r="V28" s="3">
        <f t="shared" si="15"/>
        <v>11.49816</v>
      </c>
      <c r="W28" s="3">
        <f t="shared" si="15"/>
        <v>0</v>
      </c>
      <c r="X28" s="3">
        <f t="shared" si="15"/>
        <v>22477.13</v>
      </c>
      <c r="Y28" s="3">
        <f t="shared" si="15"/>
        <v>11189.05</v>
      </c>
      <c r="Z28" s="3">
        <f t="shared" si="15"/>
        <v>0</v>
      </c>
      <c r="AA28" s="3">
        <f t="shared" si="15"/>
        <v>0</v>
      </c>
      <c r="AB28" s="3">
        <f t="shared" si="15"/>
        <v>38653.29</v>
      </c>
      <c r="AC28" s="3">
        <f t="shared" si="15"/>
        <v>4169.32</v>
      </c>
      <c r="AD28" s="3">
        <f t="shared" si="15"/>
        <v>10527.74</v>
      </c>
      <c r="AE28" s="3">
        <f t="shared" si="15"/>
        <v>4779.32</v>
      </c>
      <c r="AF28" s="3">
        <f t="shared" si="15"/>
        <v>19176.91</v>
      </c>
      <c r="AG28" s="3">
        <f t="shared" si="15"/>
        <v>0</v>
      </c>
      <c r="AH28" s="3">
        <f t="shared" si="15"/>
        <v>62.059290000000004</v>
      </c>
      <c r="AI28" s="3">
        <f t="shared" si="15"/>
        <v>11.49816</v>
      </c>
      <c r="AJ28" s="3">
        <f t="shared" si="15"/>
        <v>0</v>
      </c>
      <c r="AK28" s="3">
        <f t="shared" si="15"/>
        <v>22477.13</v>
      </c>
      <c r="AL28" s="3">
        <f t="shared" si="15"/>
        <v>11189.05</v>
      </c>
      <c r="AM28" s="3">
        <f t="shared" si="15"/>
        <v>0</v>
      </c>
      <c r="AN28" s="3">
        <f t="shared" si="15"/>
        <v>0</v>
      </c>
      <c r="AO28" s="3">
        <f t="shared" si="15"/>
        <v>0</v>
      </c>
      <c r="AP28" s="3">
        <f t="shared" si="15"/>
        <v>0</v>
      </c>
      <c r="AQ28" s="3">
        <f t="shared" si="15"/>
        <v>0</v>
      </c>
      <c r="AR28" s="3">
        <f t="shared" si="15"/>
        <v>133020.49</v>
      </c>
      <c r="AS28" s="3">
        <f t="shared" si="15"/>
        <v>133020.49</v>
      </c>
      <c r="AT28" s="3">
        <f t="shared" si="15"/>
        <v>0</v>
      </c>
      <c r="AU28" s="3">
        <f t="shared" ref="AU28:BZ28" si="16">AU51</f>
        <v>0</v>
      </c>
      <c r="AV28" s="3">
        <f t="shared" si="16"/>
        <v>4169.32</v>
      </c>
      <c r="AW28" s="3">
        <f t="shared" si="16"/>
        <v>4169.32</v>
      </c>
      <c r="AX28" s="3">
        <f t="shared" si="16"/>
        <v>0</v>
      </c>
      <c r="AY28" s="3">
        <f t="shared" si="16"/>
        <v>4169.32</v>
      </c>
      <c r="AZ28" s="3">
        <f t="shared" si="16"/>
        <v>0</v>
      </c>
      <c r="BA28" s="3">
        <f t="shared" si="16"/>
        <v>0</v>
      </c>
      <c r="BB28" s="3">
        <f t="shared" si="16"/>
        <v>0</v>
      </c>
      <c r="BC28" s="3">
        <f t="shared" si="16"/>
        <v>0</v>
      </c>
      <c r="BD28" s="3">
        <f t="shared" si="16"/>
        <v>60701.02</v>
      </c>
      <c r="BE28" s="3">
        <f t="shared" si="16"/>
        <v>0</v>
      </c>
      <c r="BF28" s="3">
        <f t="shared" si="16"/>
        <v>0</v>
      </c>
      <c r="BG28" s="3">
        <f t="shared" si="16"/>
        <v>0</v>
      </c>
      <c r="BH28" s="3">
        <f t="shared" si="16"/>
        <v>0</v>
      </c>
      <c r="BI28" s="3">
        <f t="shared" si="16"/>
        <v>0</v>
      </c>
      <c r="BJ28" s="3">
        <f t="shared" si="16"/>
        <v>0</v>
      </c>
      <c r="BK28" s="3">
        <f t="shared" si="16"/>
        <v>0</v>
      </c>
      <c r="BL28" s="3">
        <f t="shared" si="16"/>
        <v>0</v>
      </c>
      <c r="BM28" s="3">
        <f t="shared" si="16"/>
        <v>0</v>
      </c>
      <c r="BN28" s="3">
        <f t="shared" si="16"/>
        <v>0</v>
      </c>
      <c r="BO28" s="3">
        <f t="shared" si="16"/>
        <v>0</v>
      </c>
      <c r="BP28" s="3">
        <f t="shared" si="16"/>
        <v>0</v>
      </c>
      <c r="BQ28" s="3">
        <f t="shared" si="16"/>
        <v>0</v>
      </c>
      <c r="BR28" s="3">
        <f t="shared" si="16"/>
        <v>0</v>
      </c>
      <c r="BS28" s="3">
        <f t="shared" si="16"/>
        <v>0</v>
      </c>
      <c r="BT28" s="3">
        <f t="shared" si="16"/>
        <v>0</v>
      </c>
      <c r="BU28" s="3">
        <f t="shared" si="16"/>
        <v>0</v>
      </c>
      <c r="BV28" s="3">
        <f t="shared" si="16"/>
        <v>0</v>
      </c>
      <c r="BW28" s="3">
        <f t="shared" si="16"/>
        <v>0</v>
      </c>
      <c r="BX28" s="3">
        <f t="shared" si="16"/>
        <v>0</v>
      </c>
      <c r="BY28" s="3">
        <f t="shared" si="16"/>
        <v>0</v>
      </c>
      <c r="BZ28" s="3">
        <f t="shared" si="16"/>
        <v>0</v>
      </c>
      <c r="CA28" s="3">
        <f t="shared" ref="CA28:DF28" si="17">CA51</f>
        <v>133020.49</v>
      </c>
      <c r="CB28" s="3">
        <f t="shared" si="17"/>
        <v>133020.49</v>
      </c>
      <c r="CC28" s="3">
        <f t="shared" si="17"/>
        <v>0</v>
      </c>
      <c r="CD28" s="3">
        <f t="shared" si="17"/>
        <v>0</v>
      </c>
      <c r="CE28" s="3">
        <f t="shared" si="17"/>
        <v>4169.32</v>
      </c>
      <c r="CF28" s="3">
        <f t="shared" si="17"/>
        <v>4169.32</v>
      </c>
      <c r="CG28" s="3">
        <f t="shared" si="17"/>
        <v>0</v>
      </c>
      <c r="CH28" s="3">
        <f t="shared" si="17"/>
        <v>4169.32</v>
      </c>
      <c r="CI28" s="3">
        <f t="shared" si="17"/>
        <v>0</v>
      </c>
      <c r="CJ28" s="3">
        <f t="shared" si="17"/>
        <v>0</v>
      </c>
      <c r="CK28" s="3">
        <f t="shared" si="17"/>
        <v>0</v>
      </c>
      <c r="CL28" s="3">
        <f t="shared" si="17"/>
        <v>0</v>
      </c>
      <c r="CM28" s="3">
        <f t="shared" si="17"/>
        <v>60701.02</v>
      </c>
      <c r="CN28" s="3">
        <f t="shared" si="17"/>
        <v>0</v>
      </c>
      <c r="CO28" s="3">
        <f t="shared" si="17"/>
        <v>0</v>
      </c>
      <c r="CP28" s="3">
        <f t="shared" si="17"/>
        <v>0</v>
      </c>
      <c r="CQ28" s="3">
        <f t="shared" si="17"/>
        <v>0</v>
      </c>
      <c r="CR28" s="3">
        <f t="shared" si="17"/>
        <v>0</v>
      </c>
      <c r="CS28" s="3">
        <f t="shared" si="17"/>
        <v>0</v>
      </c>
      <c r="CT28" s="3">
        <f t="shared" si="17"/>
        <v>0</v>
      </c>
      <c r="CU28" s="3">
        <f t="shared" si="17"/>
        <v>0</v>
      </c>
      <c r="CV28" s="3">
        <f t="shared" si="17"/>
        <v>0</v>
      </c>
      <c r="CW28" s="3">
        <f t="shared" si="17"/>
        <v>0</v>
      </c>
      <c r="CX28" s="3">
        <f t="shared" si="17"/>
        <v>0</v>
      </c>
      <c r="CY28" s="3">
        <f t="shared" si="17"/>
        <v>0</v>
      </c>
      <c r="CZ28" s="3">
        <f t="shared" si="17"/>
        <v>0</v>
      </c>
      <c r="DA28" s="3">
        <f t="shared" si="17"/>
        <v>0</v>
      </c>
      <c r="DB28" s="3">
        <f t="shared" si="17"/>
        <v>0</v>
      </c>
      <c r="DC28" s="3">
        <f t="shared" si="17"/>
        <v>0</v>
      </c>
      <c r="DD28" s="3">
        <f t="shared" si="17"/>
        <v>0</v>
      </c>
      <c r="DE28" s="3">
        <f t="shared" si="17"/>
        <v>0</v>
      </c>
      <c r="DF28" s="3">
        <f t="shared" si="17"/>
        <v>0</v>
      </c>
      <c r="DG28" s="4">
        <f t="shared" ref="DG28:EL28" si="18">DG51</f>
        <v>0</v>
      </c>
      <c r="DH28" s="4">
        <f t="shared" si="18"/>
        <v>0</v>
      </c>
      <c r="DI28" s="4">
        <f t="shared" si="18"/>
        <v>0</v>
      </c>
      <c r="DJ28" s="4">
        <f t="shared" si="18"/>
        <v>0</v>
      </c>
      <c r="DK28" s="4">
        <f t="shared" si="18"/>
        <v>0</v>
      </c>
      <c r="DL28" s="4">
        <f t="shared" si="18"/>
        <v>0</v>
      </c>
      <c r="DM28" s="4">
        <f t="shared" si="18"/>
        <v>0</v>
      </c>
      <c r="DN28" s="4">
        <f t="shared" si="18"/>
        <v>0</v>
      </c>
      <c r="DO28" s="4">
        <f t="shared" si="18"/>
        <v>0</v>
      </c>
      <c r="DP28" s="4">
        <f t="shared" si="18"/>
        <v>0</v>
      </c>
      <c r="DQ28" s="4">
        <f t="shared" si="18"/>
        <v>0</v>
      </c>
      <c r="DR28" s="4">
        <f t="shared" si="18"/>
        <v>0</v>
      </c>
      <c r="DS28" s="4">
        <f t="shared" si="18"/>
        <v>0</v>
      </c>
      <c r="DT28" s="4">
        <f t="shared" si="18"/>
        <v>0</v>
      </c>
      <c r="DU28" s="4">
        <f t="shared" si="18"/>
        <v>0</v>
      </c>
      <c r="DV28" s="4">
        <f t="shared" si="18"/>
        <v>0</v>
      </c>
      <c r="DW28" s="4">
        <f t="shared" si="18"/>
        <v>0</v>
      </c>
      <c r="DX28" s="4">
        <f t="shared" si="18"/>
        <v>0</v>
      </c>
      <c r="DY28" s="4">
        <f t="shared" si="18"/>
        <v>0</v>
      </c>
      <c r="DZ28" s="4">
        <f t="shared" si="18"/>
        <v>0</v>
      </c>
      <c r="EA28" s="4">
        <f t="shared" si="18"/>
        <v>0</v>
      </c>
      <c r="EB28" s="4">
        <f t="shared" si="18"/>
        <v>0</v>
      </c>
      <c r="EC28" s="4">
        <f t="shared" si="18"/>
        <v>0</v>
      </c>
      <c r="ED28" s="4">
        <f t="shared" si="18"/>
        <v>0</v>
      </c>
      <c r="EE28" s="4">
        <f t="shared" si="18"/>
        <v>0</v>
      </c>
      <c r="EF28" s="4">
        <f t="shared" si="18"/>
        <v>0</v>
      </c>
      <c r="EG28" s="4">
        <f t="shared" si="18"/>
        <v>0</v>
      </c>
      <c r="EH28" s="4">
        <f t="shared" si="18"/>
        <v>0</v>
      </c>
      <c r="EI28" s="4">
        <f t="shared" si="18"/>
        <v>0</v>
      </c>
      <c r="EJ28" s="4">
        <f t="shared" si="18"/>
        <v>0</v>
      </c>
      <c r="EK28" s="4">
        <f t="shared" si="18"/>
        <v>0</v>
      </c>
      <c r="EL28" s="4">
        <f t="shared" si="18"/>
        <v>0</v>
      </c>
      <c r="EM28" s="4">
        <f t="shared" ref="EM28:FR28" si="19">EM51</f>
        <v>0</v>
      </c>
      <c r="EN28" s="4">
        <f t="shared" si="19"/>
        <v>0</v>
      </c>
      <c r="EO28" s="4">
        <f t="shared" si="19"/>
        <v>0</v>
      </c>
      <c r="EP28" s="4">
        <f t="shared" si="19"/>
        <v>0</v>
      </c>
      <c r="EQ28" s="4">
        <f t="shared" si="19"/>
        <v>0</v>
      </c>
      <c r="ER28" s="4">
        <f t="shared" si="19"/>
        <v>0</v>
      </c>
      <c r="ES28" s="4">
        <f t="shared" si="19"/>
        <v>0</v>
      </c>
      <c r="ET28" s="4">
        <f t="shared" si="19"/>
        <v>0</v>
      </c>
      <c r="EU28" s="4">
        <f t="shared" si="19"/>
        <v>0</v>
      </c>
      <c r="EV28" s="4">
        <f t="shared" si="19"/>
        <v>0</v>
      </c>
      <c r="EW28" s="4">
        <f t="shared" si="19"/>
        <v>0</v>
      </c>
      <c r="EX28" s="4">
        <f t="shared" si="19"/>
        <v>0</v>
      </c>
      <c r="EY28" s="4">
        <f t="shared" si="19"/>
        <v>0</v>
      </c>
      <c r="EZ28" s="4">
        <f t="shared" si="19"/>
        <v>0</v>
      </c>
      <c r="FA28" s="4">
        <f t="shared" si="19"/>
        <v>0</v>
      </c>
      <c r="FB28" s="4">
        <f t="shared" si="19"/>
        <v>0</v>
      </c>
      <c r="FC28" s="4">
        <f t="shared" si="19"/>
        <v>0</v>
      </c>
      <c r="FD28" s="4">
        <f t="shared" si="19"/>
        <v>0</v>
      </c>
      <c r="FE28" s="4">
        <f t="shared" si="19"/>
        <v>0</v>
      </c>
      <c r="FF28" s="4">
        <f t="shared" si="19"/>
        <v>0</v>
      </c>
      <c r="FG28" s="4">
        <f t="shared" si="19"/>
        <v>0</v>
      </c>
      <c r="FH28" s="4">
        <f t="shared" si="19"/>
        <v>0</v>
      </c>
      <c r="FI28" s="4">
        <f t="shared" si="19"/>
        <v>0</v>
      </c>
      <c r="FJ28" s="4">
        <f t="shared" si="19"/>
        <v>0</v>
      </c>
      <c r="FK28" s="4">
        <f t="shared" si="19"/>
        <v>0</v>
      </c>
      <c r="FL28" s="4">
        <f t="shared" si="19"/>
        <v>0</v>
      </c>
      <c r="FM28" s="4">
        <f t="shared" si="19"/>
        <v>0</v>
      </c>
      <c r="FN28" s="4">
        <f t="shared" si="19"/>
        <v>0</v>
      </c>
      <c r="FO28" s="4">
        <f t="shared" si="19"/>
        <v>0</v>
      </c>
      <c r="FP28" s="4">
        <f t="shared" si="19"/>
        <v>0</v>
      </c>
      <c r="FQ28" s="4">
        <f t="shared" si="19"/>
        <v>0</v>
      </c>
      <c r="FR28" s="4">
        <f t="shared" si="19"/>
        <v>0</v>
      </c>
      <c r="FS28" s="4">
        <f t="shared" ref="FS28:GX28" si="20">FS51</f>
        <v>0</v>
      </c>
      <c r="FT28" s="4">
        <f t="shared" si="20"/>
        <v>0</v>
      </c>
      <c r="FU28" s="4">
        <f t="shared" si="20"/>
        <v>0</v>
      </c>
      <c r="FV28" s="4">
        <f t="shared" si="20"/>
        <v>0</v>
      </c>
      <c r="FW28" s="4">
        <f t="shared" si="20"/>
        <v>0</v>
      </c>
      <c r="FX28" s="4">
        <f t="shared" si="20"/>
        <v>0</v>
      </c>
      <c r="FY28" s="4">
        <f t="shared" si="20"/>
        <v>0</v>
      </c>
      <c r="FZ28" s="4">
        <f t="shared" si="20"/>
        <v>0</v>
      </c>
      <c r="GA28" s="4">
        <f t="shared" si="20"/>
        <v>0</v>
      </c>
      <c r="GB28" s="4">
        <f t="shared" si="20"/>
        <v>0</v>
      </c>
      <c r="GC28" s="4">
        <f t="shared" si="20"/>
        <v>0</v>
      </c>
      <c r="GD28" s="4">
        <f t="shared" si="20"/>
        <v>0</v>
      </c>
      <c r="GE28" s="4">
        <f t="shared" si="20"/>
        <v>0</v>
      </c>
      <c r="GF28" s="4">
        <f t="shared" si="20"/>
        <v>0</v>
      </c>
      <c r="GG28" s="4">
        <f t="shared" si="20"/>
        <v>0</v>
      </c>
      <c r="GH28" s="4">
        <f t="shared" si="20"/>
        <v>0</v>
      </c>
      <c r="GI28" s="4">
        <f t="shared" si="20"/>
        <v>0</v>
      </c>
      <c r="GJ28" s="4">
        <f t="shared" si="20"/>
        <v>0</v>
      </c>
      <c r="GK28" s="4">
        <f t="shared" si="20"/>
        <v>0</v>
      </c>
      <c r="GL28" s="4">
        <f t="shared" si="20"/>
        <v>0</v>
      </c>
      <c r="GM28" s="4">
        <f t="shared" si="20"/>
        <v>0</v>
      </c>
      <c r="GN28" s="4">
        <f t="shared" si="20"/>
        <v>0</v>
      </c>
      <c r="GO28" s="4">
        <f t="shared" si="20"/>
        <v>0</v>
      </c>
      <c r="GP28" s="4">
        <f t="shared" si="20"/>
        <v>0</v>
      </c>
      <c r="GQ28" s="4">
        <f t="shared" si="20"/>
        <v>0</v>
      </c>
      <c r="GR28" s="4">
        <f t="shared" si="20"/>
        <v>0</v>
      </c>
      <c r="GS28" s="4">
        <f t="shared" si="20"/>
        <v>0</v>
      </c>
      <c r="GT28" s="4">
        <f t="shared" si="20"/>
        <v>0</v>
      </c>
      <c r="GU28" s="4">
        <f t="shared" si="20"/>
        <v>0</v>
      </c>
      <c r="GV28" s="4">
        <f t="shared" si="20"/>
        <v>0</v>
      </c>
      <c r="GW28" s="4">
        <f t="shared" si="20"/>
        <v>0</v>
      </c>
      <c r="GX28" s="4">
        <f t="shared" si="20"/>
        <v>0</v>
      </c>
    </row>
    <row r="29" spans="1:255" ht="13.05" customHeight="1" x14ac:dyDescent="0.25"/>
    <row r="30" spans="1:255" ht="13.05" customHeight="1" x14ac:dyDescent="0.25">
      <c r="A30">
        <v>19</v>
      </c>
      <c r="B30">
        <v>1</v>
      </c>
      <c r="F30" t="s">
        <v>3</v>
      </c>
      <c r="G30" t="s">
        <v>21</v>
      </c>
      <c r="H30" t="s">
        <v>3</v>
      </c>
      <c r="AA30">
        <v>1</v>
      </c>
      <c r="IK30">
        <v>0</v>
      </c>
    </row>
    <row r="31" spans="1:255" ht="13.05" customHeight="1" x14ac:dyDescent="0.25">
      <c r="A31" s="2">
        <v>17</v>
      </c>
      <c r="B31" s="2">
        <v>1</v>
      </c>
      <c r="C31" s="2">
        <f>ROW(SmtRes!A1)</f>
        <v>1</v>
      </c>
      <c r="D31" s="2">
        <f>ROW(EtalonRes!A1)</f>
        <v>1</v>
      </c>
      <c r="E31" s="2" t="s">
        <v>22</v>
      </c>
      <c r="F31" s="2" t="s">
        <v>23</v>
      </c>
      <c r="G31" s="2" t="s">
        <v>24</v>
      </c>
      <c r="H31" s="2" t="s">
        <v>25</v>
      </c>
      <c r="I31" s="2">
        <v>0.05</v>
      </c>
      <c r="J31" s="2">
        <v>0</v>
      </c>
      <c r="K31" s="2">
        <v>0.05</v>
      </c>
      <c r="L31" s="2"/>
      <c r="M31" s="2"/>
      <c r="N31" s="2"/>
      <c r="O31" s="2">
        <f>ROUND(CP31,2)</f>
        <v>3048.46</v>
      </c>
      <c r="P31" s="2">
        <f>SUMIF(SmtRes!AQ1:'SmtRes'!AQ1,"=1",SmtRes!DF1:'SmtRes'!DF1)</f>
        <v>0</v>
      </c>
      <c r="Q31" s="2">
        <f>SUMIF(SmtRes!AQ1:'SmtRes'!AQ1,"=1",SmtRes!DG1:'SmtRes'!DG1)</f>
        <v>0</v>
      </c>
      <c r="R31" s="2">
        <f>SUMIF(SmtRes!AQ1:'SmtRes'!AQ1,"=1",SmtRes!DH1:'SmtRes'!DH1)</f>
        <v>0</v>
      </c>
      <c r="S31" s="2">
        <f>SUMIF(SmtRes!AQ1:'SmtRes'!AQ1,"=1",SmtRes!DI1:'SmtRes'!DI1)</f>
        <v>3048.46</v>
      </c>
      <c r="T31" s="2">
        <f>ROUND(CU31*I31,2)</f>
        <v>0</v>
      </c>
      <c r="U31" s="2">
        <f>SUMIF(SmtRes!AQ1:'SmtRes'!AQ1,"=1",SmtRes!CV1:'SmtRes'!CV1)</f>
        <v>10.183249999999999</v>
      </c>
      <c r="V31" s="2">
        <f>SUMIF(SmtRes!AQ1:'SmtRes'!AQ1,"=1",SmtRes!CW1:'SmtRes'!CW1)</f>
        <v>0</v>
      </c>
      <c r="W31" s="2">
        <f>ROUND(CX31*I31,2)</f>
        <v>0</v>
      </c>
      <c r="X31" s="2">
        <f>ROUND(CY31,2)</f>
        <v>2713.13</v>
      </c>
      <c r="Y31" s="2">
        <f>ROUND(CZ31,2)</f>
        <v>1219.3800000000001</v>
      </c>
      <c r="Z31" s="2"/>
      <c r="AA31" s="2">
        <v>75604747</v>
      </c>
      <c r="AB31" s="2">
        <f>ROUND((AC31+AD31+AF31),6)</f>
        <v>60969.154399999999</v>
      </c>
      <c r="AC31" s="2">
        <f>ROUND((0),6)</f>
        <v>0</v>
      </c>
      <c r="AD31" s="2">
        <f>ROUND((((0)-(0))+AE31),6)</f>
        <v>0</v>
      </c>
      <c r="AE31" s="2">
        <f>ROUND((0),6)</f>
        <v>0</v>
      </c>
      <c r="AF31" s="2">
        <f>ROUND((SUM(SmtRes!BT1:'SmtRes'!BT1)),6)</f>
        <v>60969.154399999999</v>
      </c>
      <c r="AG31" s="2">
        <f>ROUND((AP31),6)</f>
        <v>0</v>
      </c>
      <c r="AH31" s="2">
        <f>(SUM(SmtRes!BU1:'SmtRes'!BU1))</f>
        <v>203.66499999999996</v>
      </c>
      <c r="AI31" s="2">
        <f>(0)</f>
        <v>0</v>
      </c>
      <c r="AJ31" s="2">
        <f>(AS31)</f>
        <v>0</v>
      </c>
      <c r="AK31" s="2">
        <v>46101.440000000002</v>
      </c>
      <c r="AL31" s="2">
        <v>0</v>
      </c>
      <c r="AM31" s="2">
        <v>0</v>
      </c>
      <c r="AN31" s="2">
        <v>0</v>
      </c>
      <c r="AO31" s="2">
        <v>46101.440000000002</v>
      </c>
      <c r="AP31" s="2">
        <v>0</v>
      </c>
      <c r="AQ31" s="2">
        <v>154</v>
      </c>
      <c r="AR31" s="2">
        <v>0</v>
      </c>
      <c r="AS31" s="2">
        <v>0</v>
      </c>
      <c r="AT31" s="2">
        <v>89</v>
      </c>
      <c r="AU31" s="2">
        <v>40</v>
      </c>
      <c r="AV31" s="2">
        <v>1</v>
      </c>
      <c r="AW31" s="2">
        <v>1</v>
      </c>
      <c r="AX31" s="2"/>
      <c r="AY31" s="2"/>
      <c r="AZ31" s="2">
        <v>1</v>
      </c>
      <c r="BA31" s="2">
        <v>1</v>
      </c>
      <c r="BB31" s="2">
        <v>1</v>
      </c>
      <c r="BC31" s="2">
        <v>1</v>
      </c>
      <c r="BD31" s="2" t="s">
        <v>3</v>
      </c>
      <c r="BE31" s="2" t="s">
        <v>3</v>
      </c>
      <c r="BF31" s="2" t="s">
        <v>3</v>
      </c>
      <c r="BG31" s="2" t="s">
        <v>3</v>
      </c>
      <c r="BH31" s="2">
        <v>0</v>
      </c>
      <c r="BI31" s="2">
        <v>1</v>
      </c>
      <c r="BJ31" s="2" t="s">
        <v>26</v>
      </c>
      <c r="BK31" s="2"/>
      <c r="BL31" s="2"/>
      <c r="BM31" s="2">
        <v>1003</v>
      </c>
      <c r="BN31" s="2">
        <v>0</v>
      </c>
      <c r="BO31" s="2" t="s">
        <v>3</v>
      </c>
      <c r="BP31" s="2">
        <v>0</v>
      </c>
      <c r="BQ31" s="2">
        <v>2</v>
      </c>
      <c r="BR31" s="2">
        <v>0</v>
      </c>
      <c r="BS31" s="2">
        <v>1</v>
      </c>
      <c r="BT31" s="2">
        <v>1</v>
      </c>
      <c r="BU31" s="2">
        <v>1</v>
      </c>
      <c r="BV31" s="2">
        <v>1</v>
      </c>
      <c r="BW31" s="2">
        <v>1</v>
      </c>
      <c r="BX31" s="2">
        <v>1</v>
      </c>
      <c r="BY31" s="2" t="s">
        <v>3</v>
      </c>
      <c r="BZ31" s="2">
        <v>89</v>
      </c>
      <c r="CA31" s="2">
        <v>40</v>
      </c>
      <c r="CB31" s="2" t="s">
        <v>3</v>
      </c>
      <c r="CC31" s="2"/>
      <c r="CD31" s="2"/>
      <c r="CE31" s="2">
        <v>0</v>
      </c>
      <c r="CF31" s="2">
        <v>0</v>
      </c>
      <c r="CG31" s="2">
        <v>0</v>
      </c>
      <c r="CH31" s="2"/>
      <c r="CI31" s="2"/>
      <c r="CJ31" s="2"/>
      <c r="CK31" s="2"/>
      <c r="CL31" s="2"/>
      <c r="CM31" s="2">
        <v>0</v>
      </c>
      <c r="CN31" s="7" t="s">
        <v>801</v>
      </c>
      <c r="CO31" s="2">
        <v>0</v>
      </c>
      <c r="CP31" s="2">
        <f>(P31+Q31+S31+R31)</f>
        <v>3048.46</v>
      </c>
      <c r="CQ31" s="2">
        <f>SUMIF(SmtRes!AQ1:'SmtRes'!AQ1,"=1",SmtRes!AA1:'SmtRes'!AA1)</f>
        <v>0</v>
      </c>
      <c r="CR31" s="2">
        <f>SUMIF(SmtRes!AQ1:'SmtRes'!AQ1,"=1",SmtRes!AB1:'SmtRes'!AB1)</f>
        <v>0</v>
      </c>
      <c r="CS31" s="2">
        <f>SUMIF(SmtRes!AQ1:'SmtRes'!AQ1,"=1",SmtRes!AC1:'SmtRes'!AC1)</f>
        <v>0</v>
      </c>
      <c r="CT31" s="2">
        <f>SUMIF(SmtRes!AQ1:'SmtRes'!AQ1,"=1",SmtRes!AD1:'SmtRes'!AD1)</f>
        <v>299.36</v>
      </c>
      <c r="CU31" s="2">
        <f>AG31</f>
        <v>0</v>
      </c>
      <c r="CV31" s="2">
        <f>SUMIF(SmtRes!AQ1:'SmtRes'!AQ1,"=1",SmtRes!BU1:'SmtRes'!BU1)</f>
        <v>203.66499999999996</v>
      </c>
      <c r="CW31" s="2">
        <f>SUMIF(SmtRes!AQ1:'SmtRes'!AQ1,"=1",SmtRes!BV1:'SmtRes'!BV1)</f>
        <v>0</v>
      </c>
      <c r="CX31" s="2">
        <f>AJ31</f>
        <v>0</v>
      </c>
      <c r="CY31" s="2">
        <f>(((S31+R31)*AT31)/100)</f>
        <v>2713.1293999999998</v>
      </c>
      <c r="CZ31" s="2">
        <f>(((S31+R31)*AU31)/100)</f>
        <v>1219.384</v>
      </c>
      <c r="DA31" s="2"/>
      <c r="DB31" s="2">
        <v>1</v>
      </c>
      <c r="DC31" s="2" t="s">
        <v>3</v>
      </c>
      <c r="DD31" s="2" t="s">
        <v>3</v>
      </c>
      <c r="DE31" s="2" t="s">
        <v>27</v>
      </c>
      <c r="DF31" s="2" t="s">
        <v>27</v>
      </c>
      <c r="DG31" s="2" t="s">
        <v>28</v>
      </c>
      <c r="DH31" s="2" t="s">
        <v>3</v>
      </c>
      <c r="DI31" s="2" t="s">
        <v>28</v>
      </c>
      <c r="DJ31" s="2" t="s">
        <v>27</v>
      </c>
      <c r="DK31" s="2" t="s">
        <v>3</v>
      </c>
      <c r="DL31" s="2" t="s">
        <v>3</v>
      </c>
      <c r="DM31" s="2" t="s">
        <v>3</v>
      </c>
      <c r="DN31" s="2">
        <v>0</v>
      </c>
      <c r="DO31" s="2">
        <v>0</v>
      </c>
      <c r="DP31" s="2">
        <v>1</v>
      </c>
      <c r="DQ31" s="2">
        <v>1</v>
      </c>
      <c r="DR31" s="2"/>
      <c r="DS31" s="2"/>
      <c r="DT31" s="2"/>
      <c r="DU31" s="2">
        <v>1007</v>
      </c>
      <c r="DV31" s="2" t="s">
        <v>25</v>
      </c>
      <c r="DW31" s="2" t="s">
        <v>25</v>
      </c>
      <c r="DX31" s="2">
        <v>100</v>
      </c>
      <c r="DY31" s="2"/>
      <c r="DZ31" s="2" t="s">
        <v>3</v>
      </c>
      <c r="EA31" s="2" t="s">
        <v>3</v>
      </c>
      <c r="EB31" s="2" t="s">
        <v>3</v>
      </c>
      <c r="EC31" s="2" t="s">
        <v>3</v>
      </c>
      <c r="ED31" s="2"/>
      <c r="EE31" s="2">
        <v>74004174</v>
      </c>
      <c r="EF31" s="2">
        <v>2</v>
      </c>
      <c r="EG31" s="2" t="s">
        <v>29</v>
      </c>
      <c r="EH31" s="2">
        <v>1</v>
      </c>
      <c r="EI31" s="2" t="s">
        <v>18</v>
      </c>
      <c r="EJ31" s="2">
        <v>1</v>
      </c>
      <c r="EK31" s="2">
        <v>1003</v>
      </c>
      <c r="EL31" s="2" t="s">
        <v>30</v>
      </c>
      <c r="EM31" s="2" t="s">
        <v>31</v>
      </c>
      <c r="EN31" s="2"/>
      <c r="EO31" s="2" t="s">
        <v>32</v>
      </c>
      <c r="EP31" s="2"/>
      <c r="EQ31" s="2">
        <v>262144</v>
      </c>
      <c r="ER31" s="2">
        <v>0</v>
      </c>
      <c r="ES31" s="2">
        <v>0</v>
      </c>
      <c r="ET31" s="2">
        <v>0</v>
      </c>
      <c r="EU31" s="2">
        <v>0</v>
      </c>
      <c r="EV31" s="2">
        <v>0</v>
      </c>
      <c r="EW31" s="2">
        <v>154</v>
      </c>
      <c r="EX31" s="2">
        <v>0</v>
      </c>
      <c r="EY31" s="2">
        <v>0</v>
      </c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>
        <v>0</v>
      </c>
      <c r="FR31" s="2">
        <v>0</v>
      </c>
      <c r="FS31" s="2">
        <v>0</v>
      </c>
      <c r="FT31" s="2"/>
      <c r="FU31" s="2"/>
      <c r="FV31" s="2"/>
      <c r="FW31" s="2"/>
      <c r="FX31" s="2">
        <v>89</v>
      </c>
      <c r="FY31" s="2">
        <v>40</v>
      </c>
      <c r="FZ31" s="2"/>
      <c r="GA31" s="2" t="s">
        <v>3</v>
      </c>
      <c r="GB31" s="2"/>
      <c r="GC31" s="2"/>
      <c r="GD31" s="2">
        <v>1</v>
      </c>
      <c r="GE31" s="2"/>
      <c r="GF31" s="2">
        <v>721379007</v>
      </c>
      <c r="GG31" s="2">
        <v>2</v>
      </c>
      <c r="GH31" s="2">
        <v>1</v>
      </c>
      <c r="GI31" s="2">
        <v>-2</v>
      </c>
      <c r="GJ31" s="2">
        <v>0</v>
      </c>
      <c r="GK31" s="2">
        <v>0</v>
      </c>
      <c r="GL31" s="2">
        <f>ROUND(IF(AND(BH31=3,BI31=3,FS31&lt;&gt;0),P31,0),2)</f>
        <v>0</v>
      </c>
      <c r="GM31" s="2">
        <f>ROUND(O31+X31+Y31,2)+GX31</f>
        <v>6980.97</v>
      </c>
      <c r="GN31" s="2">
        <f>IF(OR(BI31=0,BI31=1),GM31-GX31,0)</f>
        <v>6980.97</v>
      </c>
      <c r="GO31" s="2">
        <f>IF(BI31=2,GM31-GX31,0)</f>
        <v>0</v>
      </c>
      <c r="GP31" s="2">
        <f>IF(BI31=4,GM31-GX31,0)</f>
        <v>0</v>
      </c>
      <c r="GQ31" s="2"/>
      <c r="GR31" s="2">
        <v>0</v>
      </c>
      <c r="GS31" s="2">
        <v>3</v>
      </c>
      <c r="GT31" s="2">
        <v>0</v>
      </c>
      <c r="GU31" s="2" t="s">
        <v>3</v>
      </c>
      <c r="GV31" s="2">
        <f>ROUND((GT31),6)</f>
        <v>0</v>
      </c>
      <c r="GW31" s="2">
        <v>1</v>
      </c>
      <c r="GX31" s="2">
        <f>ROUND(HC31*I31,2)</f>
        <v>0</v>
      </c>
      <c r="GY31" s="2"/>
      <c r="GZ31" s="2"/>
      <c r="HA31" s="2">
        <v>0</v>
      </c>
      <c r="HB31" s="2">
        <v>0</v>
      </c>
      <c r="HC31" s="2">
        <f>GV31*GW31</f>
        <v>0</v>
      </c>
      <c r="HD31" s="2"/>
      <c r="HE31" s="2" t="s">
        <v>3</v>
      </c>
      <c r="HF31" s="2" t="s">
        <v>3</v>
      </c>
      <c r="HG31" s="2"/>
      <c r="HH31" s="2"/>
      <c r="HI31" s="2"/>
      <c r="HJ31" s="2"/>
      <c r="HK31" s="2"/>
      <c r="HL31" s="2"/>
      <c r="HM31" s="2" t="s">
        <v>3</v>
      </c>
      <c r="HN31" s="2" t="s">
        <v>33</v>
      </c>
      <c r="HO31" s="2" t="s">
        <v>34</v>
      </c>
      <c r="HP31" s="2" t="s">
        <v>30</v>
      </c>
      <c r="HQ31" s="2" t="s">
        <v>30</v>
      </c>
      <c r="HR31" s="2"/>
      <c r="HS31" s="2">
        <v>0</v>
      </c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>
        <v>0</v>
      </c>
      <c r="IL31" s="2"/>
      <c r="IM31" s="2"/>
      <c r="IN31" s="2"/>
      <c r="IO31" s="2"/>
      <c r="IP31" s="2"/>
      <c r="IQ31" s="2"/>
      <c r="IR31" s="2"/>
      <c r="IS31" s="2"/>
      <c r="IT31" s="2"/>
      <c r="IU31" s="2"/>
    </row>
    <row r="32" spans="1:255" ht="13.05" customHeight="1" x14ac:dyDescent="0.25">
      <c r="A32" s="2">
        <v>17</v>
      </c>
      <c r="B32" s="2">
        <v>1</v>
      </c>
      <c r="C32" s="2">
        <f>ROW(SmtRes!A2)</f>
        <v>2</v>
      </c>
      <c r="D32" s="2">
        <f>ROW(EtalonRes!A2)</f>
        <v>2</v>
      </c>
      <c r="E32" s="2" t="s">
        <v>35</v>
      </c>
      <c r="F32" s="2" t="s">
        <v>36</v>
      </c>
      <c r="G32" s="2" t="s">
        <v>37</v>
      </c>
      <c r="H32" s="2" t="s">
        <v>25</v>
      </c>
      <c r="I32" s="2">
        <v>0.05</v>
      </c>
      <c r="J32" s="2">
        <v>0</v>
      </c>
      <c r="K32" s="2">
        <v>0.05</v>
      </c>
      <c r="L32" s="2"/>
      <c r="M32" s="2"/>
      <c r="N32" s="2"/>
      <c r="O32" s="2">
        <f>ROUND(CP32,2)</f>
        <v>883.87</v>
      </c>
      <c r="P32" s="2">
        <f>SUMIF(SmtRes!AQ2:'SmtRes'!AQ2,"=1",SmtRes!DF2:'SmtRes'!DF2)</f>
        <v>0</v>
      </c>
      <c r="Q32" s="2">
        <f>SUMIF(SmtRes!AQ2:'SmtRes'!AQ2,"=1",SmtRes!DG2:'SmtRes'!DG2)</f>
        <v>0</v>
      </c>
      <c r="R32" s="2">
        <f>SUMIF(SmtRes!AQ2:'SmtRes'!AQ2,"=1",SmtRes!DH2:'SmtRes'!DH2)</f>
        <v>0</v>
      </c>
      <c r="S32" s="2">
        <f>SUMIF(SmtRes!AQ2:'SmtRes'!AQ2,"=1",SmtRes!DI2:'SmtRes'!DI2)</f>
        <v>883.87</v>
      </c>
      <c r="T32" s="2">
        <f>ROUND(CU32*I32,2)</f>
        <v>0</v>
      </c>
      <c r="U32" s="2">
        <f>SUMIF(SmtRes!AQ2:'SmtRes'!AQ2,"=1",SmtRes!CV2:'SmtRes'!CV2)</f>
        <v>3.0796999999999999</v>
      </c>
      <c r="V32" s="2">
        <f>SUMIF(SmtRes!AQ2:'SmtRes'!AQ2,"=1",SmtRes!CW2:'SmtRes'!CW2)</f>
        <v>0</v>
      </c>
      <c r="W32" s="2">
        <f>ROUND(CX32*I32,2)</f>
        <v>0</v>
      </c>
      <c r="X32" s="2">
        <f>ROUND(CY32,2)</f>
        <v>786.64</v>
      </c>
      <c r="Y32" s="2">
        <f>ROUND(CZ32,2)</f>
        <v>353.55</v>
      </c>
      <c r="Z32" s="2"/>
      <c r="AA32" s="2">
        <v>75604747</v>
      </c>
      <c r="AB32" s="2">
        <f>ROUND((AC32+AD32+AF32),6)</f>
        <v>17677.477999999999</v>
      </c>
      <c r="AC32" s="2">
        <f>ROUND((0),6)</f>
        <v>0</v>
      </c>
      <c r="AD32" s="2">
        <f>ROUND((((0)-(0))+AE32),6)</f>
        <v>0</v>
      </c>
      <c r="AE32" s="2">
        <f>ROUND((0),6)</f>
        <v>0</v>
      </c>
      <c r="AF32" s="2">
        <f>ROUND((SUM(SmtRes!BT2:'SmtRes'!BT2)),6)</f>
        <v>17677.477999999999</v>
      </c>
      <c r="AG32" s="2">
        <f>ROUND((AP32),6)</f>
        <v>0</v>
      </c>
      <c r="AH32" s="2">
        <f>(SUM(SmtRes!BU2:'SmtRes'!BU2))</f>
        <v>61.594000000000001</v>
      </c>
      <c r="AI32" s="2">
        <f>(0)</f>
        <v>0</v>
      </c>
      <c r="AJ32" s="2">
        <f>(AS32)</f>
        <v>0</v>
      </c>
      <c r="AK32" s="2">
        <v>15371.720000000001</v>
      </c>
      <c r="AL32" s="2">
        <v>0</v>
      </c>
      <c r="AM32" s="2">
        <v>0</v>
      </c>
      <c r="AN32" s="2">
        <v>0</v>
      </c>
      <c r="AO32" s="2">
        <v>15371.720000000001</v>
      </c>
      <c r="AP32" s="2">
        <v>0</v>
      </c>
      <c r="AQ32" s="2">
        <v>53.56</v>
      </c>
      <c r="AR32" s="2">
        <v>0</v>
      </c>
      <c r="AS32" s="2">
        <v>0</v>
      </c>
      <c r="AT32" s="2">
        <v>89</v>
      </c>
      <c r="AU32" s="2">
        <v>40</v>
      </c>
      <c r="AV32" s="2">
        <v>1</v>
      </c>
      <c r="AW32" s="2">
        <v>1</v>
      </c>
      <c r="AX32" s="2"/>
      <c r="AY32" s="2"/>
      <c r="AZ32" s="2">
        <v>1</v>
      </c>
      <c r="BA32" s="2">
        <v>1</v>
      </c>
      <c r="BB32" s="2">
        <v>1</v>
      </c>
      <c r="BC32" s="2">
        <v>1</v>
      </c>
      <c r="BD32" s="2" t="s">
        <v>3</v>
      </c>
      <c r="BE32" s="2" t="s">
        <v>3</v>
      </c>
      <c r="BF32" s="2" t="s">
        <v>3</v>
      </c>
      <c r="BG32" s="2" t="s">
        <v>3</v>
      </c>
      <c r="BH32" s="2">
        <v>0</v>
      </c>
      <c r="BI32" s="2">
        <v>1</v>
      </c>
      <c r="BJ32" s="2" t="s">
        <v>38</v>
      </c>
      <c r="BK32" s="2"/>
      <c r="BL32" s="2"/>
      <c r="BM32" s="2">
        <v>1003</v>
      </c>
      <c r="BN32" s="2">
        <v>0</v>
      </c>
      <c r="BO32" s="2" t="s">
        <v>3</v>
      </c>
      <c r="BP32" s="2">
        <v>0</v>
      </c>
      <c r="BQ32" s="2">
        <v>2</v>
      </c>
      <c r="BR32" s="2">
        <v>0</v>
      </c>
      <c r="BS32" s="2">
        <v>1</v>
      </c>
      <c r="BT32" s="2">
        <v>1</v>
      </c>
      <c r="BU32" s="2">
        <v>1</v>
      </c>
      <c r="BV32" s="2">
        <v>1</v>
      </c>
      <c r="BW32" s="2">
        <v>1</v>
      </c>
      <c r="BX32" s="2">
        <v>1</v>
      </c>
      <c r="BY32" s="2" t="s">
        <v>3</v>
      </c>
      <c r="BZ32" s="2">
        <v>89</v>
      </c>
      <c r="CA32" s="2">
        <v>40</v>
      </c>
      <c r="CB32" s="2" t="s">
        <v>3</v>
      </c>
      <c r="CC32" s="2"/>
      <c r="CD32" s="2"/>
      <c r="CE32" s="2">
        <v>0</v>
      </c>
      <c r="CF32" s="2">
        <v>0</v>
      </c>
      <c r="CG32" s="2">
        <v>0</v>
      </c>
      <c r="CH32" s="2"/>
      <c r="CI32" s="2"/>
      <c r="CJ32" s="2"/>
      <c r="CK32" s="2"/>
      <c r="CL32" s="2"/>
      <c r="CM32" s="2">
        <v>0</v>
      </c>
      <c r="CN32" s="7" t="s">
        <v>802</v>
      </c>
      <c r="CO32" s="2">
        <v>0</v>
      </c>
      <c r="CP32" s="2">
        <f>(P32+Q32+S32+R32)</f>
        <v>883.87</v>
      </c>
      <c r="CQ32" s="2">
        <f>SUMIF(SmtRes!AQ2:'SmtRes'!AQ2,"=1",SmtRes!AA2:'SmtRes'!AA2)</f>
        <v>0</v>
      </c>
      <c r="CR32" s="2">
        <f>SUMIF(SmtRes!AQ2:'SmtRes'!AQ2,"=1",SmtRes!AB2:'SmtRes'!AB2)</f>
        <v>0</v>
      </c>
      <c r="CS32" s="2">
        <f>SUMIF(SmtRes!AQ2:'SmtRes'!AQ2,"=1",SmtRes!AC2:'SmtRes'!AC2)</f>
        <v>0</v>
      </c>
      <c r="CT32" s="2">
        <f>SUMIF(SmtRes!AQ2:'SmtRes'!AQ2,"=1",SmtRes!AD2:'SmtRes'!AD2)</f>
        <v>287</v>
      </c>
      <c r="CU32" s="2">
        <f>AG32</f>
        <v>0</v>
      </c>
      <c r="CV32" s="2">
        <f>SUMIF(SmtRes!AQ2:'SmtRes'!AQ2,"=1",SmtRes!BU2:'SmtRes'!BU2)</f>
        <v>61.594000000000001</v>
      </c>
      <c r="CW32" s="2">
        <f>SUMIF(SmtRes!AQ2:'SmtRes'!AQ2,"=1",SmtRes!BV2:'SmtRes'!BV2)</f>
        <v>0</v>
      </c>
      <c r="CX32" s="2">
        <f>AJ32</f>
        <v>0</v>
      </c>
      <c r="CY32" s="2">
        <f>(((S32+R32)*AT32)/100)</f>
        <v>786.64430000000004</v>
      </c>
      <c r="CZ32" s="2">
        <f>(((S32+R32)*AU32)/100)</f>
        <v>353.548</v>
      </c>
      <c r="DA32" s="2"/>
      <c r="DB32" s="2">
        <v>3</v>
      </c>
      <c r="DC32" s="2" t="s">
        <v>3</v>
      </c>
      <c r="DD32" s="2" t="s">
        <v>3</v>
      </c>
      <c r="DE32" s="2" t="s">
        <v>27</v>
      </c>
      <c r="DF32" s="2" t="s">
        <v>27</v>
      </c>
      <c r="DG32" s="2" t="s">
        <v>27</v>
      </c>
      <c r="DH32" s="2" t="s">
        <v>3</v>
      </c>
      <c r="DI32" s="2" t="s">
        <v>27</v>
      </c>
      <c r="DJ32" s="2" t="s">
        <v>27</v>
      </c>
      <c r="DK32" s="2" t="s">
        <v>3</v>
      </c>
      <c r="DL32" s="2" t="s">
        <v>3</v>
      </c>
      <c r="DM32" s="2" t="s">
        <v>3</v>
      </c>
      <c r="DN32" s="2">
        <v>0</v>
      </c>
      <c r="DO32" s="2">
        <v>0</v>
      </c>
      <c r="DP32" s="2">
        <v>1</v>
      </c>
      <c r="DQ32" s="2">
        <v>1</v>
      </c>
      <c r="DR32" s="2"/>
      <c r="DS32" s="2"/>
      <c r="DT32" s="2"/>
      <c r="DU32" s="2">
        <v>1007</v>
      </c>
      <c r="DV32" s="2" t="s">
        <v>25</v>
      </c>
      <c r="DW32" s="2" t="s">
        <v>25</v>
      </c>
      <c r="DX32" s="2">
        <v>100</v>
      </c>
      <c r="DY32" s="2"/>
      <c r="DZ32" s="2" t="s">
        <v>3</v>
      </c>
      <c r="EA32" s="2" t="s">
        <v>3</v>
      </c>
      <c r="EB32" s="2" t="s">
        <v>3</v>
      </c>
      <c r="EC32" s="2" t="s">
        <v>3</v>
      </c>
      <c r="ED32" s="2"/>
      <c r="EE32" s="2">
        <v>74004174</v>
      </c>
      <c r="EF32" s="2">
        <v>2</v>
      </c>
      <c r="EG32" s="2" t="s">
        <v>29</v>
      </c>
      <c r="EH32" s="2">
        <v>1</v>
      </c>
      <c r="EI32" s="2" t="s">
        <v>18</v>
      </c>
      <c r="EJ32" s="2">
        <v>1</v>
      </c>
      <c r="EK32" s="2">
        <v>1003</v>
      </c>
      <c r="EL32" s="2" t="s">
        <v>30</v>
      </c>
      <c r="EM32" s="2" t="s">
        <v>31</v>
      </c>
      <c r="EN32" s="2"/>
      <c r="EO32" s="2" t="s">
        <v>39</v>
      </c>
      <c r="EP32" s="2"/>
      <c r="EQ32" s="2">
        <v>262144</v>
      </c>
      <c r="ER32" s="2">
        <v>0</v>
      </c>
      <c r="ES32" s="2">
        <v>0</v>
      </c>
      <c r="ET32" s="2">
        <v>0</v>
      </c>
      <c r="EU32" s="2">
        <v>0</v>
      </c>
      <c r="EV32" s="2">
        <v>0</v>
      </c>
      <c r="EW32" s="2">
        <v>53.56</v>
      </c>
      <c r="EX32" s="2">
        <v>0</v>
      </c>
      <c r="EY32" s="2">
        <v>0</v>
      </c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>
        <v>0</v>
      </c>
      <c r="FR32" s="2">
        <v>0</v>
      </c>
      <c r="FS32" s="2">
        <v>0</v>
      </c>
      <c r="FT32" s="2"/>
      <c r="FU32" s="2"/>
      <c r="FV32" s="2"/>
      <c r="FW32" s="2"/>
      <c r="FX32" s="2">
        <v>89</v>
      </c>
      <c r="FY32" s="2">
        <v>40</v>
      </c>
      <c r="FZ32" s="2"/>
      <c r="GA32" s="2" t="s">
        <v>3</v>
      </c>
      <c r="GB32" s="2"/>
      <c r="GC32" s="2"/>
      <c r="GD32" s="2">
        <v>1</v>
      </c>
      <c r="GE32" s="2"/>
      <c r="GF32" s="2">
        <v>979674477</v>
      </c>
      <c r="GG32" s="2">
        <v>2</v>
      </c>
      <c r="GH32" s="2">
        <v>1</v>
      </c>
      <c r="GI32" s="2">
        <v>-2</v>
      </c>
      <c r="GJ32" s="2">
        <v>0</v>
      </c>
      <c r="GK32" s="2">
        <v>0</v>
      </c>
      <c r="GL32" s="2">
        <f>ROUND(IF(AND(BH32=3,BI32=3,FS32&lt;&gt;0),P32,0),2)</f>
        <v>0</v>
      </c>
      <c r="GM32" s="2">
        <f>ROUND(O32+X32+Y32,2)+GX32</f>
        <v>2024.06</v>
      </c>
      <c r="GN32" s="2">
        <f>IF(OR(BI32=0,BI32=1),GM32-GX32,0)</f>
        <v>2024.06</v>
      </c>
      <c r="GO32" s="2">
        <f>IF(BI32=2,GM32-GX32,0)</f>
        <v>0</v>
      </c>
      <c r="GP32" s="2">
        <f>IF(BI32=4,GM32-GX32,0)</f>
        <v>0</v>
      </c>
      <c r="GQ32" s="2"/>
      <c r="GR32" s="2">
        <v>0</v>
      </c>
      <c r="GS32" s="2">
        <v>3</v>
      </c>
      <c r="GT32" s="2">
        <v>0</v>
      </c>
      <c r="GU32" s="2" t="s">
        <v>3</v>
      </c>
      <c r="GV32" s="2">
        <f>ROUND((GT32),6)</f>
        <v>0</v>
      </c>
      <c r="GW32" s="2">
        <v>1</v>
      </c>
      <c r="GX32" s="2">
        <f>ROUND(HC32*I32,2)</f>
        <v>0</v>
      </c>
      <c r="GY32" s="2"/>
      <c r="GZ32" s="2"/>
      <c r="HA32" s="2">
        <v>0</v>
      </c>
      <c r="HB32" s="2">
        <v>0</v>
      </c>
      <c r="HC32" s="2">
        <f>GV32*GW32</f>
        <v>0</v>
      </c>
      <c r="HD32" s="2"/>
      <c r="HE32" s="2" t="s">
        <v>3</v>
      </c>
      <c r="HF32" s="2" t="s">
        <v>3</v>
      </c>
      <c r="HG32" s="2"/>
      <c r="HH32" s="2"/>
      <c r="HI32" s="2"/>
      <c r="HJ32" s="2"/>
      <c r="HK32" s="2"/>
      <c r="HL32" s="2"/>
      <c r="HM32" s="2" t="s">
        <v>3</v>
      </c>
      <c r="HN32" s="2" t="s">
        <v>33</v>
      </c>
      <c r="HO32" s="2" t="s">
        <v>34</v>
      </c>
      <c r="HP32" s="2" t="s">
        <v>30</v>
      </c>
      <c r="HQ32" s="2" t="s">
        <v>30</v>
      </c>
      <c r="HR32" s="2"/>
      <c r="HS32" s="2">
        <v>0</v>
      </c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>
        <v>0</v>
      </c>
      <c r="IL32" s="2"/>
      <c r="IM32" s="2"/>
      <c r="IN32" s="2"/>
      <c r="IO32" s="2"/>
      <c r="IP32" s="2"/>
      <c r="IQ32" s="2"/>
      <c r="IR32" s="2"/>
      <c r="IS32" s="2"/>
      <c r="IT32" s="2"/>
      <c r="IU32" s="2"/>
    </row>
    <row r="33" spans="1:255" ht="13.05" customHeight="1" x14ac:dyDescent="0.25">
      <c r="A33" s="2">
        <v>17</v>
      </c>
      <c r="B33" s="2">
        <v>1</v>
      </c>
      <c r="C33" s="2"/>
      <c r="D33" s="2"/>
      <c r="E33" s="2" t="s">
        <v>40</v>
      </c>
      <c r="F33" s="2" t="s">
        <v>41</v>
      </c>
      <c r="G33" s="2" t="s">
        <v>42</v>
      </c>
      <c r="H33" s="2" t="s">
        <v>43</v>
      </c>
      <c r="I33" s="2">
        <v>8.75</v>
      </c>
      <c r="J33" s="2">
        <v>0</v>
      </c>
      <c r="K33" s="2">
        <v>8.75</v>
      </c>
      <c r="L33" s="2"/>
      <c r="M33" s="2"/>
      <c r="N33" s="2"/>
      <c r="O33" s="2">
        <f>0</f>
        <v>0</v>
      </c>
      <c r="P33" s="2">
        <f>0</f>
        <v>0</v>
      </c>
      <c r="Q33" s="2">
        <f>0</f>
        <v>0</v>
      </c>
      <c r="R33" s="2">
        <f>0</f>
        <v>0</v>
      </c>
      <c r="S33" s="2">
        <f>0</f>
        <v>0</v>
      </c>
      <c r="T33" s="2">
        <f>0</f>
        <v>0</v>
      </c>
      <c r="U33" s="2">
        <f>0</f>
        <v>0</v>
      </c>
      <c r="V33" s="2">
        <f>0</f>
        <v>0</v>
      </c>
      <c r="W33" s="2">
        <f>0</f>
        <v>0</v>
      </c>
      <c r="X33" s="2">
        <f>0</f>
        <v>0</v>
      </c>
      <c r="Y33" s="2">
        <f>0</f>
        <v>0</v>
      </c>
      <c r="Z33" s="2"/>
      <c r="AA33" s="2">
        <v>75604747</v>
      </c>
      <c r="AB33" s="2">
        <f>ROUND((AK33),6)</f>
        <v>251.35</v>
      </c>
      <c r="AC33" s="2">
        <f>0</f>
        <v>0</v>
      </c>
      <c r="AD33" s="2">
        <f>0</f>
        <v>0</v>
      </c>
      <c r="AE33" s="2">
        <f>0</f>
        <v>0</v>
      </c>
      <c r="AF33" s="2">
        <f>0</f>
        <v>0</v>
      </c>
      <c r="AG33" s="2">
        <f>0</f>
        <v>0</v>
      </c>
      <c r="AH33" s="2">
        <f>0</f>
        <v>0</v>
      </c>
      <c r="AI33" s="2">
        <f>0</f>
        <v>0</v>
      </c>
      <c r="AJ33" s="2">
        <f>0</f>
        <v>0</v>
      </c>
      <c r="AK33" s="2">
        <v>251.35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2">
        <v>0</v>
      </c>
      <c r="AU33" s="2">
        <v>0</v>
      </c>
      <c r="AV33" s="2">
        <v>1</v>
      </c>
      <c r="AW33" s="2">
        <v>1</v>
      </c>
      <c r="AX33" s="2"/>
      <c r="AY33" s="2"/>
      <c r="AZ33" s="2">
        <v>1</v>
      </c>
      <c r="BA33" s="2">
        <v>1</v>
      </c>
      <c r="BB33" s="2">
        <v>1</v>
      </c>
      <c r="BC33" s="2">
        <v>1</v>
      </c>
      <c r="BD33" s="2" t="s">
        <v>3</v>
      </c>
      <c r="BE33" s="2" t="s">
        <v>3</v>
      </c>
      <c r="BF33" s="2" t="s">
        <v>3</v>
      </c>
      <c r="BG33" s="2" t="s">
        <v>3</v>
      </c>
      <c r="BH33" s="2">
        <v>0</v>
      </c>
      <c r="BI33" s="2">
        <v>1</v>
      </c>
      <c r="BJ33" s="2" t="s">
        <v>41</v>
      </c>
      <c r="BK33" s="2"/>
      <c r="BL33" s="2"/>
      <c r="BM33" s="2">
        <v>700008</v>
      </c>
      <c r="BN33" s="2">
        <v>0</v>
      </c>
      <c r="BO33" s="2" t="s">
        <v>3</v>
      </c>
      <c r="BP33" s="2">
        <v>0</v>
      </c>
      <c r="BQ33" s="2">
        <v>10</v>
      </c>
      <c r="BR33" s="2">
        <v>0</v>
      </c>
      <c r="BS33" s="2">
        <v>1</v>
      </c>
      <c r="BT33" s="2">
        <v>1</v>
      </c>
      <c r="BU33" s="2">
        <v>1</v>
      </c>
      <c r="BV33" s="2">
        <v>1</v>
      </c>
      <c r="BW33" s="2">
        <v>1</v>
      </c>
      <c r="BX33" s="2">
        <v>1</v>
      </c>
      <c r="BY33" s="2" t="s">
        <v>3</v>
      </c>
      <c r="BZ33" s="2">
        <v>94</v>
      </c>
      <c r="CA33" s="2">
        <v>61</v>
      </c>
      <c r="CB33" s="2" t="s">
        <v>3</v>
      </c>
      <c r="CC33" s="2"/>
      <c r="CD33" s="2"/>
      <c r="CE33" s="2">
        <v>0</v>
      </c>
      <c r="CF33" s="2">
        <v>0</v>
      </c>
      <c r="CG33" s="2">
        <v>0</v>
      </c>
      <c r="CH33" s="2"/>
      <c r="CI33" s="2"/>
      <c r="CJ33" s="2"/>
      <c r="CK33" s="2"/>
      <c r="CL33" s="2"/>
      <c r="CM33" s="2">
        <v>0</v>
      </c>
      <c r="CN33" s="2" t="s">
        <v>3</v>
      </c>
      <c r="CO33" s="2">
        <v>0</v>
      </c>
      <c r="CP33" s="2">
        <f>AB33*AZ33</f>
        <v>251.35</v>
      </c>
      <c r="CQ33" s="2">
        <v>0</v>
      </c>
      <c r="CR33" s="2">
        <v>0</v>
      </c>
      <c r="CS33" s="2">
        <v>0</v>
      </c>
      <c r="CT33" s="2">
        <v>0</v>
      </c>
      <c r="CU33" s="2">
        <v>0</v>
      </c>
      <c r="CV33" s="2">
        <v>0</v>
      </c>
      <c r="CW33" s="2">
        <v>0</v>
      </c>
      <c r="CX33" s="2">
        <v>0</v>
      </c>
      <c r="CY33" s="2">
        <v>0</v>
      </c>
      <c r="CZ33" s="2">
        <v>0</v>
      </c>
      <c r="DA33" s="2"/>
      <c r="DB33" s="2"/>
      <c r="DC33" s="2" t="s">
        <v>3</v>
      </c>
      <c r="DD33" s="2" t="s">
        <v>3</v>
      </c>
      <c r="DE33" s="2" t="s">
        <v>3</v>
      </c>
      <c r="DF33" s="2" t="s">
        <v>3</v>
      </c>
      <c r="DG33" s="2" t="s">
        <v>3</v>
      </c>
      <c r="DH33" s="2" t="s">
        <v>3</v>
      </c>
      <c r="DI33" s="2" t="s">
        <v>3</v>
      </c>
      <c r="DJ33" s="2" t="s">
        <v>3</v>
      </c>
      <c r="DK33" s="2" t="s">
        <v>3</v>
      </c>
      <c r="DL33" s="2" t="s">
        <v>3</v>
      </c>
      <c r="DM33" s="2" t="s">
        <v>3</v>
      </c>
      <c r="DN33" s="2">
        <v>0</v>
      </c>
      <c r="DO33" s="2">
        <v>0</v>
      </c>
      <c r="DP33" s="2">
        <v>1</v>
      </c>
      <c r="DQ33" s="2">
        <v>1</v>
      </c>
      <c r="DR33" s="2"/>
      <c r="DS33" s="2"/>
      <c r="DT33" s="2"/>
      <c r="DU33" s="2">
        <v>1013</v>
      </c>
      <c r="DV33" s="2" t="s">
        <v>43</v>
      </c>
      <c r="DW33" s="2" t="s">
        <v>43</v>
      </c>
      <c r="DX33" s="2">
        <v>1</v>
      </c>
      <c r="DY33" s="2"/>
      <c r="DZ33" s="2" t="s">
        <v>3</v>
      </c>
      <c r="EA33" s="2" t="s">
        <v>3</v>
      </c>
      <c r="EB33" s="2" t="s">
        <v>3</v>
      </c>
      <c r="EC33" s="2" t="s">
        <v>3</v>
      </c>
      <c r="ED33" s="2"/>
      <c r="EE33" s="2">
        <v>74004662</v>
      </c>
      <c r="EF33" s="2">
        <v>10</v>
      </c>
      <c r="EG33" s="2" t="s">
        <v>44</v>
      </c>
      <c r="EH33" s="2">
        <v>107</v>
      </c>
      <c r="EI33" s="2" t="s">
        <v>45</v>
      </c>
      <c r="EJ33" s="2">
        <v>1</v>
      </c>
      <c r="EK33" s="2">
        <v>700008</v>
      </c>
      <c r="EL33" s="2" t="s">
        <v>46</v>
      </c>
      <c r="EM33" s="2" t="s">
        <v>47</v>
      </c>
      <c r="EN33" s="2"/>
      <c r="EO33" s="2" t="s">
        <v>3</v>
      </c>
      <c r="EP33" s="2"/>
      <c r="EQ33" s="2">
        <v>262144</v>
      </c>
      <c r="ER33" s="2">
        <v>0</v>
      </c>
      <c r="ES33" s="2">
        <v>0</v>
      </c>
      <c r="ET33" s="2">
        <v>0</v>
      </c>
      <c r="EU33" s="2">
        <v>0</v>
      </c>
      <c r="EV33" s="2">
        <v>0</v>
      </c>
      <c r="EW33" s="2">
        <v>0</v>
      </c>
      <c r="EX33" s="2">
        <v>0</v>
      </c>
      <c r="EY33" s="2">
        <v>0</v>
      </c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>
        <v>0</v>
      </c>
      <c r="FR33" s="2">
        <v>0</v>
      </c>
      <c r="FS33" s="2">
        <v>0</v>
      </c>
      <c r="FT33" s="2"/>
      <c r="FU33" s="2"/>
      <c r="FV33" s="2"/>
      <c r="FW33" s="2"/>
      <c r="FX33" s="2">
        <v>0</v>
      </c>
      <c r="FY33" s="2">
        <v>0</v>
      </c>
      <c r="FZ33" s="2"/>
      <c r="GA33" s="2" t="s">
        <v>3</v>
      </c>
      <c r="GB33" s="2"/>
      <c r="GC33" s="2"/>
      <c r="GD33" s="2">
        <v>1</v>
      </c>
      <c r="GE33" s="2"/>
      <c r="GF33" s="2">
        <v>-939797987</v>
      </c>
      <c r="GG33" s="2">
        <v>2</v>
      </c>
      <c r="GH33" s="2">
        <v>1</v>
      </c>
      <c r="GI33" s="2">
        <v>-2</v>
      </c>
      <c r="GJ33" s="2">
        <v>2</v>
      </c>
      <c r="GK33" s="2">
        <v>0</v>
      </c>
      <c r="GL33" s="2">
        <f>ROUND(IF(AND(BH33=3,BI33=3,FS33&lt;&gt;0),P33,0),2)</f>
        <v>0</v>
      </c>
      <c r="GM33" s="2">
        <f>ROUND(CP33*I33,2)</f>
        <v>2199.31</v>
      </c>
      <c r="GN33" s="2">
        <f>IF(OR(BI33=0,BI33=1),GM33-GX33,0)</f>
        <v>2199.31</v>
      </c>
      <c r="GO33" s="2">
        <f>IF(BI33=2,GM33-GX33,0)</f>
        <v>0</v>
      </c>
      <c r="GP33" s="2">
        <f>IF(BI33=4,GM33-GX33,0)</f>
        <v>0</v>
      </c>
      <c r="GQ33" s="2"/>
      <c r="GR33" s="2">
        <v>0</v>
      </c>
      <c r="GS33" s="2">
        <v>3</v>
      </c>
      <c r="GT33" s="2">
        <v>0</v>
      </c>
      <c r="GU33" s="2" t="s">
        <v>3</v>
      </c>
      <c r="GV33" s="2">
        <f>0</f>
        <v>0</v>
      </c>
      <c r="GW33" s="2">
        <v>1</v>
      </c>
      <c r="GX33" s="2">
        <f>0</f>
        <v>0</v>
      </c>
      <c r="GY33" s="2"/>
      <c r="GZ33" s="2"/>
      <c r="HA33" s="2">
        <v>0</v>
      </c>
      <c r="HB33" s="2">
        <v>0</v>
      </c>
      <c r="HC33" s="2">
        <v>0</v>
      </c>
      <c r="HD33" s="2">
        <f>GM33</f>
        <v>2199.31</v>
      </c>
      <c r="HE33" s="2" t="s">
        <v>3</v>
      </c>
      <c r="HF33" s="2" t="s">
        <v>3</v>
      </c>
      <c r="HG33" s="2"/>
      <c r="HH33" s="2"/>
      <c r="HI33" s="2"/>
      <c r="HJ33" s="2"/>
      <c r="HK33" s="2"/>
      <c r="HL33" s="2"/>
      <c r="HM33" s="2" t="s">
        <v>3</v>
      </c>
      <c r="HN33" s="2" t="s">
        <v>48</v>
      </c>
      <c r="HO33" s="2" t="s">
        <v>49</v>
      </c>
      <c r="HP33" s="2" t="s">
        <v>45</v>
      </c>
      <c r="HQ33" s="2" t="s">
        <v>45</v>
      </c>
      <c r="HR33" s="2"/>
      <c r="HS33" s="2">
        <v>0</v>
      </c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>
        <v>0</v>
      </c>
      <c r="IL33" s="2"/>
      <c r="IM33" s="2"/>
      <c r="IN33" s="2"/>
      <c r="IO33" s="2"/>
      <c r="IP33" s="2"/>
      <c r="IQ33" s="2"/>
      <c r="IR33" s="2"/>
      <c r="IS33" s="2"/>
      <c r="IT33" s="2"/>
      <c r="IU33" s="2"/>
    </row>
    <row r="34" spans="1:255" ht="13.05" customHeight="1" x14ac:dyDescent="0.25">
      <c r="A34">
        <v>19</v>
      </c>
      <c r="B34">
        <v>1</v>
      </c>
      <c r="F34" t="s">
        <v>3</v>
      </c>
      <c r="G34" t="s">
        <v>50</v>
      </c>
      <c r="H34" t="s">
        <v>3</v>
      </c>
      <c r="AA34">
        <v>1</v>
      </c>
      <c r="IK34">
        <v>0</v>
      </c>
    </row>
    <row r="35" spans="1:255" ht="13.05" customHeight="1" x14ac:dyDescent="0.25">
      <c r="A35" s="2">
        <v>17</v>
      </c>
      <c r="B35" s="2">
        <v>1</v>
      </c>
      <c r="C35" s="2">
        <f>ROW(SmtRes!A4)</f>
        <v>4</v>
      </c>
      <c r="D35" s="2">
        <f>ROW(EtalonRes!A4)</f>
        <v>4</v>
      </c>
      <c r="E35" s="2" t="s">
        <v>51</v>
      </c>
      <c r="F35" s="2" t="s">
        <v>52</v>
      </c>
      <c r="G35" s="2" t="s">
        <v>53</v>
      </c>
      <c r="H35" s="2" t="s">
        <v>54</v>
      </c>
      <c r="I35" s="2">
        <v>0.06</v>
      </c>
      <c r="J35" s="2">
        <v>0</v>
      </c>
      <c r="K35" s="2">
        <v>0.06</v>
      </c>
      <c r="L35" s="2"/>
      <c r="M35" s="2"/>
      <c r="N35" s="2"/>
      <c r="O35" s="2">
        <f>ROUND(CP35,2)</f>
        <v>5059.0600000000004</v>
      </c>
      <c r="P35" s="2">
        <f>SUMIF(SmtRes!AQ3:'SmtRes'!AQ4,"=1",SmtRes!DF3:'SmtRes'!DF4)</f>
        <v>0</v>
      </c>
      <c r="Q35" s="2">
        <f>SUMIF(SmtRes!AQ3:'SmtRes'!AQ4,"=1",SmtRes!DG3:'SmtRes'!DG4)</f>
        <v>3512.33</v>
      </c>
      <c r="R35" s="2">
        <f>SUMIF(SmtRes!AQ3:'SmtRes'!AQ4,"=1",SmtRes!DH3:'SmtRes'!DH4)</f>
        <v>1546.73</v>
      </c>
      <c r="S35" s="2">
        <f>SUMIF(SmtRes!AQ3:'SmtRes'!AQ4,"=1",SmtRes!DI3:'SmtRes'!DI4)</f>
        <v>0</v>
      </c>
      <c r="T35" s="2">
        <f>ROUND(CU35*I35,2)</f>
        <v>0</v>
      </c>
      <c r="U35" s="2">
        <f>SUMIF(SmtRes!AQ3:'SmtRes'!AQ4,"=1",SmtRes!CV3:'SmtRes'!CV4)</f>
        <v>0</v>
      </c>
      <c r="V35" s="2">
        <f>SUMIF(SmtRes!AQ3:'SmtRes'!AQ4,"=1",SmtRes!CW3:'SmtRes'!CW4)</f>
        <v>3.657</v>
      </c>
      <c r="W35" s="2">
        <f>ROUND(CX35*I35,2)</f>
        <v>0</v>
      </c>
      <c r="X35" s="2">
        <f t="shared" ref="X35:Y37" si="21">ROUND(CY35,2)</f>
        <v>1422.99</v>
      </c>
      <c r="Y35" s="2">
        <f t="shared" si="21"/>
        <v>711.5</v>
      </c>
      <c r="Z35" s="2"/>
      <c r="AA35" s="2">
        <v>75604747</v>
      </c>
      <c r="AB35" s="2">
        <f>ROUND((AC35+AD35+AF35),6)</f>
        <v>48782.551500000001</v>
      </c>
      <c r="AC35" s="2">
        <f>ROUND((0),6)</f>
        <v>0</v>
      </c>
      <c r="AD35" s="2">
        <f>ROUND((((SUM(SmtRes!BR3:'SmtRes'!BR4))-(SUM(SmtRes!BS3:'SmtRes'!BS4)))+AE35),6)</f>
        <v>48782.551500000001</v>
      </c>
      <c r="AE35" s="2">
        <f>ROUND((SUM(SmtRes!BS3:'SmtRes'!BS4)),6)</f>
        <v>25778.802500000002</v>
      </c>
      <c r="AF35" s="2">
        <f>ROUND((0),6)</f>
        <v>0</v>
      </c>
      <c r="AG35" s="2">
        <f>ROUND((AP35),6)</f>
        <v>0</v>
      </c>
      <c r="AH35" s="2">
        <f>(0)</f>
        <v>0</v>
      </c>
      <c r="AI35" s="2">
        <f>(SUM(SmtRes!BV3:'SmtRes'!BV4))</f>
        <v>60.949999999999996</v>
      </c>
      <c r="AJ35" s="2">
        <f>(AS35)</f>
        <v>0</v>
      </c>
      <c r="AK35" s="2">
        <v>64835.96</v>
      </c>
      <c r="AL35" s="2">
        <v>0</v>
      </c>
      <c r="AM35" s="2">
        <v>42419.61</v>
      </c>
      <c r="AN35" s="2">
        <v>22416.35</v>
      </c>
      <c r="AO35" s="2">
        <v>0</v>
      </c>
      <c r="AP35" s="2">
        <v>0</v>
      </c>
      <c r="AQ35" s="2">
        <v>0</v>
      </c>
      <c r="AR35" s="2">
        <v>53</v>
      </c>
      <c r="AS35" s="2">
        <v>0</v>
      </c>
      <c r="AT35" s="2">
        <v>92</v>
      </c>
      <c r="AU35" s="2">
        <v>46</v>
      </c>
      <c r="AV35" s="2">
        <v>1</v>
      </c>
      <c r="AW35" s="2">
        <v>1</v>
      </c>
      <c r="AX35" s="2"/>
      <c r="AY35" s="2"/>
      <c r="AZ35" s="2">
        <v>1</v>
      </c>
      <c r="BA35" s="2">
        <v>1</v>
      </c>
      <c r="BB35" s="2">
        <v>1</v>
      </c>
      <c r="BC35" s="2">
        <v>1</v>
      </c>
      <c r="BD35" s="2" t="s">
        <v>3</v>
      </c>
      <c r="BE35" s="2" t="s">
        <v>3</v>
      </c>
      <c r="BF35" s="2" t="s">
        <v>3</v>
      </c>
      <c r="BG35" s="2" t="s">
        <v>3</v>
      </c>
      <c r="BH35" s="2">
        <v>0</v>
      </c>
      <c r="BI35" s="2">
        <v>1</v>
      </c>
      <c r="BJ35" s="2" t="s">
        <v>55</v>
      </c>
      <c r="BK35" s="2"/>
      <c r="BL35" s="2"/>
      <c r="BM35" s="2">
        <v>1001</v>
      </c>
      <c r="BN35" s="2">
        <v>0</v>
      </c>
      <c r="BO35" s="2" t="s">
        <v>3</v>
      </c>
      <c r="BP35" s="2">
        <v>0</v>
      </c>
      <c r="BQ35" s="2">
        <v>2</v>
      </c>
      <c r="BR35" s="2">
        <v>0</v>
      </c>
      <c r="BS35" s="2">
        <v>1</v>
      </c>
      <c r="BT35" s="2">
        <v>1</v>
      </c>
      <c r="BU35" s="2">
        <v>1</v>
      </c>
      <c r="BV35" s="2">
        <v>1</v>
      </c>
      <c r="BW35" s="2">
        <v>1</v>
      </c>
      <c r="BX35" s="2">
        <v>1</v>
      </c>
      <c r="BY35" s="2" t="s">
        <v>3</v>
      </c>
      <c r="BZ35" s="2">
        <v>92</v>
      </c>
      <c r="CA35" s="2">
        <v>46</v>
      </c>
      <c r="CB35" s="2" t="s">
        <v>3</v>
      </c>
      <c r="CC35" s="2"/>
      <c r="CD35" s="2"/>
      <c r="CE35" s="2">
        <v>0</v>
      </c>
      <c r="CF35" s="2">
        <v>0</v>
      </c>
      <c r="CG35" s="2">
        <v>0</v>
      </c>
      <c r="CH35" s="2"/>
      <c r="CI35" s="2"/>
      <c r="CJ35" s="2"/>
      <c r="CK35" s="2"/>
      <c r="CL35" s="2"/>
      <c r="CM35" s="2">
        <v>0</v>
      </c>
      <c r="CN35" s="7" t="s">
        <v>802</v>
      </c>
      <c r="CO35" s="2">
        <v>0</v>
      </c>
      <c r="CP35" s="2">
        <f>(P35+Q35+S35+R35)</f>
        <v>5059.0599999999995</v>
      </c>
      <c r="CQ35" s="2">
        <f>SUMIF(SmtRes!AQ3:'SmtRes'!AQ4,"=1",SmtRes!AA3:'SmtRes'!AA4)</f>
        <v>0</v>
      </c>
      <c r="CR35" s="2">
        <f>SUMIF(SmtRes!AQ3:'SmtRes'!AQ4,"=1",SmtRes!AB3:'SmtRes'!AB4)</f>
        <v>960.44</v>
      </c>
      <c r="CS35" s="2">
        <f>SUMIF(SmtRes!AQ3:'SmtRes'!AQ4,"=1",SmtRes!AC3:'SmtRes'!AC4)</f>
        <v>422.95</v>
      </c>
      <c r="CT35" s="2">
        <f>SUMIF(SmtRes!AQ3:'SmtRes'!AQ4,"=1",SmtRes!AD3:'SmtRes'!AD4)</f>
        <v>0</v>
      </c>
      <c r="CU35" s="2">
        <f>AG35</f>
        <v>0</v>
      </c>
      <c r="CV35" s="2">
        <f>SUMIF(SmtRes!AQ3:'SmtRes'!AQ4,"=1",SmtRes!BU3:'SmtRes'!BU4)</f>
        <v>0</v>
      </c>
      <c r="CW35" s="2">
        <f>SUMIF(SmtRes!AQ3:'SmtRes'!AQ4,"=1",SmtRes!BV3:'SmtRes'!BV4)</f>
        <v>60.949999999999996</v>
      </c>
      <c r="CX35" s="2">
        <f>AJ35</f>
        <v>0</v>
      </c>
      <c r="CY35" s="2">
        <f>(((S35+R35)*AT35)/100)</f>
        <v>1422.9916000000001</v>
      </c>
      <c r="CZ35" s="2">
        <f>(((S35+R35)*AU35)/100)</f>
        <v>711.49580000000003</v>
      </c>
      <c r="DA35" s="2"/>
      <c r="DB35" s="2">
        <v>4</v>
      </c>
      <c r="DC35" s="2" t="s">
        <v>3</v>
      </c>
      <c r="DD35" s="2" t="s">
        <v>3</v>
      </c>
      <c r="DE35" s="2" t="s">
        <v>27</v>
      </c>
      <c r="DF35" s="2" t="s">
        <v>27</v>
      </c>
      <c r="DG35" s="2" t="s">
        <v>27</v>
      </c>
      <c r="DH35" s="2" t="s">
        <v>3</v>
      </c>
      <c r="DI35" s="2" t="s">
        <v>27</v>
      </c>
      <c r="DJ35" s="2" t="s">
        <v>27</v>
      </c>
      <c r="DK35" s="2" t="s">
        <v>3</v>
      </c>
      <c r="DL35" s="2" t="s">
        <v>3</v>
      </c>
      <c r="DM35" s="2" t="s">
        <v>3</v>
      </c>
      <c r="DN35" s="2">
        <v>0</v>
      </c>
      <c r="DO35" s="2">
        <v>0</v>
      </c>
      <c r="DP35" s="2">
        <v>1</v>
      </c>
      <c r="DQ35" s="2">
        <v>1</v>
      </c>
      <c r="DR35" s="2"/>
      <c r="DS35" s="2"/>
      <c r="DT35" s="2"/>
      <c r="DU35" s="2">
        <v>1007</v>
      </c>
      <c r="DV35" s="2" t="s">
        <v>54</v>
      </c>
      <c r="DW35" s="2" t="s">
        <v>54</v>
      </c>
      <c r="DX35" s="2">
        <v>1000</v>
      </c>
      <c r="DY35" s="2"/>
      <c r="DZ35" s="2" t="s">
        <v>3</v>
      </c>
      <c r="EA35" s="2" t="s">
        <v>3</v>
      </c>
      <c r="EB35" s="2" t="s">
        <v>3</v>
      </c>
      <c r="EC35" s="2" t="s">
        <v>3</v>
      </c>
      <c r="ED35" s="2"/>
      <c r="EE35" s="2">
        <v>74004172</v>
      </c>
      <c r="EF35" s="2">
        <v>2</v>
      </c>
      <c r="EG35" s="2" t="s">
        <v>29</v>
      </c>
      <c r="EH35" s="2">
        <v>1</v>
      </c>
      <c r="EI35" s="2" t="s">
        <v>18</v>
      </c>
      <c r="EJ35" s="2">
        <v>1</v>
      </c>
      <c r="EK35" s="2">
        <v>1001</v>
      </c>
      <c r="EL35" s="2" t="s">
        <v>56</v>
      </c>
      <c r="EM35" s="2" t="s">
        <v>31</v>
      </c>
      <c r="EN35" s="2"/>
      <c r="EO35" s="2" t="s">
        <v>39</v>
      </c>
      <c r="EP35" s="2"/>
      <c r="EQ35" s="2">
        <v>262144</v>
      </c>
      <c r="ER35" s="2">
        <v>0</v>
      </c>
      <c r="ES35" s="2">
        <v>0</v>
      </c>
      <c r="ET35" s="2">
        <v>0</v>
      </c>
      <c r="EU35" s="2">
        <v>0</v>
      </c>
      <c r="EV35" s="2">
        <v>0</v>
      </c>
      <c r="EW35" s="2">
        <v>0</v>
      </c>
      <c r="EX35" s="2">
        <v>53</v>
      </c>
      <c r="EY35" s="2">
        <v>0</v>
      </c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>
        <v>0</v>
      </c>
      <c r="FR35" s="2">
        <v>0</v>
      </c>
      <c r="FS35" s="2">
        <v>0</v>
      </c>
      <c r="FT35" s="2"/>
      <c r="FU35" s="2"/>
      <c r="FV35" s="2"/>
      <c r="FW35" s="2"/>
      <c r="FX35" s="2">
        <v>92</v>
      </c>
      <c r="FY35" s="2">
        <v>46</v>
      </c>
      <c r="FZ35" s="2"/>
      <c r="GA35" s="2" t="s">
        <v>3</v>
      </c>
      <c r="GB35" s="2"/>
      <c r="GC35" s="2"/>
      <c r="GD35" s="2">
        <v>1</v>
      </c>
      <c r="GE35" s="2"/>
      <c r="GF35" s="2">
        <v>1136446529</v>
      </c>
      <c r="GG35" s="2">
        <v>2</v>
      </c>
      <c r="GH35" s="2">
        <v>1</v>
      </c>
      <c r="GI35" s="2">
        <v>-2</v>
      </c>
      <c r="GJ35" s="2">
        <v>0</v>
      </c>
      <c r="GK35" s="2">
        <v>0</v>
      </c>
      <c r="GL35" s="2">
        <f>ROUND(IF(AND(BH35=3,BI35=3,FS35&lt;&gt;0),P35,0),2)</f>
        <v>0</v>
      </c>
      <c r="GM35" s="2">
        <f>ROUND(O35+X35+Y35,2)+GX35</f>
        <v>7193.55</v>
      </c>
      <c r="GN35" s="2">
        <f>IF(OR(BI35=0,BI35=1),GM35-GX35,0)</f>
        <v>7193.55</v>
      </c>
      <c r="GO35" s="2">
        <f>IF(BI35=2,GM35-GX35,0)</f>
        <v>0</v>
      </c>
      <c r="GP35" s="2">
        <f>IF(BI35=4,GM35-GX35,0)</f>
        <v>0</v>
      </c>
      <c r="GQ35" s="2"/>
      <c r="GR35" s="2">
        <v>0</v>
      </c>
      <c r="GS35" s="2">
        <v>3</v>
      </c>
      <c r="GT35" s="2">
        <v>0</v>
      </c>
      <c r="GU35" s="2" t="s">
        <v>3</v>
      </c>
      <c r="GV35" s="2">
        <f>ROUND((GT35),6)</f>
        <v>0</v>
      </c>
      <c r="GW35" s="2">
        <v>1</v>
      </c>
      <c r="GX35" s="2">
        <f>ROUND(HC35*I35,2)</f>
        <v>0</v>
      </c>
      <c r="GY35" s="2"/>
      <c r="GZ35" s="2"/>
      <c r="HA35" s="2">
        <v>0</v>
      </c>
      <c r="HB35" s="2">
        <v>0</v>
      </c>
      <c r="HC35" s="2">
        <f>GV35*GW35</f>
        <v>0</v>
      </c>
      <c r="HD35" s="2"/>
      <c r="HE35" s="2" t="s">
        <v>3</v>
      </c>
      <c r="HF35" s="2" t="s">
        <v>3</v>
      </c>
      <c r="HG35" s="2"/>
      <c r="HH35" s="2"/>
      <c r="HI35" s="2"/>
      <c r="HJ35" s="2"/>
      <c r="HK35" s="2"/>
      <c r="HL35" s="2"/>
      <c r="HM35" s="2" t="s">
        <v>3</v>
      </c>
      <c r="HN35" s="2" t="s">
        <v>57</v>
      </c>
      <c r="HO35" s="2" t="s">
        <v>58</v>
      </c>
      <c r="HP35" s="2" t="s">
        <v>56</v>
      </c>
      <c r="HQ35" s="2" t="s">
        <v>56</v>
      </c>
      <c r="HR35" s="2"/>
      <c r="HS35" s="2">
        <v>0</v>
      </c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>
        <v>0</v>
      </c>
      <c r="IL35" s="2"/>
      <c r="IM35" s="2"/>
      <c r="IN35" s="2"/>
      <c r="IO35" s="2"/>
      <c r="IP35" s="2"/>
      <c r="IQ35" s="2"/>
      <c r="IR35" s="2"/>
      <c r="IS35" s="2"/>
      <c r="IT35" s="2"/>
      <c r="IU35" s="2"/>
    </row>
    <row r="36" spans="1:255" ht="13.05" customHeight="1" x14ac:dyDescent="0.25">
      <c r="A36" s="2">
        <v>17</v>
      </c>
      <c r="B36" s="2">
        <v>1</v>
      </c>
      <c r="C36" s="2">
        <f>ROW(SmtRes!A5)</f>
        <v>5</v>
      </c>
      <c r="D36" s="2">
        <f>ROW(EtalonRes!A5)</f>
        <v>5</v>
      </c>
      <c r="E36" s="2" t="s">
        <v>59</v>
      </c>
      <c r="F36" s="2" t="s">
        <v>23</v>
      </c>
      <c r="G36" s="2" t="s">
        <v>24</v>
      </c>
      <c r="H36" s="2" t="s">
        <v>25</v>
      </c>
      <c r="I36" s="2">
        <v>0.04</v>
      </c>
      <c r="J36" s="2">
        <v>0</v>
      </c>
      <c r="K36" s="2">
        <v>0.04</v>
      </c>
      <c r="L36" s="2"/>
      <c r="M36" s="2"/>
      <c r="N36" s="2"/>
      <c r="O36" s="2">
        <f>ROUND(CP36,2)</f>
        <v>2544.8000000000002</v>
      </c>
      <c r="P36" s="2">
        <f>SUMIF(SmtRes!AQ5:'SmtRes'!AQ5,"=1",SmtRes!DF5:'SmtRes'!DF5)</f>
        <v>0</v>
      </c>
      <c r="Q36" s="2">
        <f>SUMIF(SmtRes!AQ5:'SmtRes'!AQ5,"=1",SmtRes!DG5:'SmtRes'!DG5)</f>
        <v>0</v>
      </c>
      <c r="R36" s="2">
        <f>SUMIF(SmtRes!AQ5:'SmtRes'!AQ5,"=1",SmtRes!DH5:'SmtRes'!DH5)</f>
        <v>0</v>
      </c>
      <c r="S36" s="2">
        <f>SUMIF(SmtRes!AQ5:'SmtRes'!AQ5,"=1",SmtRes!DI5:'SmtRes'!DI5)</f>
        <v>2544.8000000000002</v>
      </c>
      <c r="T36" s="2">
        <f>ROUND(CU36*I36,2)</f>
        <v>0</v>
      </c>
      <c r="U36" s="2">
        <f>SUMIF(SmtRes!AQ5:'SmtRes'!AQ5,"=1",SmtRes!CV5:'SmtRes'!CV5)</f>
        <v>8.5007999999999999</v>
      </c>
      <c r="V36" s="2">
        <f>SUMIF(SmtRes!AQ5:'SmtRes'!AQ5,"=1",SmtRes!CW5:'SmtRes'!CW5)</f>
        <v>0</v>
      </c>
      <c r="W36" s="2">
        <f>ROUND(CX36*I36,2)</f>
        <v>0</v>
      </c>
      <c r="X36" s="2">
        <f t="shared" si="21"/>
        <v>2264.87</v>
      </c>
      <c r="Y36" s="2">
        <f t="shared" si="21"/>
        <v>1017.92</v>
      </c>
      <c r="Z36" s="2"/>
      <c r="AA36" s="2">
        <v>75604747</v>
      </c>
      <c r="AB36" s="2">
        <f>ROUND((AC36+AD36+AF36),6)</f>
        <v>63619.987200000003</v>
      </c>
      <c r="AC36" s="2">
        <f>ROUND((0),6)</f>
        <v>0</v>
      </c>
      <c r="AD36" s="2">
        <f>ROUND((((0)-(0))+AE36),6)</f>
        <v>0</v>
      </c>
      <c r="AE36" s="2">
        <f>ROUND((0),6)</f>
        <v>0</v>
      </c>
      <c r="AF36" s="2">
        <f>ROUND((SUM(SmtRes!BT5:'SmtRes'!BT5)),6)</f>
        <v>63619.987200000003</v>
      </c>
      <c r="AG36" s="2">
        <f>ROUND((AP36),6)</f>
        <v>0</v>
      </c>
      <c r="AH36" s="2">
        <f>(SUM(SmtRes!BU5:'SmtRes'!BU5))</f>
        <v>212.51999999999998</v>
      </c>
      <c r="AI36" s="2">
        <f>(0)</f>
        <v>0</v>
      </c>
      <c r="AJ36" s="2">
        <f>(AS36)</f>
        <v>0</v>
      </c>
      <c r="AK36" s="2">
        <v>46101.440000000002</v>
      </c>
      <c r="AL36" s="2">
        <v>0</v>
      </c>
      <c r="AM36" s="2">
        <v>0</v>
      </c>
      <c r="AN36" s="2">
        <v>0</v>
      </c>
      <c r="AO36" s="2">
        <v>46101.440000000002</v>
      </c>
      <c r="AP36" s="2">
        <v>0</v>
      </c>
      <c r="AQ36" s="2">
        <v>154</v>
      </c>
      <c r="AR36" s="2">
        <v>0</v>
      </c>
      <c r="AS36" s="2">
        <v>0</v>
      </c>
      <c r="AT36" s="2">
        <v>89</v>
      </c>
      <c r="AU36" s="2">
        <v>40</v>
      </c>
      <c r="AV36" s="2">
        <v>1</v>
      </c>
      <c r="AW36" s="2">
        <v>1</v>
      </c>
      <c r="AX36" s="2"/>
      <c r="AY36" s="2"/>
      <c r="AZ36" s="2">
        <v>1</v>
      </c>
      <c r="BA36" s="2">
        <v>1</v>
      </c>
      <c r="BB36" s="2">
        <v>1</v>
      </c>
      <c r="BC36" s="2">
        <v>1</v>
      </c>
      <c r="BD36" s="2" t="s">
        <v>3</v>
      </c>
      <c r="BE36" s="2" t="s">
        <v>3</v>
      </c>
      <c r="BF36" s="2" t="s">
        <v>3</v>
      </c>
      <c r="BG36" s="2" t="s">
        <v>3</v>
      </c>
      <c r="BH36" s="2">
        <v>0</v>
      </c>
      <c r="BI36" s="2">
        <v>1</v>
      </c>
      <c r="BJ36" s="2" t="s">
        <v>26</v>
      </c>
      <c r="BK36" s="2"/>
      <c r="BL36" s="2"/>
      <c r="BM36" s="2">
        <v>1003</v>
      </c>
      <c r="BN36" s="2">
        <v>0</v>
      </c>
      <c r="BO36" s="2" t="s">
        <v>3</v>
      </c>
      <c r="BP36" s="2">
        <v>0</v>
      </c>
      <c r="BQ36" s="2">
        <v>2</v>
      </c>
      <c r="BR36" s="2">
        <v>0</v>
      </c>
      <c r="BS36" s="2">
        <v>1</v>
      </c>
      <c r="BT36" s="2">
        <v>1</v>
      </c>
      <c r="BU36" s="2">
        <v>1</v>
      </c>
      <c r="BV36" s="2">
        <v>1</v>
      </c>
      <c r="BW36" s="2">
        <v>1</v>
      </c>
      <c r="BX36" s="2">
        <v>1</v>
      </c>
      <c r="BY36" s="2" t="s">
        <v>3</v>
      </c>
      <c r="BZ36" s="2">
        <v>89</v>
      </c>
      <c r="CA36" s="2">
        <v>40</v>
      </c>
      <c r="CB36" s="2" t="s">
        <v>3</v>
      </c>
      <c r="CC36" s="2"/>
      <c r="CD36" s="2"/>
      <c r="CE36" s="2">
        <v>0</v>
      </c>
      <c r="CF36" s="2">
        <v>0</v>
      </c>
      <c r="CG36" s="2">
        <v>0</v>
      </c>
      <c r="CH36" s="2"/>
      <c r="CI36" s="2"/>
      <c r="CJ36" s="2"/>
      <c r="CK36" s="2"/>
      <c r="CL36" s="2"/>
      <c r="CM36" s="2">
        <v>0</v>
      </c>
      <c r="CN36" s="7" t="s">
        <v>803</v>
      </c>
      <c r="CO36" s="2">
        <v>0</v>
      </c>
      <c r="CP36" s="2">
        <f>(P36+Q36+S36+R36)</f>
        <v>2544.8000000000002</v>
      </c>
      <c r="CQ36" s="2">
        <f>SUMIF(SmtRes!AQ5:'SmtRes'!AQ5,"=1",SmtRes!AA5:'SmtRes'!AA5)</f>
        <v>0</v>
      </c>
      <c r="CR36" s="2">
        <f>SUMIF(SmtRes!AQ5:'SmtRes'!AQ5,"=1",SmtRes!AB5:'SmtRes'!AB5)</f>
        <v>0</v>
      </c>
      <c r="CS36" s="2">
        <f>SUMIF(SmtRes!AQ5:'SmtRes'!AQ5,"=1",SmtRes!AC5:'SmtRes'!AC5)</f>
        <v>0</v>
      </c>
      <c r="CT36" s="2">
        <f>SUMIF(SmtRes!AQ5:'SmtRes'!AQ5,"=1",SmtRes!AD5:'SmtRes'!AD5)</f>
        <v>299.36</v>
      </c>
      <c r="CU36" s="2">
        <f>AG36</f>
        <v>0</v>
      </c>
      <c r="CV36" s="2">
        <f>SUMIF(SmtRes!AQ5:'SmtRes'!AQ5,"=1",SmtRes!BU5:'SmtRes'!BU5)</f>
        <v>212.51999999999998</v>
      </c>
      <c r="CW36" s="2">
        <f>SUMIF(SmtRes!AQ5:'SmtRes'!AQ5,"=1",SmtRes!BV5:'SmtRes'!BV5)</f>
        <v>0</v>
      </c>
      <c r="CX36" s="2">
        <f>AJ36</f>
        <v>0</v>
      </c>
      <c r="CY36" s="2">
        <f>(((S36+R36)*AT36)/100)</f>
        <v>2264.8720000000003</v>
      </c>
      <c r="CZ36" s="2">
        <f>(((S36+R36)*AU36)/100)</f>
        <v>1017.92</v>
      </c>
      <c r="DA36" s="2"/>
      <c r="DB36" s="2">
        <v>5</v>
      </c>
      <c r="DC36" s="2" t="s">
        <v>3</v>
      </c>
      <c r="DD36" s="2" t="s">
        <v>3</v>
      </c>
      <c r="DE36" s="2" t="s">
        <v>27</v>
      </c>
      <c r="DF36" s="2" t="s">
        <v>27</v>
      </c>
      <c r="DG36" s="2" t="s">
        <v>60</v>
      </c>
      <c r="DH36" s="2" t="s">
        <v>3</v>
      </c>
      <c r="DI36" s="2" t="s">
        <v>60</v>
      </c>
      <c r="DJ36" s="2" t="s">
        <v>27</v>
      </c>
      <c r="DK36" s="2" t="s">
        <v>3</v>
      </c>
      <c r="DL36" s="2" t="s">
        <v>3</v>
      </c>
      <c r="DM36" s="2" t="s">
        <v>3</v>
      </c>
      <c r="DN36" s="2">
        <v>0</v>
      </c>
      <c r="DO36" s="2">
        <v>0</v>
      </c>
      <c r="DP36" s="2">
        <v>1</v>
      </c>
      <c r="DQ36" s="2">
        <v>1</v>
      </c>
      <c r="DR36" s="2"/>
      <c r="DS36" s="2"/>
      <c r="DT36" s="2"/>
      <c r="DU36" s="2">
        <v>1007</v>
      </c>
      <c r="DV36" s="2" t="s">
        <v>25</v>
      </c>
      <c r="DW36" s="2" t="s">
        <v>25</v>
      </c>
      <c r="DX36" s="2">
        <v>100</v>
      </c>
      <c r="DY36" s="2"/>
      <c r="DZ36" s="2" t="s">
        <v>3</v>
      </c>
      <c r="EA36" s="2" t="s">
        <v>3</v>
      </c>
      <c r="EB36" s="2" t="s">
        <v>3</v>
      </c>
      <c r="EC36" s="2" t="s">
        <v>3</v>
      </c>
      <c r="ED36" s="2"/>
      <c r="EE36" s="2">
        <v>74004174</v>
      </c>
      <c r="EF36" s="2">
        <v>2</v>
      </c>
      <c r="EG36" s="2" t="s">
        <v>29</v>
      </c>
      <c r="EH36" s="2">
        <v>1</v>
      </c>
      <c r="EI36" s="2" t="s">
        <v>18</v>
      </c>
      <c r="EJ36" s="2">
        <v>1</v>
      </c>
      <c r="EK36" s="2">
        <v>1003</v>
      </c>
      <c r="EL36" s="2" t="s">
        <v>30</v>
      </c>
      <c r="EM36" s="2" t="s">
        <v>31</v>
      </c>
      <c r="EN36" s="2"/>
      <c r="EO36" s="2" t="s">
        <v>61</v>
      </c>
      <c r="EP36" s="2"/>
      <c r="EQ36" s="2">
        <v>262144</v>
      </c>
      <c r="ER36" s="2">
        <v>0</v>
      </c>
      <c r="ES36" s="2">
        <v>0</v>
      </c>
      <c r="ET36" s="2">
        <v>0</v>
      </c>
      <c r="EU36" s="2">
        <v>0</v>
      </c>
      <c r="EV36" s="2">
        <v>0</v>
      </c>
      <c r="EW36" s="2">
        <v>154</v>
      </c>
      <c r="EX36" s="2">
        <v>0</v>
      </c>
      <c r="EY36" s="2">
        <v>0</v>
      </c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>
        <v>0</v>
      </c>
      <c r="FR36" s="2">
        <v>0</v>
      </c>
      <c r="FS36" s="2">
        <v>0</v>
      </c>
      <c r="FT36" s="2"/>
      <c r="FU36" s="2"/>
      <c r="FV36" s="2"/>
      <c r="FW36" s="2"/>
      <c r="FX36" s="2">
        <v>89</v>
      </c>
      <c r="FY36" s="2">
        <v>40</v>
      </c>
      <c r="FZ36" s="2"/>
      <c r="GA36" s="2" t="s">
        <v>3</v>
      </c>
      <c r="GB36" s="2"/>
      <c r="GC36" s="2"/>
      <c r="GD36" s="2">
        <v>1</v>
      </c>
      <c r="GE36" s="2"/>
      <c r="GF36" s="2">
        <v>721379007</v>
      </c>
      <c r="GG36" s="2">
        <v>2</v>
      </c>
      <c r="GH36" s="2">
        <v>1</v>
      </c>
      <c r="GI36" s="2">
        <v>-2</v>
      </c>
      <c r="GJ36" s="2">
        <v>0</v>
      </c>
      <c r="GK36" s="2">
        <v>0</v>
      </c>
      <c r="GL36" s="2">
        <f>ROUND(IF(AND(BH36=3,BI36=3,FS36&lt;&gt;0),P36,0),2)</f>
        <v>0</v>
      </c>
      <c r="GM36" s="2">
        <f>ROUND(O36+X36+Y36,2)+GX36</f>
        <v>5827.59</v>
      </c>
      <c r="GN36" s="2">
        <f>IF(OR(BI36=0,BI36=1),GM36-GX36,0)</f>
        <v>5827.59</v>
      </c>
      <c r="GO36" s="2">
        <f>IF(BI36=2,GM36-GX36,0)</f>
        <v>0</v>
      </c>
      <c r="GP36" s="2">
        <f>IF(BI36=4,GM36-GX36,0)</f>
        <v>0</v>
      </c>
      <c r="GQ36" s="2"/>
      <c r="GR36" s="2">
        <v>0</v>
      </c>
      <c r="GS36" s="2">
        <v>3</v>
      </c>
      <c r="GT36" s="2">
        <v>0</v>
      </c>
      <c r="GU36" s="2" t="s">
        <v>3</v>
      </c>
      <c r="GV36" s="2">
        <f>ROUND((GT36),6)</f>
        <v>0</v>
      </c>
      <c r="GW36" s="2">
        <v>1</v>
      </c>
      <c r="GX36" s="2">
        <f>ROUND(HC36*I36,2)</f>
        <v>0</v>
      </c>
      <c r="GY36" s="2"/>
      <c r="GZ36" s="2"/>
      <c r="HA36" s="2">
        <v>0</v>
      </c>
      <c r="HB36" s="2">
        <v>0</v>
      </c>
      <c r="HC36" s="2">
        <f>GV36*GW36</f>
        <v>0</v>
      </c>
      <c r="HD36" s="2"/>
      <c r="HE36" s="2" t="s">
        <v>3</v>
      </c>
      <c r="HF36" s="2" t="s">
        <v>3</v>
      </c>
      <c r="HG36" s="2"/>
      <c r="HH36" s="2"/>
      <c r="HI36" s="2"/>
      <c r="HJ36" s="2"/>
      <c r="HK36" s="2"/>
      <c r="HL36" s="2"/>
      <c r="HM36" s="2" t="s">
        <v>3</v>
      </c>
      <c r="HN36" s="2" t="s">
        <v>33</v>
      </c>
      <c r="HO36" s="2" t="s">
        <v>34</v>
      </c>
      <c r="HP36" s="2" t="s">
        <v>30</v>
      </c>
      <c r="HQ36" s="2" t="s">
        <v>30</v>
      </c>
      <c r="HR36" s="2"/>
      <c r="HS36" s="2">
        <v>0</v>
      </c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>
        <v>0</v>
      </c>
      <c r="IL36" s="2"/>
      <c r="IM36" s="2"/>
      <c r="IN36" s="2"/>
      <c r="IO36" s="2"/>
      <c r="IP36" s="2"/>
      <c r="IQ36" s="2"/>
      <c r="IR36" s="2"/>
      <c r="IS36" s="2"/>
      <c r="IT36" s="2"/>
      <c r="IU36" s="2"/>
    </row>
    <row r="37" spans="1:255" ht="13.05" customHeight="1" x14ac:dyDescent="0.25">
      <c r="A37" s="2">
        <v>17</v>
      </c>
      <c r="B37" s="2">
        <v>1</v>
      </c>
      <c r="C37" s="2">
        <f>ROW(SmtRes!A6)</f>
        <v>6</v>
      </c>
      <c r="D37" s="2">
        <f>ROW(EtalonRes!A6)</f>
        <v>6</v>
      </c>
      <c r="E37" s="2" t="s">
        <v>62</v>
      </c>
      <c r="F37" s="2" t="s">
        <v>36</v>
      </c>
      <c r="G37" s="2" t="s">
        <v>37</v>
      </c>
      <c r="H37" s="2" t="s">
        <v>25</v>
      </c>
      <c r="I37" s="2">
        <v>0.04</v>
      </c>
      <c r="J37" s="2">
        <v>0</v>
      </c>
      <c r="K37" s="2">
        <v>0.04</v>
      </c>
      <c r="L37" s="2"/>
      <c r="M37" s="2"/>
      <c r="N37" s="2"/>
      <c r="O37" s="2">
        <f>ROUND(CP37,2)</f>
        <v>707.1</v>
      </c>
      <c r="P37" s="2">
        <f>SUMIF(SmtRes!AQ6:'SmtRes'!AQ6,"=1",SmtRes!DF6:'SmtRes'!DF6)</f>
        <v>0</v>
      </c>
      <c r="Q37" s="2">
        <f>SUMIF(SmtRes!AQ6:'SmtRes'!AQ6,"=1",SmtRes!DG6:'SmtRes'!DG6)</f>
        <v>0</v>
      </c>
      <c r="R37" s="2">
        <f>SUMIF(SmtRes!AQ6:'SmtRes'!AQ6,"=1",SmtRes!DH6:'SmtRes'!DH6)</f>
        <v>0</v>
      </c>
      <c r="S37" s="2">
        <f>SUMIF(SmtRes!AQ6:'SmtRes'!AQ6,"=1",SmtRes!DI6:'SmtRes'!DI6)</f>
        <v>707.1</v>
      </c>
      <c r="T37" s="2">
        <f>ROUND(CU37*I37,2)</f>
        <v>0</v>
      </c>
      <c r="U37" s="2">
        <f>SUMIF(SmtRes!AQ6:'SmtRes'!AQ6,"=1",SmtRes!CV6:'SmtRes'!CV6)</f>
        <v>2.4637600000000002</v>
      </c>
      <c r="V37" s="2">
        <f>SUMIF(SmtRes!AQ6:'SmtRes'!AQ6,"=1",SmtRes!CW6:'SmtRes'!CW6)</f>
        <v>0</v>
      </c>
      <c r="W37" s="2">
        <f>ROUND(CX37*I37,2)</f>
        <v>0</v>
      </c>
      <c r="X37" s="2">
        <f t="shared" si="21"/>
        <v>629.32000000000005</v>
      </c>
      <c r="Y37" s="2">
        <f t="shared" si="21"/>
        <v>282.83999999999997</v>
      </c>
      <c r="Z37" s="2"/>
      <c r="AA37" s="2">
        <v>75604747</v>
      </c>
      <c r="AB37" s="2">
        <f>ROUND((AC37+AD37+AF37),6)</f>
        <v>17677.477999999999</v>
      </c>
      <c r="AC37" s="2">
        <f>ROUND((0),6)</f>
        <v>0</v>
      </c>
      <c r="AD37" s="2">
        <f>ROUND((((0)-(0))+AE37),6)</f>
        <v>0</v>
      </c>
      <c r="AE37" s="2">
        <f>ROUND((0),6)</f>
        <v>0</v>
      </c>
      <c r="AF37" s="2">
        <f>ROUND((SUM(SmtRes!BT6:'SmtRes'!BT6)),6)</f>
        <v>17677.477999999999</v>
      </c>
      <c r="AG37" s="2">
        <f>ROUND((AP37),6)</f>
        <v>0</v>
      </c>
      <c r="AH37" s="2">
        <f>(SUM(SmtRes!BU6:'SmtRes'!BU6))</f>
        <v>61.594000000000001</v>
      </c>
      <c r="AI37" s="2">
        <f>(0)</f>
        <v>0</v>
      </c>
      <c r="AJ37" s="2">
        <f>(AS37)</f>
        <v>0</v>
      </c>
      <c r="AK37" s="2">
        <v>15371.720000000001</v>
      </c>
      <c r="AL37" s="2">
        <v>0</v>
      </c>
      <c r="AM37" s="2">
        <v>0</v>
      </c>
      <c r="AN37" s="2">
        <v>0</v>
      </c>
      <c r="AO37" s="2">
        <v>15371.720000000001</v>
      </c>
      <c r="AP37" s="2">
        <v>0</v>
      </c>
      <c r="AQ37" s="2">
        <v>53.56</v>
      </c>
      <c r="AR37" s="2">
        <v>0</v>
      </c>
      <c r="AS37" s="2">
        <v>0</v>
      </c>
      <c r="AT37" s="2">
        <v>89</v>
      </c>
      <c r="AU37" s="2">
        <v>40</v>
      </c>
      <c r="AV37" s="2">
        <v>1</v>
      </c>
      <c r="AW37" s="2">
        <v>1</v>
      </c>
      <c r="AX37" s="2"/>
      <c r="AY37" s="2"/>
      <c r="AZ37" s="2">
        <v>1</v>
      </c>
      <c r="BA37" s="2">
        <v>1</v>
      </c>
      <c r="BB37" s="2">
        <v>1</v>
      </c>
      <c r="BC37" s="2">
        <v>1</v>
      </c>
      <c r="BD37" s="2" t="s">
        <v>3</v>
      </c>
      <c r="BE37" s="2" t="s">
        <v>3</v>
      </c>
      <c r="BF37" s="2" t="s">
        <v>3</v>
      </c>
      <c r="BG37" s="2" t="s">
        <v>3</v>
      </c>
      <c r="BH37" s="2">
        <v>0</v>
      </c>
      <c r="BI37" s="2">
        <v>1</v>
      </c>
      <c r="BJ37" s="2" t="s">
        <v>38</v>
      </c>
      <c r="BK37" s="2"/>
      <c r="BL37" s="2"/>
      <c r="BM37" s="2">
        <v>1003</v>
      </c>
      <c r="BN37" s="2">
        <v>0</v>
      </c>
      <c r="BO37" s="2" t="s">
        <v>3</v>
      </c>
      <c r="BP37" s="2">
        <v>0</v>
      </c>
      <c r="BQ37" s="2">
        <v>2</v>
      </c>
      <c r="BR37" s="2">
        <v>0</v>
      </c>
      <c r="BS37" s="2">
        <v>1</v>
      </c>
      <c r="BT37" s="2">
        <v>1</v>
      </c>
      <c r="BU37" s="2">
        <v>1</v>
      </c>
      <c r="BV37" s="2">
        <v>1</v>
      </c>
      <c r="BW37" s="2">
        <v>1</v>
      </c>
      <c r="BX37" s="2">
        <v>1</v>
      </c>
      <c r="BY37" s="2" t="s">
        <v>3</v>
      </c>
      <c r="BZ37" s="2">
        <v>89</v>
      </c>
      <c r="CA37" s="2">
        <v>40</v>
      </c>
      <c r="CB37" s="2" t="s">
        <v>3</v>
      </c>
      <c r="CC37" s="2"/>
      <c r="CD37" s="2"/>
      <c r="CE37" s="2">
        <v>0</v>
      </c>
      <c r="CF37" s="2">
        <v>0</v>
      </c>
      <c r="CG37" s="2">
        <v>0</v>
      </c>
      <c r="CH37" s="2"/>
      <c r="CI37" s="2"/>
      <c r="CJ37" s="2"/>
      <c r="CK37" s="2"/>
      <c r="CL37" s="2"/>
      <c r="CM37" s="2">
        <v>0</v>
      </c>
      <c r="CN37" s="7" t="s">
        <v>802</v>
      </c>
      <c r="CO37" s="2">
        <v>0</v>
      </c>
      <c r="CP37" s="2">
        <f>(P37+Q37+S37+R37)</f>
        <v>707.1</v>
      </c>
      <c r="CQ37" s="2">
        <f>SUMIF(SmtRes!AQ6:'SmtRes'!AQ6,"=1",SmtRes!AA6:'SmtRes'!AA6)</f>
        <v>0</v>
      </c>
      <c r="CR37" s="2">
        <f>SUMIF(SmtRes!AQ6:'SmtRes'!AQ6,"=1",SmtRes!AB6:'SmtRes'!AB6)</f>
        <v>0</v>
      </c>
      <c r="CS37" s="2">
        <f>SUMIF(SmtRes!AQ6:'SmtRes'!AQ6,"=1",SmtRes!AC6:'SmtRes'!AC6)</f>
        <v>0</v>
      </c>
      <c r="CT37" s="2">
        <f>SUMIF(SmtRes!AQ6:'SmtRes'!AQ6,"=1",SmtRes!AD6:'SmtRes'!AD6)</f>
        <v>287</v>
      </c>
      <c r="CU37" s="2">
        <f>AG37</f>
        <v>0</v>
      </c>
      <c r="CV37" s="2">
        <f>SUMIF(SmtRes!AQ6:'SmtRes'!AQ6,"=1",SmtRes!BU6:'SmtRes'!BU6)</f>
        <v>61.594000000000001</v>
      </c>
      <c r="CW37" s="2">
        <f>SUMIF(SmtRes!AQ6:'SmtRes'!AQ6,"=1",SmtRes!BV6:'SmtRes'!BV6)</f>
        <v>0</v>
      </c>
      <c r="CX37" s="2">
        <f>AJ37</f>
        <v>0</v>
      </c>
      <c r="CY37" s="2">
        <f>(((S37+R37)*AT37)/100)</f>
        <v>629.31899999999996</v>
      </c>
      <c r="CZ37" s="2">
        <f>(((S37+R37)*AU37)/100)</f>
        <v>282.83999999999997</v>
      </c>
      <c r="DA37" s="2"/>
      <c r="DB37" s="2">
        <v>7</v>
      </c>
      <c r="DC37" s="2" t="s">
        <v>3</v>
      </c>
      <c r="DD37" s="2" t="s">
        <v>3</v>
      </c>
      <c r="DE37" s="2" t="s">
        <v>27</v>
      </c>
      <c r="DF37" s="2" t="s">
        <v>27</v>
      </c>
      <c r="DG37" s="2" t="s">
        <v>27</v>
      </c>
      <c r="DH37" s="2" t="s">
        <v>3</v>
      </c>
      <c r="DI37" s="2" t="s">
        <v>27</v>
      </c>
      <c r="DJ37" s="2" t="s">
        <v>27</v>
      </c>
      <c r="DK37" s="2" t="s">
        <v>3</v>
      </c>
      <c r="DL37" s="2" t="s">
        <v>3</v>
      </c>
      <c r="DM37" s="2" t="s">
        <v>3</v>
      </c>
      <c r="DN37" s="2">
        <v>0</v>
      </c>
      <c r="DO37" s="2">
        <v>0</v>
      </c>
      <c r="DP37" s="2">
        <v>1</v>
      </c>
      <c r="DQ37" s="2">
        <v>1</v>
      </c>
      <c r="DR37" s="2"/>
      <c r="DS37" s="2"/>
      <c r="DT37" s="2"/>
      <c r="DU37" s="2">
        <v>1007</v>
      </c>
      <c r="DV37" s="2" t="s">
        <v>25</v>
      </c>
      <c r="DW37" s="2" t="s">
        <v>25</v>
      </c>
      <c r="DX37" s="2">
        <v>100</v>
      </c>
      <c r="DY37" s="2"/>
      <c r="DZ37" s="2" t="s">
        <v>3</v>
      </c>
      <c r="EA37" s="2" t="s">
        <v>3</v>
      </c>
      <c r="EB37" s="2" t="s">
        <v>3</v>
      </c>
      <c r="EC37" s="2" t="s">
        <v>3</v>
      </c>
      <c r="ED37" s="2"/>
      <c r="EE37" s="2">
        <v>74004174</v>
      </c>
      <c r="EF37" s="2">
        <v>2</v>
      </c>
      <c r="EG37" s="2" t="s">
        <v>29</v>
      </c>
      <c r="EH37" s="2">
        <v>1</v>
      </c>
      <c r="EI37" s="2" t="s">
        <v>18</v>
      </c>
      <c r="EJ37" s="2">
        <v>1</v>
      </c>
      <c r="EK37" s="2">
        <v>1003</v>
      </c>
      <c r="EL37" s="2" t="s">
        <v>30</v>
      </c>
      <c r="EM37" s="2" t="s">
        <v>31</v>
      </c>
      <c r="EN37" s="2"/>
      <c r="EO37" s="2" t="s">
        <v>39</v>
      </c>
      <c r="EP37" s="2"/>
      <c r="EQ37" s="2">
        <v>262144</v>
      </c>
      <c r="ER37" s="2">
        <v>0</v>
      </c>
      <c r="ES37" s="2">
        <v>0</v>
      </c>
      <c r="ET37" s="2">
        <v>0</v>
      </c>
      <c r="EU37" s="2">
        <v>0</v>
      </c>
      <c r="EV37" s="2">
        <v>0</v>
      </c>
      <c r="EW37" s="2">
        <v>53.56</v>
      </c>
      <c r="EX37" s="2">
        <v>0</v>
      </c>
      <c r="EY37" s="2">
        <v>0</v>
      </c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>
        <v>0</v>
      </c>
      <c r="FR37" s="2">
        <v>0</v>
      </c>
      <c r="FS37" s="2">
        <v>0</v>
      </c>
      <c r="FT37" s="2"/>
      <c r="FU37" s="2"/>
      <c r="FV37" s="2"/>
      <c r="FW37" s="2"/>
      <c r="FX37" s="2">
        <v>89</v>
      </c>
      <c r="FY37" s="2">
        <v>40</v>
      </c>
      <c r="FZ37" s="2"/>
      <c r="GA37" s="2" t="s">
        <v>3</v>
      </c>
      <c r="GB37" s="2"/>
      <c r="GC37" s="2"/>
      <c r="GD37" s="2">
        <v>1</v>
      </c>
      <c r="GE37" s="2"/>
      <c r="GF37" s="2">
        <v>979674477</v>
      </c>
      <c r="GG37" s="2">
        <v>2</v>
      </c>
      <c r="GH37" s="2">
        <v>1</v>
      </c>
      <c r="GI37" s="2">
        <v>-2</v>
      </c>
      <c r="GJ37" s="2">
        <v>0</v>
      </c>
      <c r="GK37" s="2">
        <v>0</v>
      </c>
      <c r="GL37" s="2">
        <f>ROUND(IF(AND(BH37=3,BI37=3,FS37&lt;&gt;0),P37,0),2)</f>
        <v>0</v>
      </c>
      <c r="GM37" s="2">
        <f>ROUND(O37+X37+Y37,2)+GX37</f>
        <v>1619.26</v>
      </c>
      <c r="GN37" s="2">
        <f>IF(OR(BI37=0,BI37=1),GM37-GX37,0)</f>
        <v>1619.26</v>
      </c>
      <c r="GO37" s="2">
        <f>IF(BI37=2,GM37-GX37,0)</f>
        <v>0</v>
      </c>
      <c r="GP37" s="2">
        <f>IF(BI37=4,GM37-GX37,0)</f>
        <v>0</v>
      </c>
      <c r="GQ37" s="2"/>
      <c r="GR37" s="2">
        <v>0</v>
      </c>
      <c r="GS37" s="2">
        <v>3</v>
      </c>
      <c r="GT37" s="2">
        <v>0</v>
      </c>
      <c r="GU37" s="2" t="s">
        <v>3</v>
      </c>
      <c r="GV37" s="2">
        <f>ROUND((GT37),6)</f>
        <v>0</v>
      </c>
      <c r="GW37" s="2">
        <v>1</v>
      </c>
      <c r="GX37" s="2">
        <f>ROUND(HC37*I37,2)</f>
        <v>0</v>
      </c>
      <c r="GY37" s="2"/>
      <c r="GZ37" s="2"/>
      <c r="HA37" s="2">
        <v>0</v>
      </c>
      <c r="HB37" s="2">
        <v>0</v>
      </c>
      <c r="HC37" s="2">
        <f>GV37*GW37</f>
        <v>0</v>
      </c>
      <c r="HD37" s="2"/>
      <c r="HE37" s="2" t="s">
        <v>3</v>
      </c>
      <c r="HF37" s="2" t="s">
        <v>3</v>
      </c>
      <c r="HG37" s="2"/>
      <c r="HH37" s="2"/>
      <c r="HI37" s="2"/>
      <c r="HJ37" s="2"/>
      <c r="HK37" s="2"/>
      <c r="HL37" s="2"/>
      <c r="HM37" s="2" t="s">
        <v>3</v>
      </c>
      <c r="HN37" s="2" t="s">
        <v>33</v>
      </c>
      <c r="HO37" s="2" t="s">
        <v>34</v>
      </c>
      <c r="HP37" s="2" t="s">
        <v>30</v>
      </c>
      <c r="HQ37" s="2" t="s">
        <v>30</v>
      </c>
      <c r="HR37" s="2"/>
      <c r="HS37" s="2">
        <v>0</v>
      </c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>
        <v>0</v>
      </c>
      <c r="IL37" s="2"/>
      <c r="IM37" s="2"/>
      <c r="IN37" s="2"/>
      <c r="IO37" s="2"/>
      <c r="IP37" s="2"/>
      <c r="IQ37" s="2"/>
      <c r="IR37" s="2"/>
      <c r="IS37" s="2"/>
      <c r="IT37" s="2"/>
      <c r="IU37" s="2"/>
    </row>
    <row r="38" spans="1:255" ht="13.05" customHeight="1" x14ac:dyDescent="0.25">
      <c r="A38" s="2">
        <v>17</v>
      </c>
      <c r="B38" s="2">
        <v>1</v>
      </c>
      <c r="C38" s="2"/>
      <c r="D38" s="2"/>
      <c r="E38" s="2" t="s">
        <v>63</v>
      </c>
      <c r="F38" s="2" t="s">
        <v>41</v>
      </c>
      <c r="G38" s="2" t="s">
        <v>42</v>
      </c>
      <c r="H38" s="2" t="s">
        <v>43</v>
      </c>
      <c r="I38" s="2">
        <v>112</v>
      </c>
      <c r="J38" s="2">
        <v>0</v>
      </c>
      <c r="K38" s="2">
        <v>112</v>
      </c>
      <c r="L38" s="2"/>
      <c r="M38" s="2"/>
      <c r="N38" s="2"/>
      <c r="O38" s="2">
        <f>0</f>
        <v>0</v>
      </c>
      <c r="P38" s="2">
        <f>0</f>
        <v>0</v>
      </c>
      <c r="Q38" s="2">
        <f>0</f>
        <v>0</v>
      </c>
      <c r="R38" s="2">
        <f>0</f>
        <v>0</v>
      </c>
      <c r="S38" s="2">
        <f>0</f>
        <v>0</v>
      </c>
      <c r="T38" s="2">
        <f>0</f>
        <v>0</v>
      </c>
      <c r="U38" s="2">
        <f>0</f>
        <v>0</v>
      </c>
      <c r="V38" s="2">
        <f>0</f>
        <v>0</v>
      </c>
      <c r="W38" s="2">
        <f>0</f>
        <v>0</v>
      </c>
      <c r="X38" s="2">
        <f>0</f>
        <v>0</v>
      </c>
      <c r="Y38" s="2">
        <f>0</f>
        <v>0</v>
      </c>
      <c r="Z38" s="2"/>
      <c r="AA38" s="2">
        <v>75604747</v>
      </c>
      <c r="AB38" s="2">
        <f>ROUND((AK38),6)</f>
        <v>251.35</v>
      </c>
      <c r="AC38" s="2">
        <f>0</f>
        <v>0</v>
      </c>
      <c r="AD38" s="2">
        <f>0</f>
        <v>0</v>
      </c>
      <c r="AE38" s="2">
        <f>0</f>
        <v>0</v>
      </c>
      <c r="AF38" s="2">
        <f>0</f>
        <v>0</v>
      </c>
      <c r="AG38" s="2">
        <f>0</f>
        <v>0</v>
      </c>
      <c r="AH38" s="2">
        <f>0</f>
        <v>0</v>
      </c>
      <c r="AI38" s="2">
        <f>0</f>
        <v>0</v>
      </c>
      <c r="AJ38" s="2">
        <f>0</f>
        <v>0</v>
      </c>
      <c r="AK38" s="2">
        <v>251.35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0</v>
      </c>
      <c r="AU38" s="2">
        <v>0</v>
      </c>
      <c r="AV38" s="2">
        <v>1</v>
      </c>
      <c r="AW38" s="2">
        <v>1</v>
      </c>
      <c r="AX38" s="2"/>
      <c r="AY38" s="2"/>
      <c r="AZ38" s="2">
        <v>1</v>
      </c>
      <c r="BA38" s="2">
        <v>1</v>
      </c>
      <c r="BB38" s="2">
        <v>1</v>
      </c>
      <c r="BC38" s="2">
        <v>1</v>
      </c>
      <c r="BD38" s="2" t="s">
        <v>3</v>
      </c>
      <c r="BE38" s="2" t="s">
        <v>3</v>
      </c>
      <c r="BF38" s="2" t="s">
        <v>3</v>
      </c>
      <c r="BG38" s="2" t="s">
        <v>3</v>
      </c>
      <c r="BH38" s="2">
        <v>0</v>
      </c>
      <c r="BI38" s="2">
        <v>1</v>
      </c>
      <c r="BJ38" s="2" t="s">
        <v>41</v>
      </c>
      <c r="BK38" s="2"/>
      <c r="BL38" s="2"/>
      <c r="BM38" s="2">
        <v>700008</v>
      </c>
      <c r="BN38" s="2">
        <v>0</v>
      </c>
      <c r="BO38" s="2" t="s">
        <v>3</v>
      </c>
      <c r="BP38" s="2">
        <v>0</v>
      </c>
      <c r="BQ38" s="2">
        <v>10</v>
      </c>
      <c r="BR38" s="2">
        <v>0</v>
      </c>
      <c r="BS38" s="2">
        <v>1</v>
      </c>
      <c r="BT38" s="2">
        <v>1</v>
      </c>
      <c r="BU38" s="2">
        <v>1</v>
      </c>
      <c r="BV38" s="2">
        <v>1</v>
      </c>
      <c r="BW38" s="2">
        <v>1</v>
      </c>
      <c r="BX38" s="2">
        <v>1</v>
      </c>
      <c r="BY38" s="2" t="s">
        <v>3</v>
      </c>
      <c r="BZ38" s="2">
        <v>94</v>
      </c>
      <c r="CA38" s="2">
        <v>61</v>
      </c>
      <c r="CB38" s="2" t="s">
        <v>3</v>
      </c>
      <c r="CC38" s="2"/>
      <c r="CD38" s="2"/>
      <c r="CE38" s="2">
        <v>0</v>
      </c>
      <c r="CF38" s="2">
        <v>0</v>
      </c>
      <c r="CG38" s="2">
        <v>0</v>
      </c>
      <c r="CH38" s="2"/>
      <c r="CI38" s="2"/>
      <c r="CJ38" s="2"/>
      <c r="CK38" s="2"/>
      <c r="CL38" s="2"/>
      <c r="CM38" s="2">
        <v>0</v>
      </c>
      <c r="CN38" s="2" t="s">
        <v>3</v>
      </c>
      <c r="CO38" s="2">
        <v>0</v>
      </c>
      <c r="CP38" s="2">
        <f>AB38*AZ38</f>
        <v>251.35</v>
      </c>
      <c r="CQ38" s="2">
        <v>0</v>
      </c>
      <c r="CR38" s="2">
        <v>0</v>
      </c>
      <c r="CS38" s="2">
        <v>0</v>
      </c>
      <c r="CT38" s="2">
        <v>0</v>
      </c>
      <c r="CU38" s="2">
        <v>0</v>
      </c>
      <c r="CV38" s="2">
        <v>0</v>
      </c>
      <c r="CW38" s="2">
        <v>0</v>
      </c>
      <c r="CX38" s="2">
        <v>0</v>
      </c>
      <c r="CY38" s="2">
        <v>0</v>
      </c>
      <c r="CZ38" s="2">
        <v>0</v>
      </c>
      <c r="DA38" s="2"/>
      <c r="DB38" s="2"/>
      <c r="DC38" s="2" t="s">
        <v>3</v>
      </c>
      <c r="DD38" s="2" t="s">
        <v>3</v>
      </c>
      <c r="DE38" s="2" t="s">
        <v>3</v>
      </c>
      <c r="DF38" s="2" t="s">
        <v>3</v>
      </c>
      <c r="DG38" s="2" t="s">
        <v>3</v>
      </c>
      <c r="DH38" s="2" t="s">
        <v>3</v>
      </c>
      <c r="DI38" s="2" t="s">
        <v>3</v>
      </c>
      <c r="DJ38" s="2" t="s">
        <v>3</v>
      </c>
      <c r="DK38" s="2" t="s">
        <v>3</v>
      </c>
      <c r="DL38" s="2" t="s">
        <v>3</v>
      </c>
      <c r="DM38" s="2" t="s">
        <v>3</v>
      </c>
      <c r="DN38" s="2">
        <v>0</v>
      </c>
      <c r="DO38" s="2">
        <v>0</v>
      </c>
      <c r="DP38" s="2">
        <v>1</v>
      </c>
      <c r="DQ38" s="2">
        <v>1</v>
      </c>
      <c r="DR38" s="2"/>
      <c r="DS38" s="2"/>
      <c r="DT38" s="2"/>
      <c r="DU38" s="2">
        <v>1013</v>
      </c>
      <c r="DV38" s="2" t="s">
        <v>43</v>
      </c>
      <c r="DW38" s="2" t="s">
        <v>43</v>
      </c>
      <c r="DX38" s="2">
        <v>1</v>
      </c>
      <c r="DY38" s="2"/>
      <c r="DZ38" s="2" t="s">
        <v>3</v>
      </c>
      <c r="EA38" s="2" t="s">
        <v>3</v>
      </c>
      <c r="EB38" s="2" t="s">
        <v>3</v>
      </c>
      <c r="EC38" s="2" t="s">
        <v>3</v>
      </c>
      <c r="ED38" s="2"/>
      <c r="EE38" s="2">
        <v>74004662</v>
      </c>
      <c r="EF38" s="2">
        <v>10</v>
      </c>
      <c r="EG38" s="2" t="s">
        <v>44</v>
      </c>
      <c r="EH38" s="2">
        <v>107</v>
      </c>
      <c r="EI38" s="2" t="s">
        <v>45</v>
      </c>
      <c r="EJ38" s="2">
        <v>1</v>
      </c>
      <c r="EK38" s="2">
        <v>700008</v>
      </c>
      <c r="EL38" s="2" t="s">
        <v>46</v>
      </c>
      <c r="EM38" s="2" t="s">
        <v>47</v>
      </c>
      <c r="EN38" s="2"/>
      <c r="EO38" s="2" t="s">
        <v>3</v>
      </c>
      <c r="EP38" s="2"/>
      <c r="EQ38" s="2">
        <v>262144</v>
      </c>
      <c r="ER38" s="2">
        <v>0</v>
      </c>
      <c r="ES38" s="2">
        <v>0</v>
      </c>
      <c r="ET38" s="2">
        <v>0</v>
      </c>
      <c r="EU38" s="2">
        <v>0</v>
      </c>
      <c r="EV38" s="2">
        <v>0</v>
      </c>
      <c r="EW38" s="2">
        <v>0</v>
      </c>
      <c r="EX38" s="2">
        <v>0</v>
      </c>
      <c r="EY38" s="2">
        <v>0</v>
      </c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>
        <v>0</v>
      </c>
      <c r="FR38" s="2">
        <v>0</v>
      </c>
      <c r="FS38" s="2">
        <v>0</v>
      </c>
      <c r="FT38" s="2"/>
      <c r="FU38" s="2"/>
      <c r="FV38" s="2"/>
      <c r="FW38" s="2"/>
      <c r="FX38" s="2">
        <v>0</v>
      </c>
      <c r="FY38" s="2">
        <v>0</v>
      </c>
      <c r="FZ38" s="2"/>
      <c r="GA38" s="2" t="s">
        <v>3</v>
      </c>
      <c r="GB38" s="2"/>
      <c r="GC38" s="2"/>
      <c r="GD38" s="2">
        <v>1</v>
      </c>
      <c r="GE38" s="2"/>
      <c r="GF38" s="2">
        <v>-939797987</v>
      </c>
      <c r="GG38" s="2">
        <v>2</v>
      </c>
      <c r="GH38" s="2">
        <v>1</v>
      </c>
      <c r="GI38" s="2">
        <v>-2</v>
      </c>
      <c r="GJ38" s="2">
        <v>2</v>
      </c>
      <c r="GK38" s="2">
        <v>0</v>
      </c>
      <c r="GL38" s="2">
        <f>ROUND(IF(AND(BH38=3,BI38=3,FS38&lt;&gt;0),P38,0),2)</f>
        <v>0</v>
      </c>
      <c r="GM38" s="2">
        <f>ROUND(CP38*I38,2)</f>
        <v>28151.200000000001</v>
      </c>
      <c r="GN38" s="2">
        <f>IF(OR(BI38=0,BI38=1),GM38-GX38,0)</f>
        <v>28151.200000000001</v>
      </c>
      <c r="GO38" s="2">
        <f>IF(BI38=2,GM38-GX38,0)</f>
        <v>0</v>
      </c>
      <c r="GP38" s="2">
        <f>IF(BI38=4,GM38-GX38,0)</f>
        <v>0</v>
      </c>
      <c r="GQ38" s="2"/>
      <c r="GR38" s="2">
        <v>0</v>
      </c>
      <c r="GS38" s="2">
        <v>3</v>
      </c>
      <c r="GT38" s="2">
        <v>0</v>
      </c>
      <c r="GU38" s="2" t="s">
        <v>3</v>
      </c>
      <c r="GV38" s="2">
        <f>0</f>
        <v>0</v>
      </c>
      <c r="GW38" s="2">
        <v>1</v>
      </c>
      <c r="GX38" s="2">
        <f>0</f>
        <v>0</v>
      </c>
      <c r="GY38" s="2"/>
      <c r="GZ38" s="2"/>
      <c r="HA38" s="2">
        <v>0</v>
      </c>
      <c r="HB38" s="2">
        <v>0</v>
      </c>
      <c r="HC38" s="2">
        <v>0</v>
      </c>
      <c r="HD38" s="2">
        <f>GM38</f>
        <v>28151.200000000001</v>
      </c>
      <c r="HE38" s="2" t="s">
        <v>3</v>
      </c>
      <c r="HF38" s="2" t="s">
        <v>3</v>
      </c>
      <c r="HG38" s="2"/>
      <c r="HH38" s="2"/>
      <c r="HI38" s="2"/>
      <c r="HJ38" s="2"/>
      <c r="HK38" s="2"/>
      <c r="HL38" s="2"/>
      <c r="HM38" s="2" t="s">
        <v>3</v>
      </c>
      <c r="HN38" s="2" t="s">
        <v>48</v>
      </c>
      <c r="HO38" s="2" t="s">
        <v>49</v>
      </c>
      <c r="HP38" s="2" t="s">
        <v>45</v>
      </c>
      <c r="HQ38" s="2" t="s">
        <v>45</v>
      </c>
      <c r="HR38" s="2"/>
      <c r="HS38" s="2">
        <v>0</v>
      </c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>
        <v>0</v>
      </c>
      <c r="IL38" s="2"/>
      <c r="IM38" s="2"/>
      <c r="IN38" s="2"/>
      <c r="IO38" s="2"/>
      <c r="IP38" s="2"/>
      <c r="IQ38" s="2"/>
      <c r="IR38" s="2"/>
      <c r="IS38" s="2"/>
      <c r="IT38" s="2"/>
      <c r="IU38" s="2"/>
    </row>
    <row r="39" spans="1:255" ht="13.05" customHeight="1" x14ac:dyDescent="0.25">
      <c r="A39">
        <v>19</v>
      </c>
      <c r="B39">
        <v>1</v>
      </c>
      <c r="F39" t="s">
        <v>3</v>
      </c>
      <c r="G39" t="s">
        <v>64</v>
      </c>
      <c r="H39" t="s">
        <v>3</v>
      </c>
      <c r="AA39">
        <v>1</v>
      </c>
      <c r="IK39">
        <v>0</v>
      </c>
    </row>
    <row r="40" spans="1:255" ht="13.05" customHeight="1" x14ac:dyDescent="0.25">
      <c r="A40">
        <v>19</v>
      </c>
      <c r="B40">
        <v>1</v>
      </c>
      <c r="F40" t="s">
        <v>3</v>
      </c>
      <c r="G40" t="s">
        <v>65</v>
      </c>
      <c r="H40" t="s">
        <v>3</v>
      </c>
      <c r="AA40">
        <v>1</v>
      </c>
      <c r="IK40">
        <v>0</v>
      </c>
    </row>
    <row r="41" spans="1:255" ht="13.05" customHeight="1" x14ac:dyDescent="0.25">
      <c r="A41" s="2">
        <v>17</v>
      </c>
      <c r="B41" s="2">
        <v>1</v>
      </c>
      <c r="C41" s="2">
        <f>ROW(SmtRes!A8)</f>
        <v>8</v>
      </c>
      <c r="D41" s="2">
        <f>ROW(EtalonRes!A8)</f>
        <v>8</v>
      </c>
      <c r="E41" s="2" t="s">
        <v>66</v>
      </c>
      <c r="F41" s="2" t="s">
        <v>67</v>
      </c>
      <c r="G41" s="2" t="s">
        <v>68</v>
      </c>
      <c r="H41" s="2" t="s">
        <v>54</v>
      </c>
      <c r="I41" s="2">
        <v>6.9000000000000006E-2</v>
      </c>
      <c r="J41" s="2">
        <v>0</v>
      </c>
      <c r="K41" s="2">
        <v>6.9000000000000006E-2</v>
      </c>
      <c r="L41" s="2"/>
      <c r="M41" s="2"/>
      <c r="N41" s="2"/>
      <c r="O41" s="2">
        <f>ROUND(CP41,2)</f>
        <v>4500.6499999999996</v>
      </c>
      <c r="P41" s="2">
        <f>SUMIF(SmtRes!AQ7:'SmtRes'!AQ8,"=1",SmtRes!DF7:'SmtRes'!DF8)</f>
        <v>0</v>
      </c>
      <c r="Q41" s="2">
        <f>SUMIF(SmtRes!AQ7:'SmtRes'!AQ8,"=1",SmtRes!DG7:'SmtRes'!DG8)</f>
        <v>3124.65</v>
      </c>
      <c r="R41" s="2">
        <f>SUMIF(SmtRes!AQ7:'SmtRes'!AQ8,"=1",SmtRes!DH7:'SmtRes'!DH8)</f>
        <v>1376</v>
      </c>
      <c r="S41" s="2">
        <f>SUMIF(SmtRes!AQ7:'SmtRes'!AQ8,"=1",SmtRes!DI7:'SmtRes'!DI8)</f>
        <v>0</v>
      </c>
      <c r="T41" s="2">
        <f>ROUND(CU41*I41,2)</f>
        <v>0</v>
      </c>
      <c r="U41" s="2">
        <f>SUMIF(SmtRes!AQ7:'SmtRes'!AQ8,"=1",SmtRes!CV7:'SmtRes'!CV8)</f>
        <v>0</v>
      </c>
      <c r="V41" s="2">
        <f>SUMIF(SmtRes!AQ7:'SmtRes'!AQ8,"=1",SmtRes!CW7:'SmtRes'!CW8)</f>
        <v>3.2533500000000002</v>
      </c>
      <c r="W41" s="2">
        <f>ROUND(CX41*I41,2)</f>
        <v>0</v>
      </c>
      <c r="X41" s="2">
        <f>ROUND(CY41,2)</f>
        <v>1265.92</v>
      </c>
      <c r="Y41" s="2">
        <f>ROUND(CZ41,2)</f>
        <v>632.96</v>
      </c>
      <c r="Z41" s="2"/>
      <c r="AA41" s="2">
        <v>75604747</v>
      </c>
      <c r="AB41" s="2">
        <f>ROUND((AC41+AD41+AF41),6)</f>
        <v>37737.445500000002</v>
      </c>
      <c r="AC41" s="2">
        <f>ROUND((0),6)</f>
        <v>0</v>
      </c>
      <c r="AD41" s="2">
        <f>ROUND((((SUM(SmtRes!BR7:'SmtRes'!BR8))-(SUM(SmtRes!BS7:'SmtRes'!BS8)))+AE41),6)</f>
        <v>37737.445500000002</v>
      </c>
      <c r="AE41" s="2">
        <f>ROUND((SUM(SmtRes!BS7:'SmtRes'!BS8)),6)</f>
        <v>19942.092499999999</v>
      </c>
      <c r="AF41" s="2">
        <f>ROUND((0),6)</f>
        <v>0</v>
      </c>
      <c r="AG41" s="2">
        <f>ROUND((AP41),6)</f>
        <v>0</v>
      </c>
      <c r="AH41" s="2">
        <f>(0)</f>
        <v>0</v>
      </c>
      <c r="AI41" s="2">
        <f>(SUM(SmtRes!BV7:'SmtRes'!BV8))</f>
        <v>47.15</v>
      </c>
      <c r="AJ41" s="2">
        <f>(AS41)</f>
        <v>0</v>
      </c>
      <c r="AK41" s="2">
        <v>50156.119999999995</v>
      </c>
      <c r="AL41" s="2">
        <v>0</v>
      </c>
      <c r="AM41" s="2">
        <v>32815.17</v>
      </c>
      <c r="AN41" s="2">
        <v>17340.95</v>
      </c>
      <c r="AO41" s="2">
        <v>0</v>
      </c>
      <c r="AP41" s="2">
        <v>0</v>
      </c>
      <c r="AQ41" s="2">
        <v>0</v>
      </c>
      <c r="AR41" s="2">
        <v>41</v>
      </c>
      <c r="AS41" s="2">
        <v>0</v>
      </c>
      <c r="AT41" s="2">
        <v>92</v>
      </c>
      <c r="AU41" s="2">
        <v>46</v>
      </c>
      <c r="AV41" s="2">
        <v>1</v>
      </c>
      <c r="AW41" s="2">
        <v>1</v>
      </c>
      <c r="AX41" s="2"/>
      <c r="AY41" s="2"/>
      <c r="AZ41" s="2">
        <v>1</v>
      </c>
      <c r="BA41" s="2">
        <v>1</v>
      </c>
      <c r="BB41" s="2">
        <v>1</v>
      </c>
      <c r="BC41" s="2">
        <v>1</v>
      </c>
      <c r="BD41" s="2" t="s">
        <v>3</v>
      </c>
      <c r="BE41" s="2" t="s">
        <v>3</v>
      </c>
      <c r="BF41" s="2" t="s">
        <v>3</v>
      </c>
      <c r="BG41" s="2" t="s">
        <v>3</v>
      </c>
      <c r="BH41" s="2">
        <v>0</v>
      </c>
      <c r="BI41" s="2">
        <v>1</v>
      </c>
      <c r="BJ41" s="2" t="s">
        <v>69</v>
      </c>
      <c r="BK41" s="2"/>
      <c r="BL41" s="2"/>
      <c r="BM41" s="2">
        <v>1001</v>
      </c>
      <c r="BN41" s="2">
        <v>0</v>
      </c>
      <c r="BO41" s="2" t="s">
        <v>3</v>
      </c>
      <c r="BP41" s="2">
        <v>0</v>
      </c>
      <c r="BQ41" s="2">
        <v>2</v>
      </c>
      <c r="BR41" s="2">
        <v>0</v>
      </c>
      <c r="BS41" s="2">
        <v>1</v>
      </c>
      <c r="BT41" s="2">
        <v>1</v>
      </c>
      <c r="BU41" s="2">
        <v>1</v>
      </c>
      <c r="BV41" s="2">
        <v>1</v>
      </c>
      <c r="BW41" s="2">
        <v>1</v>
      </c>
      <c r="BX41" s="2">
        <v>1</v>
      </c>
      <c r="BY41" s="2" t="s">
        <v>3</v>
      </c>
      <c r="BZ41" s="2">
        <v>92</v>
      </c>
      <c r="CA41" s="2">
        <v>46</v>
      </c>
      <c r="CB41" s="2" t="s">
        <v>3</v>
      </c>
      <c r="CC41" s="2"/>
      <c r="CD41" s="2"/>
      <c r="CE41" s="2">
        <v>0</v>
      </c>
      <c r="CF41" s="2">
        <v>0</v>
      </c>
      <c r="CG41" s="2">
        <v>0</v>
      </c>
      <c r="CH41" s="2"/>
      <c r="CI41" s="2"/>
      <c r="CJ41" s="2"/>
      <c r="CK41" s="2"/>
      <c r="CL41" s="2"/>
      <c r="CM41" s="2">
        <v>0</v>
      </c>
      <c r="CN41" s="7" t="s">
        <v>802</v>
      </c>
      <c r="CO41" s="2">
        <v>0</v>
      </c>
      <c r="CP41" s="2">
        <f>(P41+Q41+S41+R41)</f>
        <v>4500.6499999999996</v>
      </c>
      <c r="CQ41" s="2">
        <f>SUMIF(SmtRes!AQ7:'SmtRes'!AQ8,"=1",SmtRes!AA7:'SmtRes'!AA8)</f>
        <v>0</v>
      </c>
      <c r="CR41" s="2">
        <f>SUMIF(SmtRes!AQ7:'SmtRes'!AQ8,"=1",SmtRes!AB7:'SmtRes'!AB8)</f>
        <v>960.44</v>
      </c>
      <c r="CS41" s="2">
        <f>SUMIF(SmtRes!AQ7:'SmtRes'!AQ8,"=1",SmtRes!AC7:'SmtRes'!AC8)</f>
        <v>422.95</v>
      </c>
      <c r="CT41" s="2">
        <f>SUMIF(SmtRes!AQ7:'SmtRes'!AQ8,"=1",SmtRes!AD7:'SmtRes'!AD8)</f>
        <v>0</v>
      </c>
      <c r="CU41" s="2">
        <f>AG41</f>
        <v>0</v>
      </c>
      <c r="CV41" s="2">
        <f>SUMIF(SmtRes!AQ7:'SmtRes'!AQ8,"=1",SmtRes!BU7:'SmtRes'!BU8)</f>
        <v>0</v>
      </c>
      <c r="CW41" s="2">
        <f>SUMIF(SmtRes!AQ7:'SmtRes'!AQ8,"=1",SmtRes!BV7:'SmtRes'!BV8)</f>
        <v>47.15</v>
      </c>
      <c r="CX41" s="2">
        <f>AJ41</f>
        <v>0</v>
      </c>
      <c r="CY41" s="2">
        <f>(((S41+R41)*AT41)/100)</f>
        <v>1265.92</v>
      </c>
      <c r="CZ41" s="2">
        <f>(((S41+R41)*AU41)/100)</f>
        <v>632.96</v>
      </c>
      <c r="DA41" s="2"/>
      <c r="DB41" s="2">
        <v>8</v>
      </c>
      <c r="DC41" s="2" t="s">
        <v>3</v>
      </c>
      <c r="DD41" s="2" t="s">
        <v>3</v>
      </c>
      <c r="DE41" s="2" t="s">
        <v>27</v>
      </c>
      <c r="DF41" s="2" t="s">
        <v>27</v>
      </c>
      <c r="DG41" s="2" t="s">
        <v>27</v>
      </c>
      <c r="DH41" s="2" t="s">
        <v>3</v>
      </c>
      <c r="DI41" s="2" t="s">
        <v>27</v>
      </c>
      <c r="DJ41" s="2" t="s">
        <v>27</v>
      </c>
      <c r="DK41" s="2" t="s">
        <v>3</v>
      </c>
      <c r="DL41" s="2" t="s">
        <v>3</v>
      </c>
      <c r="DM41" s="2" t="s">
        <v>3</v>
      </c>
      <c r="DN41" s="2">
        <v>0</v>
      </c>
      <c r="DO41" s="2">
        <v>0</v>
      </c>
      <c r="DP41" s="2">
        <v>1</v>
      </c>
      <c r="DQ41" s="2">
        <v>1</v>
      </c>
      <c r="DR41" s="2"/>
      <c r="DS41" s="2"/>
      <c r="DT41" s="2"/>
      <c r="DU41" s="2">
        <v>1007</v>
      </c>
      <c r="DV41" s="2" t="s">
        <v>54</v>
      </c>
      <c r="DW41" s="2" t="s">
        <v>54</v>
      </c>
      <c r="DX41" s="2">
        <v>1000</v>
      </c>
      <c r="DY41" s="2"/>
      <c r="DZ41" s="2" t="s">
        <v>3</v>
      </c>
      <c r="EA41" s="2" t="s">
        <v>3</v>
      </c>
      <c r="EB41" s="2" t="s">
        <v>3</v>
      </c>
      <c r="EC41" s="2" t="s">
        <v>3</v>
      </c>
      <c r="ED41" s="2"/>
      <c r="EE41" s="2">
        <v>74004172</v>
      </c>
      <c r="EF41" s="2">
        <v>2</v>
      </c>
      <c r="EG41" s="2" t="s">
        <v>29</v>
      </c>
      <c r="EH41" s="2">
        <v>1</v>
      </c>
      <c r="EI41" s="2" t="s">
        <v>18</v>
      </c>
      <c r="EJ41" s="2">
        <v>1</v>
      </c>
      <c r="EK41" s="2">
        <v>1001</v>
      </c>
      <c r="EL41" s="2" t="s">
        <v>56</v>
      </c>
      <c r="EM41" s="2" t="s">
        <v>31</v>
      </c>
      <c r="EN41" s="2"/>
      <c r="EO41" s="2" t="s">
        <v>39</v>
      </c>
      <c r="EP41" s="2"/>
      <c r="EQ41" s="2">
        <v>262144</v>
      </c>
      <c r="ER41" s="2">
        <v>0</v>
      </c>
      <c r="ES41" s="2">
        <v>0</v>
      </c>
      <c r="ET41" s="2">
        <v>0</v>
      </c>
      <c r="EU41" s="2">
        <v>0</v>
      </c>
      <c r="EV41" s="2">
        <v>0</v>
      </c>
      <c r="EW41" s="2">
        <v>0</v>
      </c>
      <c r="EX41" s="2">
        <v>41</v>
      </c>
      <c r="EY41" s="2">
        <v>0</v>
      </c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>
        <v>0</v>
      </c>
      <c r="FR41" s="2">
        <v>0</v>
      </c>
      <c r="FS41" s="2">
        <v>0</v>
      </c>
      <c r="FT41" s="2"/>
      <c r="FU41" s="2"/>
      <c r="FV41" s="2"/>
      <c r="FW41" s="2"/>
      <c r="FX41" s="2">
        <v>92</v>
      </c>
      <c r="FY41" s="2">
        <v>46</v>
      </c>
      <c r="FZ41" s="2"/>
      <c r="GA41" s="2" t="s">
        <v>3</v>
      </c>
      <c r="GB41" s="2"/>
      <c r="GC41" s="2"/>
      <c r="GD41" s="2">
        <v>1</v>
      </c>
      <c r="GE41" s="2"/>
      <c r="GF41" s="2">
        <v>920639103</v>
      </c>
      <c r="GG41" s="2">
        <v>2</v>
      </c>
      <c r="GH41" s="2">
        <v>1</v>
      </c>
      <c r="GI41" s="2">
        <v>-2</v>
      </c>
      <c r="GJ41" s="2">
        <v>0</v>
      </c>
      <c r="GK41" s="2">
        <v>0</v>
      </c>
      <c r="GL41" s="2">
        <f>ROUND(IF(AND(BH41=3,BI41=3,FS41&lt;&gt;0),P41,0),2)</f>
        <v>0</v>
      </c>
      <c r="GM41" s="2">
        <f>ROUND(O41+X41+Y41,2)+GX41</f>
        <v>6399.53</v>
      </c>
      <c r="GN41" s="2">
        <f>IF(OR(BI41=0,BI41=1),GM41-GX41,0)</f>
        <v>6399.53</v>
      </c>
      <c r="GO41" s="2">
        <f>IF(BI41=2,GM41-GX41,0)</f>
        <v>0</v>
      </c>
      <c r="GP41" s="2">
        <f>IF(BI41=4,GM41-GX41,0)</f>
        <v>0</v>
      </c>
      <c r="GQ41" s="2"/>
      <c r="GR41" s="2">
        <v>0</v>
      </c>
      <c r="GS41" s="2">
        <v>3</v>
      </c>
      <c r="GT41" s="2">
        <v>0</v>
      </c>
      <c r="GU41" s="2" t="s">
        <v>3</v>
      </c>
      <c r="GV41" s="2">
        <f>ROUND((GT41),6)</f>
        <v>0</v>
      </c>
      <c r="GW41" s="2">
        <v>1</v>
      </c>
      <c r="GX41" s="2">
        <f>ROUND(HC41*I41,2)</f>
        <v>0</v>
      </c>
      <c r="GY41" s="2"/>
      <c r="GZ41" s="2"/>
      <c r="HA41" s="2">
        <v>0</v>
      </c>
      <c r="HB41" s="2">
        <v>0</v>
      </c>
      <c r="HC41" s="2">
        <f>GV41*GW41</f>
        <v>0</v>
      </c>
      <c r="HD41" s="2"/>
      <c r="HE41" s="2" t="s">
        <v>3</v>
      </c>
      <c r="HF41" s="2" t="s">
        <v>3</v>
      </c>
      <c r="HG41" s="2"/>
      <c r="HH41" s="2"/>
      <c r="HI41" s="2"/>
      <c r="HJ41" s="2"/>
      <c r="HK41" s="2"/>
      <c r="HL41" s="2"/>
      <c r="HM41" s="2" t="s">
        <v>3</v>
      </c>
      <c r="HN41" s="2" t="s">
        <v>57</v>
      </c>
      <c r="HO41" s="2" t="s">
        <v>58</v>
      </c>
      <c r="HP41" s="2" t="s">
        <v>56</v>
      </c>
      <c r="HQ41" s="2" t="s">
        <v>56</v>
      </c>
      <c r="HR41" s="2"/>
      <c r="HS41" s="2">
        <v>0</v>
      </c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>
        <v>0</v>
      </c>
      <c r="IL41" s="2"/>
      <c r="IM41" s="2"/>
      <c r="IN41" s="2"/>
      <c r="IO41" s="2"/>
      <c r="IP41" s="2"/>
      <c r="IQ41" s="2"/>
      <c r="IR41" s="2"/>
      <c r="IS41" s="2"/>
      <c r="IT41" s="2"/>
      <c r="IU41" s="2"/>
    </row>
    <row r="42" spans="1:255" ht="13.05" customHeight="1" x14ac:dyDescent="0.25">
      <c r="A42" s="2">
        <v>17</v>
      </c>
      <c r="B42" s="2">
        <v>1</v>
      </c>
      <c r="C42" s="2"/>
      <c r="D42" s="2"/>
      <c r="E42" s="2" t="s">
        <v>70</v>
      </c>
      <c r="F42" s="2" t="s">
        <v>41</v>
      </c>
      <c r="G42" s="2" t="s">
        <v>42</v>
      </c>
      <c r="H42" s="2" t="s">
        <v>43</v>
      </c>
      <c r="I42" s="2">
        <v>120.75</v>
      </c>
      <c r="J42" s="2">
        <v>0</v>
      </c>
      <c r="K42" s="2">
        <v>120.75</v>
      </c>
      <c r="L42" s="2"/>
      <c r="M42" s="2"/>
      <c r="N42" s="2"/>
      <c r="O42" s="2">
        <f>0</f>
        <v>0</v>
      </c>
      <c r="P42" s="2">
        <f>0</f>
        <v>0</v>
      </c>
      <c r="Q42" s="2">
        <f>0</f>
        <v>0</v>
      </c>
      <c r="R42" s="2">
        <f>0</f>
        <v>0</v>
      </c>
      <c r="S42" s="2">
        <f>0</f>
        <v>0</v>
      </c>
      <c r="T42" s="2">
        <f>0</f>
        <v>0</v>
      </c>
      <c r="U42" s="2">
        <f>0</f>
        <v>0</v>
      </c>
      <c r="V42" s="2">
        <f>0</f>
        <v>0</v>
      </c>
      <c r="W42" s="2">
        <f>0</f>
        <v>0</v>
      </c>
      <c r="X42" s="2">
        <f>0</f>
        <v>0</v>
      </c>
      <c r="Y42" s="2">
        <f>0</f>
        <v>0</v>
      </c>
      <c r="Z42" s="2"/>
      <c r="AA42" s="2">
        <v>75604747</v>
      </c>
      <c r="AB42" s="2">
        <f>ROUND((AK42),6)</f>
        <v>251.35</v>
      </c>
      <c r="AC42" s="2">
        <f>0</f>
        <v>0</v>
      </c>
      <c r="AD42" s="2">
        <f>0</f>
        <v>0</v>
      </c>
      <c r="AE42" s="2">
        <f>0</f>
        <v>0</v>
      </c>
      <c r="AF42" s="2">
        <f>0</f>
        <v>0</v>
      </c>
      <c r="AG42" s="2">
        <f>0</f>
        <v>0</v>
      </c>
      <c r="AH42" s="2">
        <f>0</f>
        <v>0</v>
      </c>
      <c r="AI42" s="2">
        <f>0</f>
        <v>0</v>
      </c>
      <c r="AJ42" s="2">
        <f>0</f>
        <v>0</v>
      </c>
      <c r="AK42" s="2">
        <v>251.35</v>
      </c>
      <c r="AL42" s="2">
        <v>0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0</v>
      </c>
      <c r="AS42" s="2">
        <v>0</v>
      </c>
      <c r="AT42" s="2">
        <v>0</v>
      </c>
      <c r="AU42" s="2">
        <v>0</v>
      </c>
      <c r="AV42" s="2">
        <v>1</v>
      </c>
      <c r="AW42" s="2">
        <v>1</v>
      </c>
      <c r="AX42" s="2"/>
      <c r="AY42" s="2"/>
      <c r="AZ42" s="2">
        <v>1</v>
      </c>
      <c r="BA42" s="2">
        <v>1</v>
      </c>
      <c r="BB42" s="2">
        <v>1</v>
      </c>
      <c r="BC42" s="2">
        <v>1</v>
      </c>
      <c r="BD42" s="2" t="s">
        <v>3</v>
      </c>
      <c r="BE42" s="2" t="s">
        <v>3</v>
      </c>
      <c r="BF42" s="2" t="s">
        <v>3</v>
      </c>
      <c r="BG42" s="2" t="s">
        <v>3</v>
      </c>
      <c r="BH42" s="2">
        <v>0</v>
      </c>
      <c r="BI42" s="2">
        <v>1</v>
      </c>
      <c r="BJ42" s="2" t="s">
        <v>41</v>
      </c>
      <c r="BK42" s="2"/>
      <c r="BL42" s="2"/>
      <c r="BM42" s="2">
        <v>700008</v>
      </c>
      <c r="BN42" s="2">
        <v>0</v>
      </c>
      <c r="BO42" s="2" t="s">
        <v>3</v>
      </c>
      <c r="BP42" s="2">
        <v>0</v>
      </c>
      <c r="BQ42" s="2">
        <v>10</v>
      </c>
      <c r="BR42" s="2">
        <v>0</v>
      </c>
      <c r="BS42" s="2">
        <v>1</v>
      </c>
      <c r="BT42" s="2">
        <v>1</v>
      </c>
      <c r="BU42" s="2">
        <v>1</v>
      </c>
      <c r="BV42" s="2">
        <v>1</v>
      </c>
      <c r="BW42" s="2">
        <v>1</v>
      </c>
      <c r="BX42" s="2">
        <v>1</v>
      </c>
      <c r="BY42" s="2" t="s">
        <v>3</v>
      </c>
      <c r="BZ42" s="2">
        <v>94</v>
      </c>
      <c r="CA42" s="2">
        <v>61</v>
      </c>
      <c r="CB42" s="2" t="s">
        <v>3</v>
      </c>
      <c r="CC42" s="2"/>
      <c r="CD42" s="2"/>
      <c r="CE42" s="2">
        <v>0</v>
      </c>
      <c r="CF42" s="2">
        <v>0</v>
      </c>
      <c r="CG42" s="2">
        <v>0</v>
      </c>
      <c r="CH42" s="2"/>
      <c r="CI42" s="2"/>
      <c r="CJ42" s="2"/>
      <c r="CK42" s="2"/>
      <c r="CL42" s="2"/>
      <c r="CM42" s="2">
        <v>0</v>
      </c>
      <c r="CN42" s="2" t="s">
        <v>3</v>
      </c>
      <c r="CO42" s="2">
        <v>0</v>
      </c>
      <c r="CP42" s="2">
        <f>AB42*AZ42</f>
        <v>251.35</v>
      </c>
      <c r="CQ42" s="2">
        <v>0</v>
      </c>
      <c r="CR42" s="2">
        <v>0</v>
      </c>
      <c r="CS42" s="2">
        <v>0</v>
      </c>
      <c r="CT42" s="2">
        <v>0</v>
      </c>
      <c r="CU42" s="2">
        <v>0</v>
      </c>
      <c r="CV42" s="2">
        <v>0</v>
      </c>
      <c r="CW42" s="2">
        <v>0</v>
      </c>
      <c r="CX42" s="2">
        <v>0</v>
      </c>
      <c r="CY42" s="2">
        <v>0</v>
      </c>
      <c r="CZ42" s="2">
        <v>0</v>
      </c>
      <c r="DA42" s="2"/>
      <c r="DB42" s="2"/>
      <c r="DC42" s="2" t="s">
        <v>3</v>
      </c>
      <c r="DD42" s="2" t="s">
        <v>3</v>
      </c>
      <c r="DE42" s="2" t="s">
        <v>3</v>
      </c>
      <c r="DF42" s="2" t="s">
        <v>3</v>
      </c>
      <c r="DG42" s="2" t="s">
        <v>3</v>
      </c>
      <c r="DH42" s="2" t="s">
        <v>3</v>
      </c>
      <c r="DI42" s="2" t="s">
        <v>3</v>
      </c>
      <c r="DJ42" s="2" t="s">
        <v>3</v>
      </c>
      <c r="DK42" s="2" t="s">
        <v>3</v>
      </c>
      <c r="DL42" s="2" t="s">
        <v>3</v>
      </c>
      <c r="DM42" s="2" t="s">
        <v>3</v>
      </c>
      <c r="DN42" s="2">
        <v>0</v>
      </c>
      <c r="DO42" s="2">
        <v>0</v>
      </c>
      <c r="DP42" s="2">
        <v>1</v>
      </c>
      <c r="DQ42" s="2">
        <v>1</v>
      </c>
      <c r="DR42" s="2"/>
      <c r="DS42" s="2"/>
      <c r="DT42" s="2"/>
      <c r="DU42" s="2">
        <v>1013</v>
      </c>
      <c r="DV42" s="2" t="s">
        <v>43</v>
      </c>
      <c r="DW42" s="2" t="s">
        <v>43</v>
      </c>
      <c r="DX42" s="2">
        <v>1</v>
      </c>
      <c r="DY42" s="2"/>
      <c r="DZ42" s="2" t="s">
        <v>3</v>
      </c>
      <c r="EA42" s="2" t="s">
        <v>3</v>
      </c>
      <c r="EB42" s="2" t="s">
        <v>3</v>
      </c>
      <c r="EC42" s="2" t="s">
        <v>3</v>
      </c>
      <c r="ED42" s="2"/>
      <c r="EE42" s="2">
        <v>74004662</v>
      </c>
      <c r="EF42" s="2">
        <v>10</v>
      </c>
      <c r="EG42" s="2" t="s">
        <v>44</v>
      </c>
      <c r="EH42" s="2">
        <v>107</v>
      </c>
      <c r="EI42" s="2" t="s">
        <v>45</v>
      </c>
      <c r="EJ42" s="2">
        <v>1</v>
      </c>
      <c r="EK42" s="2">
        <v>700008</v>
      </c>
      <c r="EL42" s="2" t="s">
        <v>46</v>
      </c>
      <c r="EM42" s="2" t="s">
        <v>47</v>
      </c>
      <c r="EN42" s="2"/>
      <c r="EO42" s="2" t="s">
        <v>3</v>
      </c>
      <c r="EP42" s="2"/>
      <c r="EQ42" s="2">
        <v>262144</v>
      </c>
      <c r="ER42" s="2">
        <v>0</v>
      </c>
      <c r="ES42" s="2">
        <v>0</v>
      </c>
      <c r="ET42" s="2">
        <v>0</v>
      </c>
      <c r="EU42" s="2">
        <v>0</v>
      </c>
      <c r="EV42" s="2">
        <v>0</v>
      </c>
      <c r="EW42" s="2">
        <v>0</v>
      </c>
      <c r="EX42" s="2">
        <v>0</v>
      </c>
      <c r="EY42" s="2">
        <v>0</v>
      </c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>
        <v>0</v>
      </c>
      <c r="FR42" s="2">
        <v>0</v>
      </c>
      <c r="FS42" s="2">
        <v>0</v>
      </c>
      <c r="FT42" s="2"/>
      <c r="FU42" s="2"/>
      <c r="FV42" s="2"/>
      <c r="FW42" s="2"/>
      <c r="FX42" s="2">
        <v>0</v>
      </c>
      <c r="FY42" s="2">
        <v>0</v>
      </c>
      <c r="FZ42" s="2"/>
      <c r="GA42" s="2" t="s">
        <v>3</v>
      </c>
      <c r="GB42" s="2"/>
      <c r="GC42" s="2"/>
      <c r="GD42" s="2">
        <v>1</v>
      </c>
      <c r="GE42" s="2"/>
      <c r="GF42" s="2">
        <v>-939797987</v>
      </c>
      <c r="GG42" s="2">
        <v>2</v>
      </c>
      <c r="GH42" s="2">
        <v>1</v>
      </c>
      <c r="GI42" s="2">
        <v>-2</v>
      </c>
      <c r="GJ42" s="2">
        <v>2</v>
      </c>
      <c r="GK42" s="2">
        <v>0</v>
      </c>
      <c r="GL42" s="2">
        <f>ROUND(IF(AND(BH42=3,BI42=3,FS42&lt;&gt;0),P42,0),2)</f>
        <v>0</v>
      </c>
      <c r="GM42" s="2">
        <f>ROUND(CP42*I42,2)</f>
        <v>30350.51</v>
      </c>
      <c r="GN42" s="2">
        <f>IF(OR(BI42=0,BI42=1),GM42-GX42,0)</f>
        <v>30350.51</v>
      </c>
      <c r="GO42" s="2">
        <f>IF(BI42=2,GM42-GX42,0)</f>
        <v>0</v>
      </c>
      <c r="GP42" s="2">
        <f>IF(BI42=4,GM42-GX42,0)</f>
        <v>0</v>
      </c>
      <c r="GQ42" s="2"/>
      <c r="GR42" s="2">
        <v>0</v>
      </c>
      <c r="GS42" s="2">
        <v>3</v>
      </c>
      <c r="GT42" s="2">
        <v>0</v>
      </c>
      <c r="GU42" s="2" t="s">
        <v>3</v>
      </c>
      <c r="GV42" s="2">
        <f>0</f>
        <v>0</v>
      </c>
      <c r="GW42" s="2">
        <v>1</v>
      </c>
      <c r="GX42" s="2">
        <f>0</f>
        <v>0</v>
      </c>
      <c r="GY42" s="2"/>
      <c r="GZ42" s="2"/>
      <c r="HA42" s="2">
        <v>0</v>
      </c>
      <c r="HB42" s="2">
        <v>0</v>
      </c>
      <c r="HC42" s="2">
        <v>0</v>
      </c>
      <c r="HD42" s="2">
        <f>GM42</f>
        <v>30350.51</v>
      </c>
      <c r="HE42" s="2" t="s">
        <v>3</v>
      </c>
      <c r="HF42" s="2" t="s">
        <v>3</v>
      </c>
      <c r="HG42" s="2"/>
      <c r="HH42" s="2"/>
      <c r="HI42" s="2"/>
      <c r="HJ42" s="2"/>
      <c r="HK42" s="2"/>
      <c r="HL42" s="2"/>
      <c r="HM42" s="2" t="s">
        <v>3</v>
      </c>
      <c r="HN42" s="2" t="s">
        <v>48</v>
      </c>
      <c r="HO42" s="2" t="s">
        <v>49</v>
      </c>
      <c r="HP42" s="2" t="s">
        <v>45</v>
      </c>
      <c r="HQ42" s="2" t="s">
        <v>45</v>
      </c>
      <c r="HR42" s="2"/>
      <c r="HS42" s="2">
        <v>0</v>
      </c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>
        <v>0</v>
      </c>
      <c r="IL42" s="2"/>
      <c r="IM42" s="2"/>
      <c r="IN42" s="2"/>
      <c r="IO42" s="2"/>
      <c r="IP42" s="2"/>
      <c r="IQ42" s="2"/>
      <c r="IR42" s="2"/>
      <c r="IS42" s="2"/>
      <c r="IT42" s="2"/>
      <c r="IU42" s="2"/>
    </row>
    <row r="43" spans="1:255" ht="13.05" customHeight="1" x14ac:dyDescent="0.25">
      <c r="A43" s="2">
        <v>17</v>
      </c>
      <c r="B43" s="2">
        <v>1</v>
      </c>
      <c r="C43" s="2">
        <f>ROW(SmtRes!A9)</f>
        <v>9</v>
      </c>
      <c r="D43" s="2">
        <f>ROW(EtalonRes!A9)</f>
        <v>9</v>
      </c>
      <c r="E43" s="2" t="s">
        <v>71</v>
      </c>
      <c r="F43" s="2" t="s">
        <v>72</v>
      </c>
      <c r="G43" s="2" t="s">
        <v>73</v>
      </c>
      <c r="H43" s="2" t="s">
        <v>25</v>
      </c>
      <c r="I43" s="2">
        <v>0.05</v>
      </c>
      <c r="J43" s="2">
        <v>0</v>
      </c>
      <c r="K43" s="2">
        <v>0.05</v>
      </c>
      <c r="L43" s="2"/>
      <c r="M43" s="2"/>
      <c r="N43" s="2"/>
      <c r="O43" s="2">
        <f>ROUND(CP43,2)</f>
        <v>1460.47</v>
      </c>
      <c r="P43" s="2">
        <f>SUMIF(SmtRes!AQ9:'SmtRes'!AQ9,"=1",SmtRes!DF9:'SmtRes'!DF9)</f>
        <v>0</v>
      </c>
      <c r="Q43" s="2">
        <f>SUMIF(SmtRes!AQ9:'SmtRes'!AQ9,"=1",SmtRes!DG9:'SmtRes'!DG9)</f>
        <v>0</v>
      </c>
      <c r="R43" s="2">
        <f>SUMIF(SmtRes!AQ9:'SmtRes'!AQ9,"=1",SmtRes!DH9:'SmtRes'!DH9)</f>
        <v>0</v>
      </c>
      <c r="S43" s="2">
        <f>SUMIF(SmtRes!AQ9:'SmtRes'!AQ9,"=1",SmtRes!DI9:'SmtRes'!DI9)</f>
        <v>1460.47</v>
      </c>
      <c r="T43" s="2">
        <f>ROUND(CU43*I43,2)</f>
        <v>0</v>
      </c>
      <c r="U43" s="2">
        <f>SUMIF(SmtRes!AQ9:'SmtRes'!AQ9,"=1",SmtRes!CV9:'SmtRes'!CV9)</f>
        <v>5.0887500000000001</v>
      </c>
      <c r="V43" s="2">
        <f>SUMIF(SmtRes!AQ9:'SmtRes'!AQ9,"=1",SmtRes!CW9:'SmtRes'!CW9)</f>
        <v>0</v>
      </c>
      <c r="W43" s="2">
        <f>ROUND(CX43*I43,2)</f>
        <v>0</v>
      </c>
      <c r="X43" s="2">
        <f>ROUND(CY43,2)</f>
        <v>1299.82</v>
      </c>
      <c r="Y43" s="2">
        <f>ROUND(CZ43,2)</f>
        <v>584.19000000000005</v>
      </c>
      <c r="Z43" s="2"/>
      <c r="AA43" s="2">
        <v>75604747</v>
      </c>
      <c r="AB43" s="2">
        <f>ROUND((AC43+AD43+AF43),6)</f>
        <v>29209.424999999999</v>
      </c>
      <c r="AC43" s="2">
        <f>ROUND((0),6)</f>
        <v>0</v>
      </c>
      <c r="AD43" s="2">
        <f>ROUND((((0)-(0))+AE43),6)</f>
        <v>0</v>
      </c>
      <c r="AE43" s="2">
        <f>ROUND((0),6)</f>
        <v>0</v>
      </c>
      <c r="AF43" s="2">
        <f>ROUND((SUM(SmtRes!BT9:'SmtRes'!BT9)),6)</f>
        <v>29209.424999999999</v>
      </c>
      <c r="AG43" s="2">
        <f>ROUND((AP43),6)</f>
        <v>0</v>
      </c>
      <c r="AH43" s="2">
        <f>(SUM(SmtRes!BU9:'SmtRes'!BU9))</f>
        <v>101.77499999999999</v>
      </c>
      <c r="AI43" s="2">
        <f>(0)</f>
        <v>0</v>
      </c>
      <c r="AJ43" s="2">
        <f>(AS43)</f>
        <v>0</v>
      </c>
      <c r="AK43" s="2">
        <v>25399.5</v>
      </c>
      <c r="AL43" s="2">
        <v>0</v>
      </c>
      <c r="AM43" s="2">
        <v>0</v>
      </c>
      <c r="AN43" s="2">
        <v>0</v>
      </c>
      <c r="AO43" s="2">
        <v>25399.5</v>
      </c>
      <c r="AP43" s="2">
        <v>0</v>
      </c>
      <c r="AQ43" s="2">
        <v>88.5</v>
      </c>
      <c r="AR43" s="2">
        <v>0</v>
      </c>
      <c r="AS43" s="2">
        <v>0</v>
      </c>
      <c r="AT43" s="2">
        <v>89</v>
      </c>
      <c r="AU43" s="2">
        <v>40</v>
      </c>
      <c r="AV43" s="2">
        <v>1</v>
      </c>
      <c r="AW43" s="2">
        <v>1</v>
      </c>
      <c r="AX43" s="2"/>
      <c r="AY43" s="2"/>
      <c r="AZ43" s="2">
        <v>1</v>
      </c>
      <c r="BA43" s="2">
        <v>1</v>
      </c>
      <c r="BB43" s="2">
        <v>1</v>
      </c>
      <c r="BC43" s="2">
        <v>1</v>
      </c>
      <c r="BD43" s="2" t="s">
        <v>3</v>
      </c>
      <c r="BE43" s="2" t="s">
        <v>3</v>
      </c>
      <c r="BF43" s="2" t="s">
        <v>3</v>
      </c>
      <c r="BG43" s="2" t="s">
        <v>3</v>
      </c>
      <c r="BH43" s="2">
        <v>0</v>
      </c>
      <c r="BI43" s="2">
        <v>1</v>
      </c>
      <c r="BJ43" s="2" t="s">
        <v>74</v>
      </c>
      <c r="BK43" s="2"/>
      <c r="BL43" s="2"/>
      <c r="BM43" s="2">
        <v>1003</v>
      </c>
      <c r="BN43" s="2">
        <v>0</v>
      </c>
      <c r="BO43" s="2" t="s">
        <v>3</v>
      </c>
      <c r="BP43" s="2">
        <v>0</v>
      </c>
      <c r="BQ43" s="2">
        <v>2</v>
      </c>
      <c r="BR43" s="2">
        <v>0</v>
      </c>
      <c r="BS43" s="2">
        <v>1</v>
      </c>
      <c r="BT43" s="2">
        <v>1</v>
      </c>
      <c r="BU43" s="2">
        <v>1</v>
      </c>
      <c r="BV43" s="2">
        <v>1</v>
      </c>
      <c r="BW43" s="2">
        <v>1</v>
      </c>
      <c r="BX43" s="2">
        <v>1</v>
      </c>
      <c r="BY43" s="2" t="s">
        <v>3</v>
      </c>
      <c r="BZ43" s="2">
        <v>89</v>
      </c>
      <c r="CA43" s="2">
        <v>40</v>
      </c>
      <c r="CB43" s="2" t="s">
        <v>3</v>
      </c>
      <c r="CC43" s="2"/>
      <c r="CD43" s="2"/>
      <c r="CE43" s="2">
        <v>0</v>
      </c>
      <c r="CF43" s="2">
        <v>0</v>
      </c>
      <c r="CG43" s="2">
        <v>0</v>
      </c>
      <c r="CH43" s="2"/>
      <c r="CI43" s="2"/>
      <c r="CJ43" s="2"/>
      <c r="CK43" s="2"/>
      <c r="CL43" s="2"/>
      <c r="CM43" s="2">
        <v>0</v>
      </c>
      <c r="CN43" s="7" t="s">
        <v>802</v>
      </c>
      <c r="CO43" s="2">
        <v>0</v>
      </c>
      <c r="CP43" s="2">
        <f>(P43+Q43+S43+R43)</f>
        <v>1460.47</v>
      </c>
      <c r="CQ43" s="2">
        <f>SUMIF(SmtRes!AQ9:'SmtRes'!AQ9,"=1",SmtRes!AA9:'SmtRes'!AA9)</f>
        <v>0</v>
      </c>
      <c r="CR43" s="2">
        <f>SUMIF(SmtRes!AQ9:'SmtRes'!AQ9,"=1",SmtRes!AB9:'SmtRes'!AB9)</f>
        <v>0</v>
      </c>
      <c r="CS43" s="2">
        <f>SUMIF(SmtRes!AQ9:'SmtRes'!AQ9,"=1",SmtRes!AC9:'SmtRes'!AC9)</f>
        <v>0</v>
      </c>
      <c r="CT43" s="2">
        <f>SUMIF(SmtRes!AQ9:'SmtRes'!AQ9,"=1",SmtRes!AD9:'SmtRes'!AD9)</f>
        <v>287</v>
      </c>
      <c r="CU43" s="2">
        <f>AG43</f>
        <v>0</v>
      </c>
      <c r="CV43" s="2">
        <f>SUMIF(SmtRes!AQ9:'SmtRes'!AQ9,"=1",SmtRes!BU9:'SmtRes'!BU9)</f>
        <v>101.77499999999999</v>
      </c>
      <c r="CW43" s="2">
        <f>SUMIF(SmtRes!AQ9:'SmtRes'!AQ9,"=1",SmtRes!BV9:'SmtRes'!BV9)</f>
        <v>0</v>
      </c>
      <c r="CX43" s="2">
        <f>AJ43</f>
        <v>0</v>
      </c>
      <c r="CY43" s="2">
        <f>(((S43+R43)*AT43)/100)</f>
        <v>1299.8182999999999</v>
      </c>
      <c r="CZ43" s="2">
        <f>(((S43+R43)*AU43)/100)</f>
        <v>584.18799999999999</v>
      </c>
      <c r="DA43" s="2"/>
      <c r="DB43" s="2">
        <v>9</v>
      </c>
      <c r="DC43" s="2" t="s">
        <v>3</v>
      </c>
      <c r="DD43" s="2" t="s">
        <v>3</v>
      </c>
      <c r="DE43" s="2" t="s">
        <v>27</v>
      </c>
      <c r="DF43" s="2" t="s">
        <v>27</v>
      </c>
      <c r="DG43" s="2" t="s">
        <v>27</v>
      </c>
      <c r="DH43" s="2" t="s">
        <v>3</v>
      </c>
      <c r="DI43" s="2" t="s">
        <v>27</v>
      </c>
      <c r="DJ43" s="2" t="s">
        <v>27</v>
      </c>
      <c r="DK43" s="2" t="s">
        <v>3</v>
      </c>
      <c r="DL43" s="2" t="s">
        <v>3</v>
      </c>
      <c r="DM43" s="2" t="s">
        <v>3</v>
      </c>
      <c r="DN43" s="2">
        <v>0</v>
      </c>
      <c r="DO43" s="2">
        <v>0</v>
      </c>
      <c r="DP43" s="2">
        <v>1</v>
      </c>
      <c r="DQ43" s="2">
        <v>1</v>
      </c>
      <c r="DR43" s="2"/>
      <c r="DS43" s="2"/>
      <c r="DT43" s="2"/>
      <c r="DU43" s="2">
        <v>1007</v>
      </c>
      <c r="DV43" s="2" t="s">
        <v>25</v>
      </c>
      <c r="DW43" s="2" t="s">
        <v>25</v>
      </c>
      <c r="DX43" s="2">
        <v>100</v>
      </c>
      <c r="DY43" s="2"/>
      <c r="DZ43" s="2" t="s">
        <v>3</v>
      </c>
      <c r="EA43" s="2" t="s">
        <v>3</v>
      </c>
      <c r="EB43" s="2" t="s">
        <v>3</v>
      </c>
      <c r="EC43" s="2" t="s">
        <v>3</v>
      </c>
      <c r="ED43" s="2"/>
      <c r="EE43" s="2">
        <v>74004174</v>
      </c>
      <c r="EF43" s="2">
        <v>2</v>
      </c>
      <c r="EG43" s="2" t="s">
        <v>29</v>
      </c>
      <c r="EH43" s="2">
        <v>1</v>
      </c>
      <c r="EI43" s="2" t="s">
        <v>18</v>
      </c>
      <c r="EJ43" s="2">
        <v>1</v>
      </c>
      <c r="EK43" s="2">
        <v>1003</v>
      </c>
      <c r="EL43" s="2" t="s">
        <v>30</v>
      </c>
      <c r="EM43" s="2" t="s">
        <v>31</v>
      </c>
      <c r="EN43" s="2"/>
      <c r="EO43" s="2" t="s">
        <v>39</v>
      </c>
      <c r="EP43" s="2"/>
      <c r="EQ43" s="2">
        <v>262144</v>
      </c>
      <c r="ER43" s="2">
        <v>0</v>
      </c>
      <c r="ES43" s="2">
        <v>0</v>
      </c>
      <c r="ET43" s="2">
        <v>0</v>
      </c>
      <c r="EU43" s="2">
        <v>0</v>
      </c>
      <c r="EV43" s="2">
        <v>0</v>
      </c>
      <c r="EW43" s="2">
        <v>88.5</v>
      </c>
      <c r="EX43" s="2">
        <v>0</v>
      </c>
      <c r="EY43" s="2">
        <v>0</v>
      </c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>
        <v>0</v>
      </c>
      <c r="FR43" s="2">
        <v>0</v>
      </c>
      <c r="FS43" s="2">
        <v>0</v>
      </c>
      <c r="FT43" s="2"/>
      <c r="FU43" s="2"/>
      <c r="FV43" s="2"/>
      <c r="FW43" s="2"/>
      <c r="FX43" s="2">
        <v>89</v>
      </c>
      <c r="FY43" s="2">
        <v>40</v>
      </c>
      <c r="FZ43" s="2"/>
      <c r="GA43" s="2" t="s">
        <v>3</v>
      </c>
      <c r="GB43" s="2"/>
      <c r="GC43" s="2"/>
      <c r="GD43" s="2">
        <v>1</v>
      </c>
      <c r="GE43" s="2"/>
      <c r="GF43" s="2">
        <v>-909376367</v>
      </c>
      <c r="GG43" s="2">
        <v>2</v>
      </c>
      <c r="GH43" s="2">
        <v>1</v>
      </c>
      <c r="GI43" s="2">
        <v>-2</v>
      </c>
      <c r="GJ43" s="2">
        <v>0</v>
      </c>
      <c r="GK43" s="2">
        <v>0</v>
      </c>
      <c r="GL43" s="2">
        <f>ROUND(IF(AND(BH43=3,BI43=3,FS43&lt;&gt;0),P43,0),2)</f>
        <v>0</v>
      </c>
      <c r="GM43" s="2">
        <f>ROUND(O43+X43+Y43,2)+GX43</f>
        <v>3344.48</v>
      </c>
      <c r="GN43" s="2">
        <f>IF(OR(BI43=0,BI43=1),GM43-GX43,0)</f>
        <v>3344.48</v>
      </c>
      <c r="GO43" s="2">
        <f>IF(BI43=2,GM43-GX43,0)</f>
        <v>0</v>
      </c>
      <c r="GP43" s="2">
        <f>IF(BI43=4,GM43-GX43,0)</f>
        <v>0</v>
      </c>
      <c r="GQ43" s="2"/>
      <c r="GR43" s="2">
        <v>0</v>
      </c>
      <c r="GS43" s="2">
        <v>3</v>
      </c>
      <c r="GT43" s="2">
        <v>0</v>
      </c>
      <c r="GU43" s="2" t="s">
        <v>3</v>
      </c>
      <c r="GV43" s="2">
        <f>ROUND((GT43),6)</f>
        <v>0</v>
      </c>
      <c r="GW43" s="2">
        <v>1</v>
      </c>
      <c r="GX43" s="2">
        <f>ROUND(HC43*I43,2)</f>
        <v>0</v>
      </c>
      <c r="GY43" s="2"/>
      <c r="GZ43" s="2"/>
      <c r="HA43" s="2">
        <v>0</v>
      </c>
      <c r="HB43" s="2">
        <v>0</v>
      </c>
      <c r="HC43" s="2">
        <f>GV43*GW43</f>
        <v>0</v>
      </c>
      <c r="HD43" s="2"/>
      <c r="HE43" s="2" t="s">
        <v>3</v>
      </c>
      <c r="HF43" s="2" t="s">
        <v>3</v>
      </c>
      <c r="HG43" s="2"/>
      <c r="HH43" s="2"/>
      <c r="HI43" s="2"/>
      <c r="HJ43" s="2"/>
      <c r="HK43" s="2"/>
      <c r="HL43" s="2"/>
      <c r="HM43" s="2" t="s">
        <v>3</v>
      </c>
      <c r="HN43" s="2" t="s">
        <v>33</v>
      </c>
      <c r="HO43" s="2" t="s">
        <v>34</v>
      </c>
      <c r="HP43" s="2" t="s">
        <v>30</v>
      </c>
      <c r="HQ43" s="2" t="s">
        <v>30</v>
      </c>
      <c r="HR43" s="2"/>
      <c r="HS43" s="2">
        <v>0</v>
      </c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>
        <v>0</v>
      </c>
      <c r="IL43" s="2"/>
      <c r="IM43" s="2"/>
      <c r="IN43" s="2"/>
      <c r="IO43" s="2"/>
      <c r="IP43" s="2"/>
      <c r="IQ43" s="2"/>
      <c r="IR43" s="2"/>
      <c r="IS43" s="2"/>
      <c r="IT43" s="2"/>
      <c r="IU43" s="2"/>
    </row>
    <row r="44" spans="1:255" ht="13.05" customHeight="1" x14ac:dyDescent="0.25">
      <c r="A44" s="2">
        <v>17</v>
      </c>
      <c r="B44" s="2">
        <v>1</v>
      </c>
      <c r="C44" s="2">
        <f>ROW(SmtRes!A10)</f>
        <v>10</v>
      </c>
      <c r="D44" s="2">
        <f>ROW(EtalonRes!A10)</f>
        <v>10</v>
      </c>
      <c r="E44" s="2" t="s">
        <v>75</v>
      </c>
      <c r="F44" s="2" t="s">
        <v>72</v>
      </c>
      <c r="G44" s="2" t="s">
        <v>76</v>
      </c>
      <c r="H44" s="2" t="s">
        <v>25</v>
      </c>
      <c r="I44" s="2">
        <v>0.04</v>
      </c>
      <c r="J44" s="2">
        <v>0</v>
      </c>
      <c r="K44" s="2">
        <v>0.04</v>
      </c>
      <c r="L44" s="2"/>
      <c r="M44" s="2"/>
      <c r="N44" s="2"/>
      <c r="O44" s="2">
        <f>ROUND(CP44,2)</f>
        <v>1168.3800000000001</v>
      </c>
      <c r="P44" s="2">
        <f>SUMIF(SmtRes!AQ10:'SmtRes'!AQ10,"=1",SmtRes!DF10:'SmtRes'!DF10)</f>
        <v>0</v>
      </c>
      <c r="Q44" s="2">
        <f>SUMIF(SmtRes!AQ10:'SmtRes'!AQ10,"=1",SmtRes!DG10:'SmtRes'!DG10)</f>
        <v>0</v>
      </c>
      <c r="R44" s="2">
        <f>SUMIF(SmtRes!AQ10:'SmtRes'!AQ10,"=1",SmtRes!DH10:'SmtRes'!DH10)</f>
        <v>0</v>
      </c>
      <c r="S44" s="2">
        <f>SUMIF(SmtRes!AQ10:'SmtRes'!AQ10,"=1",SmtRes!DI10:'SmtRes'!DI10)</f>
        <v>1168.3800000000001</v>
      </c>
      <c r="T44" s="2">
        <f>ROUND(CU44*I44,2)</f>
        <v>0</v>
      </c>
      <c r="U44" s="2">
        <f>SUMIF(SmtRes!AQ10:'SmtRes'!AQ10,"=1",SmtRes!CV10:'SmtRes'!CV10)</f>
        <v>4.0709999999999997</v>
      </c>
      <c r="V44" s="2">
        <f>SUMIF(SmtRes!AQ10:'SmtRes'!AQ10,"=1",SmtRes!CW10:'SmtRes'!CW10)</f>
        <v>0</v>
      </c>
      <c r="W44" s="2">
        <f>ROUND(CX44*I44,2)</f>
        <v>0</v>
      </c>
      <c r="X44" s="2">
        <f>ROUND(CY44,2)</f>
        <v>1039.8599999999999</v>
      </c>
      <c r="Y44" s="2">
        <f>ROUND(CZ44,2)</f>
        <v>467.35</v>
      </c>
      <c r="Z44" s="2"/>
      <c r="AA44" s="2">
        <v>75604747</v>
      </c>
      <c r="AB44" s="2">
        <f>ROUND((AC44+AD44+AF44),6)</f>
        <v>29209.424999999999</v>
      </c>
      <c r="AC44" s="2">
        <f>ROUND((0),6)</f>
        <v>0</v>
      </c>
      <c r="AD44" s="2">
        <f>ROUND((((0)-(0))+AE44),6)</f>
        <v>0</v>
      </c>
      <c r="AE44" s="2">
        <f>ROUND((0),6)</f>
        <v>0</v>
      </c>
      <c r="AF44" s="2">
        <f>ROUND((SUM(SmtRes!BT10:'SmtRes'!BT10)),6)</f>
        <v>29209.424999999999</v>
      </c>
      <c r="AG44" s="2">
        <f>ROUND((AP44),6)</f>
        <v>0</v>
      </c>
      <c r="AH44" s="2">
        <f>(SUM(SmtRes!BU10:'SmtRes'!BU10))</f>
        <v>101.77499999999999</v>
      </c>
      <c r="AI44" s="2">
        <f>(0)</f>
        <v>0</v>
      </c>
      <c r="AJ44" s="2">
        <f>(AS44)</f>
        <v>0</v>
      </c>
      <c r="AK44" s="2">
        <v>25399.5</v>
      </c>
      <c r="AL44" s="2">
        <v>0</v>
      </c>
      <c r="AM44" s="2">
        <v>0</v>
      </c>
      <c r="AN44" s="2">
        <v>0</v>
      </c>
      <c r="AO44" s="2">
        <v>25399.5</v>
      </c>
      <c r="AP44" s="2">
        <v>0</v>
      </c>
      <c r="AQ44" s="2">
        <v>88.5</v>
      </c>
      <c r="AR44" s="2">
        <v>0</v>
      </c>
      <c r="AS44" s="2">
        <v>0</v>
      </c>
      <c r="AT44" s="2">
        <v>89</v>
      </c>
      <c r="AU44" s="2">
        <v>40</v>
      </c>
      <c r="AV44" s="2">
        <v>1</v>
      </c>
      <c r="AW44" s="2">
        <v>1</v>
      </c>
      <c r="AX44" s="2"/>
      <c r="AY44" s="2"/>
      <c r="AZ44" s="2">
        <v>1</v>
      </c>
      <c r="BA44" s="2">
        <v>1</v>
      </c>
      <c r="BB44" s="2">
        <v>1</v>
      </c>
      <c r="BC44" s="2">
        <v>1</v>
      </c>
      <c r="BD44" s="2" t="s">
        <v>3</v>
      </c>
      <c r="BE44" s="2" t="s">
        <v>3</v>
      </c>
      <c r="BF44" s="2" t="s">
        <v>3</v>
      </c>
      <c r="BG44" s="2" t="s">
        <v>3</v>
      </c>
      <c r="BH44" s="2">
        <v>0</v>
      </c>
      <c r="BI44" s="2">
        <v>1</v>
      </c>
      <c r="BJ44" s="2" t="s">
        <v>74</v>
      </c>
      <c r="BK44" s="2"/>
      <c r="BL44" s="2"/>
      <c r="BM44" s="2">
        <v>1003</v>
      </c>
      <c r="BN44" s="2">
        <v>0</v>
      </c>
      <c r="BO44" s="2" t="s">
        <v>3</v>
      </c>
      <c r="BP44" s="2">
        <v>0</v>
      </c>
      <c r="BQ44" s="2">
        <v>2</v>
      </c>
      <c r="BR44" s="2">
        <v>0</v>
      </c>
      <c r="BS44" s="2">
        <v>1</v>
      </c>
      <c r="BT44" s="2">
        <v>1</v>
      </c>
      <c r="BU44" s="2">
        <v>1</v>
      </c>
      <c r="BV44" s="2">
        <v>1</v>
      </c>
      <c r="BW44" s="2">
        <v>1</v>
      </c>
      <c r="BX44" s="2">
        <v>1</v>
      </c>
      <c r="BY44" s="2" t="s">
        <v>3</v>
      </c>
      <c r="BZ44" s="2">
        <v>89</v>
      </c>
      <c r="CA44" s="2">
        <v>40</v>
      </c>
      <c r="CB44" s="2" t="s">
        <v>3</v>
      </c>
      <c r="CC44" s="2"/>
      <c r="CD44" s="2"/>
      <c r="CE44" s="2">
        <v>0</v>
      </c>
      <c r="CF44" s="2">
        <v>0</v>
      </c>
      <c r="CG44" s="2">
        <v>0</v>
      </c>
      <c r="CH44" s="2"/>
      <c r="CI44" s="2"/>
      <c r="CJ44" s="2"/>
      <c r="CK44" s="2"/>
      <c r="CL44" s="2"/>
      <c r="CM44" s="2">
        <v>0</v>
      </c>
      <c r="CN44" s="7" t="s">
        <v>802</v>
      </c>
      <c r="CO44" s="2">
        <v>0</v>
      </c>
      <c r="CP44" s="2">
        <f>(P44+Q44+S44+R44)</f>
        <v>1168.3800000000001</v>
      </c>
      <c r="CQ44" s="2">
        <f>SUMIF(SmtRes!AQ10:'SmtRes'!AQ10,"=1",SmtRes!AA10:'SmtRes'!AA10)</f>
        <v>0</v>
      </c>
      <c r="CR44" s="2">
        <f>SUMIF(SmtRes!AQ10:'SmtRes'!AQ10,"=1",SmtRes!AB10:'SmtRes'!AB10)</f>
        <v>0</v>
      </c>
      <c r="CS44" s="2">
        <f>SUMIF(SmtRes!AQ10:'SmtRes'!AQ10,"=1",SmtRes!AC10:'SmtRes'!AC10)</f>
        <v>0</v>
      </c>
      <c r="CT44" s="2">
        <f>SUMIF(SmtRes!AQ10:'SmtRes'!AQ10,"=1",SmtRes!AD10:'SmtRes'!AD10)</f>
        <v>287</v>
      </c>
      <c r="CU44" s="2">
        <f>AG44</f>
        <v>0</v>
      </c>
      <c r="CV44" s="2">
        <f>SUMIF(SmtRes!AQ10:'SmtRes'!AQ10,"=1",SmtRes!BU10:'SmtRes'!BU10)</f>
        <v>101.77499999999999</v>
      </c>
      <c r="CW44" s="2">
        <f>SUMIF(SmtRes!AQ10:'SmtRes'!AQ10,"=1",SmtRes!BV10:'SmtRes'!BV10)</f>
        <v>0</v>
      </c>
      <c r="CX44" s="2">
        <f>AJ44</f>
        <v>0</v>
      </c>
      <c r="CY44" s="2">
        <f>(((S44+R44)*AT44)/100)</f>
        <v>1039.8582000000001</v>
      </c>
      <c r="CZ44" s="2">
        <f>(((S44+R44)*AU44)/100)</f>
        <v>467.35200000000003</v>
      </c>
      <c r="DA44" s="2"/>
      <c r="DB44" s="2">
        <v>10</v>
      </c>
      <c r="DC44" s="2" t="s">
        <v>3</v>
      </c>
      <c r="DD44" s="2" t="s">
        <v>3</v>
      </c>
      <c r="DE44" s="2" t="s">
        <v>27</v>
      </c>
      <c r="DF44" s="2" t="s">
        <v>27</v>
      </c>
      <c r="DG44" s="2" t="s">
        <v>27</v>
      </c>
      <c r="DH44" s="2" t="s">
        <v>3</v>
      </c>
      <c r="DI44" s="2" t="s">
        <v>27</v>
      </c>
      <c r="DJ44" s="2" t="s">
        <v>27</v>
      </c>
      <c r="DK44" s="2" t="s">
        <v>3</v>
      </c>
      <c r="DL44" s="2" t="s">
        <v>3</v>
      </c>
      <c r="DM44" s="2" t="s">
        <v>3</v>
      </c>
      <c r="DN44" s="2">
        <v>0</v>
      </c>
      <c r="DO44" s="2">
        <v>0</v>
      </c>
      <c r="DP44" s="2">
        <v>1</v>
      </c>
      <c r="DQ44" s="2">
        <v>1</v>
      </c>
      <c r="DR44" s="2"/>
      <c r="DS44" s="2"/>
      <c r="DT44" s="2"/>
      <c r="DU44" s="2">
        <v>1007</v>
      </c>
      <c r="DV44" s="2" t="s">
        <v>25</v>
      </c>
      <c r="DW44" s="2" t="s">
        <v>25</v>
      </c>
      <c r="DX44" s="2">
        <v>100</v>
      </c>
      <c r="DY44" s="2"/>
      <c r="DZ44" s="2" t="s">
        <v>3</v>
      </c>
      <c r="EA44" s="2" t="s">
        <v>3</v>
      </c>
      <c r="EB44" s="2" t="s">
        <v>3</v>
      </c>
      <c r="EC44" s="2" t="s">
        <v>3</v>
      </c>
      <c r="ED44" s="2"/>
      <c r="EE44" s="2">
        <v>74004174</v>
      </c>
      <c r="EF44" s="2">
        <v>2</v>
      </c>
      <c r="EG44" s="2" t="s">
        <v>29</v>
      </c>
      <c r="EH44" s="2">
        <v>1</v>
      </c>
      <c r="EI44" s="2" t="s">
        <v>18</v>
      </c>
      <c r="EJ44" s="2">
        <v>1</v>
      </c>
      <c r="EK44" s="2">
        <v>1003</v>
      </c>
      <c r="EL44" s="2" t="s">
        <v>30</v>
      </c>
      <c r="EM44" s="2" t="s">
        <v>31</v>
      </c>
      <c r="EN44" s="2"/>
      <c r="EO44" s="2" t="s">
        <v>39</v>
      </c>
      <c r="EP44" s="2"/>
      <c r="EQ44" s="2">
        <v>262144</v>
      </c>
      <c r="ER44" s="2">
        <v>0</v>
      </c>
      <c r="ES44" s="2">
        <v>0</v>
      </c>
      <c r="ET44" s="2">
        <v>0</v>
      </c>
      <c r="EU44" s="2">
        <v>0</v>
      </c>
      <c r="EV44" s="2">
        <v>0</v>
      </c>
      <c r="EW44" s="2">
        <v>88.5</v>
      </c>
      <c r="EX44" s="2">
        <v>0</v>
      </c>
      <c r="EY44" s="2">
        <v>0</v>
      </c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>
        <v>0</v>
      </c>
      <c r="FR44" s="2">
        <v>0</v>
      </c>
      <c r="FS44" s="2">
        <v>0</v>
      </c>
      <c r="FT44" s="2"/>
      <c r="FU44" s="2"/>
      <c r="FV44" s="2"/>
      <c r="FW44" s="2"/>
      <c r="FX44" s="2">
        <v>89</v>
      </c>
      <c r="FY44" s="2">
        <v>40</v>
      </c>
      <c r="FZ44" s="2"/>
      <c r="GA44" s="2" t="s">
        <v>3</v>
      </c>
      <c r="GB44" s="2"/>
      <c r="GC44" s="2"/>
      <c r="GD44" s="2">
        <v>1</v>
      </c>
      <c r="GE44" s="2"/>
      <c r="GF44" s="2">
        <v>-1371102114</v>
      </c>
      <c r="GG44" s="2">
        <v>2</v>
      </c>
      <c r="GH44" s="2">
        <v>1</v>
      </c>
      <c r="GI44" s="2">
        <v>-2</v>
      </c>
      <c r="GJ44" s="2">
        <v>0</v>
      </c>
      <c r="GK44" s="2">
        <v>0</v>
      </c>
      <c r="GL44" s="2">
        <f>ROUND(IF(AND(BH44=3,BI44=3,FS44&lt;&gt;0),P44,0),2)</f>
        <v>0</v>
      </c>
      <c r="GM44" s="2">
        <f>ROUND(O44+X44+Y44,2)+GX44</f>
        <v>2675.59</v>
      </c>
      <c r="GN44" s="2">
        <f>IF(OR(BI44=0,BI44=1),GM44-GX44,0)</f>
        <v>2675.59</v>
      </c>
      <c r="GO44" s="2">
        <f>IF(BI44=2,GM44-GX44,0)</f>
        <v>0</v>
      </c>
      <c r="GP44" s="2">
        <f>IF(BI44=4,GM44-GX44,0)</f>
        <v>0</v>
      </c>
      <c r="GQ44" s="2"/>
      <c r="GR44" s="2">
        <v>0</v>
      </c>
      <c r="GS44" s="2">
        <v>3</v>
      </c>
      <c r="GT44" s="2">
        <v>0</v>
      </c>
      <c r="GU44" s="2" t="s">
        <v>3</v>
      </c>
      <c r="GV44" s="2">
        <f>ROUND((GT44),6)</f>
        <v>0</v>
      </c>
      <c r="GW44" s="2">
        <v>1</v>
      </c>
      <c r="GX44" s="2">
        <f>ROUND(HC44*I44,2)</f>
        <v>0</v>
      </c>
      <c r="GY44" s="2"/>
      <c r="GZ44" s="2"/>
      <c r="HA44" s="2">
        <v>0</v>
      </c>
      <c r="HB44" s="2">
        <v>0</v>
      </c>
      <c r="HC44" s="2">
        <f>GV44*GW44</f>
        <v>0</v>
      </c>
      <c r="HD44" s="2"/>
      <c r="HE44" s="2" t="s">
        <v>3</v>
      </c>
      <c r="HF44" s="2" t="s">
        <v>3</v>
      </c>
      <c r="HG44" s="2"/>
      <c r="HH44" s="2"/>
      <c r="HI44" s="2"/>
      <c r="HJ44" s="2"/>
      <c r="HK44" s="2"/>
      <c r="HL44" s="2"/>
      <c r="HM44" s="2" t="s">
        <v>3</v>
      </c>
      <c r="HN44" s="2" t="s">
        <v>33</v>
      </c>
      <c r="HO44" s="2" t="s">
        <v>34</v>
      </c>
      <c r="HP44" s="2" t="s">
        <v>30</v>
      </c>
      <c r="HQ44" s="2" t="s">
        <v>30</v>
      </c>
      <c r="HR44" s="2"/>
      <c r="HS44" s="2">
        <v>0</v>
      </c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>
        <v>0</v>
      </c>
      <c r="IL44" s="2"/>
      <c r="IM44" s="2"/>
      <c r="IN44" s="2"/>
      <c r="IO44" s="2"/>
      <c r="IP44" s="2"/>
      <c r="IQ44" s="2"/>
      <c r="IR44" s="2"/>
      <c r="IS44" s="2"/>
      <c r="IT44" s="2"/>
      <c r="IU44" s="2"/>
    </row>
    <row r="45" spans="1:255" ht="13.05" customHeight="1" x14ac:dyDescent="0.25">
      <c r="A45">
        <v>19</v>
      </c>
      <c r="B45">
        <v>1</v>
      </c>
      <c r="F45" t="s">
        <v>3</v>
      </c>
      <c r="G45" s="14" t="s">
        <v>1079</v>
      </c>
      <c r="H45" t="s">
        <v>3</v>
      </c>
      <c r="AA45">
        <v>1</v>
      </c>
      <c r="IK45">
        <v>0</v>
      </c>
    </row>
    <row r="46" spans="1:255" ht="13.05" customHeight="1" x14ac:dyDescent="0.25">
      <c r="A46" s="2">
        <v>17</v>
      </c>
      <c r="B46" s="2">
        <v>1</v>
      </c>
      <c r="C46" s="2">
        <f>ROW(SmtRes!A13)</f>
        <v>13</v>
      </c>
      <c r="D46" s="2">
        <f>ROW(EtalonRes!A13)</f>
        <v>13</v>
      </c>
      <c r="E46" s="2" t="s">
        <v>77</v>
      </c>
      <c r="F46" s="2" t="s">
        <v>78</v>
      </c>
      <c r="G46" s="2" t="s">
        <v>79</v>
      </c>
      <c r="H46" s="2" t="s">
        <v>54</v>
      </c>
      <c r="I46" s="2">
        <v>0.06</v>
      </c>
      <c r="J46" s="2">
        <v>0</v>
      </c>
      <c r="K46" s="2">
        <v>0.06</v>
      </c>
      <c r="L46" s="2"/>
      <c r="M46" s="2"/>
      <c r="N46" s="2"/>
      <c r="O46" s="2">
        <f>ROUND(CP46,2)</f>
        <v>1645.88</v>
      </c>
      <c r="P46" s="2">
        <f>SUMIF(SmtRes!AQ11:'SmtRes'!AQ13,"=1",SmtRes!DF11:'SmtRes'!DF13)</f>
        <v>0</v>
      </c>
      <c r="Q46" s="2">
        <f>SUMIF(SmtRes!AQ11:'SmtRes'!AQ13,"=1",SmtRes!DG11:'SmtRes'!DG13)</f>
        <v>1052.96</v>
      </c>
      <c r="R46" s="2">
        <f>SUMIF(SmtRes!AQ11:'SmtRes'!AQ13,"=1",SmtRes!DH11:'SmtRes'!DH13)</f>
        <v>519.17999999999995</v>
      </c>
      <c r="S46" s="2">
        <f>SUMIF(SmtRes!AQ11:'SmtRes'!AQ13,"=1",SmtRes!DI11:'SmtRes'!DI13)</f>
        <v>73.739999999999995</v>
      </c>
      <c r="T46" s="2">
        <f>ROUND(CU46*I46,2)</f>
        <v>0</v>
      </c>
      <c r="U46" s="2">
        <f>SUMIF(SmtRes!AQ11:'SmtRes'!AQ13,"=1",SmtRes!CV11:'SmtRes'!CV13)</f>
        <v>0.24632999999999999</v>
      </c>
      <c r="V46" s="2">
        <f>SUMIF(SmtRes!AQ11:'SmtRes'!AQ13,"=1",SmtRes!CW11:'SmtRes'!CW13)</f>
        <v>1.2275100000000001</v>
      </c>
      <c r="W46" s="2">
        <f>ROUND(CX46*I46,2)</f>
        <v>0</v>
      </c>
      <c r="X46" s="2">
        <f t="shared" ref="X46:Y49" si="22">ROUND(CY46,2)</f>
        <v>545.49</v>
      </c>
      <c r="Y46" s="2">
        <f t="shared" si="22"/>
        <v>272.74</v>
      </c>
      <c r="Z46" s="2"/>
      <c r="AA46" s="2">
        <v>75604747</v>
      </c>
      <c r="AB46" s="2">
        <f>ROUND((AC46+AD46+AF46),6)</f>
        <v>15047.307134999999</v>
      </c>
      <c r="AC46" s="2">
        <f>ROUND((0),6)</f>
        <v>0</v>
      </c>
      <c r="AD46" s="2">
        <f>ROUND((((SUM(SmtRes!BR11:'SmtRes'!BR13))-(SUM(SmtRes!BS11:'SmtRes'!BS13)))+AE46),6)</f>
        <v>13818.284654999999</v>
      </c>
      <c r="AE46" s="2">
        <f>ROUND((SUM(SmtRes!BS11:'SmtRes'!BS13)),6)</f>
        <v>8652.9225750000005</v>
      </c>
      <c r="AF46" s="2">
        <f>ROUND((SUM(SmtRes!BT11:'SmtRes'!BT13)),6)</f>
        <v>1229.0224800000001</v>
      </c>
      <c r="AG46" s="2">
        <f>ROUND((AP46),6)</f>
        <v>0</v>
      </c>
      <c r="AH46" s="2">
        <f>(SUM(SmtRes!BU11:'SmtRes'!BU13))</f>
        <v>4.1054999999999993</v>
      </c>
      <c r="AI46" s="2">
        <f>(SUM(SmtRes!BV11:'SmtRes'!BV13))</f>
        <v>20.458499999999997</v>
      </c>
      <c r="AJ46" s="2">
        <f>(AS46)</f>
        <v>0</v>
      </c>
      <c r="AK46" s="2">
        <v>41217.790799999995</v>
      </c>
      <c r="AL46" s="2">
        <v>0</v>
      </c>
      <c r="AM46" s="2">
        <v>24031.799399999996</v>
      </c>
      <c r="AN46" s="2">
        <v>15048.561</v>
      </c>
      <c r="AO46" s="2">
        <v>2137.4304000000002</v>
      </c>
      <c r="AP46" s="2">
        <v>0</v>
      </c>
      <c r="AQ46" s="2">
        <v>7.14</v>
      </c>
      <c r="AR46" s="2">
        <v>35.58</v>
      </c>
      <c r="AS46" s="2">
        <v>0</v>
      </c>
      <c r="AT46" s="2">
        <v>92</v>
      </c>
      <c r="AU46" s="2">
        <v>46</v>
      </c>
      <c r="AV46" s="2">
        <v>1</v>
      </c>
      <c r="AW46" s="2">
        <v>1</v>
      </c>
      <c r="AX46" s="2"/>
      <c r="AY46" s="2"/>
      <c r="AZ46" s="2">
        <v>1</v>
      </c>
      <c r="BA46" s="2">
        <v>1</v>
      </c>
      <c r="BB46" s="2">
        <v>1</v>
      </c>
      <c r="BC46" s="2">
        <v>1</v>
      </c>
      <c r="BD46" s="2" t="s">
        <v>3</v>
      </c>
      <c r="BE46" s="2" t="s">
        <v>3</v>
      </c>
      <c r="BF46" s="2" t="s">
        <v>3</v>
      </c>
      <c r="BG46" s="2" t="s">
        <v>3</v>
      </c>
      <c r="BH46" s="2">
        <v>0</v>
      </c>
      <c r="BI46" s="2">
        <v>1</v>
      </c>
      <c r="BJ46" s="2" t="s">
        <v>80</v>
      </c>
      <c r="BK46" s="2"/>
      <c r="BL46" s="2"/>
      <c r="BM46" s="2">
        <v>1001</v>
      </c>
      <c r="BN46" s="2">
        <v>0</v>
      </c>
      <c r="BO46" s="2" t="s">
        <v>3</v>
      </c>
      <c r="BP46" s="2">
        <v>0</v>
      </c>
      <c r="BQ46" s="2">
        <v>2</v>
      </c>
      <c r="BR46" s="2">
        <v>0</v>
      </c>
      <c r="BS46" s="2">
        <v>1</v>
      </c>
      <c r="BT46" s="2">
        <v>1</v>
      </c>
      <c r="BU46" s="2">
        <v>1</v>
      </c>
      <c r="BV46" s="2">
        <v>1</v>
      </c>
      <c r="BW46" s="2">
        <v>1</v>
      </c>
      <c r="BX46" s="2">
        <v>1</v>
      </c>
      <c r="BY46" s="2" t="s">
        <v>3</v>
      </c>
      <c r="BZ46" s="2">
        <v>92</v>
      </c>
      <c r="CA46" s="2">
        <v>46</v>
      </c>
      <c r="CB46" s="2" t="s">
        <v>3</v>
      </c>
      <c r="CC46" s="2"/>
      <c r="CD46" s="2"/>
      <c r="CE46" s="2">
        <v>0</v>
      </c>
      <c r="CF46" s="2">
        <v>0</v>
      </c>
      <c r="CG46" s="2">
        <v>0</v>
      </c>
      <c r="CH46" s="2"/>
      <c r="CI46" s="2"/>
      <c r="CJ46" s="2"/>
      <c r="CK46" s="2"/>
      <c r="CL46" s="2"/>
      <c r="CM46" s="2">
        <v>0</v>
      </c>
      <c r="CN46" s="7" t="s">
        <v>802</v>
      </c>
      <c r="CO46" s="2">
        <v>0</v>
      </c>
      <c r="CP46" s="2">
        <f>(P46+Q46+S46+R46)</f>
        <v>1645.88</v>
      </c>
      <c r="CQ46" s="2">
        <f>SUMIF(SmtRes!AQ11:'SmtRes'!AQ13,"=1",SmtRes!AA11:'SmtRes'!AA13)</f>
        <v>0</v>
      </c>
      <c r="CR46" s="2">
        <f>SUMIF(SmtRes!AQ11:'SmtRes'!AQ13,"=1",SmtRes!AB11:'SmtRes'!AB13)</f>
        <v>857.8</v>
      </c>
      <c r="CS46" s="2">
        <f>SUMIF(SmtRes!AQ11:'SmtRes'!AQ13,"=1",SmtRes!AC11:'SmtRes'!AC13)</f>
        <v>422.95</v>
      </c>
      <c r="CT46" s="2">
        <f>SUMIF(SmtRes!AQ11:'SmtRes'!AQ13,"=1",SmtRes!AD11:'SmtRes'!AD13)</f>
        <v>299.36</v>
      </c>
      <c r="CU46" s="2">
        <f>AG46</f>
        <v>0</v>
      </c>
      <c r="CV46" s="2">
        <f>SUMIF(SmtRes!AQ11:'SmtRes'!AQ13,"=1",SmtRes!BU11:'SmtRes'!BU13)</f>
        <v>4.1054999999999993</v>
      </c>
      <c r="CW46" s="2">
        <f>SUMIF(SmtRes!AQ11:'SmtRes'!AQ13,"=1",SmtRes!BV11:'SmtRes'!BV13)</f>
        <v>20.458499999999997</v>
      </c>
      <c r="CX46" s="2">
        <f>AJ46</f>
        <v>0</v>
      </c>
      <c r="CY46" s="2">
        <f>(((S46+R46)*AT46)/100)</f>
        <v>545.4864</v>
      </c>
      <c r="CZ46" s="2">
        <f>(((S46+R46)*AU46)/100)</f>
        <v>272.7432</v>
      </c>
      <c r="DA46" s="2"/>
      <c r="DB46" s="2"/>
      <c r="DC46" s="2" t="s">
        <v>3</v>
      </c>
      <c r="DD46" s="2" t="s">
        <v>3</v>
      </c>
      <c r="DE46" s="2" t="s">
        <v>81</v>
      </c>
      <c r="DF46" s="2" t="s">
        <v>81</v>
      </c>
      <c r="DG46" s="2" t="s">
        <v>81</v>
      </c>
      <c r="DH46" s="2" t="s">
        <v>3</v>
      </c>
      <c r="DI46" s="2" t="s">
        <v>81</v>
      </c>
      <c r="DJ46" s="2" t="s">
        <v>81</v>
      </c>
      <c r="DK46" s="2" t="s">
        <v>3</v>
      </c>
      <c r="DL46" s="2" t="s">
        <v>3</v>
      </c>
      <c r="DM46" s="2" t="s">
        <v>3</v>
      </c>
      <c r="DN46" s="2">
        <v>0</v>
      </c>
      <c r="DO46" s="2">
        <v>0</v>
      </c>
      <c r="DP46" s="2">
        <v>1</v>
      </c>
      <c r="DQ46" s="2">
        <v>1</v>
      </c>
      <c r="DR46" s="2"/>
      <c r="DS46" s="2"/>
      <c r="DT46" s="2"/>
      <c r="DU46" s="2">
        <v>1007</v>
      </c>
      <c r="DV46" s="2" t="s">
        <v>54</v>
      </c>
      <c r="DW46" s="2" t="s">
        <v>54</v>
      </c>
      <c r="DX46" s="2">
        <v>1000</v>
      </c>
      <c r="DY46" s="2"/>
      <c r="DZ46" s="2" t="s">
        <v>3</v>
      </c>
      <c r="EA46" s="2" t="s">
        <v>3</v>
      </c>
      <c r="EB46" s="2" t="s">
        <v>3</v>
      </c>
      <c r="EC46" s="2" t="s">
        <v>3</v>
      </c>
      <c r="ED46" s="2"/>
      <c r="EE46" s="2">
        <v>74004172</v>
      </c>
      <c r="EF46" s="2">
        <v>2</v>
      </c>
      <c r="EG46" s="2" t="s">
        <v>29</v>
      </c>
      <c r="EH46" s="2">
        <v>1</v>
      </c>
      <c r="EI46" s="2" t="s">
        <v>18</v>
      </c>
      <c r="EJ46" s="2">
        <v>1</v>
      </c>
      <c r="EK46" s="2">
        <v>1001</v>
      </c>
      <c r="EL46" s="2" t="s">
        <v>56</v>
      </c>
      <c r="EM46" s="2" t="s">
        <v>31</v>
      </c>
      <c r="EN46" s="2"/>
      <c r="EO46" s="2" t="s">
        <v>39</v>
      </c>
      <c r="EP46" s="2"/>
      <c r="EQ46" s="2">
        <v>262144</v>
      </c>
      <c r="ER46" s="2">
        <v>0</v>
      </c>
      <c r="ES46" s="2">
        <v>0</v>
      </c>
      <c r="ET46" s="2">
        <v>0</v>
      </c>
      <c r="EU46" s="2">
        <v>0</v>
      </c>
      <c r="EV46" s="2">
        <v>0</v>
      </c>
      <c r="EW46" s="2">
        <v>7.14</v>
      </c>
      <c r="EX46" s="2">
        <v>35.58</v>
      </c>
      <c r="EY46" s="2">
        <v>0</v>
      </c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>
        <v>0</v>
      </c>
      <c r="FR46" s="2">
        <v>0</v>
      </c>
      <c r="FS46" s="2">
        <v>0</v>
      </c>
      <c r="FT46" s="2"/>
      <c r="FU46" s="2"/>
      <c r="FV46" s="2"/>
      <c r="FW46" s="2"/>
      <c r="FX46" s="2">
        <v>92</v>
      </c>
      <c r="FY46" s="2">
        <v>46</v>
      </c>
      <c r="FZ46" s="2"/>
      <c r="GA46" s="2" t="s">
        <v>3</v>
      </c>
      <c r="GB46" s="2"/>
      <c r="GC46" s="2"/>
      <c r="GD46" s="2">
        <v>1</v>
      </c>
      <c r="GE46" s="2"/>
      <c r="GF46" s="2">
        <v>826518213</v>
      </c>
      <c r="GG46" s="2">
        <v>2</v>
      </c>
      <c r="GH46" s="2">
        <v>1</v>
      </c>
      <c r="GI46" s="2">
        <v>-2</v>
      </c>
      <c r="GJ46" s="2">
        <v>0</v>
      </c>
      <c r="GK46" s="2">
        <v>0</v>
      </c>
      <c r="GL46" s="2">
        <f>ROUND(IF(AND(BH46=3,BI46=3,FS46&lt;&gt;0),P46,0),2)</f>
        <v>0</v>
      </c>
      <c r="GM46" s="2">
        <f>ROUND(O46+X46+Y46,2)+GX46</f>
        <v>2464.11</v>
      </c>
      <c r="GN46" s="2">
        <f>IF(OR(BI46=0,BI46=1),GM46-GX46,0)</f>
        <v>2464.11</v>
      </c>
      <c r="GO46" s="2">
        <f>IF(BI46=2,GM46-GX46,0)</f>
        <v>0</v>
      </c>
      <c r="GP46" s="2">
        <f>IF(BI46=4,GM46-GX46,0)</f>
        <v>0</v>
      </c>
      <c r="GQ46" s="2"/>
      <c r="GR46" s="2">
        <v>0</v>
      </c>
      <c r="GS46" s="2">
        <v>3</v>
      </c>
      <c r="GT46" s="2">
        <v>0</v>
      </c>
      <c r="GU46" s="2" t="s">
        <v>3</v>
      </c>
      <c r="GV46" s="2">
        <f>ROUND((GT46),6)</f>
        <v>0</v>
      </c>
      <c r="GW46" s="2">
        <v>1</v>
      </c>
      <c r="GX46" s="2">
        <f>ROUND(HC46*I46,2)</f>
        <v>0</v>
      </c>
      <c r="GY46" s="2"/>
      <c r="GZ46" s="2"/>
      <c r="HA46" s="2">
        <v>0</v>
      </c>
      <c r="HB46" s="2">
        <v>0</v>
      </c>
      <c r="HC46" s="2">
        <f>GV46*GW46</f>
        <v>0</v>
      </c>
      <c r="HD46" s="2"/>
      <c r="HE46" s="2" t="s">
        <v>3</v>
      </c>
      <c r="HF46" s="2" t="s">
        <v>3</v>
      </c>
      <c r="HG46" s="2"/>
      <c r="HH46" s="2"/>
      <c r="HI46" s="2"/>
      <c r="HJ46" s="2"/>
      <c r="HK46" s="2"/>
      <c r="HL46" s="2"/>
      <c r="HM46" s="2" t="s">
        <v>3</v>
      </c>
      <c r="HN46" s="2" t="s">
        <v>57</v>
      </c>
      <c r="HO46" s="2" t="s">
        <v>58</v>
      </c>
      <c r="HP46" s="2" t="s">
        <v>56</v>
      </c>
      <c r="HQ46" s="2" t="s">
        <v>56</v>
      </c>
      <c r="HR46" s="2"/>
      <c r="HS46" s="2">
        <v>0</v>
      </c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>
        <v>0</v>
      </c>
      <c r="IL46" s="2"/>
      <c r="IM46" s="2"/>
      <c r="IN46" s="2"/>
      <c r="IO46" s="2"/>
      <c r="IP46" s="2"/>
      <c r="IQ46" s="2"/>
      <c r="IR46" s="2"/>
      <c r="IS46" s="2"/>
      <c r="IT46" s="2"/>
      <c r="IU46" s="2"/>
    </row>
    <row r="47" spans="1:255" ht="13.05" customHeight="1" x14ac:dyDescent="0.25">
      <c r="A47" s="2">
        <v>17</v>
      </c>
      <c r="B47" s="2">
        <v>1</v>
      </c>
      <c r="C47" s="2">
        <f>ROW(SmtRes!A17)</f>
        <v>17</v>
      </c>
      <c r="D47" s="2">
        <f>ROW(EtalonRes!A17)</f>
        <v>17</v>
      </c>
      <c r="E47" s="2" t="s">
        <v>82</v>
      </c>
      <c r="F47" s="2" t="s">
        <v>83</v>
      </c>
      <c r="G47" s="2" t="s">
        <v>84</v>
      </c>
      <c r="H47" s="2" t="s">
        <v>25</v>
      </c>
      <c r="I47" s="2">
        <v>0.6</v>
      </c>
      <c r="J47" s="2">
        <v>0</v>
      </c>
      <c r="K47" s="2">
        <v>0.6</v>
      </c>
      <c r="L47" s="2"/>
      <c r="M47" s="2"/>
      <c r="N47" s="2"/>
      <c r="O47" s="2">
        <f>ROUND(CP47,2)</f>
        <v>4206.7</v>
      </c>
      <c r="P47" s="2">
        <f>SUMIF(SmtRes!AQ14:'SmtRes'!AQ17,"=1",SmtRes!DF14:'SmtRes'!DF17)</f>
        <v>0</v>
      </c>
      <c r="Q47" s="2">
        <f>SUMIF(SmtRes!AQ14:'SmtRes'!AQ17,"=1",SmtRes!DG14:'SmtRes'!DG17)</f>
        <v>715.80000000000007</v>
      </c>
      <c r="R47" s="2">
        <f>SUMIF(SmtRes!AQ14:'SmtRes'!AQ17,"=1",SmtRes!DH14:'SmtRes'!DH17)</f>
        <v>665.31</v>
      </c>
      <c r="S47" s="2">
        <f>SUMIF(SmtRes!AQ14:'SmtRes'!AQ17,"=1",SmtRes!DI14:'SmtRes'!DI17)</f>
        <v>2825.59</v>
      </c>
      <c r="T47" s="2">
        <f>ROUND(CU47*I47,2)</f>
        <v>0</v>
      </c>
      <c r="U47" s="2">
        <f>SUMIF(SmtRes!AQ14:'SmtRes'!AQ17,"=1",SmtRes!CV14:'SmtRes'!CV17)</f>
        <v>8.6456999999999997</v>
      </c>
      <c r="V47" s="2">
        <f>SUMIF(SmtRes!AQ14:'SmtRes'!AQ17,"=1",SmtRes!CW14:'SmtRes'!CW17)</f>
        <v>1.8078000000000001</v>
      </c>
      <c r="W47" s="2">
        <f>ROUND(CX47*I47,2)</f>
        <v>0</v>
      </c>
      <c r="X47" s="2">
        <f t="shared" si="22"/>
        <v>3211.63</v>
      </c>
      <c r="Y47" s="2">
        <f t="shared" si="22"/>
        <v>1605.81</v>
      </c>
      <c r="Z47" s="2"/>
      <c r="AA47" s="2">
        <v>75604747</v>
      </c>
      <c r="AB47" s="2">
        <f>ROUND((AC47+AD47+AF47),6)</f>
        <v>5900.2564700000003</v>
      </c>
      <c r="AC47" s="2">
        <f>ROUND((0),6)</f>
        <v>0</v>
      </c>
      <c r="AD47" s="2">
        <f>ROUND((((SUM(SmtRes!BR14:'SmtRes'!BR17))-(SUM(SmtRes!BS14:'SmtRes'!BS17)))+AE47),6)</f>
        <v>1190.9436800000001</v>
      </c>
      <c r="AE47" s="2">
        <f>ROUND((SUM(SmtRes!BS14:'SmtRes'!BS17)),6)</f>
        <v>1108.8442600000001</v>
      </c>
      <c r="AF47" s="2">
        <f>ROUND((SUM(SmtRes!BT14:'SmtRes'!BT17)),6)</f>
        <v>4709.3127899999999</v>
      </c>
      <c r="AG47" s="2">
        <f>ROUND((AP47),6)</f>
        <v>0</v>
      </c>
      <c r="AH47" s="2">
        <f>(SUM(SmtRes!BU14:'SmtRes'!BU17))</f>
        <v>14.409499999999998</v>
      </c>
      <c r="AI47" s="2">
        <f>(SUM(SmtRes!BV14:'SmtRes'!BV17))</f>
        <v>3.0129999999999999</v>
      </c>
      <c r="AJ47" s="2">
        <f>(AS47)</f>
        <v>0</v>
      </c>
      <c r="AK47" s="2">
        <v>6094.8701999999994</v>
      </c>
      <c r="AL47" s="2">
        <v>0</v>
      </c>
      <c r="AM47" s="2">
        <v>1035.6032</v>
      </c>
      <c r="AN47" s="2">
        <v>964.2124</v>
      </c>
      <c r="AO47" s="2">
        <v>4095.0545999999995</v>
      </c>
      <c r="AP47" s="2">
        <v>0</v>
      </c>
      <c r="AQ47" s="2">
        <v>12.53</v>
      </c>
      <c r="AR47" s="2">
        <v>2.62</v>
      </c>
      <c r="AS47" s="2">
        <v>0</v>
      </c>
      <c r="AT47" s="2">
        <v>92</v>
      </c>
      <c r="AU47" s="2">
        <v>46</v>
      </c>
      <c r="AV47" s="2">
        <v>1</v>
      </c>
      <c r="AW47" s="2">
        <v>1</v>
      </c>
      <c r="AX47" s="2"/>
      <c r="AY47" s="2"/>
      <c r="AZ47" s="2">
        <v>1</v>
      </c>
      <c r="BA47" s="2">
        <v>1</v>
      </c>
      <c r="BB47" s="2">
        <v>1</v>
      </c>
      <c r="BC47" s="2">
        <v>1</v>
      </c>
      <c r="BD47" s="2" t="s">
        <v>3</v>
      </c>
      <c r="BE47" s="2" t="s">
        <v>3</v>
      </c>
      <c r="BF47" s="2" t="s">
        <v>3</v>
      </c>
      <c r="BG47" s="2" t="s">
        <v>3</v>
      </c>
      <c r="BH47" s="2">
        <v>0</v>
      </c>
      <c r="BI47" s="2">
        <v>1</v>
      </c>
      <c r="BJ47" s="2" t="s">
        <v>85</v>
      </c>
      <c r="BK47" s="2"/>
      <c r="BL47" s="2"/>
      <c r="BM47" s="2">
        <v>1001</v>
      </c>
      <c r="BN47" s="2">
        <v>0</v>
      </c>
      <c r="BO47" s="2" t="s">
        <v>3</v>
      </c>
      <c r="BP47" s="2">
        <v>0</v>
      </c>
      <c r="BQ47" s="2">
        <v>2</v>
      </c>
      <c r="BR47" s="2">
        <v>0</v>
      </c>
      <c r="BS47" s="2">
        <v>1</v>
      </c>
      <c r="BT47" s="2">
        <v>1</v>
      </c>
      <c r="BU47" s="2">
        <v>1</v>
      </c>
      <c r="BV47" s="2">
        <v>1</v>
      </c>
      <c r="BW47" s="2">
        <v>1</v>
      </c>
      <c r="BX47" s="2">
        <v>1</v>
      </c>
      <c r="BY47" s="2" t="s">
        <v>3</v>
      </c>
      <c r="BZ47" s="2">
        <v>92</v>
      </c>
      <c r="CA47" s="2">
        <v>46</v>
      </c>
      <c r="CB47" s="2" t="s">
        <v>3</v>
      </c>
      <c r="CC47" s="2"/>
      <c r="CD47" s="2"/>
      <c r="CE47" s="2">
        <v>0</v>
      </c>
      <c r="CF47" s="2">
        <v>0</v>
      </c>
      <c r="CG47" s="2">
        <v>0</v>
      </c>
      <c r="CH47" s="2"/>
      <c r="CI47" s="2"/>
      <c r="CJ47" s="2"/>
      <c r="CK47" s="2"/>
      <c r="CL47" s="2"/>
      <c r="CM47" s="2">
        <v>0</v>
      </c>
      <c r="CN47" s="7" t="s">
        <v>802</v>
      </c>
      <c r="CO47" s="2">
        <v>0</v>
      </c>
      <c r="CP47" s="2">
        <f>(P47+Q47+S47+R47)</f>
        <v>4206.7000000000007</v>
      </c>
      <c r="CQ47" s="2">
        <f>SUMIF(SmtRes!AQ14:'SmtRes'!AQ17,"=1",SmtRes!AA14:'SmtRes'!AA17)</f>
        <v>0</v>
      </c>
      <c r="CR47" s="2">
        <f>SUMIF(SmtRes!AQ14:'SmtRes'!AQ17,"=1",SmtRes!AB14:'SmtRes'!AB17)</f>
        <v>388.19</v>
      </c>
      <c r="CS47" s="2">
        <f>SUMIF(SmtRes!AQ14:'SmtRes'!AQ17,"=1",SmtRes!AC14:'SmtRes'!AC17)</f>
        <v>368.02</v>
      </c>
      <c r="CT47" s="2">
        <f>SUMIF(SmtRes!AQ14:'SmtRes'!AQ17,"=1",SmtRes!AD14:'SmtRes'!AD17)</f>
        <v>326.82</v>
      </c>
      <c r="CU47" s="2">
        <f>AG47</f>
        <v>0</v>
      </c>
      <c r="CV47" s="2">
        <f>SUMIF(SmtRes!AQ14:'SmtRes'!AQ17,"=1",SmtRes!BU14:'SmtRes'!BU17)</f>
        <v>14.409499999999998</v>
      </c>
      <c r="CW47" s="2">
        <f>SUMIF(SmtRes!AQ14:'SmtRes'!AQ17,"=1",SmtRes!BV14:'SmtRes'!BV17)</f>
        <v>3.0129999999999999</v>
      </c>
      <c r="CX47" s="2">
        <f>AJ47</f>
        <v>0</v>
      </c>
      <c r="CY47" s="2">
        <f>(((S47+R47)*AT47)/100)</f>
        <v>3211.6279999999997</v>
      </c>
      <c r="CZ47" s="2">
        <f>(((S47+R47)*AU47)/100)</f>
        <v>1605.8139999999999</v>
      </c>
      <c r="DA47" s="2"/>
      <c r="DB47" s="2">
        <v>11</v>
      </c>
      <c r="DC47" s="2" t="s">
        <v>3</v>
      </c>
      <c r="DD47" s="2" t="s">
        <v>3</v>
      </c>
      <c r="DE47" s="2" t="s">
        <v>27</v>
      </c>
      <c r="DF47" s="2" t="s">
        <v>27</v>
      </c>
      <c r="DG47" s="2" t="s">
        <v>27</v>
      </c>
      <c r="DH47" s="2" t="s">
        <v>3</v>
      </c>
      <c r="DI47" s="2" t="s">
        <v>27</v>
      </c>
      <c r="DJ47" s="2" t="s">
        <v>27</v>
      </c>
      <c r="DK47" s="2" t="s">
        <v>3</v>
      </c>
      <c r="DL47" s="2" t="s">
        <v>3</v>
      </c>
      <c r="DM47" s="2" t="s">
        <v>3</v>
      </c>
      <c r="DN47" s="2">
        <v>0</v>
      </c>
      <c r="DO47" s="2">
        <v>0</v>
      </c>
      <c r="DP47" s="2">
        <v>1</v>
      </c>
      <c r="DQ47" s="2">
        <v>1</v>
      </c>
      <c r="DR47" s="2"/>
      <c r="DS47" s="2"/>
      <c r="DT47" s="2"/>
      <c r="DU47" s="2">
        <v>1007</v>
      </c>
      <c r="DV47" s="2" t="s">
        <v>25</v>
      </c>
      <c r="DW47" s="2" t="s">
        <v>25</v>
      </c>
      <c r="DX47" s="2">
        <v>100</v>
      </c>
      <c r="DY47" s="2"/>
      <c r="DZ47" s="2" t="s">
        <v>3</v>
      </c>
      <c r="EA47" s="2" t="s">
        <v>3</v>
      </c>
      <c r="EB47" s="2" t="s">
        <v>3</v>
      </c>
      <c r="EC47" s="2" t="s">
        <v>3</v>
      </c>
      <c r="ED47" s="2"/>
      <c r="EE47" s="2">
        <v>74004172</v>
      </c>
      <c r="EF47" s="2">
        <v>2</v>
      </c>
      <c r="EG47" s="2" t="s">
        <v>29</v>
      </c>
      <c r="EH47" s="2">
        <v>1</v>
      </c>
      <c r="EI47" s="2" t="s">
        <v>18</v>
      </c>
      <c r="EJ47" s="2">
        <v>1</v>
      </c>
      <c r="EK47" s="2">
        <v>1001</v>
      </c>
      <c r="EL47" s="2" t="s">
        <v>56</v>
      </c>
      <c r="EM47" s="2" t="s">
        <v>31</v>
      </c>
      <c r="EN47" s="2"/>
      <c r="EO47" s="2" t="s">
        <v>39</v>
      </c>
      <c r="EP47" s="2"/>
      <c r="EQ47" s="2">
        <v>262144</v>
      </c>
      <c r="ER47" s="2">
        <v>0</v>
      </c>
      <c r="ES47" s="2">
        <v>0</v>
      </c>
      <c r="ET47" s="2">
        <v>0</v>
      </c>
      <c r="EU47" s="2">
        <v>0</v>
      </c>
      <c r="EV47" s="2">
        <v>0</v>
      </c>
      <c r="EW47" s="2">
        <v>12.53</v>
      </c>
      <c r="EX47" s="2">
        <v>2.62</v>
      </c>
      <c r="EY47" s="2">
        <v>0</v>
      </c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>
        <v>0</v>
      </c>
      <c r="FR47" s="2">
        <v>0</v>
      </c>
      <c r="FS47" s="2">
        <v>0</v>
      </c>
      <c r="FT47" s="2"/>
      <c r="FU47" s="2"/>
      <c r="FV47" s="2"/>
      <c r="FW47" s="2"/>
      <c r="FX47" s="2">
        <v>92</v>
      </c>
      <c r="FY47" s="2">
        <v>46</v>
      </c>
      <c r="FZ47" s="2"/>
      <c r="GA47" s="2" t="s">
        <v>3</v>
      </c>
      <c r="GB47" s="2"/>
      <c r="GC47" s="2"/>
      <c r="GD47" s="2">
        <v>1</v>
      </c>
      <c r="GE47" s="2"/>
      <c r="GF47" s="2">
        <v>-139741682</v>
      </c>
      <c r="GG47" s="2">
        <v>2</v>
      </c>
      <c r="GH47" s="2">
        <v>1</v>
      </c>
      <c r="GI47" s="2">
        <v>-2</v>
      </c>
      <c r="GJ47" s="2">
        <v>0</v>
      </c>
      <c r="GK47" s="2">
        <v>0</v>
      </c>
      <c r="GL47" s="2">
        <f>ROUND(IF(AND(BH47=3,BI47=3,FS47&lt;&gt;0),P47,0),2)</f>
        <v>0</v>
      </c>
      <c r="GM47" s="2">
        <f>ROUND(O47+X47+Y47,2)+GX47</f>
        <v>9024.14</v>
      </c>
      <c r="GN47" s="2">
        <f>IF(OR(BI47=0,BI47=1),GM47-GX47,0)</f>
        <v>9024.14</v>
      </c>
      <c r="GO47" s="2">
        <f>IF(BI47=2,GM47-GX47,0)</f>
        <v>0</v>
      </c>
      <c r="GP47" s="2">
        <f>IF(BI47=4,GM47-GX47,0)</f>
        <v>0</v>
      </c>
      <c r="GQ47" s="2"/>
      <c r="GR47" s="2">
        <v>0</v>
      </c>
      <c r="GS47" s="2">
        <v>3</v>
      </c>
      <c r="GT47" s="2">
        <v>0</v>
      </c>
      <c r="GU47" s="2" t="s">
        <v>3</v>
      </c>
      <c r="GV47" s="2">
        <f>ROUND((GT47),6)</f>
        <v>0</v>
      </c>
      <c r="GW47" s="2">
        <v>1</v>
      </c>
      <c r="GX47" s="2">
        <f>ROUND(HC47*I47,2)</f>
        <v>0</v>
      </c>
      <c r="GY47" s="2"/>
      <c r="GZ47" s="2"/>
      <c r="HA47" s="2">
        <v>0</v>
      </c>
      <c r="HB47" s="2">
        <v>0</v>
      </c>
      <c r="HC47" s="2">
        <f>GV47*GW47</f>
        <v>0</v>
      </c>
      <c r="HD47" s="2"/>
      <c r="HE47" s="2" t="s">
        <v>3</v>
      </c>
      <c r="HF47" s="2" t="s">
        <v>3</v>
      </c>
      <c r="HG47" s="2"/>
      <c r="HH47" s="2"/>
      <c r="HI47" s="2"/>
      <c r="HJ47" s="2"/>
      <c r="HK47" s="2"/>
      <c r="HL47" s="2"/>
      <c r="HM47" s="2" t="s">
        <v>3</v>
      </c>
      <c r="HN47" s="2" t="s">
        <v>57</v>
      </c>
      <c r="HO47" s="2" t="s">
        <v>58</v>
      </c>
      <c r="HP47" s="2" t="s">
        <v>56</v>
      </c>
      <c r="HQ47" s="2" t="s">
        <v>56</v>
      </c>
      <c r="HR47" s="2"/>
      <c r="HS47" s="2">
        <v>0</v>
      </c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>
        <v>0</v>
      </c>
      <c r="IL47" s="2"/>
      <c r="IM47" s="2"/>
      <c r="IN47" s="2"/>
      <c r="IO47" s="2"/>
      <c r="IP47" s="2"/>
      <c r="IQ47" s="2"/>
      <c r="IR47" s="2"/>
      <c r="IS47" s="2"/>
      <c r="IT47" s="2"/>
      <c r="IU47" s="2"/>
    </row>
    <row r="48" spans="1:255" ht="13.05" customHeight="1" x14ac:dyDescent="0.25">
      <c r="A48" s="2">
        <v>17</v>
      </c>
      <c r="B48" s="2">
        <v>1</v>
      </c>
      <c r="C48" s="2">
        <f>ROW(SmtRes!A18)</f>
        <v>18</v>
      </c>
      <c r="D48" s="2">
        <f>ROW(EtalonRes!A18)</f>
        <v>18</v>
      </c>
      <c r="E48" s="2" t="s">
        <v>86</v>
      </c>
      <c r="F48" s="2" t="s">
        <v>87</v>
      </c>
      <c r="G48" s="2" t="s">
        <v>88</v>
      </c>
      <c r="H48" s="2" t="s">
        <v>89</v>
      </c>
      <c r="I48" s="2">
        <v>0.1</v>
      </c>
      <c r="J48" s="2">
        <v>0</v>
      </c>
      <c r="K48" s="2">
        <v>0.1</v>
      </c>
      <c r="L48" s="2"/>
      <c r="M48" s="2"/>
      <c r="N48" s="2"/>
      <c r="O48" s="2">
        <f>ROUND(CP48,2)</f>
        <v>3758.43</v>
      </c>
      <c r="P48" s="2">
        <f>SUMIF(SmtRes!AQ18:'SmtRes'!AQ18,"=1",SmtRes!DF18:'SmtRes'!DF18)</f>
        <v>0</v>
      </c>
      <c r="Q48" s="2">
        <f>SUMIF(SmtRes!AQ18:'SmtRes'!AQ18,"=1",SmtRes!DG18:'SmtRes'!DG18)</f>
        <v>0</v>
      </c>
      <c r="R48" s="2">
        <f>SUMIF(SmtRes!AQ18:'SmtRes'!AQ18,"=1",SmtRes!DH18:'SmtRes'!DH18)</f>
        <v>0</v>
      </c>
      <c r="S48" s="2">
        <f>SUMIF(SmtRes!AQ18:'SmtRes'!AQ18,"=1",SmtRes!DI18:'SmtRes'!DI18)</f>
        <v>3758.43</v>
      </c>
      <c r="T48" s="2">
        <f>ROUND(CU48*I48,2)</f>
        <v>0</v>
      </c>
      <c r="U48" s="2">
        <f>SUMIF(SmtRes!AQ18:'SmtRes'!AQ18,"=1",SmtRes!CV18:'SmtRes'!CV18)</f>
        <v>11.5</v>
      </c>
      <c r="V48" s="2">
        <f>SUMIF(SmtRes!AQ18:'SmtRes'!AQ18,"=1",SmtRes!CW18:'SmtRes'!CW18)</f>
        <v>0</v>
      </c>
      <c r="W48" s="2">
        <f>ROUND(CX48*I48,2)</f>
        <v>0</v>
      </c>
      <c r="X48" s="2">
        <f t="shared" si="22"/>
        <v>3345</v>
      </c>
      <c r="Y48" s="2">
        <f t="shared" si="22"/>
        <v>1540.96</v>
      </c>
      <c r="Z48" s="2"/>
      <c r="AA48" s="2">
        <v>75604747</v>
      </c>
      <c r="AB48" s="2">
        <f>ROUND((AC48+AD48+AF48),6)</f>
        <v>37584.300000000003</v>
      </c>
      <c r="AC48" s="2">
        <f>ROUND((0),6)</f>
        <v>0</v>
      </c>
      <c r="AD48" s="2">
        <f>ROUND((((0)-(0))+AE48),6)</f>
        <v>0</v>
      </c>
      <c r="AE48" s="2">
        <f>ROUND((0),6)</f>
        <v>0</v>
      </c>
      <c r="AF48" s="2">
        <f>ROUND((SUM(SmtRes!BT18:'SmtRes'!BT18)),6)</f>
        <v>37584.300000000003</v>
      </c>
      <c r="AG48" s="2">
        <f>ROUND((AP48),6)</f>
        <v>0</v>
      </c>
      <c r="AH48" s="2">
        <f>(SUM(SmtRes!BU18:'SmtRes'!BU18))</f>
        <v>114.99999999999999</v>
      </c>
      <c r="AI48" s="2">
        <f>(0)</f>
        <v>0</v>
      </c>
      <c r="AJ48" s="2">
        <f>(AS48)</f>
        <v>0</v>
      </c>
      <c r="AK48" s="2">
        <v>32682</v>
      </c>
      <c r="AL48" s="2">
        <v>0</v>
      </c>
      <c r="AM48" s="2">
        <v>0</v>
      </c>
      <c r="AN48" s="2">
        <v>0</v>
      </c>
      <c r="AO48" s="2">
        <v>32682</v>
      </c>
      <c r="AP48" s="2">
        <v>0</v>
      </c>
      <c r="AQ48" s="2">
        <v>100</v>
      </c>
      <c r="AR48" s="2">
        <v>0</v>
      </c>
      <c r="AS48" s="2">
        <v>0</v>
      </c>
      <c r="AT48" s="2">
        <v>89</v>
      </c>
      <c r="AU48" s="2">
        <v>41</v>
      </c>
      <c r="AV48" s="2">
        <v>1</v>
      </c>
      <c r="AW48" s="2">
        <v>1</v>
      </c>
      <c r="AX48" s="2"/>
      <c r="AY48" s="2"/>
      <c r="AZ48" s="2">
        <v>1</v>
      </c>
      <c r="BA48" s="2">
        <v>1</v>
      </c>
      <c r="BB48" s="2">
        <v>1</v>
      </c>
      <c r="BC48" s="2">
        <v>1</v>
      </c>
      <c r="BD48" s="2" t="s">
        <v>3</v>
      </c>
      <c r="BE48" s="2" t="s">
        <v>3</v>
      </c>
      <c r="BF48" s="2" t="s">
        <v>3</v>
      </c>
      <c r="BG48" s="2" t="s">
        <v>3</v>
      </c>
      <c r="BH48" s="2">
        <v>0</v>
      </c>
      <c r="BI48" s="2">
        <v>1</v>
      </c>
      <c r="BJ48" s="2" t="s">
        <v>90</v>
      </c>
      <c r="BK48" s="2"/>
      <c r="BL48" s="2"/>
      <c r="BM48" s="2">
        <v>1006</v>
      </c>
      <c r="BN48" s="2">
        <v>0</v>
      </c>
      <c r="BO48" s="2" t="s">
        <v>3</v>
      </c>
      <c r="BP48" s="2">
        <v>0</v>
      </c>
      <c r="BQ48" s="2">
        <v>2</v>
      </c>
      <c r="BR48" s="2">
        <v>0</v>
      </c>
      <c r="BS48" s="2">
        <v>1</v>
      </c>
      <c r="BT48" s="2">
        <v>1</v>
      </c>
      <c r="BU48" s="2">
        <v>1</v>
      </c>
      <c r="BV48" s="2">
        <v>1</v>
      </c>
      <c r="BW48" s="2">
        <v>1</v>
      </c>
      <c r="BX48" s="2">
        <v>1</v>
      </c>
      <c r="BY48" s="2" t="s">
        <v>3</v>
      </c>
      <c r="BZ48" s="2">
        <v>89</v>
      </c>
      <c r="CA48" s="2">
        <v>41</v>
      </c>
      <c r="CB48" s="2" t="s">
        <v>3</v>
      </c>
      <c r="CC48" s="2"/>
      <c r="CD48" s="2"/>
      <c r="CE48" s="2">
        <v>0</v>
      </c>
      <c r="CF48" s="2">
        <v>0</v>
      </c>
      <c r="CG48" s="2">
        <v>0</v>
      </c>
      <c r="CH48" s="2"/>
      <c r="CI48" s="2"/>
      <c r="CJ48" s="2"/>
      <c r="CK48" s="2"/>
      <c r="CL48" s="2"/>
      <c r="CM48" s="2">
        <v>0</v>
      </c>
      <c r="CN48" s="7" t="s">
        <v>802</v>
      </c>
      <c r="CO48" s="2">
        <v>0</v>
      </c>
      <c r="CP48" s="2">
        <f>(P48+Q48+S48+R48)</f>
        <v>3758.43</v>
      </c>
      <c r="CQ48" s="2">
        <f>SUMIF(SmtRes!AQ18:'SmtRes'!AQ18,"=1",SmtRes!AA18:'SmtRes'!AA18)</f>
        <v>0</v>
      </c>
      <c r="CR48" s="2">
        <f>SUMIF(SmtRes!AQ18:'SmtRes'!AQ18,"=1",SmtRes!AB18:'SmtRes'!AB18)</f>
        <v>0</v>
      </c>
      <c r="CS48" s="2">
        <f>SUMIF(SmtRes!AQ18:'SmtRes'!AQ18,"=1",SmtRes!AC18:'SmtRes'!AC18)</f>
        <v>0</v>
      </c>
      <c r="CT48" s="2">
        <f>SUMIF(SmtRes!AQ18:'SmtRes'!AQ18,"=1",SmtRes!AD18:'SmtRes'!AD18)</f>
        <v>326.82</v>
      </c>
      <c r="CU48" s="2">
        <f>AG48</f>
        <v>0</v>
      </c>
      <c r="CV48" s="2">
        <f>SUMIF(SmtRes!AQ18:'SmtRes'!AQ18,"=1",SmtRes!BU18:'SmtRes'!BU18)</f>
        <v>114.99999999999999</v>
      </c>
      <c r="CW48" s="2">
        <f>SUMIF(SmtRes!AQ18:'SmtRes'!AQ18,"=1",SmtRes!BV18:'SmtRes'!BV18)</f>
        <v>0</v>
      </c>
      <c r="CX48" s="2">
        <f>AJ48</f>
        <v>0</v>
      </c>
      <c r="CY48" s="2">
        <f>(((S48+R48)*AT48)/100)</f>
        <v>3345.0026999999995</v>
      </c>
      <c r="CZ48" s="2">
        <f>(((S48+R48)*AU48)/100)</f>
        <v>1540.9563000000001</v>
      </c>
      <c r="DA48" s="2"/>
      <c r="DB48" s="2">
        <v>12</v>
      </c>
      <c r="DC48" s="2" t="s">
        <v>3</v>
      </c>
      <c r="DD48" s="2" t="s">
        <v>3</v>
      </c>
      <c r="DE48" s="2" t="s">
        <v>27</v>
      </c>
      <c r="DF48" s="2" t="s">
        <v>27</v>
      </c>
      <c r="DG48" s="2" t="s">
        <v>27</v>
      </c>
      <c r="DH48" s="2" t="s">
        <v>3</v>
      </c>
      <c r="DI48" s="2" t="s">
        <v>27</v>
      </c>
      <c r="DJ48" s="2" t="s">
        <v>27</v>
      </c>
      <c r="DK48" s="2" t="s">
        <v>3</v>
      </c>
      <c r="DL48" s="2" t="s">
        <v>3</v>
      </c>
      <c r="DM48" s="2" t="s">
        <v>3</v>
      </c>
      <c r="DN48" s="2">
        <v>0</v>
      </c>
      <c r="DO48" s="2">
        <v>0</v>
      </c>
      <c r="DP48" s="2">
        <v>1</v>
      </c>
      <c r="DQ48" s="2">
        <v>1</v>
      </c>
      <c r="DR48" s="2"/>
      <c r="DS48" s="2"/>
      <c r="DT48" s="2"/>
      <c r="DU48" s="2">
        <v>1005</v>
      </c>
      <c r="DV48" s="2" t="s">
        <v>89</v>
      </c>
      <c r="DW48" s="2" t="s">
        <v>89</v>
      </c>
      <c r="DX48" s="2">
        <v>1000</v>
      </c>
      <c r="DY48" s="2"/>
      <c r="DZ48" s="2" t="s">
        <v>3</v>
      </c>
      <c r="EA48" s="2" t="s">
        <v>3</v>
      </c>
      <c r="EB48" s="2" t="s">
        <v>3</v>
      </c>
      <c r="EC48" s="2" t="s">
        <v>3</v>
      </c>
      <c r="ED48" s="2"/>
      <c r="EE48" s="2">
        <v>74004176</v>
      </c>
      <c r="EF48" s="2">
        <v>2</v>
      </c>
      <c r="EG48" s="2" t="s">
        <v>29</v>
      </c>
      <c r="EH48" s="2">
        <v>1</v>
      </c>
      <c r="EI48" s="2" t="s">
        <v>18</v>
      </c>
      <c r="EJ48" s="2">
        <v>1</v>
      </c>
      <c r="EK48" s="2">
        <v>1006</v>
      </c>
      <c r="EL48" s="2" t="s">
        <v>91</v>
      </c>
      <c r="EM48" s="2" t="s">
        <v>31</v>
      </c>
      <c r="EN48" s="2"/>
      <c r="EO48" s="2" t="s">
        <v>39</v>
      </c>
      <c r="EP48" s="2"/>
      <c r="EQ48" s="2">
        <v>1835008</v>
      </c>
      <c r="ER48" s="2">
        <v>0</v>
      </c>
      <c r="ES48" s="2">
        <v>0</v>
      </c>
      <c r="ET48" s="2">
        <v>0</v>
      </c>
      <c r="EU48" s="2">
        <v>0</v>
      </c>
      <c r="EV48" s="2">
        <v>0</v>
      </c>
      <c r="EW48" s="2">
        <v>100</v>
      </c>
      <c r="EX48" s="2">
        <v>0</v>
      </c>
      <c r="EY48" s="2">
        <v>0</v>
      </c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>
        <v>0</v>
      </c>
      <c r="FR48" s="2">
        <v>0</v>
      </c>
      <c r="FS48" s="2">
        <v>0</v>
      </c>
      <c r="FT48" s="2"/>
      <c r="FU48" s="2"/>
      <c r="FV48" s="2"/>
      <c r="FW48" s="2"/>
      <c r="FX48" s="2">
        <v>89</v>
      </c>
      <c r="FY48" s="2">
        <v>41</v>
      </c>
      <c r="FZ48" s="2"/>
      <c r="GA48" s="2" t="s">
        <v>3</v>
      </c>
      <c r="GB48" s="2"/>
      <c r="GC48" s="2"/>
      <c r="GD48" s="2">
        <v>1</v>
      </c>
      <c r="GE48" s="2"/>
      <c r="GF48" s="2">
        <v>2092954383</v>
      </c>
      <c r="GG48" s="2">
        <v>2</v>
      </c>
      <c r="GH48" s="2">
        <v>1</v>
      </c>
      <c r="GI48" s="2">
        <v>-2</v>
      </c>
      <c r="GJ48" s="2">
        <v>0</v>
      </c>
      <c r="GK48" s="2">
        <v>0</v>
      </c>
      <c r="GL48" s="2">
        <f>ROUND(IF(AND(BH48=3,BI48=3,FS48&lt;&gt;0),P48,0),2)</f>
        <v>0</v>
      </c>
      <c r="GM48" s="2">
        <f>ROUND(O48+X48+Y48,2)+GX48</f>
        <v>8644.39</v>
      </c>
      <c r="GN48" s="2">
        <f>IF(OR(BI48=0,BI48=1),GM48-GX48,0)</f>
        <v>8644.39</v>
      </c>
      <c r="GO48" s="2">
        <f>IF(BI48=2,GM48-GX48,0)</f>
        <v>0</v>
      </c>
      <c r="GP48" s="2">
        <f>IF(BI48=4,GM48-GX48,0)</f>
        <v>0</v>
      </c>
      <c r="GQ48" s="2"/>
      <c r="GR48" s="2">
        <v>0</v>
      </c>
      <c r="GS48" s="2">
        <v>3</v>
      </c>
      <c r="GT48" s="2">
        <v>0</v>
      </c>
      <c r="GU48" s="2" t="s">
        <v>3</v>
      </c>
      <c r="GV48" s="2">
        <f>ROUND((GT48),6)</f>
        <v>0</v>
      </c>
      <c r="GW48" s="2">
        <v>1</v>
      </c>
      <c r="GX48" s="2">
        <f>ROUND(HC48*I48,2)</f>
        <v>0</v>
      </c>
      <c r="GY48" s="2"/>
      <c r="GZ48" s="2"/>
      <c r="HA48" s="2">
        <v>0</v>
      </c>
      <c r="HB48" s="2">
        <v>0</v>
      </c>
      <c r="HC48" s="2">
        <f>GV48*GW48</f>
        <v>0</v>
      </c>
      <c r="HD48" s="2"/>
      <c r="HE48" s="2" t="s">
        <v>3</v>
      </c>
      <c r="HF48" s="2" t="s">
        <v>3</v>
      </c>
      <c r="HG48" s="2"/>
      <c r="HH48" s="2"/>
      <c r="HI48" s="2"/>
      <c r="HJ48" s="2"/>
      <c r="HK48" s="2"/>
      <c r="HL48" s="2"/>
      <c r="HM48" s="2" t="s">
        <v>3</v>
      </c>
      <c r="HN48" s="2" t="s">
        <v>92</v>
      </c>
      <c r="HO48" s="2" t="s">
        <v>93</v>
      </c>
      <c r="HP48" s="2" t="s">
        <v>94</v>
      </c>
      <c r="HQ48" s="2" t="s">
        <v>94</v>
      </c>
      <c r="HR48" s="2"/>
      <c r="HS48" s="2">
        <v>0</v>
      </c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>
        <v>0</v>
      </c>
      <c r="IL48" s="2"/>
      <c r="IM48" s="2"/>
      <c r="IN48" s="2"/>
      <c r="IO48" s="2"/>
      <c r="IP48" s="2"/>
      <c r="IQ48" s="2"/>
      <c r="IR48" s="2"/>
      <c r="IS48" s="2"/>
      <c r="IT48" s="2"/>
      <c r="IU48" s="2"/>
    </row>
    <row r="49" spans="1:255" ht="13.05" customHeight="1" x14ac:dyDescent="0.25">
      <c r="A49" s="2">
        <v>17</v>
      </c>
      <c r="B49" s="2">
        <v>1</v>
      </c>
      <c r="C49" s="2">
        <f>ROW(SmtRes!A27)</f>
        <v>27</v>
      </c>
      <c r="D49" s="2">
        <f>ROW(EtalonRes!A27)</f>
        <v>27</v>
      </c>
      <c r="E49" s="2" t="s">
        <v>95</v>
      </c>
      <c r="F49" s="2" t="s">
        <v>96</v>
      </c>
      <c r="G49" s="2" t="s">
        <v>97</v>
      </c>
      <c r="H49" s="2" t="s">
        <v>98</v>
      </c>
      <c r="I49" s="2">
        <v>5</v>
      </c>
      <c r="J49" s="2">
        <v>0</v>
      </c>
      <c r="K49" s="2">
        <v>5</v>
      </c>
      <c r="L49" s="2"/>
      <c r="M49" s="2"/>
      <c r="N49" s="2"/>
      <c r="O49" s="2">
        <f>ROUND(CP49,2)</f>
        <v>9669.49</v>
      </c>
      <c r="P49" s="2">
        <f>SUMIF(SmtRes!AQ19:'SmtRes'!AQ27,"=1",SmtRes!DF19:'SmtRes'!DF27)</f>
        <v>4169.32</v>
      </c>
      <c r="Q49" s="2">
        <f>SUMIF(SmtRes!AQ19:'SmtRes'!AQ27,"=1",SmtRes!DG19:'SmtRes'!DG27)</f>
        <v>2122</v>
      </c>
      <c r="R49" s="2">
        <f>SUMIF(SmtRes!AQ19:'SmtRes'!AQ27,"=1",SmtRes!DH19:'SmtRes'!DH27)</f>
        <v>672.09999999999991</v>
      </c>
      <c r="S49" s="2">
        <f>SUMIF(SmtRes!AQ19:'SmtRes'!AQ27,"=1",SmtRes!DI19:'SmtRes'!DI27)</f>
        <v>2706.07</v>
      </c>
      <c r="T49" s="2">
        <f>ROUND(CU49*I49,2)</f>
        <v>0</v>
      </c>
      <c r="U49" s="2">
        <f>SUMIF(SmtRes!AQ19:'SmtRes'!AQ27,"=1",SmtRes!CV19:'SmtRes'!CV27)</f>
        <v>8.2799999999999994</v>
      </c>
      <c r="V49" s="2">
        <f>SUMIF(SmtRes!AQ19:'SmtRes'!AQ27,"=1",SmtRes!CW19:'SmtRes'!CW27)</f>
        <v>1.5525</v>
      </c>
      <c r="W49" s="2">
        <f>ROUND(CX49*I49,2)</f>
        <v>0</v>
      </c>
      <c r="X49" s="2">
        <f t="shared" si="22"/>
        <v>3952.46</v>
      </c>
      <c r="Y49" s="2">
        <f t="shared" si="22"/>
        <v>2499.85</v>
      </c>
      <c r="Z49" s="2"/>
      <c r="AA49" s="2">
        <v>75604747</v>
      </c>
      <c r="AB49" s="2">
        <f>ROUND((AC49+AD49+AF49),6)</f>
        <v>1655.908351</v>
      </c>
      <c r="AC49" s="2">
        <f>ROUND((SUM(SmtRes!BQ19:'SmtRes'!BQ27)),6)</f>
        <v>724.89365099999998</v>
      </c>
      <c r="AD49" s="2">
        <f>ROUND((((SUM(SmtRes!BR19:'SmtRes'!BR27))-(SUM(SmtRes!BS19:'SmtRes'!BS27)))+AE49),6)</f>
        <v>389.80077999999997</v>
      </c>
      <c r="AE49" s="2">
        <f>ROUND((SUM(SmtRes!BS19:'SmtRes'!BS27)),6)</f>
        <v>134.42039500000001</v>
      </c>
      <c r="AF49" s="2">
        <f>ROUND((SUM(SmtRes!BT19:'SmtRes'!BT27)),6)</f>
        <v>541.21392000000003</v>
      </c>
      <c r="AG49" s="2">
        <f>ROUND((AP49),6)</f>
        <v>0</v>
      </c>
      <c r="AH49" s="2">
        <f>(SUM(SmtRes!BU19:'SmtRes'!BU27))</f>
        <v>1.6559999999999999</v>
      </c>
      <c r="AI49" s="2">
        <f>(SUM(SmtRes!BV19:'SmtRes'!BV27))</f>
        <v>0.3105</v>
      </c>
      <c r="AJ49" s="2">
        <f>(AS49)</f>
        <v>0</v>
      </c>
      <c r="AK49" s="2">
        <v>1651.3589510000002</v>
      </c>
      <c r="AL49" s="2">
        <v>724.89365099999998</v>
      </c>
      <c r="AM49" s="2">
        <v>338.95720000000006</v>
      </c>
      <c r="AN49" s="2">
        <v>116.88729999999998</v>
      </c>
      <c r="AO49" s="2">
        <v>470.62079999999997</v>
      </c>
      <c r="AP49" s="2">
        <v>0</v>
      </c>
      <c r="AQ49" s="2">
        <v>1.44</v>
      </c>
      <c r="AR49" s="2">
        <v>0.27</v>
      </c>
      <c r="AS49" s="2">
        <v>0</v>
      </c>
      <c r="AT49" s="2">
        <v>117</v>
      </c>
      <c r="AU49" s="2">
        <v>74</v>
      </c>
      <c r="AV49" s="2">
        <v>1</v>
      </c>
      <c r="AW49" s="2">
        <v>1</v>
      </c>
      <c r="AX49" s="2"/>
      <c r="AY49" s="2"/>
      <c r="AZ49" s="2">
        <v>1</v>
      </c>
      <c r="BA49" s="2">
        <v>1</v>
      </c>
      <c r="BB49" s="2">
        <v>1</v>
      </c>
      <c r="BC49" s="2">
        <v>1</v>
      </c>
      <c r="BD49" s="2" t="s">
        <v>3</v>
      </c>
      <c r="BE49" s="2" t="s">
        <v>3</v>
      </c>
      <c r="BF49" s="2" t="s">
        <v>3</v>
      </c>
      <c r="BG49" s="2" t="s">
        <v>3</v>
      </c>
      <c r="BH49" s="2">
        <v>0</v>
      </c>
      <c r="BI49" s="2">
        <v>1</v>
      </c>
      <c r="BJ49" s="2" t="s">
        <v>99</v>
      </c>
      <c r="BK49" s="2"/>
      <c r="BL49" s="2"/>
      <c r="BM49" s="2">
        <v>22001</v>
      </c>
      <c r="BN49" s="2">
        <v>0</v>
      </c>
      <c r="BO49" s="2" t="s">
        <v>3</v>
      </c>
      <c r="BP49" s="2">
        <v>0</v>
      </c>
      <c r="BQ49" s="2">
        <v>2</v>
      </c>
      <c r="BR49" s="2">
        <v>0</v>
      </c>
      <c r="BS49" s="2">
        <v>1</v>
      </c>
      <c r="BT49" s="2">
        <v>1</v>
      </c>
      <c r="BU49" s="2">
        <v>1</v>
      </c>
      <c r="BV49" s="2">
        <v>1</v>
      </c>
      <c r="BW49" s="2">
        <v>1</v>
      </c>
      <c r="BX49" s="2">
        <v>1</v>
      </c>
      <c r="BY49" s="2" t="s">
        <v>3</v>
      </c>
      <c r="BZ49" s="2">
        <v>117</v>
      </c>
      <c r="CA49" s="2">
        <v>74</v>
      </c>
      <c r="CB49" s="2" t="s">
        <v>3</v>
      </c>
      <c r="CC49" s="2"/>
      <c r="CD49" s="2"/>
      <c r="CE49" s="2">
        <v>0</v>
      </c>
      <c r="CF49" s="2">
        <v>0</v>
      </c>
      <c r="CG49" s="2">
        <v>0</v>
      </c>
      <c r="CH49" s="2"/>
      <c r="CI49" s="2"/>
      <c r="CJ49" s="2"/>
      <c r="CK49" s="2"/>
      <c r="CL49" s="2"/>
      <c r="CM49" s="2">
        <v>0</v>
      </c>
      <c r="CN49" s="7" t="s">
        <v>802</v>
      </c>
      <c r="CO49" s="2">
        <v>0</v>
      </c>
      <c r="CP49" s="2">
        <f>(P49+Q49+S49+R49)</f>
        <v>9669.49</v>
      </c>
      <c r="CQ49" s="2">
        <f>SUMIF(SmtRes!AQ19:'SmtRes'!AQ27,"=1",SmtRes!AA19:'SmtRes'!AA27)</f>
        <v>172199.31</v>
      </c>
      <c r="CR49" s="2">
        <f>SUMIF(SmtRes!AQ19:'SmtRes'!AQ27,"=1",SmtRes!AB19:'SmtRes'!AB27)</f>
        <v>3104.29</v>
      </c>
      <c r="CS49" s="2">
        <f>SUMIF(SmtRes!AQ19:'SmtRes'!AQ27,"=1",SmtRes!AC19:'SmtRes'!AC27)</f>
        <v>895.32999999999993</v>
      </c>
      <c r="CT49" s="2">
        <f>SUMIF(SmtRes!AQ19:'SmtRes'!AQ27,"=1",SmtRes!AD19:'SmtRes'!AD27)</f>
        <v>326.82</v>
      </c>
      <c r="CU49" s="2">
        <f>AG49</f>
        <v>0</v>
      </c>
      <c r="CV49" s="2">
        <f>SUMIF(SmtRes!AQ19:'SmtRes'!AQ27,"=1",SmtRes!BU19:'SmtRes'!BU27)</f>
        <v>1.6559999999999999</v>
      </c>
      <c r="CW49" s="2">
        <f>SUMIF(SmtRes!AQ19:'SmtRes'!AQ27,"=1",SmtRes!BV19:'SmtRes'!BV27)</f>
        <v>0.3105</v>
      </c>
      <c r="CX49" s="2">
        <f>AJ49</f>
        <v>0</v>
      </c>
      <c r="CY49" s="2">
        <f>(((S49+R49)*AT49)/100)</f>
        <v>3952.4589000000001</v>
      </c>
      <c r="CZ49" s="2">
        <f>(((S49+R49)*AU49)/100)</f>
        <v>2499.8458000000001</v>
      </c>
      <c r="DA49" s="2"/>
      <c r="DB49" s="2">
        <v>13</v>
      </c>
      <c r="DC49" s="2" t="s">
        <v>3</v>
      </c>
      <c r="DD49" s="2" t="s">
        <v>3</v>
      </c>
      <c r="DE49" s="2" t="s">
        <v>27</v>
      </c>
      <c r="DF49" s="2" t="s">
        <v>27</v>
      </c>
      <c r="DG49" s="2" t="s">
        <v>27</v>
      </c>
      <c r="DH49" s="2" t="s">
        <v>3</v>
      </c>
      <c r="DI49" s="2" t="s">
        <v>27</v>
      </c>
      <c r="DJ49" s="2" t="s">
        <v>27</v>
      </c>
      <c r="DK49" s="2" t="s">
        <v>3</v>
      </c>
      <c r="DL49" s="2" t="s">
        <v>3</v>
      </c>
      <c r="DM49" s="2" t="s">
        <v>3</v>
      </c>
      <c r="DN49" s="2">
        <v>0</v>
      </c>
      <c r="DO49" s="2">
        <v>0</v>
      </c>
      <c r="DP49" s="2">
        <v>1</v>
      </c>
      <c r="DQ49" s="2">
        <v>1</v>
      </c>
      <c r="DR49" s="2"/>
      <c r="DS49" s="2"/>
      <c r="DT49" s="2"/>
      <c r="DU49" s="2">
        <v>1003</v>
      </c>
      <c r="DV49" s="2" t="s">
        <v>98</v>
      </c>
      <c r="DW49" s="2" t="s">
        <v>98</v>
      </c>
      <c r="DX49" s="2">
        <v>1</v>
      </c>
      <c r="DY49" s="2"/>
      <c r="DZ49" s="2" t="s">
        <v>3</v>
      </c>
      <c r="EA49" s="2" t="s">
        <v>3</v>
      </c>
      <c r="EB49" s="2" t="s">
        <v>3</v>
      </c>
      <c r="EC49" s="2" t="s">
        <v>3</v>
      </c>
      <c r="ED49" s="2"/>
      <c r="EE49" s="2">
        <v>74004231</v>
      </c>
      <c r="EF49" s="2">
        <v>2</v>
      </c>
      <c r="EG49" s="2" t="s">
        <v>29</v>
      </c>
      <c r="EH49" s="2">
        <v>18</v>
      </c>
      <c r="EI49" s="2" t="s">
        <v>100</v>
      </c>
      <c r="EJ49" s="2">
        <v>1</v>
      </c>
      <c r="EK49" s="2">
        <v>22001</v>
      </c>
      <c r="EL49" s="2" t="s">
        <v>100</v>
      </c>
      <c r="EM49" s="2" t="s">
        <v>101</v>
      </c>
      <c r="EN49" s="2"/>
      <c r="EO49" s="2" t="s">
        <v>39</v>
      </c>
      <c r="EP49" s="2"/>
      <c r="EQ49" s="2">
        <v>1835008</v>
      </c>
      <c r="ER49" s="2">
        <v>0</v>
      </c>
      <c r="ES49" s="2">
        <v>0</v>
      </c>
      <c r="ET49" s="2">
        <v>0</v>
      </c>
      <c r="EU49" s="2">
        <v>0</v>
      </c>
      <c r="EV49" s="2">
        <v>0</v>
      </c>
      <c r="EW49" s="2">
        <v>1.44</v>
      </c>
      <c r="EX49" s="2">
        <v>0.27</v>
      </c>
      <c r="EY49" s="2">
        <v>0</v>
      </c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>
        <v>0</v>
      </c>
      <c r="FR49" s="2">
        <v>0</v>
      </c>
      <c r="FS49" s="2">
        <v>0</v>
      </c>
      <c r="FT49" s="2"/>
      <c r="FU49" s="2"/>
      <c r="FV49" s="2"/>
      <c r="FW49" s="2"/>
      <c r="FX49" s="2">
        <v>117</v>
      </c>
      <c r="FY49" s="2">
        <v>74</v>
      </c>
      <c r="FZ49" s="2"/>
      <c r="GA49" s="2" t="s">
        <v>3</v>
      </c>
      <c r="GB49" s="2"/>
      <c r="GC49" s="2"/>
      <c r="GD49" s="2">
        <v>1</v>
      </c>
      <c r="GE49" s="2"/>
      <c r="GF49" s="2">
        <v>-1271795208</v>
      </c>
      <c r="GG49" s="2">
        <v>2</v>
      </c>
      <c r="GH49" s="2">
        <v>1</v>
      </c>
      <c r="GI49" s="2">
        <v>-2</v>
      </c>
      <c r="GJ49" s="2">
        <v>0</v>
      </c>
      <c r="GK49" s="2">
        <v>0</v>
      </c>
      <c r="GL49" s="2">
        <f>ROUND(IF(AND(BH49=3,BI49=3,FS49&lt;&gt;0),P49,0),2)</f>
        <v>0</v>
      </c>
      <c r="GM49" s="2">
        <f>ROUND(O49+X49+Y49,2)+GX49</f>
        <v>16121.8</v>
      </c>
      <c r="GN49" s="2">
        <f>IF(OR(BI49=0,BI49=1),GM49-GX49,0)</f>
        <v>16121.8</v>
      </c>
      <c r="GO49" s="2">
        <f>IF(BI49=2,GM49-GX49,0)</f>
        <v>0</v>
      </c>
      <c r="GP49" s="2">
        <f>IF(BI49=4,GM49-GX49,0)</f>
        <v>0</v>
      </c>
      <c r="GQ49" s="2"/>
      <c r="GR49" s="2">
        <v>0</v>
      </c>
      <c r="GS49" s="2">
        <v>3</v>
      </c>
      <c r="GT49" s="2">
        <v>0</v>
      </c>
      <c r="GU49" s="2" t="s">
        <v>3</v>
      </c>
      <c r="GV49" s="2">
        <f>ROUND((GT49),6)</f>
        <v>0</v>
      </c>
      <c r="GW49" s="2">
        <v>1</v>
      </c>
      <c r="GX49" s="2">
        <f>ROUND(HC49*I49,2)</f>
        <v>0</v>
      </c>
      <c r="GY49" s="2"/>
      <c r="GZ49" s="2"/>
      <c r="HA49" s="2">
        <v>0</v>
      </c>
      <c r="HB49" s="2">
        <v>0</v>
      </c>
      <c r="HC49" s="2">
        <f>GV49*GW49</f>
        <v>0</v>
      </c>
      <c r="HD49" s="2"/>
      <c r="HE49" s="2" t="s">
        <v>3</v>
      </c>
      <c r="HF49" s="2" t="s">
        <v>3</v>
      </c>
      <c r="HG49" s="2"/>
      <c r="HH49" s="2"/>
      <c r="HI49" s="2"/>
      <c r="HJ49" s="2"/>
      <c r="HK49" s="2"/>
      <c r="HL49" s="2"/>
      <c r="HM49" s="2" t="s">
        <v>3</v>
      </c>
      <c r="HN49" s="2" t="s">
        <v>102</v>
      </c>
      <c r="HO49" s="2" t="s">
        <v>103</v>
      </c>
      <c r="HP49" s="2" t="s">
        <v>100</v>
      </c>
      <c r="HQ49" s="2" t="s">
        <v>100</v>
      </c>
      <c r="HR49" s="2"/>
      <c r="HS49" s="2">
        <v>0</v>
      </c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>
        <v>0</v>
      </c>
      <c r="IL49" s="2"/>
      <c r="IM49" s="2"/>
      <c r="IN49" s="2"/>
      <c r="IO49" s="2"/>
      <c r="IP49" s="2"/>
      <c r="IQ49" s="2"/>
      <c r="IR49" s="2"/>
      <c r="IS49" s="2"/>
      <c r="IT49" s="2"/>
      <c r="IU49" s="2"/>
    </row>
    <row r="50" spans="1:255" ht="13.05" customHeight="1" x14ac:dyDescent="0.25"/>
    <row r="51" spans="1:255" ht="13.05" customHeight="1" x14ac:dyDescent="0.25">
      <c r="A51" s="3">
        <v>51</v>
      </c>
      <c r="B51" s="3">
        <f>B26</f>
        <v>1</v>
      </c>
      <c r="C51" s="3">
        <f>A26</f>
        <v>4</v>
      </c>
      <c r="D51" s="3">
        <f>ROW(A26)</f>
        <v>26</v>
      </c>
      <c r="E51" s="3"/>
      <c r="F51" s="3" t="str">
        <f>IF(F26&lt;&gt;"",F26,"")</f>
        <v>Новый раздел</v>
      </c>
      <c r="G51" s="3" t="str">
        <f>IF(G26&lt;&gt;"",G26,"")</f>
        <v>Раздел 1. Земляные работы</v>
      </c>
      <c r="H51" s="3">
        <v>0</v>
      </c>
      <c r="I51" s="3"/>
      <c r="J51" s="3"/>
      <c r="K51" s="3"/>
      <c r="L51" s="3"/>
      <c r="M51" s="3"/>
      <c r="N51" s="3"/>
      <c r="O51" s="3">
        <f t="shared" ref="O51:T51" si="23">ROUND(AB51,2)</f>
        <v>38653.29</v>
      </c>
      <c r="P51" s="3">
        <f t="shared" si="23"/>
        <v>4169.32</v>
      </c>
      <c r="Q51" s="3">
        <f t="shared" si="23"/>
        <v>10527.74</v>
      </c>
      <c r="R51" s="3">
        <f t="shared" si="23"/>
        <v>4779.32</v>
      </c>
      <c r="S51" s="3">
        <f t="shared" si="23"/>
        <v>19176.91</v>
      </c>
      <c r="T51" s="3">
        <f t="shared" si="23"/>
        <v>0</v>
      </c>
      <c r="U51" s="3">
        <f>AH51</f>
        <v>62.059290000000004</v>
      </c>
      <c r="V51" s="3">
        <f>AI51</f>
        <v>11.49816</v>
      </c>
      <c r="W51" s="3">
        <f>ROUND(AJ51,2)</f>
        <v>0</v>
      </c>
      <c r="X51" s="3">
        <f>ROUND(AK51,2)</f>
        <v>22477.13</v>
      </c>
      <c r="Y51" s="3">
        <f>ROUND(AL51,2)</f>
        <v>11189.05</v>
      </c>
      <c r="Z51" s="3"/>
      <c r="AA51" s="3"/>
      <c r="AB51" s="3">
        <f>ROUND(SUMIF(AA30:AA49,"=75604747",O30:O49),2)</f>
        <v>38653.29</v>
      </c>
      <c r="AC51" s="3">
        <f>ROUND(SUMIF(AA30:AA49,"=75604747",P30:P49),2)</f>
        <v>4169.32</v>
      </c>
      <c r="AD51" s="3">
        <f>ROUND(SUMIF(AA30:AA49,"=75604747",Q30:Q49),2)</f>
        <v>10527.74</v>
      </c>
      <c r="AE51" s="3">
        <f>ROUND(SUMIF(AA30:AA49,"=75604747",R30:R49),2)</f>
        <v>4779.32</v>
      </c>
      <c r="AF51" s="3">
        <f>ROUND(SUMIF(AA30:AA49,"=75604747",S30:S49),2)</f>
        <v>19176.91</v>
      </c>
      <c r="AG51" s="3">
        <f>ROUND(SUMIF(AA30:AA49,"=75604747",T30:T49),2)</f>
        <v>0</v>
      </c>
      <c r="AH51" s="3">
        <f>SUMIF(AA30:AA49,"=75604747",U30:U49)</f>
        <v>62.059290000000004</v>
      </c>
      <c r="AI51" s="3">
        <f>SUMIF(AA30:AA49,"=75604747",V30:V49)</f>
        <v>11.49816</v>
      </c>
      <c r="AJ51" s="3">
        <f>ROUND(SUMIF(AA30:AA49,"=75604747",W30:W49),2)</f>
        <v>0</v>
      </c>
      <c r="AK51" s="3">
        <f>ROUND(SUMIF(AA30:AA49,"=75604747",X30:X49),2)</f>
        <v>22477.13</v>
      </c>
      <c r="AL51" s="3">
        <f>ROUND(SUMIF(AA30:AA49,"=75604747",Y30:Y49),2)</f>
        <v>11189.05</v>
      </c>
      <c r="AM51" s="3"/>
      <c r="AN51" s="3"/>
      <c r="AO51" s="3">
        <f t="shared" ref="AO51:BD51" si="24">ROUND(BX51,2)</f>
        <v>0</v>
      </c>
      <c r="AP51" s="3">
        <f t="shared" si="24"/>
        <v>0</v>
      </c>
      <c r="AQ51" s="3">
        <f t="shared" si="24"/>
        <v>0</v>
      </c>
      <c r="AR51" s="3">
        <f t="shared" si="24"/>
        <v>133020.49</v>
      </c>
      <c r="AS51" s="3">
        <f t="shared" si="24"/>
        <v>133020.49</v>
      </c>
      <c r="AT51" s="3">
        <f t="shared" si="24"/>
        <v>0</v>
      </c>
      <c r="AU51" s="3">
        <f t="shared" si="24"/>
        <v>0</v>
      </c>
      <c r="AV51" s="3">
        <f t="shared" si="24"/>
        <v>4169.32</v>
      </c>
      <c r="AW51" s="3">
        <f t="shared" si="24"/>
        <v>4169.32</v>
      </c>
      <c r="AX51" s="3">
        <f t="shared" si="24"/>
        <v>0</v>
      </c>
      <c r="AY51" s="3">
        <f t="shared" si="24"/>
        <v>4169.32</v>
      </c>
      <c r="AZ51" s="3">
        <f t="shared" si="24"/>
        <v>0</v>
      </c>
      <c r="BA51" s="3">
        <f t="shared" si="24"/>
        <v>0</v>
      </c>
      <c r="BB51" s="3">
        <f t="shared" si="24"/>
        <v>0</v>
      </c>
      <c r="BC51" s="3">
        <f t="shared" si="24"/>
        <v>0</v>
      </c>
      <c r="BD51" s="3">
        <f t="shared" si="24"/>
        <v>60701.02</v>
      </c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>
        <f>ROUND(SUMIF(AA30:AA49,"=75604747",FQ30:FQ49),2)</f>
        <v>0</v>
      </c>
      <c r="BY51" s="3">
        <f>ROUND(SUMIF(AA30:AA49,"=75604747",FR30:FR49),2)</f>
        <v>0</v>
      </c>
      <c r="BZ51" s="3">
        <f>ROUND(SUMIF(AA30:AA49,"=75604747",GL30:GL49),2)</f>
        <v>0</v>
      </c>
      <c r="CA51" s="3">
        <f>ROUND(SUMIF(AA30:AA49,"=75604747",GM30:GM49),2)</f>
        <v>133020.49</v>
      </c>
      <c r="CB51" s="3">
        <f>ROUND(SUMIF(AA30:AA49,"=75604747",GN30:GN49),2)</f>
        <v>133020.49</v>
      </c>
      <c r="CC51" s="3">
        <f>ROUND(SUMIF(AA30:AA49,"=75604747",GO30:GO49),2)</f>
        <v>0</v>
      </c>
      <c r="CD51" s="3">
        <f>ROUND(SUMIF(AA30:AA49,"=75604747",GP30:GP49),2)</f>
        <v>0</v>
      </c>
      <c r="CE51" s="3">
        <f>AC51-BX51</f>
        <v>4169.32</v>
      </c>
      <c r="CF51" s="3">
        <f>AC51-BY51</f>
        <v>4169.32</v>
      </c>
      <c r="CG51" s="3">
        <f>BX51-BZ51</f>
        <v>0</v>
      </c>
      <c r="CH51" s="3">
        <f>AC51-BX51-BY51+BZ51</f>
        <v>4169.32</v>
      </c>
      <c r="CI51" s="3">
        <f>BY51-BZ51</f>
        <v>0</v>
      </c>
      <c r="CJ51" s="3">
        <f>ROUND(SUMIF(AA30:AA49,"=75604747",GX30:GX49),2)</f>
        <v>0</v>
      </c>
      <c r="CK51" s="3">
        <f>ROUND(SUMIF(AA30:AA49,"=75604747",GY30:GY49),2)</f>
        <v>0</v>
      </c>
      <c r="CL51" s="3">
        <f>ROUND(SUMIF(AA30:AA49,"=75604747",GZ30:GZ49),2)</f>
        <v>0</v>
      </c>
      <c r="CM51" s="3">
        <f>ROUND(SUMIF(AA30:AA49,"=75604747",HD30:HD49),2)</f>
        <v>60701.02</v>
      </c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>
        <v>0</v>
      </c>
    </row>
    <row r="52" spans="1:255" ht="13.05" customHeight="1" x14ac:dyDescent="0.25"/>
    <row r="53" spans="1:255" ht="13.05" customHeight="1" x14ac:dyDescent="0.25">
      <c r="A53" s="5">
        <v>50</v>
      </c>
      <c r="B53" s="5">
        <v>1</v>
      </c>
      <c r="C53" s="5">
        <v>0</v>
      </c>
      <c r="D53" s="5">
        <v>1</v>
      </c>
      <c r="E53" s="5">
        <v>201</v>
      </c>
      <c r="F53" s="5">
        <f>ROUND(Source!O51,O53)</f>
        <v>38653.29</v>
      </c>
      <c r="G53" s="5" t="s">
        <v>104</v>
      </c>
      <c r="H53" s="5" t="s">
        <v>105</v>
      </c>
      <c r="I53" s="5"/>
      <c r="J53" s="5"/>
      <c r="K53" s="5">
        <v>201</v>
      </c>
      <c r="L53" s="5">
        <v>1</v>
      </c>
      <c r="M53" s="5">
        <v>0</v>
      </c>
      <c r="N53" s="5" t="s">
        <v>3</v>
      </c>
      <c r="O53" s="5">
        <v>2</v>
      </c>
      <c r="P53" s="5"/>
      <c r="Q53" s="5"/>
      <c r="R53" s="5"/>
      <c r="S53" s="5"/>
      <c r="T53" s="5"/>
      <c r="U53" s="5"/>
      <c r="V53" s="5"/>
      <c r="W53" s="5">
        <v>99354.31</v>
      </c>
      <c r="X53" s="5">
        <v>1</v>
      </c>
      <c r="Y53" s="5">
        <v>99354.31</v>
      </c>
      <c r="Z53" s="5"/>
      <c r="AA53" s="5"/>
      <c r="AB53" s="5"/>
    </row>
    <row r="54" spans="1:255" ht="13.05" customHeight="1" x14ac:dyDescent="0.25">
      <c r="A54" s="5">
        <v>50</v>
      </c>
      <c r="B54" s="5">
        <v>1</v>
      </c>
      <c r="C54" s="5">
        <v>0</v>
      </c>
      <c r="D54" s="5">
        <v>1</v>
      </c>
      <c r="E54" s="5">
        <v>202</v>
      </c>
      <c r="F54" s="5">
        <f>ROUND(Source!P51,O54)</f>
        <v>4169.32</v>
      </c>
      <c r="G54" s="5" t="s">
        <v>106</v>
      </c>
      <c r="H54" s="5" t="s">
        <v>107</v>
      </c>
      <c r="I54" s="5"/>
      <c r="J54" s="5"/>
      <c r="K54" s="5">
        <v>202</v>
      </c>
      <c r="L54" s="5">
        <v>2</v>
      </c>
      <c r="M54" s="5">
        <v>1</v>
      </c>
      <c r="N54" s="5" t="s">
        <v>3</v>
      </c>
      <c r="O54" s="5">
        <v>2</v>
      </c>
      <c r="P54" s="5"/>
      <c r="Q54" s="5"/>
      <c r="R54" s="5"/>
      <c r="S54" s="5"/>
      <c r="T54" s="5"/>
      <c r="U54" s="5"/>
      <c r="V54" s="5"/>
      <c r="W54" s="5">
        <v>4169.32</v>
      </c>
      <c r="X54" s="5">
        <v>1</v>
      </c>
      <c r="Y54" s="5">
        <v>4169.32</v>
      </c>
      <c r="Z54" s="5"/>
      <c r="AA54" s="5"/>
      <c r="AB54" s="5"/>
    </row>
    <row r="55" spans="1:255" ht="13.05" customHeight="1" x14ac:dyDescent="0.25">
      <c r="A55" s="5">
        <v>50</v>
      </c>
      <c r="B55" s="5">
        <v>0</v>
      </c>
      <c r="C55" s="5">
        <v>0</v>
      </c>
      <c r="D55" s="5">
        <v>1</v>
      </c>
      <c r="E55" s="5">
        <v>222</v>
      </c>
      <c r="F55" s="5">
        <f>ROUND(Source!AO51,O55)</f>
        <v>0</v>
      </c>
      <c r="G55" s="5" t="s">
        <v>108</v>
      </c>
      <c r="H55" s="5" t="s">
        <v>109</v>
      </c>
      <c r="I55" s="5"/>
      <c r="J55" s="5"/>
      <c r="K55" s="5">
        <v>222</v>
      </c>
      <c r="L55" s="5">
        <v>3</v>
      </c>
      <c r="M55" s="5">
        <v>3</v>
      </c>
      <c r="N55" s="5" t="s">
        <v>3</v>
      </c>
      <c r="O55" s="5">
        <v>2</v>
      </c>
      <c r="P55" s="5"/>
      <c r="Q55" s="5"/>
      <c r="R55" s="5"/>
      <c r="S55" s="5"/>
      <c r="T55" s="5"/>
      <c r="U55" s="5"/>
      <c r="V55" s="5"/>
      <c r="W55" s="5">
        <v>0</v>
      </c>
      <c r="X55" s="5">
        <v>1</v>
      </c>
      <c r="Y55" s="5">
        <v>0</v>
      </c>
      <c r="Z55" s="5"/>
      <c r="AA55" s="5"/>
      <c r="AB55" s="5"/>
    </row>
    <row r="56" spans="1:255" ht="13.05" customHeight="1" x14ac:dyDescent="0.25">
      <c r="A56" s="5">
        <v>50</v>
      </c>
      <c r="B56" s="5">
        <v>0</v>
      </c>
      <c r="C56" s="5">
        <v>0</v>
      </c>
      <c r="D56" s="5">
        <v>1</v>
      </c>
      <c r="E56" s="5">
        <v>225</v>
      </c>
      <c r="F56" s="5">
        <f>ROUND(Source!AV51,O56)</f>
        <v>4169.32</v>
      </c>
      <c r="G56" s="5" t="s">
        <v>110</v>
      </c>
      <c r="H56" s="5" t="s">
        <v>111</v>
      </c>
      <c r="I56" s="5"/>
      <c r="J56" s="5"/>
      <c r="K56" s="5">
        <v>225</v>
      </c>
      <c r="L56" s="5">
        <v>4</v>
      </c>
      <c r="M56" s="5">
        <v>3</v>
      </c>
      <c r="N56" s="5" t="s">
        <v>3</v>
      </c>
      <c r="O56" s="5">
        <v>2</v>
      </c>
      <c r="P56" s="5"/>
      <c r="Q56" s="5"/>
      <c r="R56" s="5"/>
      <c r="S56" s="5"/>
      <c r="T56" s="5"/>
      <c r="U56" s="5"/>
      <c r="V56" s="5"/>
      <c r="W56" s="5">
        <v>4169.32</v>
      </c>
      <c r="X56" s="5">
        <v>1</v>
      </c>
      <c r="Y56" s="5">
        <v>4169.32</v>
      </c>
      <c r="Z56" s="5"/>
      <c r="AA56" s="5"/>
      <c r="AB56" s="5"/>
    </row>
    <row r="57" spans="1:255" ht="13.05" customHeight="1" x14ac:dyDescent="0.25">
      <c r="A57" s="5">
        <v>50</v>
      </c>
      <c r="B57" s="5">
        <v>1</v>
      </c>
      <c r="C57" s="5">
        <v>0</v>
      </c>
      <c r="D57" s="5">
        <v>1</v>
      </c>
      <c r="E57" s="5">
        <v>226</v>
      </c>
      <c r="F57" s="5">
        <f>ROUND(Source!AW51,O57)</f>
        <v>4169.32</v>
      </c>
      <c r="G57" s="5" t="s">
        <v>112</v>
      </c>
      <c r="H57" s="5" t="s">
        <v>113</v>
      </c>
      <c r="I57" s="5"/>
      <c r="J57" s="5"/>
      <c r="K57" s="5">
        <v>226</v>
      </c>
      <c r="L57" s="5">
        <v>5</v>
      </c>
      <c r="M57" s="5">
        <v>1</v>
      </c>
      <c r="N57" s="5" t="s">
        <v>3</v>
      </c>
      <c r="O57" s="5">
        <v>2</v>
      </c>
      <c r="P57" s="5"/>
      <c r="Q57" s="5"/>
      <c r="R57" s="5"/>
      <c r="S57" s="5"/>
      <c r="T57" s="5"/>
      <c r="U57" s="5"/>
      <c r="V57" s="5"/>
      <c r="W57" s="5">
        <v>4169.32</v>
      </c>
      <c r="X57" s="5">
        <v>1</v>
      </c>
      <c r="Y57" s="5">
        <v>4169.32</v>
      </c>
      <c r="Z57" s="5"/>
      <c r="AA57" s="5"/>
      <c r="AB57" s="5"/>
    </row>
    <row r="58" spans="1:255" ht="13.05" customHeight="1" x14ac:dyDescent="0.25">
      <c r="A58" s="5">
        <v>50</v>
      </c>
      <c r="B58" s="5">
        <v>0</v>
      </c>
      <c r="C58" s="5">
        <v>0</v>
      </c>
      <c r="D58" s="5">
        <v>1</v>
      </c>
      <c r="E58" s="5">
        <v>227</v>
      </c>
      <c r="F58" s="5">
        <f>ROUND(Source!AX51,O58)</f>
        <v>0</v>
      </c>
      <c r="G58" s="5" t="s">
        <v>114</v>
      </c>
      <c r="H58" s="5" t="s">
        <v>115</v>
      </c>
      <c r="I58" s="5"/>
      <c r="J58" s="5"/>
      <c r="K58" s="5">
        <v>227</v>
      </c>
      <c r="L58" s="5">
        <v>6</v>
      </c>
      <c r="M58" s="5">
        <v>1</v>
      </c>
      <c r="N58" s="5" t="s">
        <v>3</v>
      </c>
      <c r="O58" s="5">
        <v>2</v>
      </c>
      <c r="P58" s="5"/>
      <c r="Q58" s="5"/>
      <c r="R58" s="5"/>
      <c r="S58" s="5"/>
      <c r="T58" s="5"/>
      <c r="U58" s="5"/>
      <c r="V58" s="5"/>
      <c r="W58" s="5">
        <v>0</v>
      </c>
      <c r="X58" s="5">
        <v>1</v>
      </c>
      <c r="Y58" s="5">
        <v>0</v>
      </c>
      <c r="Z58" s="5"/>
      <c r="AA58" s="5"/>
      <c r="AB58" s="5"/>
    </row>
    <row r="59" spans="1:255" ht="13.05" customHeight="1" x14ac:dyDescent="0.25">
      <c r="A59" s="5">
        <v>50</v>
      </c>
      <c r="B59" s="5">
        <v>0</v>
      </c>
      <c r="C59" s="5">
        <v>0</v>
      </c>
      <c r="D59" s="5">
        <v>1</v>
      </c>
      <c r="E59" s="5">
        <v>228</v>
      </c>
      <c r="F59" s="5">
        <f>ROUND(Source!AY51,O59)</f>
        <v>4169.32</v>
      </c>
      <c r="G59" s="5" t="s">
        <v>116</v>
      </c>
      <c r="H59" s="5" t="s">
        <v>117</v>
      </c>
      <c r="I59" s="5"/>
      <c r="J59" s="5"/>
      <c r="K59" s="5">
        <v>228</v>
      </c>
      <c r="L59" s="5">
        <v>7</v>
      </c>
      <c r="M59" s="5">
        <v>3</v>
      </c>
      <c r="N59" s="5" t="s">
        <v>3</v>
      </c>
      <c r="O59" s="5">
        <v>2</v>
      </c>
      <c r="P59" s="5"/>
      <c r="Q59" s="5"/>
      <c r="R59" s="5"/>
      <c r="S59" s="5"/>
      <c r="T59" s="5"/>
      <c r="U59" s="5"/>
      <c r="V59" s="5"/>
      <c r="W59" s="5">
        <v>4169.32</v>
      </c>
      <c r="X59" s="5">
        <v>1</v>
      </c>
      <c r="Y59" s="5">
        <v>4169.32</v>
      </c>
      <c r="Z59" s="5"/>
      <c r="AA59" s="5"/>
      <c r="AB59" s="5"/>
    </row>
    <row r="60" spans="1:255" ht="13.05" customHeight="1" x14ac:dyDescent="0.25">
      <c r="A60" s="5">
        <v>50</v>
      </c>
      <c r="B60" s="5">
        <v>0</v>
      </c>
      <c r="C60" s="5">
        <v>0</v>
      </c>
      <c r="D60" s="5">
        <v>1</v>
      </c>
      <c r="E60" s="5">
        <v>216</v>
      </c>
      <c r="F60" s="5">
        <f>ROUND(Source!AP51,O60)</f>
        <v>0</v>
      </c>
      <c r="G60" s="5" t="s">
        <v>118</v>
      </c>
      <c r="H60" s="5" t="s">
        <v>119</v>
      </c>
      <c r="I60" s="5"/>
      <c r="J60" s="5"/>
      <c r="K60" s="5">
        <v>216</v>
      </c>
      <c r="L60" s="5">
        <v>8</v>
      </c>
      <c r="M60" s="5">
        <v>1</v>
      </c>
      <c r="N60" s="5" t="s">
        <v>3</v>
      </c>
      <c r="O60" s="5">
        <v>2</v>
      </c>
      <c r="P60" s="5"/>
      <c r="Q60" s="5"/>
      <c r="R60" s="5"/>
      <c r="S60" s="5"/>
      <c r="T60" s="5"/>
      <c r="U60" s="5"/>
      <c r="V60" s="5"/>
      <c r="W60" s="5">
        <v>0</v>
      </c>
      <c r="X60" s="5">
        <v>1</v>
      </c>
      <c r="Y60" s="5">
        <v>0</v>
      </c>
      <c r="Z60" s="5"/>
      <c r="AA60" s="5"/>
      <c r="AB60" s="5"/>
    </row>
    <row r="61" spans="1:255" ht="13.05" customHeight="1" x14ac:dyDescent="0.25">
      <c r="A61" s="5">
        <v>50</v>
      </c>
      <c r="B61" s="5">
        <v>0</v>
      </c>
      <c r="C61" s="5">
        <v>0</v>
      </c>
      <c r="D61" s="5">
        <v>1</v>
      </c>
      <c r="E61" s="5">
        <v>223</v>
      </c>
      <c r="F61" s="5">
        <f>ROUND(Source!AQ51,O61)</f>
        <v>0</v>
      </c>
      <c r="G61" s="5" t="s">
        <v>120</v>
      </c>
      <c r="H61" s="5" t="s">
        <v>121</v>
      </c>
      <c r="I61" s="5"/>
      <c r="J61" s="5"/>
      <c r="K61" s="5">
        <v>223</v>
      </c>
      <c r="L61" s="5">
        <v>9</v>
      </c>
      <c r="M61" s="5">
        <v>1</v>
      </c>
      <c r="N61" s="5" t="s">
        <v>3</v>
      </c>
      <c r="O61" s="5">
        <v>2</v>
      </c>
      <c r="P61" s="5"/>
      <c r="Q61" s="5"/>
      <c r="R61" s="5"/>
      <c r="S61" s="5"/>
      <c r="T61" s="5"/>
      <c r="U61" s="5"/>
      <c r="V61" s="5"/>
      <c r="W61" s="5">
        <v>0</v>
      </c>
      <c r="X61" s="5">
        <v>1</v>
      </c>
      <c r="Y61" s="5">
        <v>0</v>
      </c>
      <c r="Z61" s="5"/>
      <c r="AA61" s="5"/>
      <c r="AB61" s="5"/>
    </row>
    <row r="62" spans="1:255" ht="13.05" customHeight="1" x14ac:dyDescent="0.25">
      <c r="A62" s="5">
        <v>50</v>
      </c>
      <c r="B62" s="5">
        <v>0</v>
      </c>
      <c r="C62" s="5">
        <v>0</v>
      </c>
      <c r="D62" s="5">
        <v>1</v>
      </c>
      <c r="E62" s="5">
        <v>229</v>
      </c>
      <c r="F62" s="5">
        <f>ROUND(Source!AZ51,O62)</f>
        <v>0</v>
      </c>
      <c r="G62" s="5" t="s">
        <v>122</v>
      </c>
      <c r="H62" s="5" t="s">
        <v>123</v>
      </c>
      <c r="I62" s="5"/>
      <c r="J62" s="5"/>
      <c r="K62" s="5">
        <v>229</v>
      </c>
      <c r="L62" s="5">
        <v>10</v>
      </c>
      <c r="M62" s="5">
        <v>3</v>
      </c>
      <c r="N62" s="5" t="s">
        <v>3</v>
      </c>
      <c r="O62" s="5">
        <v>2</v>
      </c>
      <c r="P62" s="5"/>
      <c r="Q62" s="5"/>
      <c r="R62" s="5"/>
      <c r="S62" s="5"/>
      <c r="T62" s="5"/>
      <c r="U62" s="5"/>
      <c r="V62" s="5"/>
      <c r="W62" s="5">
        <v>0</v>
      </c>
      <c r="X62" s="5">
        <v>1</v>
      </c>
      <c r="Y62" s="5">
        <v>0</v>
      </c>
      <c r="Z62" s="5"/>
      <c r="AA62" s="5"/>
      <c r="AB62" s="5"/>
    </row>
    <row r="63" spans="1:255" ht="13.05" customHeight="1" x14ac:dyDescent="0.25">
      <c r="A63" s="5">
        <v>50</v>
      </c>
      <c r="B63" s="5">
        <v>1</v>
      </c>
      <c r="C63" s="5">
        <v>0</v>
      </c>
      <c r="D63" s="5">
        <v>1</v>
      </c>
      <c r="E63" s="5">
        <v>203</v>
      </c>
      <c r="F63" s="5">
        <f>ROUND(Source!Q51,O63)</f>
        <v>10527.74</v>
      </c>
      <c r="G63" s="5" t="s">
        <v>124</v>
      </c>
      <c r="H63" s="5" t="s">
        <v>125</v>
      </c>
      <c r="I63" s="5"/>
      <c r="J63" s="5"/>
      <c r="K63" s="5">
        <v>203</v>
      </c>
      <c r="L63" s="5">
        <v>11</v>
      </c>
      <c r="M63" s="5">
        <v>0</v>
      </c>
      <c r="N63" s="5" t="s">
        <v>3</v>
      </c>
      <c r="O63" s="5">
        <v>2</v>
      </c>
      <c r="P63" s="5"/>
      <c r="Q63" s="5"/>
      <c r="R63" s="5"/>
      <c r="S63" s="5"/>
      <c r="T63" s="5"/>
      <c r="U63" s="5"/>
      <c r="V63" s="5"/>
      <c r="W63" s="5">
        <v>10527.74</v>
      </c>
      <c r="X63" s="5">
        <v>1</v>
      </c>
      <c r="Y63" s="5">
        <v>10527.74</v>
      </c>
      <c r="Z63" s="5"/>
      <c r="AA63" s="5"/>
      <c r="AB63" s="5"/>
    </row>
    <row r="64" spans="1:255" ht="13.05" customHeight="1" x14ac:dyDescent="0.25">
      <c r="A64" s="5">
        <v>50</v>
      </c>
      <c r="B64" s="5">
        <v>0</v>
      </c>
      <c r="C64" s="5">
        <v>0</v>
      </c>
      <c r="D64" s="5">
        <v>1</v>
      </c>
      <c r="E64" s="5">
        <v>231</v>
      </c>
      <c r="F64" s="5">
        <f>ROUND(Source!BB51,O64)</f>
        <v>0</v>
      </c>
      <c r="G64" s="5" t="s">
        <v>126</v>
      </c>
      <c r="H64" s="5" t="s">
        <v>127</v>
      </c>
      <c r="I64" s="5"/>
      <c r="J64" s="5"/>
      <c r="K64" s="5">
        <v>231</v>
      </c>
      <c r="L64" s="5">
        <v>12</v>
      </c>
      <c r="M64" s="5">
        <v>3</v>
      </c>
      <c r="N64" s="5" t="s">
        <v>3</v>
      </c>
      <c r="O64" s="5">
        <v>2</v>
      </c>
      <c r="P64" s="5"/>
      <c r="Q64" s="5"/>
      <c r="R64" s="5"/>
      <c r="S64" s="5"/>
      <c r="T64" s="5"/>
      <c r="U64" s="5"/>
      <c r="V64" s="5"/>
      <c r="W64" s="5">
        <v>0</v>
      </c>
      <c r="X64" s="5">
        <v>1</v>
      </c>
      <c r="Y64" s="5">
        <v>0</v>
      </c>
      <c r="Z64" s="5"/>
      <c r="AA64" s="5"/>
      <c r="AB64" s="5"/>
    </row>
    <row r="65" spans="1:28" ht="13.05" customHeight="1" x14ac:dyDescent="0.25">
      <c r="A65" s="5">
        <v>50</v>
      </c>
      <c r="B65" s="5">
        <v>1</v>
      </c>
      <c r="C65" s="5">
        <v>0</v>
      </c>
      <c r="D65" s="5">
        <v>1</v>
      </c>
      <c r="E65" s="5">
        <v>204</v>
      </c>
      <c r="F65" s="5">
        <f>ROUND(Source!R51,O65)</f>
        <v>4779.32</v>
      </c>
      <c r="G65" s="5" t="s">
        <v>128</v>
      </c>
      <c r="H65" s="5" t="s">
        <v>129</v>
      </c>
      <c r="I65" s="5"/>
      <c r="J65" s="5"/>
      <c r="K65" s="5">
        <v>204</v>
      </c>
      <c r="L65" s="5">
        <v>13</v>
      </c>
      <c r="M65" s="5">
        <v>0</v>
      </c>
      <c r="N65" s="5" t="s">
        <v>3</v>
      </c>
      <c r="O65" s="5">
        <v>2</v>
      </c>
      <c r="P65" s="5"/>
      <c r="Q65" s="5"/>
      <c r="R65" s="5"/>
      <c r="S65" s="5"/>
      <c r="T65" s="5"/>
      <c r="U65" s="5"/>
      <c r="V65" s="5"/>
      <c r="W65" s="5">
        <v>4779.32</v>
      </c>
      <c r="X65" s="5">
        <v>1</v>
      </c>
      <c r="Y65" s="5">
        <v>4779.32</v>
      </c>
      <c r="Z65" s="5"/>
      <c r="AA65" s="5"/>
      <c r="AB65" s="5"/>
    </row>
    <row r="66" spans="1:28" ht="13.05" customHeight="1" x14ac:dyDescent="0.25">
      <c r="A66" s="5">
        <v>50</v>
      </c>
      <c r="B66" s="5">
        <v>1</v>
      </c>
      <c r="C66" s="5">
        <v>0</v>
      </c>
      <c r="D66" s="5">
        <v>1</v>
      </c>
      <c r="E66" s="5">
        <v>205</v>
      </c>
      <c r="F66" s="5">
        <f>ROUND(Source!S51,O66)</f>
        <v>19176.91</v>
      </c>
      <c r="G66" s="5" t="s">
        <v>130</v>
      </c>
      <c r="H66" s="5" t="s">
        <v>131</v>
      </c>
      <c r="I66" s="5"/>
      <c r="J66" s="5"/>
      <c r="K66" s="5">
        <v>205</v>
      </c>
      <c r="L66" s="5">
        <v>14</v>
      </c>
      <c r="M66" s="5">
        <v>0</v>
      </c>
      <c r="N66" s="5" t="s">
        <v>3</v>
      </c>
      <c r="O66" s="5">
        <v>2</v>
      </c>
      <c r="P66" s="5"/>
      <c r="Q66" s="5"/>
      <c r="R66" s="5"/>
      <c r="S66" s="5"/>
      <c r="T66" s="5"/>
      <c r="U66" s="5"/>
      <c r="V66" s="5"/>
      <c r="W66" s="5">
        <v>19176.91</v>
      </c>
      <c r="X66" s="5">
        <v>1</v>
      </c>
      <c r="Y66" s="5">
        <v>19176.91</v>
      </c>
      <c r="Z66" s="5"/>
      <c r="AA66" s="5"/>
      <c r="AB66" s="5"/>
    </row>
    <row r="67" spans="1:28" ht="13.05" customHeight="1" x14ac:dyDescent="0.25">
      <c r="A67" s="5">
        <v>50</v>
      </c>
      <c r="B67" s="5">
        <v>0</v>
      </c>
      <c r="C67" s="5">
        <v>0</v>
      </c>
      <c r="D67" s="5">
        <v>1</v>
      </c>
      <c r="E67" s="5">
        <v>232</v>
      </c>
      <c r="F67" s="5">
        <f>ROUND(Source!BC51,O67)</f>
        <v>0</v>
      </c>
      <c r="G67" s="5" t="s">
        <v>132</v>
      </c>
      <c r="H67" s="5" t="s">
        <v>133</v>
      </c>
      <c r="I67" s="5"/>
      <c r="J67" s="5"/>
      <c r="K67" s="5">
        <v>232</v>
      </c>
      <c r="L67" s="5">
        <v>15</v>
      </c>
      <c r="M67" s="5">
        <v>3</v>
      </c>
      <c r="N67" s="5" t="s">
        <v>3</v>
      </c>
      <c r="O67" s="5">
        <v>2</v>
      </c>
      <c r="P67" s="5"/>
      <c r="Q67" s="5"/>
      <c r="R67" s="5"/>
      <c r="S67" s="5"/>
      <c r="T67" s="5"/>
      <c r="U67" s="5"/>
      <c r="V67" s="5"/>
      <c r="W67" s="5">
        <v>0</v>
      </c>
      <c r="X67" s="5">
        <v>1</v>
      </c>
      <c r="Y67" s="5">
        <v>0</v>
      </c>
      <c r="Z67" s="5"/>
      <c r="AA67" s="5"/>
      <c r="AB67" s="5"/>
    </row>
    <row r="68" spans="1:28" ht="13.05" customHeight="1" x14ac:dyDescent="0.25">
      <c r="A68" s="5">
        <v>50</v>
      </c>
      <c r="B68" s="5">
        <v>0</v>
      </c>
      <c r="C68" s="5">
        <v>0</v>
      </c>
      <c r="D68" s="5">
        <v>1</v>
      </c>
      <c r="E68" s="5">
        <v>214</v>
      </c>
      <c r="F68" s="5">
        <f>ROUND(Source!AS51,O68)</f>
        <v>133020.49</v>
      </c>
      <c r="G68" s="5" t="s">
        <v>134</v>
      </c>
      <c r="H68" s="5" t="s">
        <v>135</v>
      </c>
      <c r="I68" s="5"/>
      <c r="J68" s="5"/>
      <c r="K68" s="5">
        <v>214</v>
      </c>
      <c r="L68" s="5">
        <v>16</v>
      </c>
      <c r="M68" s="5">
        <v>3</v>
      </c>
      <c r="N68" s="5" t="s">
        <v>3</v>
      </c>
      <c r="O68" s="5">
        <v>2</v>
      </c>
      <c r="P68" s="5"/>
      <c r="Q68" s="5"/>
      <c r="R68" s="5"/>
      <c r="S68" s="5"/>
      <c r="T68" s="5"/>
      <c r="U68" s="5"/>
      <c r="V68" s="5"/>
      <c r="W68" s="5">
        <v>133020.49</v>
      </c>
      <c r="X68" s="5">
        <v>1</v>
      </c>
      <c r="Y68" s="5">
        <v>133020.49</v>
      </c>
      <c r="Z68" s="5"/>
      <c r="AA68" s="5"/>
      <c r="AB68" s="5"/>
    </row>
    <row r="69" spans="1:28" ht="13.05" customHeight="1" x14ac:dyDescent="0.25">
      <c r="A69" s="5">
        <v>50</v>
      </c>
      <c r="B69" s="5">
        <v>0</v>
      </c>
      <c r="C69" s="5">
        <v>0</v>
      </c>
      <c r="D69" s="5">
        <v>1</v>
      </c>
      <c r="E69" s="5">
        <v>215</v>
      </c>
      <c r="F69" s="5">
        <f>ROUND(Source!AT51,O69)</f>
        <v>0</v>
      </c>
      <c r="G69" s="5" t="s">
        <v>136</v>
      </c>
      <c r="H69" s="5" t="s">
        <v>137</v>
      </c>
      <c r="I69" s="5"/>
      <c r="J69" s="5"/>
      <c r="K69" s="5">
        <v>215</v>
      </c>
      <c r="L69" s="5">
        <v>17</v>
      </c>
      <c r="M69" s="5">
        <v>3</v>
      </c>
      <c r="N69" s="5" t="s">
        <v>3</v>
      </c>
      <c r="O69" s="5">
        <v>2</v>
      </c>
      <c r="P69" s="5"/>
      <c r="Q69" s="5"/>
      <c r="R69" s="5"/>
      <c r="S69" s="5"/>
      <c r="T69" s="5"/>
      <c r="U69" s="5"/>
      <c r="V69" s="5"/>
      <c r="W69" s="5">
        <v>0</v>
      </c>
      <c r="X69" s="5">
        <v>1</v>
      </c>
      <c r="Y69" s="5">
        <v>0</v>
      </c>
      <c r="Z69" s="5"/>
      <c r="AA69" s="5"/>
      <c r="AB69" s="5"/>
    </row>
    <row r="70" spans="1:28" ht="13.05" customHeight="1" x14ac:dyDescent="0.25">
      <c r="A70" s="5">
        <v>50</v>
      </c>
      <c r="B70" s="5">
        <v>0</v>
      </c>
      <c r="C70" s="5">
        <v>0</v>
      </c>
      <c r="D70" s="5">
        <v>1</v>
      </c>
      <c r="E70" s="5">
        <v>217</v>
      </c>
      <c r="F70" s="5">
        <f>ROUND(Source!AU51,O70)</f>
        <v>0</v>
      </c>
      <c r="G70" s="5" t="s">
        <v>138</v>
      </c>
      <c r="H70" s="5" t="s">
        <v>139</v>
      </c>
      <c r="I70" s="5"/>
      <c r="J70" s="5"/>
      <c r="K70" s="5">
        <v>217</v>
      </c>
      <c r="L70" s="5">
        <v>18</v>
      </c>
      <c r="M70" s="5">
        <v>3</v>
      </c>
      <c r="N70" s="5" t="s">
        <v>3</v>
      </c>
      <c r="O70" s="5">
        <v>2</v>
      </c>
      <c r="P70" s="5"/>
      <c r="Q70" s="5"/>
      <c r="R70" s="5"/>
      <c r="S70" s="5"/>
      <c r="T70" s="5"/>
      <c r="U70" s="5"/>
      <c r="V70" s="5"/>
      <c r="W70" s="5">
        <v>0</v>
      </c>
      <c r="X70" s="5">
        <v>1</v>
      </c>
      <c r="Y70" s="5">
        <v>0</v>
      </c>
      <c r="Z70" s="5"/>
      <c r="AA70" s="5"/>
      <c r="AB70" s="5"/>
    </row>
    <row r="71" spans="1:28" ht="13.05" customHeight="1" x14ac:dyDescent="0.25">
      <c r="A71" s="5">
        <v>50</v>
      </c>
      <c r="B71" s="5">
        <v>0</v>
      </c>
      <c r="C71" s="5">
        <v>0</v>
      </c>
      <c r="D71" s="5">
        <v>1</v>
      </c>
      <c r="E71" s="5">
        <v>230</v>
      </c>
      <c r="F71" s="5">
        <f>ROUND(Source!BA51,O71)</f>
        <v>0</v>
      </c>
      <c r="G71" s="5" t="s">
        <v>140</v>
      </c>
      <c r="H71" s="5" t="s">
        <v>141</v>
      </c>
      <c r="I71" s="5"/>
      <c r="J71" s="5"/>
      <c r="K71" s="5">
        <v>230</v>
      </c>
      <c r="L71" s="5">
        <v>19</v>
      </c>
      <c r="M71" s="5">
        <v>3</v>
      </c>
      <c r="N71" s="5" t="s">
        <v>3</v>
      </c>
      <c r="O71" s="5">
        <v>2</v>
      </c>
      <c r="P71" s="5"/>
      <c r="Q71" s="5"/>
      <c r="R71" s="5"/>
      <c r="S71" s="5"/>
      <c r="T71" s="5"/>
      <c r="U71" s="5"/>
      <c r="V71" s="5"/>
      <c r="W71" s="5">
        <v>0</v>
      </c>
      <c r="X71" s="5">
        <v>1</v>
      </c>
      <c r="Y71" s="5">
        <v>0</v>
      </c>
      <c r="Z71" s="5"/>
      <c r="AA71" s="5"/>
      <c r="AB71" s="5"/>
    </row>
    <row r="72" spans="1:28" ht="13.05" customHeight="1" x14ac:dyDescent="0.25">
      <c r="A72" s="5">
        <v>50</v>
      </c>
      <c r="B72" s="5">
        <v>0</v>
      </c>
      <c r="C72" s="5">
        <v>0</v>
      </c>
      <c r="D72" s="5">
        <v>1</v>
      </c>
      <c r="E72" s="5">
        <v>206</v>
      </c>
      <c r="F72" s="5">
        <f>ROUND(Source!T51,O72)</f>
        <v>0</v>
      </c>
      <c r="G72" s="5" t="s">
        <v>142</v>
      </c>
      <c r="H72" s="5" t="s">
        <v>143</v>
      </c>
      <c r="I72" s="5"/>
      <c r="J72" s="5"/>
      <c r="K72" s="5">
        <v>206</v>
      </c>
      <c r="L72" s="5">
        <v>20</v>
      </c>
      <c r="M72" s="5">
        <v>1</v>
      </c>
      <c r="N72" s="5" t="s">
        <v>3</v>
      </c>
      <c r="O72" s="5">
        <v>2</v>
      </c>
      <c r="P72" s="5"/>
      <c r="Q72" s="5"/>
      <c r="R72" s="5"/>
      <c r="S72" s="5"/>
      <c r="T72" s="5"/>
      <c r="U72" s="5"/>
      <c r="V72" s="5"/>
      <c r="W72" s="5">
        <v>0</v>
      </c>
      <c r="X72" s="5">
        <v>1</v>
      </c>
      <c r="Y72" s="5">
        <v>0</v>
      </c>
      <c r="Z72" s="5"/>
      <c r="AA72" s="5"/>
      <c r="AB72" s="5"/>
    </row>
    <row r="73" spans="1:28" ht="13.05" customHeight="1" x14ac:dyDescent="0.25">
      <c r="A73" s="5">
        <v>50</v>
      </c>
      <c r="B73" s="5">
        <v>1</v>
      </c>
      <c r="C73" s="5">
        <v>0</v>
      </c>
      <c r="D73" s="5">
        <v>1</v>
      </c>
      <c r="E73" s="5">
        <v>207</v>
      </c>
      <c r="F73" s="5">
        <f>ROUND(Source!U51,O73)</f>
        <v>62.059289999999997</v>
      </c>
      <c r="G73" s="5" t="s">
        <v>144</v>
      </c>
      <c r="H73" s="5" t="s">
        <v>145</v>
      </c>
      <c r="I73" s="5"/>
      <c r="J73" s="5"/>
      <c r="K73" s="5">
        <v>207</v>
      </c>
      <c r="L73" s="5">
        <v>21</v>
      </c>
      <c r="M73" s="5">
        <v>0</v>
      </c>
      <c r="N73" s="5" t="s">
        <v>3</v>
      </c>
      <c r="O73" s="5">
        <v>7</v>
      </c>
      <c r="P73" s="5"/>
      <c r="Q73" s="5"/>
      <c r="R73" s="5"/>
      <c r="S73" s="5"/>
      <c r="T73" s="5"/>
      <c r="U73" s="5"/>
      <c r="V73" s="5"/>
      <c r="W73" s="5">
        <v>62.059289999999997</v>
      </c>
      <c r="X73" s="5">
        <v>1</v>
      </c>
      <c r="Y73" s="5">
        <v>62.059289999999997</v>
      </c>
      <c r="Z73" s="5"/>
      <c r="AA73" s="5"/>
      <c r="AB73" s="5"/>
    </row>
    <row r="74" spans="1:28" ht="13.05" customHeight="1" x14ac:dyDescent="0.25">
      <c r="A74" s="5">
        <v>50</v>
      </c>
      <c r="B74" s="5">
        <v>1</v>
      </c>
      <c r="C74" s="5">
        <v>0</v>
      </c>
      <c r="D74" s="5">
        <v>1</v>
      </c>
      <c r="E74" s="5">
        <v>208</v>
      </c>
      <c r="F74" s="5">
        <f>ROUND(Source!V51,O74)</f>
        <v>11.49816</v>
      </c>
      <c r="G74" s="5" t="s">
        <v>146</v>
      </c>
      <c r="H74" s="5" t="s">
        <v>147</v>
      </c>
      <c r="I74" s="5"/>
      <c r="J74" s="5"/>
      <c r="K74" s="5">
        <v>208</v>
      </c>
      <c r="L74" s="5">
        <v>22</v>
      </c>
      <c r="M74" s="5">
        <v>0</v>
      </c>
      <c r="N74" s="5" t="s">
        <v>3</v>
      </c>
      <c r="O74" s="5">
        <v>7</v>
      </c>
      <c r="P74" s="5"/>
      <c r="Q74" s="5"/>
      <c r="R74" s="5"/>
      <c r="S74" s="5"/>
      <c r="T74" s="5"/>
      <c r="U74" s="5"/>
      <c r="V74" s="5"/>
      <c r="W74" s="5">
        <v>11.49816</v>
      </c>
      <c r="X74" s="5">
        <v>1</v>
      </c>
      <c r="Y74" s="5">
        <v>11.49816</v>
      </c>
      <c r="Z74" s="5"/>
      <c r="AA74" s="5"/>
      <c r="AB74" s="5"/>
    </row>
    <row r="75" spans="1:28" ht="13.05" customHeight="1" x14ac:dyDescent="0.25">
      <c r="A75" s="5">
        <v>50</v>
      </c>
      <c r="B75" s="5">
        <v>0</v>
      </c>
      <c r="C75" s="5">
        <v>0</v>
      </c>
      <c r="D75" s="5">
        <v>1</v>
      </c>
      <c r="E75" s="5">
        <v>209</v>
      </c>
      <c r="F75" s="5">
        <f>ROUND(Source!W51,O75)</f>
        <v>0</v>
      </c>
      <c r="G75" s="5" t="s">
        <v>148</v>
      </c>
      <c r="H75" s="5" t="s">
        <v>149</v>
      </c>
      <c r="I75" s="5"/>
      <c r="J75" s="5"/>
      <c r="K75" s="5">
        <v>209</v>
      </c>
      <c r="L75" s="5">
        <v>23</v>
      </c>
      <c r="M75" s="5">
        <v>3</v>
      </c>
      <c r="N75" s="5" t="s">
        <v>3</v>
      </c>
      <c r="O75" s="5">
        <v>2</v>
      </c>
      <c r="P75" s="5"/>
      <c r="Q75" s="5"/>
      <c r="R75" s="5"/>
      <c r="S75" s="5"/>
      <c r="T75" s="5"/>
      <c r="U75" s="5"/>
      <c r="V75" s="5"/>
      <c r="W75" s="5">
        <v>0</v>
      </c>
      <c r="X75" s="5">
        <v>1</v>
      </c>
      <c r="Y75" s="5">
        <v>0</v>
      </c>
      <c r="Z75" s="5"/>
      <c r="AA75" s="5"/>
      <c r="AB75" s="5"/>
    </row>
    <row r="76" spans="1:28" ht="13.05" customHeight="1" x14ac:dyDescent="0.25">
      <c r="A76" s="5">
        <v>50</v>
      </c>
      <c r="B76" s="5">
        <v>1</v>
      </c>
      <c r="C76" s="5">
        <v>0</v>
      </c>
      <c r="D76" s="5">
        <v>1</v>
      </c>
      <c r="E76" s="5">
        <v>233</v>
      </c>
      <c r="F76" s="5">
        <f>ROUND(Source!BD51,O76)</f>
        <v>60701.02</v>
      </c>
      <c r="G76" s="5" t="s">
        <v>150</v>
      </c>
      <c r="H76" s="5" t="s">
        <v>151</v>
      </c>
      <c r="I76" s="5"/>
      <c r="J76" s="5"/>
      <c r="K76" s="5">
        <v>233</v>
      </c>
      <c r="L76" s="5">
        <v>24</v>
      </c>
      <c r="M76" s="5">
        <v>1</v>
      </c>
      <c r="N76" s="5" t="s">
        <v>3</v>
      </c>
      <c r="O76" s="5">
        <v>2</v>
      </c>
      <c r="P76" s="5"/>
      <c r="Q76" s="5"/>
      <c r="R76" s="5"/>
      <c r="S76" s="5"/>
      <c r="T76" s="5"/>
      <c r="U76" s="5"/>
      <c r="V76" s="5"/>
      <c r="W76" s="5">
        <v>60701.02</v>
      </c>
      <c r="X76" s="5">
        <v>1</v>
      </c>
      <c r="Y76" s="5">
        <v>60701.02</v>
      </c>
      <c r="Z76" s="5"/>
      <c r="AA76" s="5"/>
      <c r="AB76" s="5"/>
    </row>
    <row r="77" spans="1:28" ht="13.05" customHeight="1" x14ac:dyDescent="0.25">
      <c r="A77" s="5">
        <v>50</v>
      </c>
      <c r="B77" s="5">
        <v>1</v>
      </c>
      <c r="C77" s="5">
        <v>0</v>
      </c>
      <c r="D77" s="5">
        <v>1</v>
      </c>
      <c r="E77" s="5">
        <v>210</v>
      </c>
      <c r="F77" s="5">
        <f>ROUND(Source!X51,O77)</f>
        <v>22477.13</v>
      </c>
      <c r="G77" s="5" t="s">
        <v>152</v>
      </c>
      <c r="H77" s="5" t="s">
        <v>153</v>
      </c>
      <c r="I77" s="5"/>
      <c r="J77" s="5"/>
      <c r="K77" s="5">
        <v>210</v>
      </c>
      <c r="L77" s="5">
        <v>25</v>
      </c>
      <c r="M77" s="5">
        <v>0</v>
      </c>
      <c r="N77" s="5" t="s">
        <v>3</v>
      </c>
      <c r="O77" s="5">
        <v>2</v>
      </c>
      <c r="P77" s="5"/>
      <c r="Q77" s="5"/>
      <c r="R77" s="5"/>
      <c r="S77" s="5"/>
      <c r="T77" s="5"/>
      <c r="U77" s="5"/>
      <c r="V77" s="5"/>
      <c r="W77" s="5">
        <v>22477.13</v>
      </c>
      <c r="X77" s="5">
        <v>1</v>
      </c>
      <c r="Y77" s="5">
        <v>22477.13</v>
      </c>
      <c r="Z77" s="5"/>
      <c r="AA77" s="5"/>
      <c r="AB77" s="5"/>
    </row>
    <row r="78" spans="1:28" ht="13.05" customHeight="1" x14ac:dyDescent="0.25">
      <c r="A78" s="5">
        <v>50</v>
      </c>
      <c r="B78" s="5">
        <v>1</v>
      </c>
      <c r="C78" s="5">
        <v>0</v>
      </c>
      <c r="D78" s="5">
        <v>1</v>
      </c>
      <c r="E78" s="5">
        <v>211</v>
      </c>
      <c r="F78" s="5">
        <f>ROUND(Source!Y51,O78)</f>
        <v>11189.05</v>
      </c>
      <c r="G78" s="5" t="s">
        <v>154</v>
      </c>
      <c r="H78" s="5" t="s">
        <v>155</v>
      </c>
      <c r="I78" s="5"/>
      <c r="J78" s="5"/>
      <c r="K78" s="5">
        <v>211</v>
      </c>
      <c r="L78" s="5">
        <v>26</v>
      </c>
      <c r="M78" s="5">
        <v>0</v>
      </c>
      <c r="N78" s="5" t="s">
        <v>3</v>
      </c>
      <c r="O78" s="5">
        <v>2</v>
      </c>
      <c r="P78" s="5"/>
      <c r="Q78" s="5"/>
      <c r="R78" s="5"/>
      <c r="S78" s="5"/>
      <c r="T78" s="5"/>
      <c r="U78" s="5"/>
      <c r="V78" s="5"/>
      <c r="W78" s="5">
        <v>11189.05</v>
      </c>
      <c r="X78" s="5">
        <v>1</v>
      </c>
      <c r="Y78" s="5">
        <v>11189.05</v>
      </c>
      <c r="Z78" s="5"/>
      <c r="AA78" s="5"/>
      <c r="AB78" s="5"/>
    </row>
    <row r="79" spans="1:28" ht="13.05" customHeight="1" x14ac:dyDescent="0.25">
      <c r="A79" s="5">
        <v>50</v>
      </c>
      <c r="B79" s="5">
        <v>1</v>
      </c>
      <c r="C79" s="5">
        <v>0</v>
      </c>
      <c r="D79" s="5">
        <v>1</v>
      </c>
      <c r="E79" s="5">
        <v>224</v>
      </c>
      <c r="F79" s="5">
        <f>ROUND(Source!AR51,O79)</f>
        <v>133020.49</v>
      </c>
      <c r="G79" s="5" t="s">
        <v>156</v>
      </c>
      <c r="H79" s="5" t="s">
        <v>157</v>
      </c>
      <c r="I79" s="5"/>
      <c r="J79" s="5"/>
      <c r="K79" s="5">
        <v>224</v>
      </c>
      <c r="L79" s="5">
        <v>27</v>
      </c>
      <c r="M79" s="5">
        <v>0</v>
      </c>
      <c r="N79" s="5" t="s">
        <v>3</v>
      </c>
      <c r="O79" s="5">
        <v>2</v>
      </c>
      <c r="P79" s="5"/>
      <c r="Q79" s="5"/>
      <c r="R79" s="5"/>
      <c r="S79" s="5"/>
      <c r="T79" s="5"/>
      <c r="U79" s="5"/>
      <c r="V79" s="5"/>
      <c r="W79" s="5">
        <v>133020.49</v>
      </c>
      <c r="X79" s="5">
        <v>1</v>
      </c>
      <c r="Y79" s="5">
        <v>133020.49</v>
      </c>
      <c r="Z79" s="5"/>
      <c r="AA79" s="5"/>
      <c r="AB79" s="5"/>
    </row>
    <row r="80" spans="1:28" ht="13.05" customHeight="1" x14ac:dyDescent="0.25">
      <c r="A80" s="5">
        <v>50</v>
      </c>
      <c r="B80" s="5">
        <v>1</v>
      </c>
      <c r="C80" s="5">
        <v>0</v>
      </c>
      <c r="D80" s="5">
        <v>2</v>
      </c>
      <c r="E80" s="5">
        <v>0</v>
      </c>
      <c r="F80" s="5">
        <f>ROUND(F79*0.22,O80)</f>
        <v>29264.51</v>
      </c>
      <c r="G80" s="5" t="s">
        <v>158</v>
      </c>
      <c r="H80" s="5" t="s">
        <v>158</v>
      </c>
      <c r="I80" s="5"/>
      <c r="J80" s="5"/>
      <c r="K80" s="5">
        <v>212</v>
      </c>
      <c r="L80" s="5">
        <v>28</v>
      </c>
      <c r="M80" s="5">
        <v>0</v>
      </c>
      <c r="N80" s="5" t="s">
        <v>3</v>
      </c>
      <c r="O80" s="5">
        <v>2</v>
      </c>
      <c r="P80" s="5"/>
      <c r="Q80" s="5"/>
      <c r="R80" s="5"/>
      <c r="S80" s="5"/>
      <c r="T80" s="5"/>
      <c r="U80" s="5"/>
      <c r="V80" s="5"/>
      <c r="W80" s="5">
        <v>29264.51</v>
      </c>
      <c r="X80" s="5">
        <v>1</v>
      </c>
      <c r="Y80" s="5">
        <v>29264.51</v>
      </c>
      <c r="Z80" s="5"/>
      <c r="AA80" s="5"/>
      <c r="AB80" s="5"/>
    </row>
    <row r="81" spans="1:255" ht="13.05" customHeight="1" x14ac:dyDescent="0.25">
      <c r="A81" s="5">
        <v>50</v>
      </c>
      <c r="B81" s="5">
        <v>1</v>
      </c>
      <c r="C81" s="5">
        <v>0</v>
      </c>
      <c r="D81" s="5">
        <v>2</v>
      </c>
      <c r="E81" s="5">
        <v>0</v>
      </c>
      <c r="F81" s="5">
        <f>ROUND(F79*1.22,O81)</f>
        <v>162285</v>
      </c>
      <c r="G81" s="5" t="s">
        <v>159</v>
      </c>
      <c r="H81" s="5" t="s">
        <v>159</v>
      </c>
      <c r="I81" s="5"/>
      <c r="J81" s="5"/>
      <c r="K81" s="5">
        <v>212</v>
      </c>
      <c r="L81" s="5">
        <v>29</v>
      </c>
      <c r="M81" s="5">
        <v>0</v>
      </c>
      <c r="N81" s="5" t="s">
        <v>3</v>
      </c>
      <c r="O81" s="5">
        <v>2</v>
      </c>
      <c r="P81" s="5"/>
      <c r="Q81" s="5"/>
      <c r="R81" s="5"/>
      <c r="S81" s="5"/>
      <c r="T81" s="5"/>
      <c r="U81" s="5"/>
      <c r="V81" s="5"/>
      <c r="W81" s="5">
        <v>162285</v>
      </c>
      <c r="X81" s="5">
        <v>1</v>
      </c>
      <c r="Y81" s="5">
        <v>162285</v>
      </c>
      <c r="Z81" s="5"/>
      <c r="AA81" s="5"/>
      <c r="AB81" s="5"/>
    </row>
    <row r="82" spans="1:255" ht="13.05" customHeight="1" x14ac:dyDescent="0.25"/>
    <row r="83" spans="1:255" ht="13.05" customHeight="1" x14ac:dyDescent="0.25">
      <c r="A83" s="1">
        <v>4</v>
      </c>
      <c r="B83" s="1">
        <v>1</v>
      </c>
      <c r="C83" s="1"/>
      <c r="D83" s="1">
        <f>ROW(A106)</f>
        <v>106</v>
      </c>
      <c r="E83" s="1"/>
      <c r="F83" s="1" t="s">
        <v>19</v>
      </c>
      <c r="G83" s="1" t="s">
        <v>160</v>
      </c>
      <c r="H83" s="1" t="s">
        <v>3</v>
      </c>
      <c r="I83" s="1">
        <v>0</v>
      </c>
      <c r="J83" s="1"/>
      <c r="K83" s="1">
        <v>0</v>
      </c>
      <c r="L83" s="1"/>
      <c r="M83" s="1" t="s">
        <v>3</v>
      </c>
      <c r="N83" s="1"/>
      <c r="O83" s="1"/>
      <c r="P83" s="1"/>
      <c r="Q83" s="1"/>
      <c r="R83" s="1"/>
      <c r="S83" s="1">
        <v>0</v>
      </c>
      <c r="T83" s="1"/>
      <c r="U83" s="1" t="s">
        <v>3</v>
      </c>
      <c r="V83" s="1">
        <v>0</v>
      </c>
      <c r="W83" s="1"/>
      <c r="X83" s="1"/>
      <c r="Y83" s="1"/>
      <c r="Z83" s="1"/>
      <c r="AA83" s="1"/>
      <c r="AB83" s="1" t="s">
        <v>3</v>
      </c>
      <c r="AC83" s="1" t="s">
        <v>3</v>
      </c>
      <c r="AD83" s="1" t="s">
        <v>3</v>
      </c>
      <c r="AE83" s="1" t="s">
        <v>3</v>
      </c>
      <c r="AF83" s="1" t="s">
        <v>3</v>
      </c>
      <c r="AG83" s="1" t="s">
        <v>3</v>
      </c>
      <c r="AH83" s="1"/>
      <c r="AI83" s="1"/>
      <c r="AJ83" s="1"/>
      <c r="AK83" s="1"/>
      <c r="AL83" s="1"/>
      <c r="AM83" s="1"/>
      <c r="AN83" s="1"/>
      <c r="AO83" s="1"/>
      <c r="AP83" s="1" t="s">
        <v>3</v>
      </c>
      <c r="AQ83" s="1" t="s">
        <v>3</v>
      </c>
      <c r="AR83" s="1" t="s">
        <v>3</v>
      </c>
      <c r="AS83" s="1"/>
      <c r="AT83" s="1"/>
      <c r="AU83" s="1"/>
      <c r="AV83" s="1"/>
      <c r="AW83" s="1"/>
      <c r="AX83" s="1"/>
      <c r="AY83" s="1"/>
      <c r="AZ83" s="1" t="s">
        <v>3</v>
      </c>
      <c r="BA83" s="1"/>
      <c r="BB83" s="1" t="s">
        <v>3</v>
      </c>
      <c r="BC83" s="1" t="s">
        <v>3</v>
      </c>
      <c r="BD83" s="1" t="s">
        <v>3</v>
      </c>
      <c r="BE83" s="1" t="s">
        <v>3</v>
      </c>
      <c r="BF83" s="1" t="s">
        <v>3</v>
      </c>
      <c r="BG83" s="1" t="s">
        <v>3</v>
      </c>
      <c r="BH83" s="1" t="s">
        <v>3</v>
      </c>
      <c r="BI83" s="1" t="s">
        <v>3</v>
      </c>
      <c r="BJ83" s="1" t="s">
        <v>3</v>
      </c>
      <c r="BK83" s="1" t="s">
        <v>3</v>
      </c>
      <c r="BL83" s="1" t="s">
        <v>3</v>
      </c>
      <c r="BM83" s="1" t="s">
        <v>3</v>
      </c>
      <c r="BN83" s="1" t="s">
        <v>3</v>
      </c>
      <c r="BO83" s="1" t="s">
        <v>3</v>
      </c>
      <c r="BP83" s="1" t="s">
        <v>3</v>
      </c>
      <c r="BQ83" s="1"/>
      <c r="BR83" s="1"/>
      <c r="BS83" s="1"/>
      <c r="BT83" s="1"/>
      <c r="BU83" s="1"/>
      <c r="BV83" s="1"/>
      <c r="BW83" s="1"/>
      <c r="BX83" s="1">
        <v>0</v>
      </c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>
        <v>0</v>
      </c>
    </row>
    <row r="84" spans="1:255" ht="13.05" customHeight="1" x14ac:dyDescent="0.25"/>
    <row r="85" spans="1:255" ht="13.05" customHeight="1" x14ac:dyDescent="0.25">
      <c r="A85" s="3">
        <v>52</v>
      </c>
      <c r="B85" s="3">
        <f t="shared" ref="B85:G85" si="25">B106</f>
        <v>1</v>
      </c>
      <c r="C85" s="3">
        <f t="shared" si="25"/>
        <v>4</v>
      </c>
      <c r="D85" s="3">
        <f t="shared" si="25"/>
        <v>83</v>
      </c>
      <c r="E85" s="3">
        <f t="shared" si="25"/>
        <v>0</v>
      </c>
      <c r="F85" s="3" t="str">
        <f t="shared" si="25"/>
        <v>Новый раздел</v>
      </c>
      <c r="G85" s="3" t="str">
        <f t="shared" si="25"/>
        <v>Раздел 2. Демонтажные работы</v>
      </c>
      <c r="H85" s="3"/>
      <c r="I85" s="3"/>
      <c r="J85" s="3"/>
      <c r="K85" s="3"/>
      <c r="L85" s="3"/>
      <c r="M85" s="3"/>
      <c r="N85" s="3"/>
      <c r="O85" s="3">
        <f t="shared" ref="O85:AT85" si="26">O106</f>
        <v>48653.45</v>
      </c>
      <c r="P85" s="3">
        <f t="shared" si="26"/>
        <v>534.86</v>
      </c>
      <c r="Q85" s="3">
        <f t="shared" si="26"/>
        <v>12501.67</v>
      </c>
      <c r="R85" s="3">
        <f t="shared" si="26"/>
        <v>3152.6</v>
      </c>
      <c r="S85" s="3">
        <f t="shared" si="26"/>
        <v>32464.32</v>
      </c>
      <c r="T85" s="3">
        <f t="shared" si="26"/>
        <v>0</v>
      </c>
      <c r="U85" s="3">
        <f t="shared" si="26"/>
        <v>103.193732</v>
      </c>
      <c r="V85" s="3">
        <f t="shared" si="26"/>
        <v>7.3143450000000003</v>
      </c>
      <c r="W85" s="3">
        <f t="shared" si="26"/>
        <v>0</v>
      </c>
      <c r="X85" s="3">
        <f t="shared" si="26"/>
        <v>33528.589999999997</v>
      </c>
      <c r="Y85" s="3">
        <f t="shared" si="26"/>
        <v>17278.689999999999</v>
      </c>
      <c r="Z85" s="3">
        <f t="shared" si="26"/>
        <v>0</v>
      </c>
      <c r="AA85" s="3">
        <f t="shared" si="26"/>
        <v>0</v>
      </c>
      <c r="AB85" s="3">
        <f t="shared" si="26"/>
        <v>48653.45</v>
      </c>
      <c r="AC85" s="3">
        <f t="shared" si="26"/>
        <v>534.86</v>
      </c>
      <c r="AD85" s="3">
        <f t="shared" si="26"/>
        <v>12501.67</v>
      </c>
      <c r="AE85" s="3">
        <f t="shared" si="26"/>
        <v>3152.6</v>
      </c>
      <c r="AF85" s="3">
        <f t="shared" si="26"/>
        <v>32464.32</v>
      </c>
      <c r="AG85" s="3">
        <f t="shared" si="26"/>
        <v>0</v>
      </c>
      <c r="AH85" s="3">
        <f t="shared" si="26"/>
        <v>103.193732</v>
      </c>
      <c r="AI85" s="3">
        <f t="shared" si="26"/>
        <v>7.3143450000000003</v>
      </c>
      <c r="AJ85" s="3">
        <f t="shared" si="26"/>
        <v>0</v>
      </c>
      <c r="AK85" s="3">
        <f t="shared" si="26"/>
        <v>33528.589999999997</v>
      </c>
      <c r="AL85" s="3">
        <f t="shared" si="26"/>
        <v>17278.689999999999</v>
      </c>
      <c r="AM85" s="3">
        <f t="shared" si="26"/>
        <v>0</v>
      </c>
      <c r="AN85" s="3">
        <f t="shared" si="26"/>
        <v>0</v>
      </c>
      <c r="AO85" s="3">
        <f t="shared" si="26"/>
        <v>0</v>
      </c>
      <c r="AP85" s="3">
        <f t="shared" si="26"/>
        <v>0</v>
      </c>
      <c r="AQ85" s="3">
        <f t="shared" si="26"/>
        <v>0</v>
      </c>
      <c r="AR85" s="3">
        <f t="shared" si="26"/>
        <v>101997.26</v>
      </c>
      <c r="AS85" s="3">
        <f t="shared" si="26"/>
        <v>101997.26</v>
      </c>
      <c r="AT85" s="3">
        <f t="shared" si="26"/>
        <v>0</v>
      </c>
      <c r="AU85" s="3">
        <f t="shared" ref="AU85:BZ85" si="27">AU106</f>
        <v>0</v>
      </c>
      <c r="AV85" s="3">
        <f t="shared" si="27"/>
        <v>534.86</v>
      </c>
      <c r="AW85" s="3">
        <f t="shared" si="27"/>
        <v>534.86</v>
      </c>
      <c r="AX85" s="3">
        <f t="shared" si="27"/>
        <v>0</v>
      </c>
      <c r="AY85" s="3">
        <f t="shared" si="27"/>
        <v>534.86</v>
      </c>
      <c r="AZ85" s="3">
        <f t="shared" si="27"/>
        <v>0</v>
      </c>
      <c r="BA85" s="3">
        <f t="shared" si="27"/>
        <v>0</v>
      </c>
      <c r="BB85" s="3">
        <f t="shared" si="27"/>
        <v>0</v>
      </c>
      <c r="BC85" s="3">
        <f t="shared" si="27"/>
        <v>0</v>
      </c>
      <c r="BD85" s="3">
        <f t="shared" si="27"/>
        <v>2536.5300000000002</v>
      </c>
      <c r="BE85" s="3">
        <f t="shared" si="27"/>
        <v>0</v>
      </c>
      <c r="BF85" s="3">
        <f t="shared" si="27"/>
        <v>0</v>
      </c>
      <c r="BG85" s="3">
        <f t="shared" si="27"/>
        <v>0</v>
      </c>
      <c r="BH85" s="3">
        <f t="shared" si="27"/>
        <v>0</v>
      </c>
      <c r="BI85" s="3">
        <f t="shared" si="27"/>
        <v>0</v>
      </c>
      <c r="BJ85" s="3">
        <f t="shared" si="27"/>
        <v>0</v>
      </c>
      <c r="BK85" s="3">
        <f t="shared" si="27"/>
        <v>0</v>
      </c>
      <c r="BL85" s="3">
        <f t="shared" si="27"/>
        <v>0</v>
      </c>
      <c r="BM85" s="3">
        <f t="shared" si="27"/>
        <v>0</v>
      </c>
      <c r="BN85" s="3">
        <f t="shared" si="27"/>
        <v>0</v>
      </c>
      <c r="BO85" s="3">
        <f t="shared" si="27"/>
        <v>0</v>
      </c>
      <c r="BP85" s="3">
        <f t="shared" si="27"/>
        <v>0</v>
      </c>
      <c r="BQ85" s="3">
        <f t="shared" si="27"/>
        <v>0</v>
      </c>
      <c r="BR85" s="3">
        <f t="shared" si="27"/>
        <v>0</v>
      </c>
      <c r="BS85" s="3">
        <f t="shared" si="27"/>
        <v>0</v>
      </c>
      <c r="BT85" s="3">
        <f t="shared" si="27"/>
        <v>0</v>
      </c>
      <c r="BU85" s="3">
        <f t="shared" si="27"/>
        <v>0</v>
      </c>
      <c r="BV85" s="3">
        <f t="shared" si="27"/>
        <v>0</v>
      </c>
      <c r="BW85" s="3">
        <f t="shared" si="27"/>
        <v>0</v>
      </c>
      <c r="BX85" s="3">
        <f t="shared" si="27"/>
        <v>0</v>
      </c>
      <c r="BY85" s="3">
        <f t="shared" si="27"/>
        <v>0</v>
      </c>
      <c r="BZ85" s="3">
        <f t="shared" si="27"/>
        <v>0</v>
      </c>
      <c r="CA85" s="3">
        <f t="shared" ref="CA85:DF85" si="28">CA106</f>
        <v>101997.26</v>
      </c>
      <c r="CB85" s="3">
        <f t="shared" si="28"/>
        <v>101997.26</v>
      </c>
      <c r="CC85" s="3">
        <f t="shared" si="28"/>
        <v>0</v>
      </c>
      <c r="CD85" s="3">
        <f t="shared" si="28"/>
        <v>0</v>
      </c>
      <c r="CE85" s="3">
        <f t="shared" si="28"/>
        <v>534.86</v>
      </c>
      <c r="CF85" s="3">
        <f t="shared" si="28"/>
        <v>534.86</v>
      </c>
      <c r="CG85" s="3">
        <f t="shared" si="28"/>
        <v>0</v>
      </c>
      <c r="CH85" s="3">
        <f t="shared" si="28"/>
        <v>534.86</v>
      </c>
      <c r="CI85" s="3">
        <f t="shared" si="28"/>
        <v>0</v>
      </c>
      <c r="CJ85" s="3">
        <f t="shared" si="28"/>
        <v>0</v>
      </c>
      <c r="CK85" s="3">
        <f t="shared" si="28"/>
        <v>0</v>
      </c>
      <c r="CL85" s="3">
        <f t="shared" si="28"/>
        <v>0</v>
      </c>
      <c r="CM85" s="3">
        <f t="shared" si="28"/>
        <v>2536.5300000000002</v>
      </c>
      <c r="CN85" s="3">
        <f t="shared" si="28"/>
        <v>0</v>
      </c>
      <c r="CO85" s="3">
        <f t="shared" si="28"/>
        <v>0</v>
      </c>
      <c r="CP85" s="3">
        <f t="shared" si="28"/>
        <v>0</v>
      </c>
      <c r="CQ85" s="3">
        <f t="shared" si="28"/>
        <v>0</v>
      </c>
      <c r="CR85" s="3">
        <f t="shared" si="28"/>
        <v>0</v>
      </c>
      <c r="CS85" s="3">
        <f t="shared" si="28"/>
        <v>0</v>
      </c>
      <c r="CT85" s="3">
        <f t="shared" si="28"/>
        <v>0</v>
      </c>
      <c r="CU85" s="3">
        <f t="shared" si="28"/>
        <v>0</v>
      </c>
      <c r="CV85" s="3">
        <f t="shared" si="28"/>
        <v>0</v>
      </c>
      <c r="CW85" s="3">
        <f t="shared" si="28"/>
        <v>0</v>
      </c>
      <c r="CX85" s="3">
        <f t="shared" si="28"/>
        <v>0</v>
      </c>
      <c r="CY85" s="3">
        <f t="shared" si="28"/>
        <v>0</v>
      </c>
      <c r="CZ85" s="3">
        <f t="shared" si="28"/>
        <v>0</v>
      </c>
      <c r="DA85" s="3">
        <f t="shared" si="28"/>
        <v>0</v>
      </c>
      <c r="DB85" s="3">
        <f t="shared" si="28"/>
        <v>0</v>
      </c>
      <c r="DC85" s="3">
        <f t="shared" si="28"/>
        <v>0</v>
      </c>
      <c r="DD85" s="3">
        <f t="shared" si="28"/>
        <v>0</v>
      </c>
      <c r="DE85" s="3">
        <f t="shared" si="28"/>
        <v>0</v>
      </c>
      <c r="DF85" s="3">
        <f t="shared" si="28"/>
        <v>0</v>
      </c>
      <c r="DG85" s="4">
        <f t="shared" ref="DG85:EL85" si="29">DG106</f>
        <v>0</v>
      </c>
      <c r="DH85" s="4">
        <f t="shared" si="29"/>
        <v>0</v>
      </c>
      <c r="DI85" s="4">
        <f t="shared" si="29"/>
        <v>0</v>
      </c>
      <c r="DJ85" s="4">
        <f t="shared" si="29"/>
        <v>0</v>
      </c>
      <c r="DK85" s="4">
        <f t="shared" si="29"/>
        <v>0</v>
      </c>
      <c r="DL85" s="4">
        <f t="shared" si="29"/>
        <v>0</v>
      </c>
      <c r="DM85" s="4">
        <f t="shared" si="29"/>
        <v>0</v>
      </c>
      <c r="DN85" s="4">
        <f t="shared" si="29"/>
        <v>0</v>
      </c>
      <c r="DO85" s="4">
        <f t="shared" si="29"/>
        <v>0</v>
      </c>
      <c r="DP85" s="4">
        <f t="shared" si="29"/>
        <v>0</v>
      </c>
      <c r="DQ85" s="4">
        <f t="shared" si="29"/>
        <v>0</v>
      </c>
      <c r="DR85" s="4">
        <f t="shared" si="29"/>
        <v>0</v>
      </c>
      <c r="DS85" s="4">
        <f t="shared" si="29"/>
        <v>0</v>
      </c>
      <c r="DT85" s="4">
        <f t="shared" si="29"/>
        <v>0</v>
      </c>
      <c r="DU85" s="4">
        <f t="shared" si="29"/>
        <v>0</v>
      </c>
      <c r="DV85" s="4">
        <f t="shared" si="29"/>
        <v>0</v>
      </c>
      <c r="DW85" s="4">
        <f t="shared" si="29"/>
        <v>0</v>
      </c>
      <c r="DX85" s="4">
        <f t="shared" si="29"/>
        <v>0</v>
      </c>
      <c r="DY85" s="4">
        <f t="shared" si="29"/>
        <v>0</v>
      </c>
      <c r="DZ85" s="4">
        <f t="shared" si="29"/>
        <v>0</v>
      </c>
      <c r="EA85" s="4">
        <f t="shared" si="29"/>
        <v>0</v>
      </c>
      <c r="EB85" s="4">
        <f t="shared" si="29"/>
        <v>0</v>
      </c>
      <c r="EC85" s="4">
        <f t="shared" si="29"/>
        <v>0</v>
      </c>
      <c r="ED85" s="4">
        <f t="shared" si="29"/>
        <v>0</v>
      </c>
      <c r="EE85" s="4">
        <f t="shared" si="29"/>
        <v>0</v>
      </c>
      <c r="EF85" s="4">
        <f t="shared" si="29"/>
        <v>0</v>
      </c>
      <c r="EG85" s="4">
        <f t="shared" si="29"/>
        <v>0</v>
      </c>
      <c r="EH85" s="4">
        <f t="shared" si="29"/>
        <v>0</v>
      </c>
      <c r="EI85" s="4">
        <f t="shared" si="29"/>
        <v>0</v>
      </c>
      <c r="EJ85" s="4">
        <f t="shared" si="29"/>
        <v>0</v>
      </c>
      <c r="EK85" s="4">
        <f t="shared" si="29"/>
        <v>0</v>
      </c>
      <c r="EL85" s="4">
        <f t="shared" si="29"/>
        <v>0</v>
      </c>
      <c r="EM85" s="4">
        <f t="shared" ref="EM85:FR85" si="30">EM106</f>
        <v>0</v>
      </c>
      <c r="EN85" s="4">
        <f t="shared" si="30"/>
        <v>0</v>
      </c>
      <c r="EO85" s="4">
        <f t="shared" si="30"/>
        <v>0</v>
      </c>
      <c r="EP85" s="4">
        <f t="shared" si="30"/>
        <v>0</v>
      </c>
      <c r="EQ85" s="4">
        <f t="shared" si="30"/>
        <v>0</v>
      </c>
      <c r="ER85" s="4">
        <f t="shared" si="30"/>
        <v>0</v>
      </c>
      <c r="ES85" s="4">
        <f t="shared" si="30"/>
        <v>0</v>
      </c>
      <c r="ET85" s="4">
        <f t="shared" si="30"/>
        <v>0</v>
      </c>
      <c r="EU85" s="4">
        <f t="shared" si="30"/>
        <v>0</v>
      </c>
      <c r="EV85" s="4">
        <f t="shared" si="30"/>
        <v>0</v>
      </c>
      <c r="EW85" s="4">
        <f t="shared" si="30"/>
        <v>0</v>
      </c>
      <c r="EX85" s="4">
        <f t="shared" si="30"/>
        <v>0</v>
      </c>
      <c r="EY85" s="4">
        <f t="shared" si="30"/>
        <v>0</v>
      </c>
      <c r="EZ85" s="4">
        <f t="shared" si="30"/>
        <v>0</v>
      </c>
      <c r="FA85" s="4">
        <f t="shared" si="30"/>
        <v>0</v>
      </c>
      <c r="FB85" s="4">
        <f t="shared" si="30"/>
        <v>0</v>
      </c>
      <c r="FC85" s="4">
        <f t="shared" si="30"/>
        <v>0</v>
      </c>
      <c r="FD85" s="4">
        <f t="shared" si="30"/>
        <v>0</v>
      </c>
      <c r="FE85" s="4">
        <f t="shared" si="30"/>
        <v>0</v>
      </c>
      <c r="FF85" s="4">
        <f t="shared" si="30"/>
        <v>0</v>
      </c>
      <c r="FG85" s="4">
        <f t="shared" si="30"/>
        <v>0</v>
      </c>
      <c r="FH85" s="4">
        <f t="shared" si="30"/>
        <v>0</v>
      </c>
      <c r="FI85" s="4">
        <f t="shared" si="30"/>
        <v>0</v>
      </c>
      <c r="FJ85" s="4">
        <f t="shared" si="30"/>
        <v>0</v>
      </c>
      <c r="FK85" s="4">
        <f t="shared" si="30"/>
        <v>0</v>
      </c>
      <c r="FL85" s="4">
        <f t="shared" si="30"/>
        <v>0</v>
      </c>
      <c r="FM85" s="4">
        <f t="shared" si="30"/>
        <v>0</v>
      </c>
      <c r="FN85" s="4">
        <f t="shared" si="30"/>
        <v>0</v>
      </c>
      <c r="FO85" s="4">
        <f t="shared" si="30"/>
        <v>0</v>
      </c>
      <c r="FP85" s="4">
        <f t="shared" si="30"/>
        <v>0</v>
      </c>
      <c r="FQ85" s="4">
        <f t="shared" si="30"/>
        <v>0</v>
      </c>
      <c r="FR85" s="4">
        <f t="shared" si="30"/>
        <v>0</v>
      </c>
      <c r="FS85" s="4">
        <f t="shared" ref="FS85:GX85" si="31">FS106</f>
        <v>0</v>
      </c>
      <c r="FT85" s="4">
        <f t="shared" si="31"/>
        <v>0</v>
      </c>
      <c r="FU85" s="4">
        <f t="shared" si="31"/>
        <v>0</v>
      </c>
      <c r="FV85" s="4">
        <f t="shared" si="31"/>
        <v>0</v>
      </c>
      <c r="FW85" s="4">
        <f t="shared" si="31"/>
        <v>0</v>
      </c>
      <c r="FX85" s="4">
        <f t="shared" si="31"/>
        <v>0</v>
      </c>
      <c r="FY85" s="4">
        <f t="shared" si="31"/>
        <v>0</v>
      </c>
      <c r="FZ85" s="4">
        <f t="shared" si="31"/>
        <v>0</v>
      </c>
      <c r="GA85" s="4">
        <f t="shared" si="31"/>
        <v>0</v>
      </c>
      <c r="GB85" s="4">
        <f t="shared" si="31"/>
        <v>0</v>
      </c>
      <c r="GC85" s="4">
        <f t="shared" si="31"/>
        <v>0</v>
      </c>
      <c r="GD85" s="4">
        <f t="shared" si="31"/>
        <v>0</v>
      </c>
      <c r="GE85" s="4">
        <f t="shared" si="31"/>
        <v>0</v>
      </c>
      <c r="GF85" s="4">
        <f t="shared" si="31"/>
        <v>0</v>
      </c>
      <c r="GG85" s="4">
        <f t="shared" si="31"/>
        <v>0</v>
      </c>
      <c r="GH85" s="4">
        <f t="shared" si="31"/>
        <v>0</v>
      </c>
      <c r="GI85" s="4">
        <f t="shared" si="31"/>
        <v>0</v>
      </c>
      <c r="GJ85" s="4">
        <f t="shared" si="31"/>
        <v>0</v>
      </c>
      <c r="GK85" s="4">
        <f t="shared" si="31"/>
        <v>0</v>
      </c>
      <c r="GL85" s="4">
        <f t="shared" si="31"/>
        <v>0</v>
      </c>
      <c r="GM85" s="4">
        <f t="shared" si="31"/>
        <v>0</v>
      </c>
      <c r="GN85" s="4">
        <f t="shared" si="31"/>
        <v>0</v>
      </c>
      <c r="GO85" s="4">
        <f t="shared" si="31"/>
        <v>0</v>
      </c>
      <c r="GP85" s="4">
        <f t="shared" si="31"/>
        <v>0</v>
      </c>
      <c r="GQ85" s="4">
        <f t="shared" si="31"/>
        <v>0</v>
      </c>
      <c r="GR85" s="4">
        <f t="shared" si="31"/>
        <v>0</v>
      </c>
      <c r="GS85" s="4">
        <f t="shared" si="31"/>
        <v>0</v>
      </c>
      <c r="GT85" s="4">
        <f t="shared" si="31"/>
        <v>0</v>
      </c>
      <c r="GU85" s="4">
        <f t="shared" si="31"/>
        <v>0</v>
      </c>
      <c r="GV85" s="4">
        <f t="shared" si="31"/>
        <v>0</v>
      </c>
      <c r="GW85" s="4">
        <f t="shared" si="31"/>
        <v>0</v>
      </c>
      <c r="GX85" s="4">
        <f t="shared" si="31"/>
        <v>0</v>
      </c>
    </row>
    <row r="86" spans="1:255" ht="13.05" customHeight="1" x14ac:dyDescent="0.25"/>
    <row r="87" spans="1:255" ht="13.05" customHeight="1" x14ac:dyDescent="0.25">
      <c r="A87" s="2">
        <v>17</v>
      </c>
      <c r="B87" s="2">
        <v>1</v>
      </c>
      <c r="C87" s="2">
        <f>ROW(SmtRes!A29)</f>
        <v>29</v>
      </c>
      <c r="D87" s="2">
        <f>ROW(EtalonRes!A29)</f>
        <v>29</v>
      </c>
      <c r="E87" s="2" t="s">
        <v>161</v>
      </c>
      <c r="F87" s="2" t="s">
        <v>162</v>
      </c>
      <c r="G87" s="2" t="s">
        <v>163</v>
      </c>
      <c r="H87" s="2" t="s">
        <v>25</v>
      </c>
      <c r="I87" s="2">
        <v>0.36</v>
      </c>
      <c r="J87" s="2">
        <v>0</v>
      </c>
      <c r="K87" s="2">
        <v>0.36</v>
      </c>
      <c r="L87" s="2"/>
      <c r="M87" s="2"/>
      <c r="N87" s="2"/>
      <c r="O87" s="2">
        <f>ROUND(CP87,2)</f>
        <v>13258.65</v>
      </c>
      <c r="P87" s="2">
        <f>SUMIF(SmtRes!AQ28:'SmtRes'!AQ29,"=1",SmtRes!DF28:'SmtRes'!DF29)</f>
        <v>0</v>
      </c>
      <c r="Q87" s="2">
        <f>SUMIF(SmtRes!AQ28:'SmtRes'!AQ29,"=1",SmtRes!DG28:'SmtRes'!DG29)</f>
        <v>2625.02</v>
      </c>
      <c r="R87" s="2">
        <f>SUMIF(SmtRes!AQ28:'SmtRes'!AQ29,"=1",SmtRes!DH28:'SmtRes'!DH29)</f>
        <v>0</v>
      </c>
      <c r="S87" s="2">
        <f>SUMIF(SmtRes!AQ28:'SmtRes'!AQ29,"=1",SmtRes!DI28:'SmtRes'!DI29)</f>
        <v>10633.63</v>
      </c>
      <c r="T87" s="2">
        <f>ROUND(CU87*I87,2)</f>
        <v>0</v>
      </c>
      <c r="U87" s="2">
        <f>SUMIF(SmtRes!AQ28:'SmtRes'!AQ29,"=1",SmtRes!CV28:'SmtRes'!CV29)</f>
        <v>35.5212</v>
      </c>
      <c r="V87" s="2">
        <f>SUMIF(SmtRes!AQ28:'SmtRes'!AQ29,"=1",SmtRes!CW28:'SmtRes'!CW29)</f>
        <v>0</v>
      </c>
      <c r="W87" s="2">
        <f>ROUND(CX87*I87,2)</f>
        <v>0</v>
      </c>
      <c r="X87" s="2">
        <f>ROUND(CY87,2)</f>
        <v>9463.93</v>
      </c>
      <c r="Y87" s="2">
        <f>ROUND(CZ87,2)</f>
        <v>4359.79</v>
      </c>
      <c r="Z87" s="2"/>
      <c r="AA87" s="2">
        <v>75604747</v>
      </c>
      <c r="AB87" s="2">
        <f>ROUND((AC87+AD87+AF87),6)</f>
        <v>33826.707199999997</v>
      </c>
      <c r="AC87" s="2">
        <f>ROUND((0),6)</f>
        <v>0</v>
      </c>
      <c r="AD87" s="2">
        <f>ROUND((((SUM(SmtRes!BR28:'SmtRes'!BR29))-(0))+AE87),6)</f>
        <v>4288.8559999999998</v>
      </c>
      <c r="AE87" s="2">
        <f>ROUND((0),6)</f>
        <v>0</v>
      </c>
      <c r="AF87" s="2">
        <f>ROUND((SUM(SmtRes!BT28:'SmtRes'!BT29)),6)</f>
        <v>29537.851200000001</v>
      </c>
      <c r="AG87" s="2">
        <f>ROUND((AP87),6)</f>
        <v>0</v>
      </c>
      <c r="AH87" s="2">
        <f>(SUM(SmtRes!BU28:'SmtRes'!BU29))</f>
        <v>98.669999999999987</v>
      </c>
      <c r="AI87" s="2">
        <f>(0)</f>
        <v>0</v>
      </c>
      <c r="AJ87" s="2">
        <f>(AS87)</f>
        <v>0</v>
      </c>
      <c r="AK87" s="2">
        <v>29414.527999999998</v>
      </c>
      <c r="AL87" s="2">
        <v>0</v>
      </c>
      <c r="AM87" s="2">
        <v>3729.4399999999996</v>
      </c>
      <c r="AN87" s="2">
        <v>0</v>
      </c>
      <c r="AO87" s="2">
        <v>25685.088</v>
      </c>
      <c r="AP87" s="2">
        <v>0</v>
      </c>
      <c r="AQ87" s="2">
        <v>85.8</v>
      </c>
      <c r="AR87" s="2">
        <v>0</v>
      </c>
      <c r="AS87" s="2">
        <v>0</v>
      </c>
      <c r="AT87" s="2">
        <v>89</v>
      </c>
      <c r="AU87" s="2">
        <v>41</v>
      </c>
      <c r="AV87" s="2">
        <v>1</v>
      </c>
      <c r="AW87" s="2">
        <v>1</v>
      </c>
      <c r="AX87" s="2"/>
      <c r="AY87" s="2"/>
      <c r="AZ87" s="2">
        <v>1</v>
      </c>
      <c r="BA87" s="2">
        <v>1</v>
      </c>
      <c r="BB87" s="2">
        <v>1</v>
      </c>
      <c r="BC87" s="2">
        <v>1</v>
      </c>
      <c r="BD87" s="2" t="s">
        <v>3</v>
      </c>
      <c r="BE87" s="2" t="s">
        <v>3</v>
      </c>
      <c r="BF87" s="2" t="s">
        <v>3</v>
      </c>
      <c r="BG87" s="2" t="s">
        <v>3</v>
      </c>
      <c r="BH87" s="2">
        <v>0</v>
      </c>
      <c r="BI87" s="2">
        <v>1</v>
      </c>
      <c r="BJ87" s="2" t="s">
        <v>164</v>
      </c>
      <c r="BK87" s="2"/>
      <c r="BL87" s="2"/>
      <c r="BM87" s="2">
        <v>1007</v>
      </c>
      <c r="BN87" s="2">
        <v>0</v>
      </c>
      <c r="BO87" s="2" t="s">
        <v>3</v>
      </c>
      <c r="BP87" s="2">
        <v>0</v>
      </c>
      <c r="BQ87" s="2">
        <v>2</v>
      </c>
      <c r="BR87" s="2">
        <v>0</v>
      </c>
      <c r="BS87" s="2">
        <v>1</v>
      </c>
      <c r="BT87" s="2">
        <v>1</v>
      </c>
      <c r="BU87" s="2">
        <v>1</v>
      </c>
      <c r="BV87" s="2">
        <v>1</v>
      </c>
      <c r="BW87" s="2">
        <v>1</v>
      </c>
      <c r="BX87" s="2">
        <v>1</v>
      </c>
      <c r="BY87" s="2" t="s">
        <v>3</v>
      </c>
      <c r="BZ87" s="2">
        <v>89</v>
      </c>
      <c r="CA87" s="2">
        <v>41</v>
      </c>
      <c r="CB87" s="2" t="s">
        <v>3</v>
      </c>
      <c r="CC87" s="2"/>
      <c r="CD87" s="2"/>
      <c r="CE87" s="2">
        <v>0</v>
      </c>
      <c r="CF87" s="2">
        <v>0</v>
      </c>
      <c r="CG87" s="2">
        <v>0</v>
      </c>
      <c r="CH87" s="2"/>
      <c r="CI87" s="2"/>
      <c r="CJ87" s="2"/>
      <c r="CK87" s="2"/>
      <c r="CL87" s="2"/>
      <c r="CM87" s="2">
        <v>0</v>
      </c>
      <c r="CN87" s="7" t="s">
        <v>802</v>
      </c>
      <c r="CO87" s="2">
        <v>0</v>
      </c>
      <c r="CP87" s="2">
        <f>(P87+Q87+S87+R87)</f>
        <v>13258.65</v>
      </c>
      <c r="CQ87" s="2">
        <f>SUMIF(SmtRes!AQ28:'SmtRes'!AQ29,"=1",SmtRes!AA28:'SmtRes'!AA29)</f>
        <v>0</v>
      </c>
      <c r="CR87" s="2">
        <f>SUMIF(SmtRes!AQ28:'SmtRes'!AQ29,"=1",SmtRes!AB28:'SmtRes'!AB29)</f>
        <v>22.17</v>
      </c>
      <c r="CS87" s="2">
        <f>SUMIF(SmtRes!AQ28:'SmtRes'!AQ29,"=1",SmtRes!AC28:'SmtRes'!AC29)</f>
        <v>0</v>
      </c>
      <c r="CT87" s="2">
        <f>SUMIF(SmtRes!AQ28:'SmtRes'!AQ29,"=1",SmtRes!AD28:'SmtRes'!AD29)</f>
        <v>299.36</v>
      </c>
      <c r="CU87" s="2">
        <f>AG87</f>
        <v>0</v>
      </c>
      <c r="CV87" s="2">
        <f>SUMIF(SmtRes!AQ28:'SmtRes'!AQ29,"=1",SmtRes!BU28:'SmtRes'!BU29)</f>
        <v>98.669999999999987</v>
      </c>
      <c r="CW87" s="2">
        <f>SUMIF(SmtRes!AQ28:'SmtRes'!AQ29,"=1",SmtRes!BV28:'SmtRes'!BV29)</f>
        <v>0</v>
      </c>
      <c r="CX87" s="2">
        <f>AJ87</f>
        <v>0</v>
      </c>
      <c r="CY87" s="2">
        <f>(((S87+R87)*AT87)/100)</f>
        <v>9463.930699999999</v>
      </c>
      <c r="CZ87" s="2">
        <f>(((S87+R87)*AU87)/100)</f>
        <v>4359.7882999999993</v>
      </c>
      <c r="DA87" s="2"/>
      <c r="DB87" s="2">
        <v>14</v>
      </c>
      <c r="DC87" s="2" t="s">
        <v>3</v>
      </c>
      <c r="DD87" s="2" t="s">
        <v>3</v>
      </c>
      <c r="DE87" s="2" t="s">
        <v>27</v>
      </c>
      <c r="DF87" s="2" t="s">
        <v>27</v>
      </c>
      <c r="DG87" s="2" t="s">
        <v>27</v>
      </c>
      <c r="DH87" s="2" t="s">
        <v>3</v>
      </c>
      <c r="DI87" s="2" t="s">
        <v>27</v>
      </c>
      <c r="DJ87" s="2" t="s">
        <v>27</v>
      </c>
      <c r="DK87" s="2" t="s">
        <v>3</v>
      </c>
      <c r="DL87" s="2" t="s">
        <v>3</v>
      </c>
      <c r="DM87" s="2" t="s">
        <v>3</v>
      </c>
      <c r="DN87" s="2">
        <v>0</v>
      </c>
      <c r="DO87" s="2">
        <v>0</v>
      </c>
      <c r="DP87" s="2">
        <v>1</v>
      </c>
      <c r="DQ87" s="2">
        <v>1</v>
      </c>
      <c r="DR87" s="2"/>
      <c r="DS87" s="2"/>
      <c r="DT87" s="2"/>
      <c r="DU87" s="2">
        <v>1007</v>
      </c>
      <c r="DV87" s="2" t="s">
        <v>25</v>
      </c>
      <c r="DW87" s="2" t="s">
        <v>25</v>
      </c>
      <c r="DX87" s="2">
        <v>100</v>
      </c>
      <c r="DY87" s="2"/>
      <c r="DZ87" s="2" t="s">
        <v>3</v>
      </c>
      <c r="EA87" s="2" t="s">
        <v>3</v>
      </c>
      <c r="EB87" s="2" t="s">
        <v>3</v>
      </c>
      <c r="EC87" s="2" t="s">
        <v>3</v>
      </c>
      <c r="ED87" s="2"/>
      <c r="EE87" s="2">
        <v>74004177</v>
      </c>
      <c r="EF87" s="2">
        <v>2</v>
      </c>
      <c r="EG87" s="2" t="s">
        <v>29</v>
      </c>
      <c r="EH87" s="2">
        <v>1</v>
      </c>
      <c r="EI87" s="2" t="s">
        <v>18</v>
      </c>
      <c r="EJ87" s="2">
        <v>1</v>
      </c>
      <c r="EK87" s="2">
        <v>1007</v>
      </c>
      <c r="EL87" s="2" t="s">
        <v>91</v>
      </c>
      <c r="EM87" s="2" t="s">
        <v>31</v>
      </c>
      <c r="EN87" s="2"/>
      <c r="EO87" s="2" t="s">
        <v>39</v>
      </c>
      <c r="EP87" s="2"/>
      <c r="EQ87" s="2">
        <v>1835008</v>
      </c>
      <c r="ER87" s="2">
        <v>0</v>
      </c>
      <c r="ES87" s="2">
        <v>0</v>
      </c>
      <c r="ET87" s="2">
        <v>0</v>
      </c>
      <c r="EU87" s="2">
        <v>0</v>
      </c>
      <c r="EV87" s="2">
        <v>0</v>
      </c>
      <c r="EW87" s="2">
        <v>85.8</v>
      </c>
      <c r="EX87" s="2">
        <v>0</v>
      </c>
      <c r="EY87" s="2">
        <v>0</v>
      </c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>
        <v>0</v>
      </c>
      <c r="FR87" s="2">
        <v>0</v>
      </c>
      <c r="FS87" s="2">
        <v>0</v>
      </c>
      <c r="FT87" s="2"/>
      <c r="FU87" s="2"/>
      <c r="FV87" s="2"/>
      <c r="FW87" s="2"/>
      <c r="FX87" s="2">
        <v>89</v>
      </c>
      <c r="FY87" s="2">
        <v>41</v>
      </c>
      <c r="FZ87" s="2"/>
      <c r="GA87" s="2" t="s">
        <v>3</v>
      </c>
      <c r="GB87" s="2"/>
      <c r="GC87" s="2"/>
      <c r="GD87" s="2">
        <v>1</v>
      </c>
      <c r="GE87" s="2"/>
      <c r="GF87" s="2">
        <v>-18941062</v>
      </c>
      <c r="GG87" s="2">
        <v>2</v>
      </c>
      <c r="GH87" s="2">
        <v>1</v>
      </c>
      <c r="GI87" s="2">
        <v>-2</v>
      </c>
      <c r="GJ87" s="2">
        <v>0</v>
      </c>
      <c r="GK87" s="2">
        <v>0</v>
      </c>
      <c r="GL87" s="2">
        <f>ROUND(IF(AND(BH87=3,BI87=3,FS87&lt;&gt;0),P87,0),2)</f>
        <v>0</v>
      </c>
      <c r="GM87" s="2">
        <f>ROUND(O87+X87+Y87,2)+GX87</f>
        <v>27082.37</v>
      </c>
      <c r="GN87" s="2">
        <f>IF(OR(BI87=0,BI87=1),GM87-GX87,0)</f>
        <v>27082.37</v>
      </c>
      <c r="GO87" s="2">
        <f>IF(BI87=2,GM87-GX87,0)</f>
        <v>0</v>
      </c>
      <c r="GP87" s="2">
        <f>IF(BI87=4,GM87-GX87,0)</f>
        <v>0</v>
      </c>
      <c r="GQ87" s="2"/>
      <c r="GR87" s="2">
        <v>0</v>
      </c>
      <c r="GS87" s="2">
        <v>3</v>
      </c>
      <c r="GT87" s="2">
        <v>0</v>
      </c>
      <c r="GU87" s="2" t="s">
        <v>3</v>
      </c>
      <c r="GV87" s="2">
        <f>ROUND((GT87),6)</f>
        <v>0</v>
      </c>
      <c r="GW87" s="2">
        <v>1</v>
      </c>
      <c r="GX87" s="2">
        <f>ROUND(HC87*I87,2)</f>
        <v>0</v>
      </c>
      <c r="GY87" s="2"/>
      <c r="GZ87" s="2"/>
      <c r="HA87" s="2">
        <v>0</v>
      </c>
      <c r="HB87" s="2">
        <v>0</v>
      </c>
      <c r="HC87" s="2">
        <f>GV87*GW87</f>
        <v>0</v>
      </c>
      <c r="HD87" s="2"/>
      <c r="HE87" s="2" t="s">
        <v>3</v>
      </c>
      <c r="HF87" s="2" t="s">
        <v>3</v>
      </c>
      <c r="HG87" s="2"/>
      <c r="HH87" s="2"/>
      <c r="HI87" s="2"/>
      <c r="HJ87" s="2"/>
      <c r="HK87" s="2"/>
      <c r="HL87" s="2"/>
      <c r="HM87" s="2" t="s">
        <v>3</v>
      </c>
      <c r="HN87" s="2" t="s">
        <v>92</v>
      </c>
      <c r="HO87" s="2" t="s">
        <v>93</v>
      </c>
      <c r="HP87" s="2" t="s">
        <v>94</v>
      </c>
      <c r="HQ87" s="2" t="s">
        <v>94</v>
      </c>
      <c r="HR87" s="2"/>
      <c r="HS87" s="2">
        <v>0</v>
      </c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>
        <v>0</v>
      </c>
      <c r="IL87" s="2"/>
      <c r="IM87" s="2"/>
      <c r="IN87" s="2"/>
      <c r="IO87" s="2"/>
      <c r="IP87" s="2"/>
      <c r="IQ87" s="2"/>
      <c r="IR87" s="2"/>
      <c r="IS87" s="2"/>
      <c r="IT87" s="2"/>
      <c r="IU87" s="2"/>
    </row>
    <row r="88" spans="1:255" ht="13.05" customHeight="1" x14ac:dyDescent="0.25">
      <c r="A88">
        <v>19</v>
      </c>
      <c r="B88">
        <v>1</v>
      </c>
      <c r="F88" t="s">
        <v>3</v>
      </c>
      <c r="G88" t="s">
        <v>165</v>
      </c>
      <c r="H88" t="s">
        <v>3</v>
      </c>
      <c r="AA88">
        <v>1</v>
      </c>
      <c r="IK88">
        <v>0</v>
      </c>
    </row>
    <row r="89" spans="1:255" ht="13.05" customHeight="1" x14ac:dyDescent="0.25">
      <c r="A89" s="2">
        <v>17</v>
      </c>
      <c r="B89" s="2">
        <v>1</v>
      </c>
      <c r="C89" s="2">
        <f>ROW(SmtRes!A40)</f>
        <v>40</v>
      </c>
      <c r="D89" s="2">
        <f>ROW(EtalonRes!A40)</f>
        <v>40</v>
      </c>
      <c r="E89" s="2" t="s">
        <v>166</v>
      </c>
      <c r="F89" s="2" t="s">
        <v>167</v>
      </c>
      <c r="G89" s="2" t="s">
        <v>168</v>
      </c>
      <c r="H89" s="2" t="s">
        <v>169</v>
      </c>
      <c r="I89" s="2">
        <v>0.4</v>
      </c>
      <c r="J89" s="2">
        <v>0</v>
      </c>
      <c r="K89" s="2">
        <v>0.4</v>
      </c>
      <c r="L89" s="2"/>
      <c r="M89" s="2"/>
      <c r="N89" s="2"/>
      <c r="O89" s="2">
        <f>ROUND(CP89,2)</f>
        <v>8919.5400000000009</v>
      </c>
      <c r="P89" s="2">
        <f>SUMIF(SmtRes!AQ30:'SmtRes'!AQ40,"=1",SmtRes!DF30:'SmtRes'!DF40)</f>
        <v>164.13</v>
      </c>
      <c r="Q89" s="2">
        <f>SUMIF(SmtRes!AQ30:'SmtRes'!AQ40,"=1",SmtRes!DG30:'SmtRes'!DG40)</f>
        <v>4671.6499999999996</v>
      </c>
      <c r="R89" s="2">
        <f>SUMIF(SmtRes!AQ30:'SmtRes'!AQ40,"=1",SmtRes!DH30:'SmtRes'!DH40)</f>
        <v>1433.63</v>
      </c>
      <c r="S89" s="2">
        <f>SUMIF(SmtRes!AQ30:'SmtRes'!AQ40,"=1",SmtRes!DI30:'SmtRes'!DI40)</f>
        <v>2650.13</v>
      </c>
      <c r="T89" s="2">
        <f>ROUND(CU89*I89,2)</f>
        <v>0</v>
      </c>
      <c r="U89" s="2">
        <f>SUMIF(SmtRes!AQ30:'SmtRes'!AQ40,"=1",SmtRes!CV30:'SmtRes'!CV40)</f>
        <v>7.0011999999999999</v>
      </c>
      <c r="V89" s="2">
        <f>SUMIF(SmtRes!AQ30:'SmtRes'!AQ40,"=1",SmtRes!CW30:'SmtRes'!CW40)</f>
        <v>3.3902000000000001</v>
      </c>
      <c r="W89" s="2">
        <f>ROUND(CX89*I89,2)</f>
        <v>0</v>
      </c>
      <c r="X89" s="2">
        <f t="shared" ref="X89:Y91" si="32">ROUND(CY89,2)</f>
        <v>4778</v>
      </c>
      <c r="Y89" s="2">
        <f t="shared" si="32"/>
        <v>3021.98</v>
      </c>
      <c r="Z89" s="2"/>
      <c r="AA89" s="2">
        <v>75604747</v>
      </c>
      <c r="AB89" s="2">
        <f>ROUND((AC89+AD89+AF89),6)</f>
        <v>16147.073605</v>
      </c>
      <c r="AC89" s="2">
        <f>ROUND((SUM(SmtRes!BQ30:'SmtRes'!BQ40)),6)</f>
        <v>466.71607999999998</v>
      </c>
      <c r="AD89" s="2">
        <f>ROUND((((SUM(SmtRes!BR30:'SmtRes'!BR40))-(SUM(SmtRes!BS30:'SmtRes'!BS40)))+AE89),6)</f>
        <v>9055.0347949999996</v>
      </c>
      <c r="AE89" s="2">
        <f>ROUND((SUM(SmtRes!BS30:'SmtRes'!BS40)),6)</f>
        <v>3584.0810299999998</v>
      </c>
      <c r="AF89" s="2">
        <f>ROUND((SUM(SmtRes!BT30:'SmtRes'!BT40)),6)</f>
        <v>6625.3227299999999</v>
      </c>
      <c r="AG89" s="2">
        <f>ROUND((AP89),6)</f>
        <v>0</v>
      </c>
      <c r="AH89" s="2">
        <f>(SUM(SmtRes!BU30:'SmtRes'!BU40))</f>
        <v>17.503</v>
      </c>
      <c r="AI89" s="2">
        <f>(SUM(SmtRes!BV30:'SmtRes'!BV40))</f>
        <v>8.4755000000000003</v>
      </c>
      <c r="AJ89" s="2">
        <f>(AS89)</f>
        <v>0</v>
      </c>
      <c r="AK89" s="2">
        <v>17218.40178</v>
      </c>
      <c r="AL89" s="2">
        <v>466.71608000000003</v>
      </c>
      <c r="AM89" s="2">
        <v>7873.9432999999999</v>
      </c>
      <c r="AN89" s="2">
        <v>3116.5922</v>
      </c>
      <c r="AO89" s="2">
        <v>5761.1502</v>
      </c>
      <c r="AP89" s="2">
        <v>0</v>
      </c>
      <c r="AQ89" s="2">
        <v>15.219999999999999</v>
      </c>
      <c r="AR89" s="2">
        <v>7.37</v>
      </c>
      <c r="AS89" s="2">
        <v>0</v>
      </c>
      <c r="AT89" s="2">
        <v>117</v>
      </c>
      <c r="AU89" s="2">
        <v>74</v>
      </c>
      <c r="AV89" s="2">
        <v>1</v>
      </c>
      <c r="AW89" s="2">
        <v>1</v>
      </c>
      <c r="AX89" s="2"/>
      <c r="AY89" s="2"/>
      <c r="AZ89" s="2">
        <v>1</v>
      </c>
      <c r="BA89" s="2">
        <v>1</v>
      </c>
      <c r="BB89" s="2">
        <v>1</v>
      </c>
      <c r="BC89" s="2">
        <v>1</v>
      </c>
      <c r="BD89" s="2" t="s">
        <v>3</v>
      </c>
      <c r="BE89" s="2" t="s">
        <v>3</v>
      </c>
      <c r="BF89" s="2" t="s">
        <v>3</v>
      </c>
      <c r="BG89" s="2" t="s">
        <v>3</v>
      </c>
      <c r="BH89" s="2">
        <v>0</v>
      </c>
      <c r="BI89" s="2">
        <v>1</v>
      </c>
      <c r="BJ89" s="2" t="s">
        <v>170</v>
      </c>
      <c r="BK89" s="2"/>
      <c r="BL89" s="2"/>
      <c r="BM89" s="2">
        <v>22001</v>
      </c>
      <c r="BN89" s="2">
        <v>0</v>
      </c>
      <c r="BO89" s="2" t="s">
        <v>3</v>
      </c>
      <c r="BP89" s="2">
        <v>0</v>
      </c>
      <c r="BQ89" s="2">
        <v>2</v>
      </c>
      <c r="BR89" s="2">
        <v>0</v>
      </c>
      <c r="BS89" s="2">
        <v>1</v>
      </c>
      <c r="BT89" s="2">
        <v>1</v>
      </c>
      <c r="BU89" s="2">
        <v>1</v>
      </c>
      <c r="BV89" s="2">
        <v>1</v>
      </c>
      <c r="BW89" s="2">
        <v>1</v>
      </c>
      <c r="BX89" s="2">
        <v>1</v>
      </c>
      <c r="BY89" s="2" t="s">
        <v>3</v>
      </c>
      <c r="BZ89" s="2">
        <v>117</v>
      </c>
      <c r="CA89" s="2">
        <v>74</v>
      </c>
      <c r="CB89" s="2" t="s">
        <v>3</v>
      </c>
      <c r="CC89" s="2"/>
      <c r="CD89" s="2"/>
      <c r="CE89" s="2">
        <v>0</v>
      </c>
      <c r="CF89" s="2">
        <v>0</v>
      </c>
      <c r="CG89" s="2">
        <v>0</v>
      </c>
      <c r="CH89" s="2"/>
      <c r="CI89" s="2"/>
      <c r="CJ89" s="2"/>
      <c r="CK89" s="2"/>
      <c r="CL89" s="2"/>
      <c r="CM89" s="2">
        <v>0</v>
      </c>
      <c r="CN89" s="7" t="s">
        <v>802</v>
      </c>
      <c r="CO89" s="2">
        <v>0</v>
      </c>
      <c r="CP89" s="2">
        <f>(P89+Q89+S89+R89)</f>
        <v>8919.5400000000009</v>
      </c>
      <c r="CQ89" s="2">
        <f>SUMIF(SmtRes!AQ30:'SmtRes'!AQ40,"=1",SmtRes!AA30:'SmtRes'!AA40)</f>
        <v>291.37</v>
      </c>
      <c r="CR89" s="2">
        <f>SUMIF(SmtRes!AQ30:'SmtRes'!AQ40,"=1",SmtRes!AB30:'SmtRes'!AB40)</f>
        <v>1930.56</v>
      </c>
      <c r="CS89" s="2">
        <f>SUMIF(SmtRes!AQ30:'SmtRes'!AQ40,"=1",SmtRes!AC30:'SmtRes'!AC40)</f>
        <v>790.97</v>
      </c>
      <c r="CT89" s="2">
        <f>SUMIF(SmtRes!AQ30:'SmtRes'!AQ40,"=1",SmtRes!AD30:'SmtRes'!AD40)</f>
        <v>1392.43</v>
      </c>
      <c r="CU89" s="2">
        <f>AG89</f>
        <v>0</v>
      </c>
      <c r="CV89" s="2">
        <f>SUMIF(SmtRes!AQ30:'SmtRes'!AQ40,"=1",SmtRes!BU30:'SmtRes'!BU40)</f>
        <v>17.503</v>
      </c>
      <c r="CW89" s="2">
        <f>SUMIF(SmtRes!AQ30:'SmtRes'!AQ40,"=1",SmtRes!BV30:'SmtRes'!BV40)</f>
        <v>8.4755000000000003</v>
      </c>
      <c r="CX89" s="2">
        <f>AJ89</f>
        <v>0</v>
      </c>
      <c r="CY89" s="2">
        <f>(((S89+R89)*AT89)/100)</f>
        <v>4777.9992000000002</v>
      </c>
      <c r="CZ89" s="2">
        <f>(((S89+R89)*AU89)/100)</f>
        <v>3021.9823999999999</v>
      </c>
      <c r="DA89" s="2"/>
      <c r="DB89" s="2">
        <v>15</v>
      </c>
      <c r="DC89" s="2" t="s">
        <v>3</v>
      </c>
      <c r="DD89" s="2" t="s">
        <v>3</v>
      </c>
      <c r="DE89" s="2" t="s">
        <v>27</v>
      </c>
      <c r="DF89" s="2" t="s">
        <v>27</v>
      </c>
      <c r="DG89" s="2" t="s">
        <v>27</v>
      </c>
      <c r="DH89" s="2" t="s">
        <v>3</v>
      </c>
      <c r="DI89" s="2" t="s">
        <v>27</v>
      </c>
      <c r="DJ89" s="2" t="s">
        <v>27</v>
      </c>
      <c r="DK89" s="2" t="s">
        <v>3</v>
      </c>
      <c r="DL89" s="2" t="s">
        <v>3</v>
      </c>
      <c r="DM89" s="2" t="s">
        <v>3</v>
      </c>
      <c r="DN89" s="2">
        <v>0</v>
      </c>
      <c r="DO89" s="2">
        <v>0</v>
      </c>
      <c r="DP89" s="2">
        <v>1</v>
      </c>
      <c r="DQ89" s="2">
        <v>1</v>
      </c>
      <c r="DR89" s="2"/>
      <c r="DS89" s="2"/>
      <c r="DT89" s="2"/>
      <c r="DU89" s="2">
        <v>1013</v>
      </c>
      <c r="DV89" s="2" t="s">
        <v>169</v>
      </c>
      <c r="DW89" s="2" t="s">
        <v>169</v>
      </c>
      <c r="DX89" s="2">
        <v>10</v>
      </c>
      <c r="DY89" s="2"/>
      <c r="DZ89" s="2" t="s">
        <v>3</v>
      </c>
      <c r="EA89" s="2" t="s">
        <v>3</v>
      </c>
      <c r="EB89" s="2" t="s">
        <v>3</v>
      </c>
      <c r="EC89" s="2" t="s">
        <v>3</v>
      </c>
      <c r="ED89" s="2"/>
      <c r="EE89" s="2">
        <v>74004231</v>
      </c>
      <c r="EF89" s="2">
        <v>2</v>
      </c>
      <c r="EG89" s="2" t="s">
        <v>29</v>
      </c>
      <c r="EH89" s="2">
        <v>18</v>
      </c>
      <c r="EI89" s="2" t="s">
        <v>100</v>
      </c>
      <c r="EJ89" s="2">
        <v>1</v>
      </c>
      <c r="EK89" s="2">
        <v>22001</v>
      </c>
      <c r="EL89" s="2" t="s">
        <v>100</v>
      </c>
      <c r="EM89" s="2" t="s">
        <v>101</v>
      </c>
      <c r="EN89" s="2"/>
      <c r="EO89" s="2" t="s">
        <v>39</v>
      </c>
      <c r="EP89" s="2"/>
      <c r="EQ89" s="2">
        <v>0</v>
      </c>
      <c r="ER89" s="2">
        <v>0</v>
      </c>
      <c r="ES89" s="2">
        <v>0</v>
      </c>
      <c r="ET89" s="2">
        <v>0</v>
      </c>
      <c r="EU89" s="2">
        <v>0</v>
      </c>
      <c r="EV89" s="2">
        <v>0</v>
      </c>
      <c r="EW89" s="2">
        <v>15.22</v>
      </c>
      <c r="EX89" s="2">
        <v>7.37</v>
      </c>
      <c r="EY89" s="2">
        <v>0</v>
      </c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>
        <v>0</v>
      </c>
      <c r="FR89" s="2">
        <v>0</v>
      </c>
      <c r="FS89" s="2">
        <v>0</v>
      </c>
      <c r="FT89" s="2"/>
      <c r="FU89" s="2"/>
      <c r="FV89" s="2"/>
      <c r="FW89" s="2"/>
      <c r="FX89" s="2">
        <v>117</v>
      </c>
      <c r="FY89" s="2">
        <v>74</v>
      </c>
      <c r="FZ89" s="2"/>
      <c r="GA89" s="2" t="s">
        <v>3</v>
      </c>
      <c r="GB89" s="2"/>
      <c r="GC89" s="2"/>
      <c r="GD89" s="2">
        <v>1</v>
      </c>
      <c r="GE89" s="2"/>
      <c r="GF89" s="2">
        <v>213825694</v>
      </c>
      <c r="GG89" s="2">
        <v>2</v>
      </c>
      <c r="GH89" s="2">
        <v>1</v>
      </c>
      <c r="GI89" s="2">
        <v>-2</v>
      </c>
      <c r="GJ89" s="2">
        <v>0</v>
      </c>
      <c r="GK89" s="2">
        <v>0</v>
      </c>
      <c r="GL89" s="2">
        <f>ROUND(IF(AND(BH89=3,BI89=3,FS89&lt;&gt;0),P89,0),2)</f>
        <v>0</v>
      </c>
      <c r="GM89" s="2">
        <f>ROUND(O89+X89+Y89,2)+GX89</f>
        <v>16719.52</v>
      </c>
      <c r="GN89" s="2">
        <f>IF(OR(BI89=0,BI89=1),GM89-GX89,0)</f>
        <v>16719.52</v>
      </c>
      <c r="GO89" s="2">
        <f>IF(BI89=2,GM89-GX89,0)</f>
        <v>0</v>
      </c>
      <c r="GP89" s="2">
        <f>IF(BI89=4,GM89-GX89,0)</f>
        <v>0</v>
      </c>
      <c r="GQ89" s="2"/>
      <c r="GR89" s="2">
        <v>0</v>
      </c>
      <c r="GS89" s="2">
        <v>3</v>
      </c>
      <c r="GT89" s="2">
        <v>0</v>
      </c>
      <c r="GU89" s="2" t="s">
        <v>3</v>
      </c>
      <c r="GV89" s="2">
        <f>ROUND((GT89),6)</f>
        <v>0</v>
      </c>
      <c r="GW89" s="2">
        <v>1</v>
      </c>
      <c r="GX89" s="2">
        <f>ROUND(HC89*I89,2)</f>
        <v>0</v>
      </c>
      <c r="GY89" s="2"/>
      <c r="GZ89" s="2"/>
      <c r="HA89" s="2">
        <v>0</v>
      </c>
      <c r="HB89" s="2">
        <v>0</v>
      </c>
      <c r="HC89" s="2">
        <f>GV89*GW89</f>
        <v>0</v>
      </c>
      <c r="HD89" s="2"/>
      <c r="HE89" s="2" t="s">
        <v>3</v>
      </c>
      <c r="HF89" s="2" t="s">
        <v>3</v>
      </c>
      <c r="HG89" s="2"/>
      <c r="HH89" s="2"/>
      <c r="HI89" s="2"/>
      <c r="HJ89" s="2"/>
      <c r="HK89" s="2"/>
      <c r="HL89" s="2"/>
      <c r="HM89" s="2" t="s">
        <v>3</v>
      </c>
      <c r="HN89" s="2" t="s">
        <v>102</v>
      </c>
      <c r="HO89" s="2" t="s">
        <v>103</v>
      </c>
      <c r="HP89" s="2" t="s">
        <v>100</v>
      </c>
      <c r="HQ89" s="2" t="s">
        <v>100</v>
      </c>
      <c r="HR89" s="2"/>
      <c r="HS89" s="2">
        <v>0</v>
      </c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>
        <v>0</v>
      </c>
      <c r="IL89" s="2"/>
      <c r="IM89" s="2"/>
      <c r="IN89" s="2"/>
      <c r="IO89" s="2"/>
      <c r="IP89" s="2"/>
      <c r="IQ89" s="2"/>
      <c r="IR89" s="2"/>
      <c r="IS89" s="2"/>
      <c r="IT89" s="2"/>
      <c r="IU89" s="2"/>
    </row>
    <row r="90" spans="1:255" ht="13.05" customHeight="1" x14ac:dyDescent="0.25">
      <c r="A90" s="2">
        <v>18</v>
      </c>
      <c r="B90" s="2">
        <v>1</v>
      </c>
      <c r="C90" s="2">
        <v>40</v>
      </c>
      <c r="D90" s="2"/>
      <c r="E90" s="2" t="s">
        <v>171</v>
      </c>
      <c r="F90" s="2" t="s">
        <v>172</v>
      </c>
      <c r="G90" s="2" t="s">
        <v>173</v>
      </c>
      <c r="H90" s="2" t="s">
        <v>174</v>
      </c>
      <c r="I90" s="2">
        <f>I89*J90</f>
        <v>5.0000000000000001E-3</v>
      </c>
      <c r="J90" s="2">
        <v>1.2499999999999999E-2</v>
      </c>
      <c r="K90" s="2">
        <v>1.2500000000000001E-2</v>
      </c>
      <c r="L90" s="2"/>
      <c r="M90" s="2"/>
      <c r="N90" s="2"/>
      <c r="O90" s="2">
        <f>ROUND(CP90,2)</f>
        <v>265.29000000000002</v>
      </c>
      <c r="P90" s="2">
        <f>ROUND(CQ90*I90,2)</f>
        <v>265.29000000000002</v>
      </c>
      <c r="Q90" s="2">
        <f>ROUND(CR90*I90,2)</f>
        <v>0</v>
      </c>
      <c r="R90" s="2">
        <f>ROUND(CS90*I90,2)</f>
        <v>0</v>
      </c>
      <c r="S90" s="2">
        <f>ROUND(CT90*I90,2)</f>
        <v>0</v>
      </c>
      <c r="T90" s="2">
        <f>ROUND(CU90*I90,2)</f>
        <v>0</v>
      </c>
      <c r="U90" s="2">
        <f>ROUND(CV90*I90,7)</f>
        <v>0</v>
      </c>
      <c r="V90" s="2">
        <f>ROUND(CW90*I90,7)</f>
        <v>0</v>
      </c>
      <c r="W90" s="2">
        <f>ROUND(CX90*I90,2)</f>
        <v>0</v>
      </c>
      <c r="X90" s="2">
        <f t="shared" si="32"/>
        <v>0</v>
      </c>
      <c r="Y90" s="2">
        <f t="shared" si="32"/>
        <v>0</v>
      </c>
      <c r="Z90" s="2"/>
      <c r="AA90" s="2">
        <v>75604747</v>
      </c>
      <c r="AB90" s="2">
        <f>ROUND((AC90+AD90+AF90),6)</f>
        <v>53058.17</v>
      </c>
      <c r="AC90" s="2">
        <f>ROUND((ES90),6)</f>
        <v>53058.17</v>
      </c>
      <c r="AD90" s="2">
        <f>ROUND((((ET90)-(EU90))+AE90),6)</f>
        <v>0</v>
      </c>
      <c r="AE90" s="2">
        <f>ROUND((EU90),6)</f>
        <v>0</v>
      </c>
      <c r="AF90" s="2">
        <f>ROUND((EV90),6)</f>
        <v>0</v>
      </c>
      <c r="AG90" s="2">
        <f>ROUND((AP90),6)</f>
        <v>0</v>
      </c>
      <c r="AH90" s="2">
        <f>(EW90)</f>
        <v>0</v>
      </c>
      <c r="AI90" s="2">
        <f>(EX90)</f>
        <v>0</v>
      </c>
      <c r="AJ90" s="2">
        <f>(AS90)</f>
        <v>0</v>
      </c>
      <c r="AK90" s="2">
        <v>53058.17</v>
      </c>
      <c r="AL90" s="2">
        <v>53058.17</v>
      </c>
      <c r="AM90" s="2">
        <v>0</v>
      </c>
      <c r="AN90" s="2">
        <v>0</v>
      </c>
      <c r="AO90" s="2">
        <v>0</v>
      </c>
      <c r="AP90" s="2">
        <v>0</v>
      </c>
      <c r="AQ90" s="2">
        <v>0</v>
      </c>
      <c r="AR90" s="2">
        <v>0</v>
      </c>
      <c r="AS90" s="2">
        <v>0</v>
      </c>
      <c r="AT90" s="2">
        <v>117</v>
      </c>
      <c r="AU90" s="2">
        <v>74</v>
      </c>
      <c r="AV90" s="2">
        <v>1</v>
      </c>
      <c r="AW90" s="2">
        <v>1</v>
      </c>
      <c r="AX90" s="2"/>
      <c r="AY90" s="2"/>
      <c r="AZ90" s="2">
        <v>1</v>
      </c>
      <c r="BA90" s="2">
        <v>1</v>
      </c>
      <c r="BB90" s="2">
        <v>1</v>
      </c>
      <c r="BC90" s="2">
        <v>1</v>
      </c>
      <c r="BD90" s="2" t="s">
        <v>3</v>
      </c>
      <c r="BE90" s="2" t="s">
        <v>3</v>
      </c>
      <c r="BF90" s="2" t="s">
        <v>3</v>
      </c>
      <c r="BG90" s="2" t="s">
        <v>3</v>
      </c>
      <c r="BH90" s="2">
        <v>3</v>
      </c>
      <c r="BI90" s="2">
        <v>1</v>
      </c>
      <c r="BJ90" s="2" t="s">
        <v>175</v>
      </c>
      <c r="BK90" s="2"/>
      <c r="BL90" s="2"/>
      <c r="BM90" s="2">
        <v>22001</v>
      </c>
      <c r="BN90" s="2">
        <v>0</v>
      </c>
      <c r="BO90" s="2" t="s">
        <v>3</v>
      </c>
      <c r="BP90" s="2">
        <v>0</v>
      </c>
      <c r="BQ90" s="2">
        <v>2</v>
      </c>
      <c r="BR90" s="2">
        <v>0</v>
      </c>
      <c r="BS90" s="2">
        <v>1</v>
      </c>
      <c r="BT90" s="2">
        <v>1</v>
      </c>
      <c r="BU90" s="2">
        <v>1</v>
      </c>
      <c r="BV90" s="2">
        <v>1</v>
      </c>
      <c r="BW90" s="2">
        <v>1</v>
      </c>
      <c r="BX90" s="2">
        <v>1</v>
      </c>
      <c r="BY90" s="2" t="s">
        <v>3</v>
      </c>
      <c r="BZ90" s="2">
        <v>117</v>
      </c>
      <c r="CA90" s="2">
        <v>74</v>
      </c>
      <c r="CB90" s="2" t="s">
        <v>3</v>
      </c>
      <c r="CC90" s="2"/>
      <c r="CD90" s="2"/>
      <c r="CE90" s="2">
        <v>0</v>
      </c>
      <c r="CF90" s="2">
        <v>0</v>
      </c>
      <c r="CG90" s="2">
        <v>0</v>
      </c>
      <c r="CH90" s="2"/>
      <c r="CI90" s="2"/>
      <c r="CJ90" s="2"/>
      <c r="CK90" s="2"/>
      <c r="CL90" s="2"/>
      <c r="CM90" s="2">
        <v>0</v>
      </c>
      <c r="CN90" s="2" t="s">
        <v>3</v>
      </c>
      <c r="CO90" s="2">
        <v>0</v>
      </c>
      <c r="CP90" s="2">
        <f>(P90+Q90+S90+R90)</f>
        <v>265.29000000000002</v>
      </c>
      <c r="CQ90" s="2">
        <f>ROUND(AL90*BC90,2)</f>
        <v>53058.17</v>
      </c>
      <c r="CR90" s="2">
        <f>ROUND(AM90*BB90,2)</f>
        <v>0</v>
      </c>
      <c r="CS90" s="2">
        <f>ROUND(AN90*BS90,2)</f>
        <v>0</v>
      </c>
      <c r="CT90" s="2">
        <f>ROUND(AO90*BA90,2)</f>
        <v>0</v>
      </c>
      <c r="CU90" s="2">
        <f>AG90</f>
        <v>0</v>
      </c>
      <c r="CV90" s="2">
        <f>AH90</f>
        <v>0</v>
      </c>
      <c r="CW90" s="2">
        <f>AI90</f>
        <v>0</v>
      </c>
      <c r="CX90" s="2">
        <f>AJ90</f>
        <v>0</v>
      </c>
      <c r="CY90" s="2">
        <f>(((S90+R90)*AT90)/100)</f>
        <v>0</v>
      </c>
      <c r="CZ90" s="2">
        <f>(((S90+R90)*AU90)/100)</f>
        <v>0</v>
      </c>
      <c r="DA90" s="2"/>
      <c r="DB90" s="2"/>
      <c r="DC90" s="2" t="s">
        <v>3</v>
      </c>
      <c r="DD90" s="2" t="s">
        <v>3</v>
      </c>
      <c r="DE90" s="2" t="s">
        <v>3</v>
      </c>
      <c r="DF90" s="2" t="s">
        <v>3</v>
      </c>
      <c r="DG90" s="2" t="s">
        <v>3</v>
      </c>
      <c r="DH90" s="2" t="s">
        <v>3</v>
      </c>
      <c r="DI90" s="2" t="s">
        <v>3</v>
      </c>
      <c r="DJ90" s="2" t="s">
        <v>3</v>
      </c>
      <c r="DK90" s="2" t="s">
        <v>3</v>
      </c>
      <c r="DL90" s="2" t="s">
        <v>3</v>
      </c>
      <c r="DM90" s="2" t="s">
        <v>3</v>
      </c>
      <c r="DN90" s="2">
        <v>0</v>
      </c>
      <c r="DO90" s="2">
        <v>0</v>
      </c>
      <c r="DP90" s="2">
        <v>1</v>
      </c>
      <c r="DQ90" s="2">
        <v>1</v>
      </c>
      <c r="DR90" s="2"/>
      <c r="DS90" s="2"/>
      <c r="DT90" s="2"/>
      <c r="DU90" s="2">
        <v>1009</v>
      </c>
      <c r="DV90" s="2" t="s">
        <v>174</v>
      </c>
      <c r="DW90" s="2" t="s">
        <v>174</v>
      </c>
      <c r="DX90" s="2">
        <v>1000</v>
      </c>
      <c r="DY90" s="2"/>
      <c r="DZ90" s="2" t="s">
        <v>3</v>
      </c>
      <c r="EA90" s="2" t="s">
        <v>3</v>
      </c>
      <c r="EB90" s="2" t="s">
        <v>3</v>
      </c>
      <c r="EC90" s="2" t="s">
        <v>3</v>
      </c>
      <c r="ED90" s="2"/>
      <c r="EE90" s="2">
        <v>74004231</v>
      </c>
      <c r="EF90" s="2">
        <v>2</v>
      </c>
      <c r="EG90" s="2" t="s">
        <v>29</v>
      </c>
      <c r="EH90" s="2">
        <v>18</v>
      </c>
      <c r="EI90" s="2" t="s">
        <v>100</v>
      </c>
      <c r="EJ90" s="2">
        <v>1</v>
      </c>
      <c r="EK90" s="2">
        <v>22001</v>
      </c>
      <c r="EL90" s="2" t="s">
        <v>100</v>
      </c>
      <c r="EM90" s="2" t="s">
        <v>101</v>
      </c>
      <c r="EN90" s="2"/>
      <c r="EO90" s="2" t="s">
        <v>3</v>
      </c>
      <c r="EP90" s="2"/>
      <c r="EQ90" s="2">
        <v>0</v>
      </c>
      <c r="ER90" s="2">
        <v>53058.17</v>
      </c>
      <c r="ES90" s="2">
        <v>53058.17</v>
      </c>
      <c r="ET90" s="2">
        <v>0</v>
      </c>
      <c r="EU90" s="2">
        <v>0</v>
      </c>
      <c r="EV90" s="2">
        <v>0</v>
      </c>
      <c r="EW90" s="2">
        <v>0</v>
      </c>
      <c r="EX90" s="2">
        <v>0</v>
      </c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>
        <v>0</v>
      </c>
      <c r="FR90" s="2">
        <v>0</v>
      </c>
      <c r="FS90" s="2">
        <v>0</v>
      </c>
      <c r="FT90" s="2"/>
      <c r="FU90" s="2"/>
      <c r="FV90" s="2"/>
      <c r="FW90" s="2"/>
      <c r="FX90" s="2">
        <v>117</v>
      </c>
      <c r="FY90" s="2">
        <v>74</v>
      </c>
      <c r="FZ90" s="2"/>
      <c r="GA90" s="2" t="s">
        <v>3</v>
      </c>
      <c r="GB90" s="2"/>
      <c r="GC90" s="2"/>
      <c r="GD90" s="2">
        <v>1</v>
      </c>
      <c r="GE90" s="2">
        <v>78101.5</v>
      </c>
      <c r="GF90" s="2">
        <v>-1772181775</v>
      </c>
      <c r="GG90" s="2">
        <v>2</v>
      </c>
      <c r="GH90" s="2">
        <v>1</v>
      </c>
      <c r="GI90" s="2">
        <v>-2</v>
      </c>
      <c r="GJ90" s="2">
        <v>0</v>
      </c>
      <c r="GK90" s="2">
        <v>0</v>
      </c>
      <c r="GL90" s="2">
        <f>ROUND(IF(AND(BH90=3,BI90=3,FS90&lt;&gt;0),P90,0),2)</f>
        <v>0</v>
      </c>
      <c r="GM90" s="2">
        <f>ROUND(O90+X90+Y90,2)+GX90</f>
        <v>265.29000000000002</v>
      </c>
      <c r="GN90" s="2">
        <f>IF(OR(BI90=0,BI90=1),GM90-GX90,0)</f>
        <v>265.29000000000002</v>
      </c>
      <c r="GO90" s="2">
        <f>IF(BI90=2,GM90-GX90,0)</f>
        <v>0</v>
      </c>
      <c r="GP90" s="2">
        <f>IF(BI90=4,GM90-GX90,0)</f>
        <v>0</v>
      </c>
      <c r="GQ90" s="2"/>
      <c r="GR90" s="2">
        <v>3</v>
      </c>
      <c r="GS90" s="2">
        <v>3</v>
      </c>
      <c r="GT90" s="2">
        <v>0</v>
      </c>
      <c r="GU90" s="2" t="s">
        <v>3</v>
      </c>
      <c r="GV90" s="2">
        <f>ROUND((GT90),6)</f>
        <v>0</v>
      </c>
      <c r="GW90" s="2">
        <v>1</v>
      </c>
      <c r="GX90" s="2">
        <f>ROUND(HC90*I90,2)</f>
        <v>0</v>
      </c>
      <c r="GY90" s="2"/>
      <c r="GZ90" s="2"/>
      <c r="HA90" s="2">
        <v>0</v>
      </c>
      <c r="HB90" s="2">
        <v>0</v>
      </c>
      <c r="HC90" s="2">
        <f>GV90*GW90</f>
        <v>0</v>
      </c>
      <c r="HD90" s="2"/>
      <c r="HE90" s="2" t="s">
        <v>3</v>
      </c>
      <c r="HF90" s="2" t="s">
        <v>3</v>
      </c>
      <c r="HG90" s="2"/>
      <c r="HH90" s="2"/>
      <c r="HI90" s="2"/>
      <c r="HJ90" s="2"/>
      <c r="HK90" s="2"/>
      <c r="HL90" s="2"/>
      <c r="HM90" s="2" t="s">
        <v>3</v>
      </c>
      <c r="HN90" s="2" t="s">
        <v>102</v>
      </c>
      <c r="HO90" s="2" t="s">
        <v>103</v>
      </c>
      <c r="HP90" s="2" t="s">
        <v>100</v>
      </c>
      <c r="HQ90" s="2" t="s">
        <v>100</v>
      </c>
      <c r="HR90" s="2"/>
      <c r="HS90" s="2">
        <v>0</v>
      </c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>
        <v>0</v>
      </c>
      <c r="IL90" s="2"/>
      <c r="IM90" s="2"/>
      <c r="IN90" s="2"/>
      <c r="IO90" s="2"/>
      <c r="IP90" s="2"/>
      <c r="IQ90" s="2"/>
      <c r="IR90" s="2"/>
      <c r="IS90" s="2"/>
      <c r="IT90" s="2"/>
      <c r="IU90" s="2"/>
    </row>
    <row r="91" spans="1:255" ht="13.05" customHeight="1" x14ac:dyDescent="0.25">
      <c r="A91" s="2">
        <v>17</v>
      </c>
      <c r="B91" s="2">
        <v>1</v>
      </c>
      <c r="C91" s="2">
        <f>ROW(SmtRes!A50)</f>
        <v>50</v>
      </c>
      <c r="D91" s="2">
        <f>ROW(EtalonRes!A51)</f>
        <v>51</v>
      </c>
      <c r="E91" s="2" t="s">
        <v>176</v>
      </c>
      <c r="F91" s="2" t="s">
        <v>167</v>
      </c>
      <c r="G91" s="2" t="s">
        <v>177</v>
      </c>
      <c r="H91" s="2" t="s">
        <v>169</v>
      </c>
      <c r="I91" s="2">
        <v>0.4</v>
      </c>
      <c r="J91" s="2">
        <v>0</v>
      </c>
      <c r="K91" s="2">
        <v>0.4</v>
      </c>
      <c r="L91" s="2"/>
      <c r="M91" s="2"/>
      <c r="N91" s="2"/>
      <c r="O91" s="2">
        <f>ROUND(CP91,2)</f>
        <v>5253.26</v>
      </c>
      <c r="P91" s="2">
        <f>SUMIF(SmtRes!AQ41:'SmtRes'!AQ50,"=1",SmtRes!DF41:'SmtRes'!DF50)</f>
        <v>0</v>
      </c>
      <c r="Q91" s="2">
        <f>SUMIF(SmtRes!AQ41:'SmtRes'!AQ50,"=1",SmtRes!DG41:'SmtRes'!DG50)</f>
        <v>2802.99</v>
      </c>
      <c r="R91" s="2">
        <f>SUMIF(SmtRes!AQ41:'SmtRes'!AQ50,"=1",SmtRes!DH41:'SmtRes'!DH50)</f>
        <v>860.18</v>
      </c>
      <c r="S91" s="2">
        <f>SUMIF(SmtRes!AQ41:'SmtRes'!AQ50,"=1",SmtRes!DI41:'SmtRes'!DI50)</f>
        <v>1590.0900000000001</v>
      </c>
      <c r="T91" s="2">
        <f>ROUND(CU91*I91,2)</f>
        <v>0</v>
      </c>
      <c r="U91" s="2">
        <f>SUMIF(SmtRes!AQ41:'SmtRes'!AQ50,"=1",SmtRes!CV41:'SmtRes'!CV50)</f>
        <v>4.2007200000000005</v>
      </c>
      <c r="V91" s="2">
        <f>SUMIF(SmtRes!AQ41:'SmtRes'!AQ50,"=1",SmtRes!CW41:'SmtRes'!CW50)</f>
        <v>2.0341199999999997</v>
      </c>
      <c r="W91" s="2">
        <f>ROUND(CX91*I91,2)</f>
        <v>0</v>
      </c>
      <c r="X91" s="2">
        <f t="shared" si="32"/>
        <v>2866.82</v>
      </c>
      <c r="Y91" s="2">
        <f t="shared" si="32"/>
        <v>1813.2</v>
      </c>
      <c r="Z91" s="2"/>
      <c r="AA91" s="2">
        <v>75604747</v>
      </c>
      <c r="AB91" s="2">
        <f>ROUND((AC91+AD91+AF91),6)</f>
        <v>9408.2145149999997</v>
      </c>
      <c r="AC91" s="2">
        <f>ROUND((0),6)</f>
        <v>0</v>
      </c>
      <c r="AD91" s="2">
        <f>ROUND((((SUM(SmtRes!BR41:'SmtRes'!BR50))-(SUM(SmtRes!BS41:'SmtRes'!BS50)))+AE91),6)</f>
        <v>5433.0208769999999</v>
      </c>
      <c r="AE91" s="2">
        <f>ROUND((SUM(SmtRes!BS41:'SmtRes'!BS50)),6)</f>
        <v>2150.4486179999999</v>
      </c>
      <c r="AF91" s="2">
        <f>ROUND((SUM(SmtRes!BT41:'SmtRes'!BT50)),6)</f>
        <v>3975.1936380000002</v>
      </c>
      <c r="AG91" s="2">
        <f>ROUND((AP91),6)</f>
        <v>0</v>
      </c>
      <c r="AH91" s="2">
        <f>(SUM(SmtRes!BU41:'SmtRes'!BU50))</f>
        <v>10.501799999999999</v>
      </c>
      <c r="AI91" s="2">
        <f>(SUM(SmtRes!BV41:'SmtRes'!BV50))</f>
        <v>5.0853000000000002</v>
      </c>
      <c r="AJ91" s="2">
        <f>(AS91)</f>
        <v>0</v>
      </c>
      <c r="AK91" s="2">
        <v>17218.40178</v>
      </c>
      <c r="AL91" s="2">
        <v>466.71608000000003</v>
      </c>
      <c r="AM91" s="2">
        <v>7873.9432999999999</v>
      </c>
      <c r="AN91" s="2">
        <v>3116.5922</v>
      </c>
      <c r="AO91" s="2">
        <v>5761.1502</v>
      </c>
      <c r="AP91" s="2">
        <v>0</v>
      </c>
      <c r="AQ91" s="2">
        <v>15.219999999999999</v>
      </c>
      <c r="AR91" s="2">
        <v>7.37</v>
      </c>
      <c r="AS91" s="2">
        <v>0</v>
      </c>
      <c r="AT91" s="2">
        <v>117</v>
      </c>
      <c r="AU91" s="2">
        <v>74</v>
      </c>
      <c r="AV91" s="2">
        <v>1</v>
      </c>
      <c r="AW91" s="2">
        <v>1</v>
      </c>
      <c r="AX91" s="2"/>
      <c r="AY91" s="2"/>
      <c r="AZ91" s="2">
        <v>1</v>
      </c>
      <c r="BA91" s="2">
        <v>1</v>
      </c>
      <c r="BB91" s="2">
        <v>1</v>
      </c>
      <c r="BC91" s="2">
        <v>1</v>
      </c>
      <c r="BD91" s="2" t="s">
        <v>3</v>
      </c>
      <c r="BE91" s="2" t="s">
        <v>3</v>
      </c>
      <c r="BF91" s="2" t="s">
        <v>3</v>
      </c>
      <c r="BG91" s="2" t="s">
        <v>3</v>
      </c>
      <c r="BH91" s="2">
        <v>0</v>
      </c>
      <c r="BI91" s="2">
        <v>1</v>
      </c>
      <c r="BJ91" s="2" t="s">
        <v>170</v>
      </c>
      <c r="BK91" s="2"/>
      <c r="BL91" s="2"/>
      <c r="BM91" s="2">
        <v>22001</v>
      </c>
      <c r="BN91" s="2">
        <v>0</v>
      </c>
      <c r="BO91" s="2" t="s">
        <v>3</v>
      </c>
      <c r="BP91" s="2">
        <v>0</v>
      </c>
      <c r="BQ91" s="2">
        <v>2</v>
      </c>
      <c r="BR91" s="2">
        <v>0</v>
      </c>
      <c r="BS91" s="2">
        <v>1</v>
      </c>
      <c r="BT91" s="2">
        <v>1</v>
      </c>
      <c r="BU91" s="2">
        <v>1</v>
      </c>
      <c r="BV91" s="2">
        <v>1</v>
      </c>
      <c r="BW91" s="2">
        <v>1</v>
      </c>
      <c r="BX91" s="2">
        <v>1</v>
      </c>
      <c r="BY91" s="2" t="s">
        <v>3</v>
      </c>
      <c r="BZ91" s="2">
        <v>117</v>
      </c>
      <c r="CA91" s="2">
        <v>74</v>
      </c>
      <c r="CB91" s="2" t="s">
        <v>3</v>
      </c>
      <c r="CC91" s="2"/>
      <c r="CD91" s="2"/>
      <c r="CE91" s="2">
        <v>0</v>
      </c>
      <c r="CF91" s="2">
        <v>0</v>
      </c>
      <c r="CG91" s="2">
        <v>0</v>
      </c>
      <c r="CH91" s="2"/>
      <c r="CI91" s="2"/>
      <c r="CJ91" s="2"/>
      <c r="CK91" s="2"/>
      <c r="CL91" s="2"/>
      <c r="CM91" s="2">
        <v>0</v>
      </c>
      <c r="CN91" s="7" t="s">
        <v>804</v>
      </c>
      <c r="CO91" s="2">
        <v>0</v>
      </c>
      <c r="CP91" s="2">
        <f>(P91+Q91+S91+R91)</f>
        <v>5253.26</v>
      </c>
      <c r="CQ91" s="2">
        <f>SUMIF(SmtRes!AQ41:'SmtRes'!AQ50,"=1",SmtRes!AA41:'SmtRes'!AA50)</f>
        <v>291.37</v>
      </c>
      <c r="CR91" s="2">
        <f>SUMIF(SmtRes!AQ41:'SmtRes'!AQ50,"=1",SmtRes!AB41:'SmtRes'!AB50)</f>
        <v>1930.56</v>
      </c>
      <c r="CS91" s="2">
        <f>SUMIF(SmtRes!AQ41:'SmtRes'!AQ50,"=1",SmtRes!AC41:'SmtRes'!AC50)</f>
        <v>790.97</v>
      </c>
      <c r="CT91" s="2">
        <f>SUMIF(SmtRes!AQ41:'SmtRes'!AQ50,"=1",SmtRes!AD41:'SmtRes'!AD50)</f>
        <v>1392.43</v>
      </c>
      <c r="CU91" s="2">
        <f>AG91</f>
        <v>0</v>
      </c>
      <c r="CV91" s="2">
        <f>SUMIF(SmtRes!AQ41:'SmtRes'!AQ50,"=1",SmtRes!BU41:'SmtRes'!BU50)</f>
        <v>10.501799999999999</v>
      </c>
      <c r="CW91" s="2">
        <f>SUMIF(SmtRes!AQ41:'SmtRes'!AQ50,"=1",SmtRes!BV41:'SmtRes'!BV50)</f>
        <v>5.0853000000000002</v>
      </c>
      <c r="CX91" s="2">
        <f>AJ91</f>
        <v>0</v>
      </c>
      <c r="CY91" s="2">
        <f>(((S91+R91)*AT91)/100)</f>
        <v>2866.8159000000001</v>
      </c>
      <c r="CZ91" s="2">
        <f>(((S91+R91)*AU91)/100)</f>
        <v>1813.1998000000001</v>
      </c>
      <c r="DA91" s="2"/>
      <c r="DB91" s="2">
        <v>16</v>
      </c>
      <c r="DC91" s="2" t="s">
        <v>3</v>
      </c>
      <c r="DD91" s="2" t="s">
        <v>178</v>
      </c>
      <c r="DE91" s="2" t="s">
        <v>179</v>
      </c>
      <c r="DF91" s="2" t="s">
        <v>179</v>
      </c>
      <c r="DG91" s="2" t="s">
        <v>179</v>
      </c>
      <c r="DH91" s="2" t="s">
        <v>3</v>
      </c>
      <c r="DI91" s="2" t="s">
        <v>179</v>
      </c>
      <c r="DJ91" s="2" t="s">
        <v>179</v>
      </c>
      <c r="DK91" s="2" t="s">
        <v>3</v>
      </c>
      <c r="DL91" s="2" t="s">
        <v>3</v>
      </c>
      <c r="DM91" s="2" t="s">
        <v>3</v>
      </c>
      <c r="DN91" s="2">
        <v>0</v>
      </c>
      <c r="DO91" s="2">
        <v>0</v>
      </c>
      <c r="DP91" s="2">
        <v>1</v>
      </c>
      <c r="DQ91" s="2">
        <v>1</v>
      </c>
      <c r="DR91" s="2"/>
      <c r="DS91" s="2"/>
      <c r="DT91" s="2"/>
      <c r="DU91" s="2">
        <v>1013</v>
      </c>
      <c r="DV91" s="2" t="s">
        <v>169</v>
      </c>
      <c r="DW91" s="2" t="s">
        <v>169</v>
      </c>
      <c r="DX91" s="2">
        <v>10</v>
      </c>
      <c r="DY91" s="2"/>
      <c r="DZ91" s="2" t="s">
        <v>3</v>
      </c>
      <c r="EA91" s="2" t="s">
        <v>3</v>
      </c>
      <c r="EB91" s="2" t="s">
        <v>3</v>
      </c>
      <c r="EC91" s="2" t="s">
        <v>3</v>
      </c>
      <c r="ED91" s="2"/>
      <c r="EE91" s="2">
        <v>74004231</v>
      </c>
      <c r="EF91" s="2">
        <v>2</v>
      </c>
      <c r="EG91" s="2" t="s">
        <v>29</v>
      </c>
      <c r="EH91" s="2">
        <v>18</v>
      </c>
      <c r="EI91" s="2" t="s">
        <v>100</v>
      </c>
      <c r="EJ91" s="2">
        <v>1</v>
      </c>
      <c r="EK91" s="2">
        <v>22001</v>
      </c>
      <c r="EL91" s="2" t="s">
        <v>100</v>
      </c>
      <c r="EM91" s="2" t="s">
        <v>101</v>
      </c>
      <c r="EN91" s="2"/>
      <c r="EO91" s="2" t="s">
        <v>180</v>
      </c>
      <c r="EP91" s="2"/>
      <c r="EQ91" s="2">
        <v>0</v>
      </c>
      <c r="ER91" s="2">
        <v>0</v>
      </c>
      <c r="ES91" s="2">
        <v>0</v>
      </c>
      <c r="ET91" s="2">
        <v>0</v>
      </c>
      <c r="EU91" s="2">
        <v>0</v>
      </c>
      <c r="EV91" s="2">
        <v>0</v>
      </c>
      <c r="EW91" s="2">
        <v>15.22</v>
      </c>
      <c r="EX91" s="2">
        <v>7.37</v>
      </c>
      <c r="EY91" s="2">
        <v>0</v>
      </c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>
        <v>0</v>
      </c>
      <c r="FR91" s="2">
        <v>0</v>
      </c>
      <c r="FS91" s="2">
        <v>0</v>
      </c>
      <c r="FT91" s="2"/>
      <c r="FU91" s="2"/>
      <c r="FV91" s="2"/>
      <c r="FW91" s="2"/>
      <c r="FX91" s="2">
        <v>117</v>
      </c>
      <c r="FY91" s="2">
        <v>74</v>
      </c>
      <c r="FZ91" s="2"/>
      <c r="GA91" s="2" t="s">
        <v>3</v>
      </c>
      <c r="GB91" s="2"/>
      <c r="GC91" s="2"/>
      <c r="GD91" s="2">
        <v>1</v>
      </c>
      <c r="GE91" s="2"/>
      <c r="GF91" s="2">
        <v>-101271490</v>
      </c>
      <c r="GG91" s="2">
        <v>2</v>
      </c>
      <c r="GH91" s="2">
        <v>1</v>
      </c>
      <c r="GI91" s="2">
        <v>-2</v>
      </c>
      <c r="GJ91" s="2">
        <v>0</v>
      </c>
      <c r="GK91" s="2">
        <v>0</v>
      </c>
      <c r="GL91" s="2">
        <f>ROUND(IF(AND(BH91=3,BI91=3,FS91&lt;&gt;0),P91,0),2)</f>
        <v>0</v>
      </c>
      <c r="GM91" s="2">
        <f>ROUND(O91+X91+Y91,2)+GX91</f>
        <v>9933.2800000000007</v>
      </c>
      <c r="GN91" s="2">
        <f>IF(OR(BI91=0,BI91=1),GM91-GX91,0)</f>
        <v>9933.2800000000007</v>
      </c>
      <c r="GO91" s="2">
        <f>IF(BI91=2,GM91-GX91,0)</f>
        <v>0</v>
      </c>
      <c r="GP91" s="2">
        <f>IF(BI91=4,GM91-GX91,0)</f>
        <v>0</v>
      </c>
      <c r="GQ91" s="2"/>
      <c r="GR91" s="2">
        <v>0</v>
      </c>
      <c r="GS91" s="2">
        <v>3</v>
      </c>
      <c r="GT91" s="2">
        <v>0</v>
      </c>
      <c r="GU91" s="2" t="s">
        <v>3</v>
      </c>
      <c r="GV91" s="2">
        <f>ROUND((GT91),6)</f>
        <v>0</v>
      </c>
      <c r="GW91" s="2">
        <v>1</v>
      </c>
      <c r="GX91" s="2">
        <f>ROUND(HC91*I91,2)</f>
        <v>0</v>
      </c>
      <c r="GY91" s="2"/>
      <c r="GZ91" s="2"/>
      <c r="HA91" s="2">
        <v>0</v>
      </c>
      <c r="HB91" s="2">
        <v>0</v>
      </c>
      <c r="HC91" s="2">
        <f>GV91*GW91</f>
        <v>0</v>
      </c>
      <c r="HD91" s="2"/>
      <c r="HE91" s="2" t="s">
        <v>3</v>
      </c>
      <c r="HF91" s="2" t="s">
        <v>3</v>
      </c>
      <c r="HG91" s="2"/>
      <c r="HH91" s="2"/>
      <c r="HI91" s="2"/>
      <c r="HJ91" s="2"/>
      <c r="HK91" s="2"/>
      <c r="HL91" s="2"/>
      <c r="HM91" s="2" t="s">
        <v>3</v>
      </c>
      <c r="HN91" s="2" t="s">
        <v>102</v>
      </c>
      <c r="HO91" s="2" t="s">
        <v>103</v>
      </c>
      <c r="HP91" s="2" t="s">
        <v>100</v>
      </c>
      <c r="HQ91" s="2" t="s">
        <v>100</v>
      </c>
      <c r="HR91" s="2"/>
      <c r="HS91" s="2">
        <v>0</v>
      </c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>
        <v>0</v>
      </c>
      <c r="IL91" s="2"/>
      <c r="IM91" s="2"/>
      <c r="IN91" s="2"/>
      <c r="IO91" s="2"/>
      <c r="IP91" s="2"/>
      <c r="IQ91" s="2"/>
      <c r="IR91" s="2"/>
      <c r="IS91" s="2"/>
      <c r="IT91" s="2"/>
      <c r="IU91" s="2"/>
    </row>
    <row r="92" spans="1:255" ht="13.05" customHeight="1" x14ac:dyDescent="0.25">
      <c r="A92">
        <v>19</v>
      </c>
      <c r="B92">
        <v>1</v>
      </c>
      <c r="F92" t="s">
        <v>3</v>
      </c>
      <c r="G92" t="s">
        <v>181</v>
      </c>
      <c r="H92" t="s">
        <v>3</v>
      </c>
      <c r="AA92">
        <v>1</v>
      </c>
      <c r="IK92">
        <v>0</v>
      </c>
    </row>
    <row r="93" spans="1:255" ht="13.05" customHeight="1" x14ac:dyDescent="0.25">
      <c r="A93" s="2">
        <v>17</v>
      </c>
      <c r="B93" s="2">
        <v>1</v>
      </c>
      <c r="C93" s="2">
        <f>ROW(SmtRes!A51)</f>
        <v>51</v>
      </c>
      <c r="D93" s="2">
        <f>ROW(EtalonRes!A52)</f>
        <v>52</v>
      </c>
      <c r="E93" s="2" t="s">
        <v>182</v>
      </c>
      <c r="F93" s="2" t="s">
        <v>183</v>
      </c>
      <c r="G93" s="2" t="s">
        <v>184</v>
      </c>
      <c r="H93" s="2" t="s">
        <v>185</v>
      </c>
      <c r="I93" s="2">
        <v>0.36</v>
      </c>
      <c r="J93" s="2">
        <v>0</v>
      </c>
      <c r="K93" s="2">
        <v>0.36</v>
      </c>
      <c r="L93" s="2"/>
      <c r="M93" s="2"/>
      <c r="N93" s="2"/>
      <c r="O93" s="2">
        <f>ROUND(CP93,2)</f>
        <v>1754.17</v>
      </c>
      <c r="P93" s="2">
        <f>SUMIF(SmtRes!AQ51:'SmtRes'!AQ51,"=1",SmtRes!DF51:'SmtRes'!DF51)</f>
        <v>0</v>
      </c>
      <c r="Q93" s="2">
        <f>SUMIF(SmtRes!AQ51:'SmtRes'!AQ51,"=1",SmtRes!DG51:'SmtRes'!DG51)</f>
        <v>0</v>
      </c>
      <c r="R93" s="2">
        <f>SUMIF(SmtRes!AQ51:'SmtRes'!AQ51,"=1",SmtRes!DH51:'SmtRes'!DH51)</f>
        <v>0</v>
      </c>
      <c r="S93" s="2">
        <f>SUMIF(SmtRes!AQ51:'SmtRes'!AQ51,"=1",SmtRes!DI51:'SmtRes'!DI51)</f>
        <v>1754.17</v>
      </c>
      <c r="T93" s="2">
        <f>ROUND(CU93*I93,2)</f>
        <v>0</v>
      </c>
      <c r="U93" s="2">
        <f>SUMIF(SmtRes!AQ51:'SmtRes'!AQ51,"=1",SmtRes!CV51:'SmtRes'!CV51)</f>
        <v>5.5061999999999998</v>
      </c>
      <c r="V93" s="2">
        <f>SUMIF(SmtRes!AQ51:'SmtRes'!AQ51,"=1",SmtRes!CW51:'SmtRes'!CW51)</f>
        <v>0</v>
      </c>
      <c r="W93" s="2">
        <f>ROUND(CX93*I93,2)</f>
        <v>0</v>
      </c>
      <c r="X93" s="2">
        <f>ROUND(CY93,2)</f>
        <v>1561.21</v>
      </c>
      <c r="Y93" s="2">
        <f>ROUND(CZ93,2)</f>
        <v>771.83</v>
      </c>
      <c r="Z93" s="2"/>
      <c r="AA93" s="2">
        <v>75604747</v>
      </c>
      <c r="AB93" s="2">
        <f>ROUND((AC93+AD93+AF93),6)</f>
        <v>4872.6810999999998</v>
      </c>
      <c r="AC93" s="2">
        <f>ROUND((0),6)</f>
        <v>0</v>
      </c>
      <c r="AD93" s="2">
        <f>ROUND((((0)-(0))+AE93),6)</f>
        <v>0</v>
      </c>
      <c r="AE93" s="2">
        <f>ROUND((0),6)</f>
        <v>0</v>
      </c>
      <c r="AF93" s="2">
        <f>ROUND((SUM(SmtRes!BT51:'SmtRes'!BT51)),6)</f>
        <v>4872.6810999999998</v>
      </c>
      <c r="AG93" s="2">
        <f>ROUND((AP93),6)</f>
        <v>0</v>
      </c>
      <c r="AH93" s="2">
        <f>(SUM(SmtRes!BU51:'SmtRes'!BU51))</f>
        <v>15.295</v>
      </c>
      <c r="AI93" s="2">
        <f>(0)</f>
        <v>0</v>
      </c>
      <c r="AJ93" s="2">
        <f>(AS93)</f>
        <v>0</v>
      </c>
      <c r="AK93" s="2">
        <v>4237.1139999999996</v>
      </c>
      <c r="AL93" s="2">
        <v>0</v>
      </c>
      <c r="AM93" s="2">
        <v>0</v>
      </c>
      <c r="AN93" s="2">
        <v>0</v>
      </c>
      <c r="AO93" s="2">
        <v>4237.1139999999996</v>
      </c>
      <c r="AP93" s="2">
        <v>0</v>
      </c>
      <c r="AQ93" s="2">
        <v>13.3</v>
      </c>
      <c r="AR93" s="2">
        <v>0</v>
      </c>
      <c r="AS93" s="2">
        <v>0</v>
      </c>
      <c r="AT93" s="2">
        <v>89</v>
      </c>
      <c r="AU93" s="2">
        <v>44</v>
      </c>
      <c r="AV93" s="2">
        <v>1</v>
      </c>
      <c r="AW93" s="2">
        <v>1</v>
      </c>
      <c r="AX93" s="2"/>
      <c r="AY93" s="2"/>
      <c r="AZ93" s="2">
        <v>1</v>
      </c>
      <c r="BA93" s="2">
        <v>1</v>
      </c>
      <c r="BB93" s="2">
        <v>1</v>
      </c>
      <c r="BC93" s="2">
        <v>1</v>
      </c>
      <c r="BD93" s="2" t="s">
        <v>3</v>
      </c>
      <c r="BE93" s="2" t="s">
        <v>3</v>
      </c>
      <c r="BF93" s="2" t="s">
        <v>3</v>
      </c>
      <c r="BG93" s="2" t="s">
        <v>3</v>
      </c>
      <c r="BH93" s="2">
        <v>0</v>
      </c>
      <c r="BI93" s="2">
        <v>1</v>
      </c>
      <c r="BJ93" s="2" t="s">
        <v>186</v>
      </c>
      <c r="BK93" s="2"/>
      <c r="BL93" s="2"/>
      <c r="BM93" s="2">
        <v>66001</v>
      </c>
      <c r="BN93" s="2">
        <v>0</v>
      </c>
      <c r="BO93" s="2" t="s">
        <v>3</v>
      </c>
      <c r="BP93" s="2">
        <v>0</v>
      </c>
      <c r="BQ93" s="2">
        <v>6</v>
      </c>
      <c r="BR93" s="2">
        <v>0</v>
      </c>
      <c r="BS93" s="2">
        <v>1</v>
      </c>
      <c r="BT93" s="2">
        <v>1</v>
      </c>
      <c r="BU93" s="2">
        <v>1</v>
      </c>
      <c r="BV93" s="2">
        <v>1</v>
      </c>
      <c r="BW93" s="2">
        <v>1</v>
      </c>
      <c r="BX93" s="2">
        <v>1</v>
      </c>
      <c r="BY93" s="2" t="s">
        <v>3</v>
      </c>
      <c r="BZ93" s="2">
        <v>89</v>
      </c>
      <c r="CA93" s="2">
        <v>44</v>
      </c>
      <c r="CB93" s="2" t="s">
        <v>3</v>
      </c>
      <c r="CC93" s="2"/>
      <c r="CD93" s="2"/>
      <c r="CE93" s="2">
        <v>0</v>
      </c>
      <c r="CF93" s="2">
        <v>0</v>
      </c>
      <c r="CG93" s="2">
        <v>0</v>
      </c>
      <c r="CH93" s="2"/>
      <c r="CI93" s="2"/>
      <c r="CJ93" s="2"/>
      <c r="CK93" s="2"/>
      <c r="CL93" s="2"/>
      <c r="CM93" s="2">
        <v>0</v>
      </c>
      <c r="CN93" s="7" t="s">
        <v>805</v>
      </c>
      <c r="CO93" s="2">
        <v>0</v>
      </c>
      <c r="CP93" s="2">
        <f>(P93+Q93+S93+R93)</f>
        <v>1754.17</v>
      </c>
      <c r="CQ93" s="2">
        <f>SUMIF(SmtRes!AQ51:'SmtRes'!AQ51,"=1",SmtRes!AA51:'SmtRes'!AA51)</f>
        <v>0</v>
      </c>
      <c r="CR93" s="2">
        <f>SUMIF(SmtRes!AQ51:'SmtRes'!AQ51,"=1",SmtRes!AB51:'SmtRes'!AB51)</f>
        <v>0</v>
      </c>
      <c r="CS93" s="2">
        <f>SUMIF(SmtRes!AQ51:'SmtRes'!AQ51,"=1",SmtRes!AC51:'SmtRes'!AC51)</f>
        <v>0</v>
      </c>
      <c r="CT93" s="2">
        <f>SUMIF(SmtRes!AQ51:'SmtRes'!AQ51,"=1",SmtRes!AD51:'SmtRes'!AD51)</f>
        <v>318.58</v>
      </c>
      <c r="CU93" s="2">
        <f>AG93</f>
        <v>0</v>
      </c>
      <c r="CV93" s="2">
        <f>SUMIF(SmtRes!AQ51:'SmtRes'!AQ51,"=1",SmtRes!BU51:'SmtRes'!BU51)</f>
        <v>15.295</v>
      </c>
      <c r="CW93" s="2">
        <f>SUMIF(SmtRes!AQ51:'SmtRes'!AQ51,"=1",SmtRes!BV51:'SmtRes'!BV51)</f>
        <v>0</v>
      </c>
      <c r="CX93" s="2">
        <f>AJ93</f>
        <v>0</v>
      </c>
      <c r="CY93" s="2">
        <f>(((S93+R93)*AT93)/100)</f>
        <v>1561.2112999999999</v>
      </c>
      <c r="CZ93" s="2">
        <f>(((S93+R93)*AU93)/100)</f>
        <v>771.83480000000009</v>
      </c>
      <c r="DA93" s="2"/>
      <c r="DB93" s="2">
        <v>18</v>
      </c>
      <c r="DC93" s="2" t="s">
        <v>3</v>
      </c>
      <c r="DD93" s="2" t="s">
        <v>3</v>
      </c>
      <c r="DE93" s="2" t="s">
        <v>27</v>
      </c>
      <c r="DF93" s="2" t="s">
        <v>27</v>
      </c>
      <c r="DG93" s="2" t="s">
        <v>27</v>
      </c>
      <c r="DH93" s="2" t="s">
        <v>3</v>
      </c>
      <c r="DI93" s="2" t="s">
        <v>27</v>
      </c>
      <c r="DJ93" s="2" t="s">
        <v>27</v>
      </c>
      <c r="DK93" s="2" t="s">
        <v>3</v>
      </c>
      <c r="DL93" s="2" t="s">
        <v>3</v>
      </c>
      <c r="DM93" s="2" t="s">
        <v>3</v>
      </c>
      <c r="DN93" s="2">
        <v>0</v>
      </c>
      <c r="DO93" s="2">
        <v>0</v>
      </c>
      <c r="DP93" s="2">
        <v>1</v>
      </c>
      <c r="DQ93" s="2">
        <v>1</v>
      </c>
      <c r="DR93" s="2"/>
      <c r="DS93" s="2"/>
      <c r="DT93" s="2"/>
      <c r="DU93" s="2">
        <v>1005</v>
      </c>
      <c r="DV93" s="2" t="s">
        <v>185</v>
      </c>
      <c r="DW93" s="2" t="s">
        <v>185</v>
      </c>
      <c r="DX93" s="2">
        <v>100</v>
      </c>
      <c r="DY93" s="2"/>
      <c r="DZ93" s="2" t="s">
        <v>3</v>
      </c>
      <c r="EA93" s="2" t="s">
        <v>3</v>
      </c>
      <c r="EB93" s="2" t="s">
        <v>3</v>
      </c>
      <c r="EC93" s="2" t="s">
        <v>3</v>
      </c>
      <c r="ED93" s="2"/>
      <c r="EE93" s="2">
        <v>74004301</v>
      </c>
      <c r="EF93" s="2">
        <v>6</v>
      </c>
      <c r="EG93" s="2" t="s">
        <v>187</v>
      </c>
      <c r="EH93" s="2">
        <v>100</v>
      </c>
      <c r="EI93" s="2" t="s">
        <v>188</v>
      </c>
      <c r="EJ93" s="2">
        <v>1</v>
      </c>
      <c r="EK93" s="2">
        <v>66001</v>
      </c>
      <c r="EL93" s="2" t="s">
        <v>189</v>
      </c>
      <c r="EM93" s="2" t="s">
        <v>190</v>
      </c>
      <c r="EN93" s="2"/>
      <c r="EO93" s="2" t="s">
        <v>191</v>
      </c>
      <c r="EP93" s="2"/>
      <c r="EQ93" s="2">
        <v>0</v>
      </c>
      <c r="ER93" s="2">
        <v>0</v>
      </c>
      <c r="ES93" s="2">
        <v>0</v>
      </c>
      <c r="ET93" s="2">
        <v>0</v>
      </c>
      <c r="EU93" s="2">
        <v>0</v>
      </c>
      <c r="EV93" s="2">
        <v>0</v>
      </c>
      <c r="EW93" s="2">
        <v>13.3</v>
      </c>
      <c r="EX93" s="2">
        <v>0</v>
      </c>
      <c r="EY93" s="2">
        <v>0</v>
      </c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>
        <v>0</v>
      </c>
      <c r="FR93" s="2">
        <v>0</v>
      </c>
      <c r="FS93" s="2">
        <v>0</v>
      </c>
      <c r="FT93" s="2"/>
      <c r="FU93" s="2"/>
      <c r="FV93" s="2"/>
      <c r="FW93" s="2"/>
      <c r="FX93" s="2">
        <v>89</v>
      </c>
      <c r="FY93" s="2">
        <v>44</v>
      </c>
      <c r="FZ93" s="2"/>
      <c r="GA93" s="2" t="s">
        <v>3</v>
      </c>
      <c r="GB93" s="2"/>
      <c r="GC93" s="2"/>
      <c r="GD93" s="2">
        <v>1</v>
      </c>
      <c r="GE93" s="2"/>
      <c r="GF93" s="2">
        <v>1022184019</v>
      </c>
      <c r="GG93" s="2">
        <v>2</v>
      </c>
      <c r="GH93" s="2">
        <v>1</v>
      </c>
      <c r="GI93" s="2">
        <v>-2</v>
      </c>
      <c r="GJ93" s="2">
        <v>0</v>
      </c>
      <c r="GK93" s="2">
        <v>0</v>
      </c>
      <c r="GL93" s="2">
        <f t="shared" ref="GL93:GL98" si="33">ROUND(IF(AND(BH93=3,BI93=3,FS93&lt;&gt;0),P93,0),2)</f>
        <v>0</v>
      </c>
      <c r="GM93" s="2">
        <f>ROUND(O93+X93+Y93,2)+GX93</f>
        <v>4087.21</v>
      </c>
      <c r="GN93" s="2">
        <f t="shared" ref="GN93:GN98" si="34">IF(OR(BI93=0,BI93=1),GM93-GX93,0)</f>
        <v>4087.21</v>
      </c>
      <c r="GO93" s="2">
        <f t="shared" ref="GO93:GO98" si="35">IF(BI93=2,GM93-GX93,0)</f>
        <v>0</v>
      </c>
      <c r="GP93" s="2">
        <f t="shared" ref="GP93:GP98" si="36">IF(BI93=4,GM93-GX93,0)</f>
        <v>0</v>
      </c>
      <c r="GQ93" s="2"/>
      <c r="GR93" s="2">
        <v>0</v>
      </c>
      <c r="GS93" s="2">
        <v>3</v>
      </c>
      <c r="GT93" s="2">
        <v>0</v>
      </c>
      <c r="GU93" s="2" t="s">
        <v>3</v>
      </c>
      <c r="GV93" s="2">
        <f>ROUND((GT93),6)</f>
        <v>0</v>
      </c>
      <c r="GW93" s="2">
        <v>1</v>
      </c>
      <c r="GX93" s="2">
        <f>ROUND(HC93*I93,2)</f>
        <v>0</v>
      </c>
      <c r="GY93" s="2"/>
      <c r="GZ93" s="2"/>
      <c r="HA93" s="2">
        <v>0</v>
      </c>
      <c r="HB93" s="2">
        <v>0</v>
      </c>
      <c r="HC93" s="2">
        <f>GV93*GW93</f>
        <v>0</v>
      </c>
      <c r="HD93" s="2"/>
      <c r="HE93" s="2" t="s">
        <v>3</v>
      </c>
      <c r="HF93" s="2" t="s">
        <v>3</v>
      </c>
      <c r="HG93" s="2"/>
      <c r="HH93" s="2"/>
      <c r="HI93" s="2"/>
      <c r="HJ93" s="2"/>
      <c r="HK93" s="2"/>
      <c r="HL93" s="2"/>
      <c r="HM93" s="2" t="s">
        <v>3</v>
      </c>
      <c r="HN93" s="2" t="s">
        <v>192</v>
      </c>
      <c r="HO93" s="2" t="s">
        <v>193</v>
      </c>
      <c r="HP93" s="2" t="s">
        <v>189</v>
      </c>
      <c r="HQ93" s="2" t="s">
        <v>189</v>
      </c>
      <c r="HR93" s="2"/>
      <c r="HS93" s="2">
        <v>0</v>
      </c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>
        <v>0</v>
      </c>
      <c r="IL93" s="2"/>
      <c r="IM93" s="2"/>
      <c r="IN93" s="2"/>
      <c r="IO93" s="2"/>
      <c r="IP93" s="2"/>
      <c r="IQ93" s="2"/>
      <c r="IR93" s="2"/>
      <c r="IS93" s="2"/>
      <c r="IT93" s="2"/>
      <c r="IU93" s="2"/>
    </row>
    <row r="94" spans="1:255" ht="13.05" customHeight="1" x14ac:dyDescent="0.25">
      <c r="A94" s="2">
        <v>17</v>
      </c>
      <c r="B94" s="2">
        <v>1</v>
      </c>
      <c r="C94" s="2"/>
      <c r="D94" s="2"/>
      <c r="E94" s="2" t="s">
        <v>194</v>
      </c>
      <c r="F94" s="2" t="s">
        <v>195</v>
      </c>
      <c r="G94" s="2" t="s">
        <v>196</v>
      </c>
      <c r="H94" s="2" t="s">
        <v>43</v>
      </c>
      <c r="I94" s="2">
        <v>3.5999999999999997E-2</v>
      </c>
      <c r="J94" s="2">
        <v>0</v>
      </c>
      <c r="K94" s="2">
        <v>3.5999999999999997E-2</v>
      </c>
      <c r="L94" s="2"/>
      <c r="M94" s="2"/>
      <c r="N94" s="2"/>
      <c r="O94" s="2">
        <f>0</f>
        <v>0</v>
      </c>
      <c r="P94" s="2">
        <f>0</f>
        <v>0</v>
      </c>
      <c r="Q94" s="2">
        <f>0</f>
        <v>0</v>
      </c>
      <c r="R94" s="2">
        <f>0</f>
        <v>0</v>
      </c>
      <c r="S94" s="2">
        <f>0</f>
        <v>0</v>
      </c>
      <c r="T94" s="2">
        <f>0</f>
        <v>0</v>
      </c>
      <c r="U94" s="2">
        <f>0</f>
        <v>0</v>
      </c>
      <c r="V94" s="2">
        <f>0</f>
        <v>0</v>
      </c>
      <c r="W94" s="2">
        <f>0</f>
        <v>0</v>
      </c>
      <c r="X94" s="2">
        <f>0</f>
        <v>0</v>
      </c>
      <c r="Y94" s="2">
        <f>0</f>
        <v>0</v>
      </c>
      <c r="Z94" s="2"/>
      <c r="AA94" s="2">
        <v>75604747</v>
      </c>
      <c r="AB94" s="2">
        <f>ROUND((AK94),6)</f>
        <v>884.84</v>
      </c>
      <c r="AC94" s="2">
        <f>0</f>
        <v>0</v>
      </c>
      <c r="AD94" s="2">
        <f>0</f>
        <v>0</v>
      </c>
      <c r="AE94" s="2">
        <f>0</f>
        <v>0</v>
      </c>
      <c r="AF94" s="2">
        <f>0</f>
        <v>0</v>
      </c>
      <c r="AG94" s="2">
        <f>0</f>
        <v>0</v>
      </c>
      <c r="AH94" s="2">
        <f>0</f>
        <v>0</v>
      </c>
      <c r="AI94" s="2">
        <f>0</f>
        <v>0</v>
      </c>
      <c r="AJ94" s="2">
        <f>0</f>
        <v>0</v>
      </c>
      <c r="AK94" s="2">
        <v>884.84</v>
      </c>
      <c r="AL94" s="2">
        <v>0</v>
      </c>
      <c r="AM94" s="2">
        <v>0</v>
      </c>
      <c r="AN94" s="2">
        <v>0</v>
      </c>
      <c r="AO94" s="2">
        <v>0</v>
      </c>
      <c r="AP94" s="2">
        <v>0</v>
      </c>
      <c r="AQ94" s="2">
        <v>0</v>
      </c>
      <c r="AR94" s="2">
        <v>0</v>
      </c>
      <c r="AS94" s="2">
        <v>0</v>
      </c>
      <c r="AT94" s="2">
        <v>0</v>
      </c>
      <c r="AU94" s="2">
        <v>0</v>
      </c>
      <c r="AV94" s="2">
        <v>1</v>
      </c>
      <c r="AW94" s="2">
        <v>1</v>
      </c>
      <c r="AX94" s="2"/>
      <c r="AY94" s="2"/>
      <c r="AZ94" s="2">
        <v>1</v>
      </c>
      <c r="BA94" s="2">
        <v>1</v>
      </c>
      <c r="BB94" s="2">
        <v>1</v>
      </c>
      <c r="BC94" s="2">
        <v>1</v>
      </c>
      <c r="BD94" s="2" t="s">
        <v>3</v>
      </c>
      <c r="BE94" s="2" t="s">
        <v>3</v>
      </c>
      <c r="BF94" s="2" t="s">
        <v>3</v>
      </c>
      <c r="BG94" s="2" t="s">
        <v>3</v>
      </c>
      <c r="BH94" s="2">
        <v>0</v>
      </c>
      <c r="BI94" s="2">
        <v>1</v>
      </c>
      <c r="BJ94" s="2" t="s">
        <v>195</v>
      </c>
      <c r="BK94" s="2"/>
      <c r="BL94" s="2"/>
      <c r="BM94" s="2">
        <v>700007</v>
      </c>
      <c r="BN94" s="2">
        <v>0</v>
      </c>
      <c r="BO94" s="2" t="s">
        <v>3</v>
      </c>
      <c r="BP94" s="2">
        <v>0</v>
      </c>
      <c r="BQ94" s="2">
        <v>19</v>
      </c>
      <c r="BR94" s="2">
        <v>0</v>
      </c>
      <c r="BS94" s="2">
        <v>1</v>
      </c>
      <c r="BT94" s="2">
        <v>1</v>
      </c>
      <c r="BU94" s="2">
        <v>1</v>
      </c>
      <c r="BV94" s="2">
        <v>1</v>
      </c>
      <c r="BW94" s="2">
        <v>1</v>
      </c>
      <c r="BX94" s="2">
        <v>1</v>
      </c>
      <c r="BY94" s="2" t="s">
        <v>3</v>
      </c>
      <c r="BZ94" s="2">
        <v>90</v>
      </c>
      <c r="CA94" s="2">
        <v>42</v>
      </c>
      <c r="CB94" s="2" t="s">
        <v>3</v>
      </c>
      <c r="CC94" s="2"/>
      <c r="CD94" s="2"/>
      <c r="CE94" s="2">
        <v>0</v>
      </c>
      <c r="CF94" s="2">
        <v>0</v>
      </c>
      <c r="CG94" s="2">
        <v>0</v>
      </c>
      <c r="CH94" s="2"/>
      <c r="CI94" s="2"/>
      <c r="CJ94" s="2"/>
      <c r="CK94" s="2"/>
      <c r="CL94" s="2"/>
      <c r="CM94" s="2">
        <v>0</v>
      </c>
      <c r="CN94" s="2" t="s">
        <v>3</v>
      </c>
      <c r="CO94" s="2">
        <v>0</v>
      </c>
      <c r="CP94" s="2">
        <f>AB94*AZ94</f>
        <v>884.84</v>
      </c>
      <c r="CQ94" s="2">
        <v>0</v>
      </c>
      <c r="CR94" s="2">
        <v>0</v>
      </c>
      <c r="CS94" s="2">
        <v>0</v>
      </c>
      <c r="CT94" s="2">
        <v>0</v>
      </c>
      <c r="CU94" s="2">
        <v>0</v>
      </c>
      <c r="CV94" s="2">
        <v>0</v>
      </c>
      <c r="CW94" s="2">
        <v>0</v>
      </c>
      <c r="CX94" s="2">
        <v>0</v>
      </c>
      <c r="CY94" s="2">
        <v>0</v>
      </c>
      <c r="CZ94" s="2">
        <v>0</v>
      </c>
      <c r="DA94" s="2"/>
      <c r="DB94" s="2"/>
      <c r="DC94" s="2" t="s">
        <v>3</v>
      </c>
      <c r="DD94" s="2" t="s">
        <v>3</v>
      </c>
      <c r="DE94" s="2" t="s">
        <v>3</v>
      </c>
      <c r="DF94" s="2" t="s">
        <v>3</v>
      </c>
      <c r="DG94" s="2" t="s">
        <v>3</v>
      </c>
      <c r="DH94" s="2" t="s">
        <v>3</v>
      </c>
      <c r="DI94" s="2" t="s">
        <v>3</v>
      </c>
      <c r="DJ94" s="2" t="s">
        <v>3</v>
      </c>
      <c r="DK94" s="2" t="s">
        <v>3</v>
      </c>
      <c r="DL94" s="2" t="s">
        <v>3</v>
      </c>
      <c r="DM94" s="2" t="s">
        <v>3</v>
      </c>
      <c r="DN94" s="2">
        <v>0</v>
      </c>
      <c r="DO94" s="2">
        <v>0</v>
      </c>
      <c r="DP94" s="2">
        <v>1</v>
      </c>
      <c r="DQ94" s="2">
        <v>1</v>
      </c>
      <c r="DR94" s="2"/>
      <c r="DS94" s="2"/>
      <c r="DT94" s="2"/>
      <c r="DU94" s="2">
        <v>1013</v>
      </c>
      <c r="DV94" s="2" t="s">
        <v>43</v>
      </c>
      <c r="DW94" s="2" t="s">
        <v>43</v>
      </c>
      <c r="DX94" s="2">
        <v>1</v>
      </c>
      <c r="DY94" s="2"/>
      <c r="DZ94" s="2" t="s">
        <v>3</v>
      </c>
      <c r="EA94" s="2" t="s">
        <v>3</v>
      </c>
      <c r="EB94" s="2" t="s">
        <v>3</v>
      </c>
      <c r="EC94" s="2" t="s">
        <v>3</v>
      </c>
      <c r="ED94" s="2"/>
      <c r="EE94" s="2">
        <v>74004661</v>
      </c>
      <c r="EF94" s="2">
        <v>19</v>
      </c>
      <c r="EG94" s="2" t="s">
        <v>197</v>
      </c>
      <c r="EH94" s="2">
        <v>106</v>
      </c>
      <c r="EI94" s="2" t="s">
        <v>197</v>
      </c>
      <c r="EJ94" s="2">
        <v>1</v>
      </c>
      <c r="EK94" s="2">
        <v>700007</v>
      </c>
      <c r="EL94" s="2" t="s">
        <v>197</v>
      </c>
      <c r="EM94" s="2" t="s">
        <v>198</v>
      </c>
      <c r="EN94" s="2"/>
      <c r="EO94" s="2" t="s">
        <v>3</v>
      </c>
      <c r="EP94" s="2"/>
      <c r="EQ94" s="2">
        <v>0</v>
      </c>
      <c r="ER94" s="2">
        <v>0</v>
      </c>
      <c r="ES94" s="2">
        <v>0</v>
      </c>
      <c r="ET94" s="2">
        <v>0</v>
      </c>
      <c r="EU94" s="2">
        <v>0</v>
      </c>
      <c r="EV94" s="2">
        <v>0</v>
      </c>
      <c r="EW94" s="2">
        <v>0</v>
      </c>
      <c r="EX94" s="2">
        <v>0</v>
      </c>
      <c r="EY94" s="2">
        <v>0</v>
      </c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>
        <v>0</v>
      </c>
      <c r="FR94" s="2">
        <v>0</v>
      </c>
      <c r="FS94" s="2">
        <v>0</v>
      </c>
      <c r="FT94" s="2"/>
      <c r="FU94" s="2"/>
      <c r="FV94" s="2"/>
      <c r="FW94" s="2"/>
      <c r="FX94" s="2">
        <v>0</v>
      </c>
      <c r="FY94" s="2">
        <v>0</v>
      </c>
      <c r="FZ94" s="2"/>
      <c r="GA94" s="2" t="s">
        <v>3</v>
      </c>
      <c r="GB94" s="2"/>
      <c r="GC94" s="2"/>
      <c r="GD94" s="2">
        <v>1</v>
      </c>
      <c r="GE94" s="2"/>
      <c r="GF94" s="2">
        <v>1502043456</v>
      </c>
      <c r="GG94" s="2">
        <v>2</v>
      </c>
      <c r="GH94" s="2">
        <v>1</v>
      </c>
      <c r="GI94" s="2">
        <v>-2</v>
      </c>
      <c r="GJ94" s="2">
        <v>2</v>
      </c>
      <c r="GK94" s="2">
        <v>0</v>
      </c>
      <c r="GL94" s="2">
        <f t="shared" si="33"/>
        <v>0</v>
      </c>
      <c r="GM94" s="2">
        <f>ROUND(CP94*I94,2)</f>
        <v>31.85</v>
      </c>
      <c r="GN94" s="2">
        <f t="shared" si="34"/>
        <v>31.85</v>
      </c>
      <c r="GO94" s="2">
        <f t="shared" si="35"/>
        <v>0</v>
      </c>
      <c r="GP94" s="2">
        <f t="shared" si="36"/>
        <v>0</v>
      </c>
      <c r="GQ94" s="2"/>
      <c r="GR94" s="2">
        <v>0</v>
      </c>
      <c r="GS94" s="2">
        <v>3</v>
      </c>
      <c r="GT94" s="2">
        <v>0</v>
      </c>
      <c r="GU94" s="2" t="s">
        <v>3</v>
      </c>
      <c r="GV94" s="2">
        <f>0</f>
        <v>0</v>
      </c>
      <c r="GW94" s="2">
        <v>1</v>
      </c>
      <c r="GX94" s="2">
        <f>0</f>
        <v>0</v>
      </c>
      <c r="GY94" s="2"/>
      <c r="GZ94" s="2"/>
      <c r="HA94" s="2">
        <v>0</v>
      </c>
      <c r="HB94" s="2">
        <v>0</v>
      </c>
      <c r="HC94" s="2">
        <v>0</v>
      </c>
      <c r="HD94" s="2">
        <f>GM94</f>
        <v>31.85</v>
      </c>
      <c r="HE94" s="2" t="s">
        <v>3</v>
      </c>
      <c r="HF94" s="2" t="s">
        <v>3</v>
      </c>
      <c r="HG94" s="2"/>
      <c r="HH94" s="2"/>
      <c r="HI94" s="2"/>
      <c r="HJ94" s="2"/>
      <c r="HK94" s="2"/>
      <c r="HL94" s="2"/>
      <c r="HM94" s="2" t="s">
        <v>3</v>
      </c>
      <c r="HN94" s="2" t="s">
        <v>199</v>
      </c>
      <c r="HO94" s="2" t="s">
        <v>200</v>
      </c>
      <c r="HP94" s="2" t="s">
        <v>197</v>
      </c>
      <c r="HQ94" s="2" t="s">
        <v>197</v>
      </c>
      <c r="HR94" s="2"/>
      <c r="HS94" s="2">
        <v>0</v>
      </c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>
        <v>0</v>
      </c>
      <c r="IL94" s="2"/>
      <c r="IM94" s="2"/>
      <c r="IN94" s="2"/>
      <c r="IO94" s="2"/>
      <c r="IP94" s="2"/>
      <c r="IQ94" s="2"/>
      <c r="IR94" s="2"/>
      <c r="IS94" s="2"/>
      <c r="IT94" s="2"/>
      <c r="IU94" s="2"/>
    </row>
    <row r="95" spans="1:255" ht="13.05" customHeight="1" x14ac:dyDescent="0.25">
      <c r="A95" s="2">
        <v>17</v>
      </c>
      <c r="B95" s="2">
        <v>1</v>
      </c>
      <c r="C95" s="2"/>
      <c r="D95" s="2"/>
      <c r="E95" s="2" t="s">
        <v>201</v>
      </c>
      <c r="F95" s="2" t="s">
        <v>41</v>
      </c>
      <c r="G95" s="2" t="s">
        <v>42</v>
      </c>
      <c r="H95" s="2" t="s">
        <v>43</v>
      </c>
      <c r="I95" s="2">
        <v>3.5999999999999997E-2</v>
      </c>
      <c r="J95" s="2">
        <v>0</v>
      </c>
      <c r="K95" s="2">
        <v>3.5999999999999997E-2</v>
      </c>
      <c r="L95" s="2"/>
      <c r="M95" s="2"/>
      <c r="N95" s="2"/>
      <c r="O95" s="2">
        <f>0</f>
        <v>0</v>
      </c>
      <c r="P95" s="2">
        <f>0</f>
        <v>0</v>
      </c>
      <c r="Q95" s="2">
        <f>0</f>
        <v>0</v>
      </c>
      <c r="R95" s="2">
        <f>0</f>
        <v>0</v>
      </c>
      <c r="S95" s="2">
        <f>0</f>
        <v>0</v>
      </c>
      <c r="T95" s="2">
        <f>0</f>
        <v>0</v>
      </c>
      <c r="U95" s="2">
        <f>0</f>
        <v>0</v>
      </c>
      <c r="V95" s="2">
        <f>0</f>
        <v>0</v>
      </c>
      <c r="W95" s="2">
        <f>0</f>
        <v>0</v>
      </c>
      <c r="X95" s="2">
        <f>0</f>
        <v>0</v>
      </c>
      <c r="Y95" s="2">
        <f>0</f>
        <v>0</v>
      </c>
      <c r="Z95" s="2"/>
      <c r="AA95" s="2">
        <v>75604747</v>
      </c>
      <c r="AB95" s="2">
        <f>ROUND((AK95),6)</f>
        <v>251.35</v>
      </c>
      <c r="AC95" s="2">
        <f>0</f>
        <v>0</v>
      </c>
      <c r="AD95" s="2">
        <f>0</f>
        <v>0</v>
      </c>
      <c r="AE95" s="2">
        <f>0</f>
        <v>0</v>
      </c>
      <c r="AF95" s="2">
        <f>0</f>
        <v>0</v>
      </c>
      <c r="AG95" s="2">
        <f>0</f>
        <v>0</v>
      </c>
      <c r="AH95" s="2">
        <f>0</f>
        <v>0</v>
      </c>
      <c r="AI95" s="2">
        <f>0</f>
        <v>0</v>
      </c>
      <c r="AJ95" s="2">
        <f>0</f>
        <v>0</v>
      </c>
      <c r="AK95" s="2">
        <v>251.35</v>
      </c>
      <c r="AL95" s="2">
        <v>0</v>
      </c>
      <c r="AM95" s="2">
        <v>0</v>
      </c>
      <c r="AN95" s="2">
        <v>0</v>
      </c>
      <c r="AO95" s="2">
        <v>0</v>
      </c>
      <c r="AP95" s="2">
        <v>0</v>
      </c>
      <c r="AQ95" s="2">
        <v>0</v>
      </c>
      <c r="AR95" s="2">
        <v>0</v>
      </c>
      <c r="AS95" s="2">
        <v>0</v>
      </c>
      <c r="AT95" s="2">
        <v>0</v>
      </c>
      <c r="AU95" s="2">
        <v>0</v>
      </c>
      <c r="AV95" s="2">
        <v>1</v>
      </c>
      <c r="AW95" s="2">
        <v>1</v>
      </c>
      <c r="AX95" s="2"/>
      <c r="AY95" s="2"/>
      <c r="AZ95" s="2">
        <v>1</v>
      </c>
      <c r="BA95" s="2">
        <v>1</v>
      </c>
      <c r="BB95" s="2">
        <v>1</v>
      </c>
      <c r="BC95" s="2">
        <v>1</v>
      </c>
      <c r="BD95" s="2" t="s">
        <v>3</v>
      </c>
      <c r="BE95" s="2" t="s">
        <v>3</v>
      </c>
      <c r="BF95" s="2" t="s">
        <v>3</v>
      </c>
      <c r="BG95" s="2" t="s">
        <v>3</v>
      </c>
      <c r="BH95" s="2">
        <v>0</v>
      </c>
      <c r="BI95" s="2">
        <v>1</v>
      </c>
      <c r="BJ95" s="2" t="s">
        <v>41</v>
      </c>
      <c r="BK95" s="2"/>
      <c r="BL95" s="2"/>
      <c r="BM95" s="2">
        <v>700008</v>
      </c>
      <c r="BN95" s="2">
        <v>0</v>
      </c>
      <c r="BO95" s="2" t="s">
        <v>3</v>
      </c>
      <c r="BP95" s="2">
        <v>0</v>
      </c>
      <c r="BQ95" s="2">
        <v>10</v>
      </c>
      <c r="BR95" s="2">
        <v>0</v>
      </c>
      <c r="BS95" s="2">
        <v>1</v>
      </c>
      <c r="BT95" s="2">
        <v>1</v>
      </c>
      <c r="BU95" s="2">
        <v>1</v>
      </c>
      <c r="BV95" s="2">
        <v>1</v>
      </c>
      <c r="BW95" s="2">
        <v>1</v>
      </c>
      <c r="BX95" s="2">
        <v>1</v>
      </c>
      <c r="BY95" s="2" t="s">
        <v>3</v>
      </c>
      <c r="BZ95" s="2">
        <v>94</v>
      </c>
      <c r="CA95" s="2">
        <v>61</v>
      </c>
      <c r="CB95" s="2" t="s">
        <v>3</v>
      </c>
      <c r="CC95" s="2"/>
      <c r="CD95" s="2"/>
      <c r="CE95" s="2">
        <v>0</v>
      </c>
      <c r="CF95" s="2">
        <v>0</v>
      </c>
      <c r="CG95" s="2">
        <v>0</v>
      </c>
      <c r="CH95" s="2"/>
      <c r="CI95" s="2"/>
      <c r="CJ95" s="2"/>
      <c r="CK95" s="2"/>
      <c r="CL95" s="2"/>
      <c r="CM95" s="2">
        <v>0</v>
      </c>
      <c r="CN95" s="2" t="s">
        <v>3</v>
      </c>
      <c r="CO95" s="2">
        <v>0</v>
      </c>
      <c r="CP95" s="2">
        <f>AB95*AZ95</f>
        <v>251.35</v>
      </c>
      <c r="CQ95" s="2">
        <v>0</v>
      </c>
      <c r="CR95" s="2">
        <v>0</v>
      </c>
      <c r="CS95" s="2">
        <v>0</v>
      </c>
      <c r="CT95" s="2">
        <v>0</v>
      </c>
      <c r="CU95" s="2">
        <v>0</v>
      </c>
      <c r="CV95" s="2">
        <v>0</v>
      </c>
      <c r="CW95" s="2">
        <v>0</v>
      </c>
      <c r="CX95" s="2">
        <v>0</v>
      </c>
      <c r="CY95" s="2">
        <v>0</v>
      </c>
      <c r="CZ95" s="2">
        <v>0</v>
      </c>
      <c r="DA95" s="2"/>
      <c r="DB95" s="2"/>
      <c r="DC95" s="2" t="s">
        <v>3</v>
      </c>
      <c r="DD95" s="2" t="s">
        <v>3</v>
      </c>
      <c r="DE95" s="2" t="s">
        <v>3</v>
      </c>
      <c r="DF95" s="2" t="s">
        <v>3</v>
      </c>
      <c r="DG95" s="2" t="s">
        <v>3</v>
      </c>
      <c r="DH95" s="2" t="s">
        <v>3</v>
      </c>
      <c r="DI95" s="2" t="s">
        <v>3</v>
      </c>
      <c r="DJ95" s="2" t="s">
        <v>3</v>
      </c>
      <c r="DK95" s="2" t="s">
        <v>3</v>
      </c>
      <c r="DL95" s="2" t="s">
        <v>3</v>
      </c>
      <c r="DM95" s="2" t="s">
        <v>3</v>
      </c>
      <c r="DN95" s="2">
        <v>0</v>
      </c>
      <c r="DO95" s="2">
        <v>0</v>
      </c>
      <c r="DP95" s="2">
        <v>1</v>
      </c>
      <c r="DQ95" s="2">
        <v>1</v>
      </c>
      <c r="DR95" s="2"/>
      <c r="DS95" s="2"/>
      <c r="DT95" s="2"/>
      <c r="DU95" s="2">
        <v>1013</v>
      </c>
      <c r="DV95" s="2" t="s">
        <v>43</v>
      </c>
      <c r="DW95" s="2" t="s">
        <v>43</v>
      </c>
      <c r="DX95" s="2">
        <v>1</v>
      </c>
      <c r="DY95" s="2"/>
      <c r="DZ95" s="2" t="s">
        <v>3</v>
      </c>
      <c r="EA95" s="2" t="s">
        <v>3</v>
      </c>
      <c r="EB95" s="2" t="s">
        <v>3</v>
      </c>
      <c r="EC95" s="2" t="s">
        <v>3</v>
      </c>
      <c r="ED95" s="2"/>
      <c r="EE95" s="2">
        <v>74004662</v>
      </c>
      <c r="EF95" s="2">
        <v>10</v>
      </c>
      <c r="EG95" s="2" t="s">
        <v>44</v>
      </c>
      <c r="EH95" s="2">
        <v>107</v>
      </c>
      <c r="EI95" s="2" t="s">
        <v>45</v>
      </c>
      <c r="EJ95" s="2">
        <v>1</v>
      </c>
      <c r="EK95" s="2">
        <v>700008</v>
      </c>
      <c r="EL95" s="2" t="s">
        <v>46</v>
      </c>
      <c r="EM95" s="2" t="s">
        <v>47</v>
      </c>
      <c r="EN95" s="2"/>
      <c r="EO95" s="2" t="s">
        <v>3</v>
      </c>
      <c r="EP95" s="2"/>
      <c r="EQ95" s="2">
        <v>0</v>
      </c>
      <c r="ER95" s="2">
        <v>0</v>
      </c>
      <c r="ES95" s="2">
        <v>0</v>
      </c>
      <c r="ET95" s="2">
        <v>0</v>
      </c>
      <c r="EU95" s="2">
        <v>0</v>
      </c>
      <c r="EV95" s="2">
        <v>0</v>
      </c>
      <c r="EW95" s="2">
        <v>0</v>
      </c>
      <c r="EX95" s="2">
        <v>0</v>
      </c>
      <c r="EY95" s="2">
        <v>0</v>
      </c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>
        <v>0</v>
      </c>
      <c r="FR95" s="2">
        <v>0</v>
      </c>
      <c r="FS95" s="2">
        <v>0</v>
      </c>
      <c r="FT95" s="2"/>
      <c r="FU95" s="2"/>
      <c r="FV95" s="2"/>
      <c r="FW95" s="2"/>
      <c r="FX95" s="2">
        <v>0</v>
      </c>
      <c r="FY95" s="2">
        <v>0</v>
      </c>
      <c r="FZ95" s="2"/>
      <c r="GA95" s="2" t="s">
        <v>3</v>
      </c>
      <c r="GB95" s="2"/>
      <c r="GC95" s="2"/>
      <c r="GD95" s="2">
        <v>1</v>
      </c>
      <c r="GE95" s="2"/>
      <c r="GF95" s="2">
        <v>-939797987</v>
      </c>
      <c r="GG95" s="2">
        <v>2</v>
      </c>
      <c r="GH95" s="2">
        <v>1</v>
      </c>
      <c r="GI95" s="2">
        <v>-2</v>
      </c>
      <c r="GJ95" s="2">
        <v>2</v>
      </c>
      <c r="GK95" s="2">
        <v>0</v>
      </c>
      <c r="GL95" s="2">
        <f t="shared" si="33"/>
        <v>0</v>
      </c>
      <c r="GM95" s="2">
        <f>ROUND(CP95*I95,2)</f>
        <v>9.0500000000000007</v>
      </c>
      <c r="GN95" s="2">
        <f t="shared" si="34"/>
        <v>9.0500000000000007</v>
      </c>
      <c r="GO95" s="2">
        <f t="shared" si="35"/>
        <v>0</v>
      </c>
      <c r="GP95" s="2">
        <f t="shared" si="36"/>
        <v>0</v>
      </c>
      <c r="GQ95" s="2"/>
      <c r="GR95" s="2">
        <v>0</v>
      </c>
      <c r="GS95" s="2">
        <v>3</v>
      </c>
      <c r="GT95" s="2">
        <v>0</v>
      </c>
      <c r="GU95" s="2" t="s">
        <v>3</v>
      </c>
      <c r="GV95" s="2">
        <f>0</f>
        <v>0</v>
      </c>
      <c r="GW95" s="2">
        <v>1</v>
      </c>
      <c r="GX95" s="2">
        <f>0</f>
        <v>0</v>
      </c>
      <c r="GY95" s="2"/>
      <c r="GZ95" s="2"/>
      <c r="HA95" s="2">
        <v>0</v>
      </c>
      <c r="HB95" s="2">
        <v>0</v>
      </c>
      <c r="HC95" s="2">
        <v>0</v>
      </c>
      <c r="HD95" s="2">
        <f>GM95</f>
        <v>9.0500000000000007</v>
      </c>
      <c r="HE95" s="2" t="s">
        <v>3</v>
      </c>
      <c r="HF95" s="2" t="s">
        <v>3</v>
      </c>
      <c r="HG95" s="2"/>
      <c r="HH95" s="2"/>
      <c r="HI95" s="2"/>
      <c r="HJ95" s="2"/>
      <c r="HK95" s="2"/>
      <c r="HL95" s="2"/>
      <c r="HM95" s="2" t="s">
        <v>3</v>
      </c>
      <c r="HN95" s="2" t="s">
        <v>48</v>
      </c>
      <c r="HO95" s="2" t="s">
        <v>49</v>
      </c>
      <c r="HP95" s="2" t="s">
        <v>45</v>
      </c>
      <c r="HQ95" s="2" t="s">
        <v>45</v>
      </c>
      <c r="HR95" s="2"/>
      <c r="HS95" s="2">
        <v>0</v>
      </c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>
        <v>0</v>
      </c>
      <c r="IL95" s="2"/>
      <c r="IM95" s="2"/>
      <c r="IN95" s="2"/>
      <c r="IO95" s="2"/>
      <c r="IP95" s="2"/>
      <c r="IQ95" s="2"/>
      <c r="IR95" s="2"/>
      <c r="IS95" s="2"/>
      <c r="IT95" s="2"/>
      <c r="IU95" s="2"/>
    </row>
    <row r="96" spans="1:255" ht="13.05" customHeight="1" x14ac:dyDescent="0.25">
      <c r="A96" s="2">
        <v>17</v>
      </c>
      <c r="B96" s="2">
        <v>1</v>
      </c>
      <c r="C96" s="2">
        <f>ROW(SmtRes!A52)</f>
        <v>52</v>
      </c>
      <c r="D96" s="2">
        <f>ROW(EtalonRes!A53)</f>
        <v>53</v>
      </c>
      <c r="E96" s="2" t="s">
        <v>202</v>
      </c>
      <c r="F96" s="2" t="s">
        <v>203</v>
      </c>
      <c r="G96" s="2" t="s">
        <v>204</v>
      </c>
      <c r="H96" s="2" t="s">
        <v>205</v>
      </c>
      <c r="I96" s="2">
        <v>4.8</v>
      </c>
      <c r="J96" s="2">
        <v>0</v>
      </c>
      <c r="K96" s="2">
        <v>4.8</v>
      </c>
      <c r="L96" s="2"/>
      <c r="M96" s="2"/>
      <c r="N96" s="2"/>
      <c r="O96" s="2">
        <f>ROUND(CP96,2)</f>
        <v>7079.76</v>
      </c>
      <c r="P96" s="2">
        <f>SUMIF(SmtRes!AQ52:'SmtRes'!AQ52,"=1",SmtRes!DF52:'SmtRes'!DF52)</f>
        <v>0</v>
      </c>
      <c r="Q96" s="2">
        <f>SUMIF(SmtRes!AQ52:'SmtRes'!AQ52,"=1",SmtRes!DG52:'SmtRes'!DG52)</f>
        <v>0</v>
      </c>
      <c r="R96" s="2">
        <f>SUMIF(SmtRes!AQ52:'SmtRes'!AQ52,"=1",SmtRes!DH52:'SmtRes'!DH52)</f>
        <v>0</v>
      </c>
      <c r="S96" s="2">
        <f>SUMIF(SmtRes!AQ52:'SmtRes'!AQ52,"=1",SmtRes!DI52:'SmtRes'!DI52)</f>
        <v>7079.76</v>
      </c>
      <c r="T96" s="2">
        <f>ROUND(CU96*I96,2)</f>
        <v>0</v>
      </c>
      <c r="U96" s="2">
        <f>SUMIF(SmtRes!AQ52:'SmtRes'!AQ52,"=1",SmtRes!CV52:'SmtRes'!CV52)</f>
        <v>23.846399999999999</v>
      </c>
      <c r="V96" s="2">
        <f>SUMIF(SmtRes!AQ52:'SmtRes'!AQ52,"=1",SmtRes!CW52:'SmtRes'!CW52)</f>
        <v>0</v>
      </c>
      <c r="W96" s="2">
        <f>ROUND(CX96*I96,2)</f>
        <v>0</v>
      </c>
      <c r="X96" s="2">
        <f>ROUND(CY96,2)</f>
        <v>6300.99</v>
      </c>
      <c r="Y96" s="2">
        <f>ROUND(CZ96,2)</f>
        <v>3115.09</v>
      </c>
      <c r="Z96" s="2"/>
      <c r="AA96" s="2">
        <v>75604747</v>
      </c>
      <c r="AB96" s="2">
        <f>ROUND((AC96+AD96+AF96),6)</f>
        <v>1474.9495199999999</v>
      </c>
      <c r="AC96" s="2">
        <f>ROUND((0),6)</f>
        <v>0</v>
      </c>
      <c r="AD96" s="2">
        <f>ROUND((((0)-(0))+AE96),6)</f>
        <v>0</v>
      </c>
      <c r="AE96" s="2">
        <f>ROUND((0),6)</f>
        <v>0</v>
      </c>
      <c r="AF96" s="2">
        <f>ROUND((SUM(SmtRes!BT52:'SmtRes'!BT52)),6)</f>
        <v>1474.9495199999999</v>
      </c>
      <c r="AG96" s="2">
        <f>ROUND((AP96),6)</f>
        <v>0</v>
      </c>
      <c r="AH96" s="2">
        <f>(SUM(SmtRes!BU52:'SmtRes'!BU52))</f>
        <v>4.968</v>
      </c>
      <c r="AI96" s="2">
        <f>(0)</f>
        <v>0</v>
      </c>
      <c r="AJ96" s="2">
        <f>(AS96)</f>
        <v>0</v>
      </c>
      <c r="AK96" s="2">
        <v>1282.5648000000001</v>
      </c>
      <c r="AL96" s="2">
        <v>0</v>
      </c>
      <c r="AM96" s="2">
        <v>0</v>
      </c>
      <c r="AN96" s="2">
        <v>0</v>
      </c>
      <c r="AO96" s="2">
        <v>1282.5648000000001</v>
      </c>
      <c r="AP96" s="2">
        <v>0</v>
      </c>
      <c r="AQ96" s="2">
        <v>4.32</v>
      </c>
      <c r="AR96" s="2">
        <v>0</v>
      </c>
      <c r="AS96" s="2">
        <v>0</v>
      </c>
      <c r="AT96" s="2">
        <v>89</v>
      </c>
      <c r="AU96" s="2">
        <v>44</v>
      </c>
      <c r="AV96" s="2">
        <v>1</v>
      </c>
      <c r="AW96" s="2">
        <v>1</v>
      </c>
      <c r="AX96" s="2"/>
      <c r="AY96" s="2"/>
      <c r="AZ96" s="2">
        <v>1</v>
      </c>
      <c r="BA96" s="2">
        <v>1</v>
      </c>
      <c r="BB96" s="2">
        <v>1</v>
      </c>
      <c r="BC96" s="2">
        <v>1</v>
      </c>
      <c r="BD96" s="2" t="s">
        <v>3</v>
      </c>
      <c r="BE96" s="2" t="s">
        <v>3</v>
      </c>
      <c r="BF96" s="2" t="s">
        <v>3</v>
      </c>
      <c r="BG96" s="2" t="s">
        <v>3</v>
      </c>
      <c r="BH96" s="2">
        <v>0</v>
      </c>
      <c r="BI96" s="2">
        <v>1</v>
      </c>
      <c r="BJ96" s="2" t="s">
        <v>206</v>
      </c>
      <c r="BK96" s="2"/>
      <c r="BL96" s="2"/>
      <c r="BM96" s="2">
        <v>66001</v>
      </c>
      <c r="BN96" s="2">
        <v>0</v>
      </c>
      <c r="BO96" s="2" t="s">
        <v>3</v>
      </c>
      <c r="BP96" s="2">
        <v>0</v>
      </c>
      <c r="BQ96" s="2">
        <v>6</v>
      </c>
      <c r="BR96" s="2">
        <v>0</v>
      </c>
      <c r="BS96" s="2">
        <v>1</v>
      </c>
      <c r="BT96" s="2">
        <v>1</v>
      </c>
      <c r="BU96" s="2">
        <v>1</v>
      </c>
      <c r="BV96" s="2">
        <v>1</v>
      </c>
      <c r="BW96" s="2">
        <v>1</v>
      </c>
      <c r="BX96" s="2">
        <v>1</v>
      </c>
      <c r="BY96" s="2" t="s">
        <v>3</v>
      </c>
      <c r="BZ96" s="2">
        <v>89</v>
      </c>
      <c r="CA96" s="2">
        <v>44</v>
      </c>
      <c r="CB96" s="2" t="s">
        <v>3</v>
      </c>
      <c r="CC96" s="2"/>
      <c r="CD96" s="2"/>
      <c r="CE96" s="2">
        <v>0</v>
      </c>
      <c r="CF96" s="2">
        <v>0</v>
      </c>
      <c r="CG96" s="2">
        <v>0</v>
      </c>
      <c r="CH96" s="2"/>
      <c r="CI96" s="2"/>
      <c r="CJ96" s="2"/>
      <c r="CK96" s="2"/>
      <c r="CL96" s="2"/>
      <c r="CM96" s="2">
        <v>0</v>
      </c>
      <c r="CN96" s="7" t="s">
        <v>805</v>
      </c>
      <c r="CO96" s="2">
        <v>0</v>
      </c>
      <c r="CP96" s="2">
        <f>(P96+Q96+S96+R96)</f>
        <v>7079.76</v>
      </c>
      <c r="CQ96" s="2">
        <f>SUMIF(SmtRes!AQ52:'SmtRes'!AQ52,"=1",SmtRes!AA52:'SmtRes'!AA52)</f>
        <v>0</v>
      </c>
      <c r="CR96" s="2">
        <f>SUMIF(SmtRes!AQ52:'SmtRes'!AQ52,"=1",SmtRes!AB52:'SmtRes'!AB52)</f>
        <v>0</v>
      </c>
      <c r="CS96" s="2">
        <f>SUMIF(SmtRes!AQ52:'SmtRes'!AQ52,"=1",SmtRes!AC52:'SmtRes'!AC52)</f>
        <v>0</v>
      </c>
      <c r="CT96" s="2">
        <f>SUMIF(SmtRes!AQ52:'SmtRes'!AQ52,"=1",SmtRes!AD52:'SmtRes'!AD52)</f>
        <v>296.89</v>
      </c>
      <c r="CU96" s="2">
        <f>AG96</f>
        <v>0</v>
      </c>
      <c r="CV96" s="2">
        <f>SUMIF(SmtRes!AQ52:'SmtRes'!AQ52,"=1",SmtRes!BU52:'SmtRes'!BU52)</f>
        <v>4.968</v>
      </c>
      <c r="CW96" s="2">
        <f>SUMIF(SmtRes!AQ52:'SmtRes'!AQ52,"=1",SmtRes!BV52:'SmtRes'!BV52)</f>
        <v>0</v>
      </c>
      <c r="CX96" s="2">
        <f>AJ96</f>
        <v>0</v>
      </c>
      <c r="CY96" s="2">
        <f>(((S96+R96)*AT96)/100)</f>
        <v>6300.9863999999998</v>
      </c>
      <c r="CZ96" s="2">
        <f>(((S96+R96)*AU96)/100)</f>
        <v>3115.0944</v>
      </c>
      <c r="DA96" s="2"/>
      <c r="DB96" s="2">
        <v>19</v>
      </c>
      <c r="DC96" s="2" t="s">
        <v>3</v>
      </c>
      <c r="DD96" s="2" t="s">
        <v>3</v>
      </c>
      <c r="DE96" s="2" t="s">
        <v>27</v>
      </c>
      <c r="DF96" s="2" t="s">
        <v>27</v>
      </c>
      <c r="DG96" s="2" t="s">
        <v>27</v>
      </c>
      <c r="DH96" s="2" t="s">
        <v>3</v>
      </c>
      <c r="DI96" s="2" t="s">
        <v>27</v>
      </c>
      <c r="DJ96" s="2" t="s">
        <v>27</v>
      </c>
      <c r="DK96" s="2" t="s">
        <v>3</v>
      </c>
      <c r="DL96" s="2" t="s">
        <v>3</v>
      </c>
      <c r="DM96" s="2" t="s">
        <v>3</v>
      </c>
      <c r="DN96" s="2">
        <v>0</v>
      </c>
      <c r="DO96" s="2">
        <v>0</v>
      </c>
      <c r="DP96" s="2">
        <v>1</v>
      </c>
      <c r="DQ96" s="2">
        <v>1</v>
      </c>
      <c r="DR96" s="2"/>
      <c r="DS96" s="2"/>
      <c r="DT96" s="2"/>
      <c r="DU96" s="2">
        <v>1007</v>
      </c>
      <c r="DV96" s="2" t="s">
        <v>205</v>
      </c>
      <c r="DW96" s="2" t="s">
        <v>205</v>
      </c>
      <c r="DX96" s="2">
        <v>1</v>
      </c>
      <c r="DY96" s="2"/>
      <c r="DZ96" s="2" t="s">
        <v>3</v>
      </c>
      <c r="EA96" s="2" t="s">
        <v>3</v>
      </c>
      <c r="EB96" s="2" t="s">
        <v>3</v>
      </c>
      <c r="EC96" s="2" t="s">
        <v>3</v>
      </c>
      <c r="ED96" s="2"/>
      <c r="EE96" s="2">
        <v>74004301</v>
      </c>
      <c r="EF96" s="2">
        <v>6</v>
      </c>
      <c r="EG96" s="2" t="s">
        <v>187</v>
      </c>
      <c r="EH96" s="2">
        <v>100</v>
      </c>
      <c r="EI96" s="2" t="s">
        <v>188</v>
      </c>
      <c r="EJ96" s="2">
        <v>1</v>
      </c>
      <c r="EK96" s="2">
        <v>66001</v>
      </c>
      <c r="EL96" s="2" t="s">
        <v>189</v>
      </c>
      <c r="EM96" s="2" t="s">
        <v>190</v>
      </c>
      <c r="EN96" s="2"/>
      <c r="EO96" s="2" t="s">
        <v>191</v>
      </c>
      <c r="EP96" s="2"/>
      <c r="EQ96" s="2">
        <v>0</v>
      </c>
      <c r="ER96" s="2">
        <v>0</v>
      </c>
      <c r="ES96" s="2">
        <v>0</v>
      </c>
      <c r="ET96" s="2">
        <v>0</v>
      </c>
      <c r="EU96" s="2">
        <v>0</v>
      </c>
      <c r="EV96" s="2">
        <v>0</v>
      </c>
      <c r="EW96" s="2">
        <v>4.32</v>
      </c>
      <c r="EX96" s="2">
        <v>0</v>
      </c>
      <c r="EY96" s="2">
        <v>0</v>
      </c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>
        <v>0</v>
      </c>
      <c r="FR96" s="2">
        <v>0</v>
      </c>
      <c r="FS96" s="2">
        <v>0</v>
      </c>
      <c r="FT96" s="2"/>
      <c r="FU96" s="2"/>
      <c r="FV96" s="2"/>
      <c r="FW96" s="2"/>
      <c r="FX96" s="2">
        <v>89</v>
      </c>
      <c r="FY96" s="2">
        <v>44</v>
      </c>
      <c r="FZ96" s="2"/>
      <c r="GA96" s="2" t="s">
        <v>3</v>
      </c>
      <c r="GB96" s="2"/>
      <c r="GC96" s="2"/>
      <c r="GD96" s="2">
        <v>1</v>
      </c>
      <c r="GE96" s="2"/>
      <c r="GF96" s="2">
        <v>-1311719441</v>
      </c>
      <c r="GG96" s="2">
        <v>2</v>
      </c>
      <c r="GH96" s="2">
        <v>1</v>
      </c>
      <c r="GI96" s="2">
        <v>-2</v>
      </c>
      <c r="GJ96" s="2">
        <v>0</v>
      </c>
      <c r="GK96" s="2">
        <v>0</v>
      </c>
      <c r="GL96" s="2">
        <f t="shared" si="33"/>
        <v>0</v>
      </c>
      <c r="GM96" s="2">
        <f>ROUND(O96+X96+Y96,2)+GX96</f>
        <v>16495.84</v>
      </c>
      <c r="GN96" s="2">
        <f t="shared" si="34"/>
        <v>16495.84</v>
      </c>
      <c r="GO96" s="2">
        <f t="shared" si="35"/>
        <v>0</v>
      </c>
      <c r="GP96" s="2">
        <f t="shared" si="36"/>
        <v>0</v>
      </c>
      <c r="GQ96" s="2"/>
      <c r="GR96" s="2">
        <v>0</v>
      </c>
      <c r="GS96" s="2">
        <v>3</v>
      </c>
      <c r="GT96" s="2">
        <v>0</v>
      </c>
      <c r="GU96" s="2" t="s">
        <v>3</v>
      </c>
      <c r="GV96" s="2">
        <f>ROUND((GT96),6)</f>
        <v>0</v>
      </c>
      <c r="GW96" s="2">
        <v>1</v>
      </c>
      <c r="GX96" s="2">
        <f>ROUND(HC96*I96,2)</f>
        <v>0</v>
      </c>
      <c r="GY96" s="2"/>
      <c r="GZ96" s="2"/>
      <c r="HA96" s="2">
        <v>0</v>
      </c>
      <c r="HB96" s="2">
        <v>0</v>
      </c>
      <c r="HC96" s="2">
        <f>GV96*GW96</f>
        <v>0</v>
      </c>
      <c r="HD96" s="2"/>
      <c r="HE96" s="2" t="s">
        <v>3</v>
      </c>
      <c r="HF96" s="2" t="s">
        <v>3</v>
      </c>
      <c r="HG96" s="2"/>
      <c r="HH96" s="2"/>
      <c r="HI96" s="2"/>
      <c r="HJ96" s="2"/>
      <c r="HK96" s="2"/>
      <c r="HL96" s="2"/>
      <c r="HM96" s="2" t="s">
        <v>3</v>
      </c>
      <c r="HN96" s="2" t="s">
        <v>192</v>
      </c>
      <c r="HO96" s="2" t="s">
        <v>193</v>
      </c>
      <c r="HP96" s="2" t="s">
        <v>189</v>
      </c>
      <c r="HQ96" s="2" t="s">
        <v>189</v>
      </c>
      <c r="HR96" s="2"/>
      <c r="HS96" s="2">
        <v>0</v>
      </c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>
        <v>0</v>
      </c>
      <c r="IL96" s="2"/>
      <c r="IM96" s="2"/>
      <c r="IN96" s="2"/>
      <c r="IO96" s="2"/>
      <c r="IP96" s="2"/>
      <c r="IQ96" s="2"/>
      <c r="IR96" s="2"/>
      <c r="IS96" s="2"/>
      <c r="IT96" s="2"/>
      <c r="IU96" s="2"/>
    </row>
    <row r="97" spans="1:255" ht="13.05" customHeight="1" x14ac:dyDescent="0.25">
      <c r="A97" s="2">
        <v>17</v>
      </c>
      <c r="B97" s="2">
        <v>1</v>
      </c>
      <c r="C97" s="2">
        <f>ROW(SmtRes!A53)</f>
        <v>53</v>
      </c>
      <c r="D97" s="2">
        <f>ROW(EtalonRes!A54)</f>
        <v>54</v>
      </c>
      <c r="E97" s="2" t="s">
        <v>207</v>
      </c>
      <c r="F97" s="2" t="s">
        <v>36</v>
      </c>
      <c r="G97" s="2" t="s">
        <v>37</v>
      </c>
      <c r="H97" s="2" t="s">
        <v>25</v>
      </c>
      <c r="I97" s="2">
        <v>4.8000000000000001E-2</v>
      </c>
      <c r="J97" s="2">
        <v>0</v>
      </c>
      <c r="K97" s="2">
        <v>4.8000000000000001E-2</v>
      </c>
      <c r="L97" s="2"/>
      <c r="M97" s="2"/>
      <c r="N97" s="2"/>
      <c r="O97" s="2">
        <f>ROUND(CP97,2)</f>
        <v>848.52</v>
      </c>
      <c r="P97" s="2">
        <f>SUMIF(SmtRes!AQ53:'SmtRes'!AQ53,"=1",SmtRes!DF53:'SmtRes'!DF53)</f>
        <v>0</v>
      </c>
      <c r="Q97" s="2">
        <f>SUMIF(SmtRes!AQ53:'SmtRes'!AQ53,"=1",SmtRes!DG53:'SmtRes'!DG53)</f>
        <v>0</v>
      </c>
      <c r="R97" s="2">
        <f>SUMIF(SmtRes!AQ53:'SmtRes'!AQ53,"=1",SmtRes!DH53:'SmtRes'!DH53)</f>
        <v>0</v>
      </c>
      <c r="S97" s="2">
        <f>SUMIF(SmtRes!AQ53:'SmtRes'!AQ53,"=1",SmtRes!DI53:'SmtRes'!DI53)</f>
        <v>848.52</v>
      </c>
      <c r="T97" s="2">
        <f>ROUND(CU97*I97,2)</f>
        <v>0</v>
      </c>
      <c r="U97" s="2">
        <f>SUMIF(SmtRes!AQ53:'SmtRes'!AQ53,"=1",SmtRes!CV53:'SmtRes'!CV53)</f>
        <v>2.956512</v>
      </c>
      <c r="V97" s="2">
        <f>SUMIF(SmtRes!AQ53:'SmtRes'!AQ53,"=1",SmtRes!CW53:'SmtRes'!CW53)</f>
        <v>0</v>
      </c>
      <c r="W97" s="2">
        <f>ROUND(CX97*I97,2)</f>
        <v>0</v>
      </c>
      <c r="X97" s="2">
        <f>ROUND(CY97,2)</f>
        <v>755.18</v>
      </c>
      <c r="Y97" s="2">
        <f>ROUND(CZ97,2)</f>
        <v>339.41</v>
      </c>
      <c r="Z97" s="2"/>
      <c r="AA97" s="2">
        <v>75604747</v>
      </c>
      <c r="AB97" s="2">
        <f>ROUND((AC97+AD97+AF97),6)</f>
        <v>17677.477999999999</v>
      </c>
      <c r="AC97" s="2">
        <f>ROUND((0),6)</f>
        <v>0</v>
      </c>
      <c r="AD97" s="2">
        <f>ROUND((((0)-(0))+AE97),6)</f>
        <v>0</v>
      </c>
      <c r="AE97" s="2">
        <f>ROUND((0),6)</f>
        <v>0</v>
      </c>
      <c r="AF97" s="2">
        <f>ROUND((SUM(SmtRes!BT53:'SmtRes'!BT53)),6)</f>
        <v>17677.477999999999</v>
      </c>
      <c r="AG97" s="2">
        <f>ROUND((AP97),6)</f>
        <v>0</v>
      </c>
      <c r="AH97" s="2">
        <f>(SUM(SmtRes!BU53:'SmtRes'!BU53))</f>
        <v>61.594000000000001</v>
      </c>
      <c r="AI97" s="2">
        <f>(0)</f>
        <v>0</v>
      </c>
      <c r="AJ97" s="2">
        <f>(AS97)</f>
        <v>0</v>
      </c>
      <c r="AK97" s="2">
        <v>15371.720000000001</v>
      </c>
      <c r="AL97" s="2">
        <v>0</v>
      </c>
      <c r="AM97" s="2">
        <v>0</v>
      </c>
      <c r="AN97" s="2">
        <v>0</v>
      </c>
      <c r="AO97" s="2">
        <v>15371.720000000001</v>
      </c>
      <c r="AP97" s="2">
        <v>0</v>
      </c>
      <c r="AQ97" s="2">
        <v>53.56</v>
      </c>
      <c r="AR97" s="2">
        <v>0</v>
      </c>
      <c r="AS97" s="2">
        <v>0</v>
      </c>
      <c r="AT97" s="2">
        <v>89</v>
      </c>
      <c r="AU97" s="2">
        <v>40</v>
      </c>
      <c r="AV97" s="2">
        <v>1</v>
      </c>
      <c r="AW97" s="2">
        <v>1</v>
      </c>
      <c r="AX97" s="2"/>
      <c r="AY97" s="2"/>
      <c r="AZ97" s="2">
        <v>1</v>
      </c>
      <c r="BA97" s="2">
        <v>1</v>
      </c>
      <c r="BB97" s="2">
        <v>1</v>
      </c>
      <c r="BC97" s="2">
        <v>1</v>
      </c>
      <c r="BD97" s="2" t="s">
        <v>3</v>
      </c>
      <c r="BE97" s="2" t="s">
        <v>3</v>
      </c>
      <c r="BF97" s="2" t="s">
        <v>3</v>
      </c>
      <c r="BG97" s="2" t="s">
        <v>3</v>
      </c>
      <c r="BH97" s="2">
        <v>0</v>
      </c>
      <c r="BI97" s="2">
        <v>1</v>
      </c>
      <c r="BJ97" s="2" t="s">
        <v>38</v>
      </c>
      <c r="BK97" s="2"/>
      <c r="BL97" s="2"/>
      <c r="BM97" s="2">
        <v>1003</v>
      </c>
      <c r="BN97" s="2">
        <v>0</v>
      </c>
      <c r="BO97" s="2" t="s">
        <v>3</v>
      </c>
      <c r="BP97" s="2">
        <v>0</v>
      </c>
      <c r="BQ97" s="2">
        <v>2</v>
      </c>
      <c r="BR97" s="2">
        <v>0</v>
      </c>
      <c r="BS97" s="2">
        <v>1</v>
      </c>
      <c r="BT97" s="2">
        <v>1</v>
      </c>
      <c r="BU97" s="2">
        <v>1</v>
      </c>
      <c r="BV97" s="2">
        <v>1</v>
      </c>
      <c r="BW97" s="2">
        <v>1</v>
      </c>
      <c r="BX97" s="2">
        <v>1</v>
      </c>
      <c r="BY97" s="2" t="s">
        <v>3</v>
      </c>
      <c r="BZ97" s="2">
        <v>89</v>
      </c>
      <c r="CA97" s="2">
        <v>40</v>
      </c>
      <c r="CB97" s="2" t="s">
        <v>3</v>
      </c>
      <c r="CC97" s="2"/>
      <c r="CD97" s="2"/>
      <c r="CE97" s="2">
        <v>0</v>
      </c>
      <c r="CF97" s="2">
        <v>0</v>
      </c>
      <c r="CG97" s="2">
        <v>0</v>
      </c>
      <c r="CH97" s="2"/>
      <c r="CI97" s="2"/>
      <c r="CJ97" s="2"/>
      <c r="CK97" s="2"/>
      <c r="CL97" s="2"/>
      <c r="CM97" s="2">
        <v>0</v>
      </c>
      <c r="CN97" s="7" t="s">
        <v>802</v>
      </c>
      <c r="CO97" s="2">
        <v>0</v>
      </c>
      <c r="CP97" s="2">
        <f>(P97+Q97+S97+R97)</f>
        <v>848.52</v>
      </c>
      <c r="CQ97" s="2">
        <f>SUMIF(SmtRes!AQ53:'SmtRes'!AQ53,"=1",SmtRes!AA53:'SmtRes'!AA53)</f>
        <v>0</v>
      </c>
      <c r="CR97" s="2">
        <f>SUMIF(SmtRes!AQ53:'SmtRes'!AQ53,"=1",SmtRes!AB53:'SmtRes'!AB53)</f>
        <v>0</v>
      </c>
      <c r="CS97" s="2">
        <f>SUMIF(SmtRes!AQ53:'SmtRes'!AQ53,"=1",SmtRes!AC53:'SmtRes'!AC53)</f>
        <v>0</v>
      </c>
      <c r="CT97" s="2">
        <f>SUMIF(SmtRes!AQ53:'SmtRes'!AQ53,"=1",SmtRes!AD53:'SmtRes'!AD53)</f>
        <v>287</v>
      </c>
      <c r="CU97" s="2">
        <f>AG97</f>
        <v>0</v>
      </c>
      <c r="CV97" s="2">
        <f>SUMIF(SmtRes!AQ53:'SmtRes'!AQ53,"=1",SmtRes!BU53:'SmtRes'!BU53)</f>
        <v>61.594000000000001</v>
      </c>
      <c r="CW97" s="2">
        <f>SUMIF(SmtRes!AQ53:'SmtRes'!AQ53,"=1",SmtRes!BV53:'SmtRes'!BV53)</f>
        <v>0</v>
      </c>
      <c r="CX97" s="2">
        <f>AJ97</f>
        <v>0</v>
      </c>
      <c r="CY97" s="2">
        <f>(((S97+R97)*AT97)/100)</f>
        <v>755.18280000000004</v>
      </c>
      <c r="CZ97" s="2">
        <f>(((S97+R97)*AU97)/100)</f>
        <v>339.40800000000002</v>
      </c>
      <c r="DA97" s="2"/>
      <c r="DB97" s="2">
        <v>20</v>
      </c>
      <c r="DC97" s="2" t="s">
        <v>3</v>
      </c>
      <c r="DD97" s="2" t="s">
        <v>3</v>
      </c>
      <c r="DE97" s="2" t="s">
        <v>27</v>
      </c>
      <c r="DF97" s="2" t="s">
        <v>27</v>
      </c>
      <c r="DG97" s="2" t="s">
        <v>27</v>
      </c>
      <c r="DH97" s="2" t="s">
        <v>3</v>
      </c>
      <c r="DI97" s="2" t="s">
        <v>27</v>
      </c>
      <c r="DJ97" s="2" t="s">
        <v>27</v>
      </c>
      <c r="DK97" s="2" t="s">
        <v>3</v>
      </c>
      <c r="DL97" s="2" t="s">
        <v>3</v>
      </c>
      <c r="DM97" s="2" t="s">
        <v>3</v>
      </c>
      <c r="DN97" s="2">
        <v>0</v>
      </c>
      <c r="DO97" s="2">
        <v>0</v>
      </c>
      <c r="DP97" s="2">
        <v>1</v>
      </c>
      <c r="DQ97" s="2">
        <v>1</v>
      </c>
      <c r="DR97" s="2"/>
      <c r="DS97" s="2"/>
      <c r="DT97" s="2"/>
      <c r="DU97" s="2">
        <v>1007</v>
      </c>
      <c r="DV97" s="2" t="s">
        <v>25</v>
      </c>
      <c r="DW97" s="2" t="s">
        <v>25</v>
      </c>
      <c r="DX97" s="2">
        <v>100</v>
      </c>
      <c r="DY97" s="2"/>
      <c r="DZ97" s="2" t="s">
        <v>3</v>
      </c>
      <c r="EA97" s="2" t="s">
        <v>3</v>
      </c>
      <c r="EB97" s="2" t="s">
        <v>3</v>
      </c>
      <c r="EC97" s="2" t="s">
        <v>3</v>
      </c>
      <c r="ED97" s="2"/>
      <c r="EE97" s="2">
        <v>74004174</v>
      </c>
      <c r="EF97" s="2">
        <v>2</v>
      </c>
      <c r="EG97" s="2" t="s">
        <v>29</v>
      </c>
      <c r="EH97" s="2">
        <v>1</v>
      </c>
      <c r="EI97" s="2" t="s">
        <v>18</v>
      </c>
      <c r="EJ97" s="2">
        <v>1</v>
      </c>
      <c r="EK97" s="2">
        <v>1003</v>
      </c>
      <c r="EL97" s="2" t="s">
        <v>30</v>
      </c>
      <c r="EM97" s="2" t="s">
        <v>31</v>
      </c>
      <c r="EN97" s="2"/>
      <c r="EO97" s="2" t="s">
        <v>39</v>
      </c>
      <c r="EP97" s="2"/>
      <c r="EQ97" s="2">
        <v>0</v>
      </c>
      <c r="ER97" s="2">
        <v>0</v>
      </c>
      <c r="ES97" s="2">
        <v>0</v>
      </c>
      <c r="ET97" s="2">
        <v>0</v>
      </c>
      <c r="EU97" s="2">
        <v>0</v>
      </c>
      <c r="EV97" s="2">
        <v>0</v>
      </c>
      <c r="EW97" s="2">
        <v>53.56</v>
      </c>
      <c r="EX97" s="2">
        <v>0</v>
      </c>
      <c r="EY97" s="2">
        <v>0</v>
      </c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>
        <v>0</v>
      </c>
      <c r="FR97" s="2">
        <v>0</v>
      </c>
      <c r="FS97" s="2">
        <v>0</v>
      </c>
      <c r="FT97" s="2"/>
      <c r="FU97" s="2"/>
      <c r="FV97" s="2"/>
      <c r="FW97" s="2"/>
      <c r="FX97" s="2">
        <v>89</v>
      </c>
      <c r="FY97" s="2">
        <v>40</v>
      </c>
      <c r="FZ97" s="2"/>
      <c r="GA97" s="2" t="s">
        <v>3</v>
      </c>
      <c r="GB97" s="2"/>
      <c r="GC97" s="2"/>
      <c r="GD97" s="2">
        <v>1</v>
      </c>
      <c r="GE97" s="2"/>
      <c r="GF97" s="2">
        <v>979674477</v>
      </c>
      <c r="GG97" s="2">
        <v>2</v>
      </c>
      <c r="GH97" s="2">
        <v>1</v>
      </c>
      <c r="GI97" s="2">
        <v>-2</v>
      </c>
      <c r="GJ97" s="2">
        <v>0</v>
      </c>
      <c r="GK97" s="2">
        <v>0</v>
      </c>
      <c r="GL97" s="2">
        <f t="shared" si="33"/>
        <v>0</v>
      </c>
      <c r="GM97" s="2">
        <f>ROUND(O97+X97+Y97,2)+GX97</f>
        <v>1943.11</v>
      </c>
      <c r="GN97" s="2">
        <f t="shared" si="34"/>
        <v>1943.11</v>
      </c>
      <c r="GO97" s="2">
        <f t="shared" si="35"/>
        <v>0</v>
      </c>
      <c r="GP97" s="2">
        <f t="shared" si="36"/>
        <v>0</v>
      </c>
      <c r="GQ97" s="2"/>
      <c r="GR97" s="2">
        <v>0</v>
      </c>
      <c r="GS97" s="2">
        <v>3</v>
      </c>
      <c r="GT97" s="2">
        <v>0</v>
      </c>
      <c r="GU97" s="2" t="s">
        <v>3</v>
      </c>
      <c r="GV97" s="2">
        <f>ROUND((GT97),6)</f>
        <v>0</v>
      </c>
      <c r="GW97" s="2">
        <v>1</v>
      </c>
      <c r="GX97" s="2">
        <f>ROUND(HC97*I97,2)</f>
        <v>0</v>
      </c>
      <c r="GY97" s="2"/>
      <c r="GZ97" s="2"/>
      <c r="HA97" s="2">
        <v>0</v>
      </c>
      <c r="HB97" s="2">
        <v>0</v>
      </c>
      <c r="HC97" s="2">
        <f>GV97*GW97</f>
        <v>0</v>
      </c>
      <c r="HD97" s="2"/>
      <c r="HE97" s="2" t="s">
        <v>3</v>
      </c>
      <c r="HF97" s="2" t="s">
        <v>3</v>
      </c>
      <c r="HG97" s="2"/>
      <c r="HH97" s="2"/>
      <c r="HI97" s="2"/>
      <c r="HJ97" s="2"/>
      <c r="HK97" s="2"/>
      <c r="HL97" s="2"/>
      <c r="HM97" s="2" t="s">
        <v>3</v>
      </c>
      <c r="HN97" s="2" t="s">
        <v>33</v>
      </c>
      <c r="HO97" s="2" t="s">
        <v>34</v>
      </c>
      <c r="HP97" s="2" t="s">
        <v>30</v>
      </c>
      <c r="HQ97" s="2" t="s">
        <v>30</v>
      </c>
      <c r="HR97" s="2"/>
      <c r="HS97" s="2">
        <v>0</v>
      </c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>
        <v>0</v>
      </c>
      <c r="IL97" s="2"/>
      <c r="IM97" s="2"/>
      <c r="IN97" s="2"/>
      <c r="IO97" s="2"/>
      <c r="IP97" s="2"/>
      <c r="IQ97" s="2"/>
      <c r="IR97" s="2"/>
      <c r="IS97" s="2"/>
      <c r="IT97" s="2"/>
      <c r="IU97" s="2"/>
    </row>
    <row r="98" spans="1:255" ht="13.05" customHeight="1" x14ac:dyDescent="0.25">
      <c r="A98" s="2">
        <v>17</v>
      </c>
      <c r="B98" s="2">
        <v>1</v>
      </c>
      <c r="C98" s="2"/>
      <c r="D98" s="2"/>
      <c r="E98" s="2" t="s">
        <v>208</v>
      </c>
      <c r="F98" s="2" t="s">
        <v>41</v>
      </c>
      <c r="G98" s="2" t="s">
        <v>42</v>
      </c>
      <c r="H98" s="2" t="s">
        <v>43</v>
      </c>
      <c r="I98" s="2">
        <v>8.4</v>
      </c>
      <c r="J98" s="2">
        <v>0</v>
      </c>
      <c r="K98" s="2">
        <v>8.4</v>
      </c>
      <c r="L98" s="2"/>
      <c r="M98" s="2"/>
      <c r="N98" s="2"/>
      <c r="O98" s="2">
        <f>0</f>
        <v>0</v>
      </c>
      <c r="P98" s="2">
        <f>0</f>
        <v>0</v>
      </c>
      <c r="Q98" s="2">
        <f>0</f>
        <v>0</v>
      </c>
      <c r="R98" s="2">
        <f>0</f>
        <v>0</v>
      </c>
      <c r="S98" s="2">
        <f>0</f>
        <v>0</v>
      </c>
      <c r="T98" s="2">
        <f>0</f>
        <v>0</v>
      </c>
      <c r="U98" s="2">
        <f>0</f>
        <v>0</v>
      </c>
      <c r="V98" s="2">
        <f>0</f>
        <v>0</v>
      </c>
      <c r="W98" s="2">
        <f>0</f>
        <v>0</v>
      </c>
      <c r="X98" s="2">
        <f>0</f>
        <v>0</v>
      </c>
      <c r="Y98" s="2">
        <f>0</f>
        <v>0</v>
      </c>
      <c r="Z98" s="2"/>
      <c r="AA98" s="2">
        <v>75604747</v>
      </c>
      <c r="AB98" s="2">
        <f>ROUND((AK98),6)</f>
        <v>251.35</v>
      </c>
      <c r="AC98" s="2">
        <f>0</f>
        <v>0</v>
      </c>
      <c r="AD98" s="2">
        <f>0</f>
        <v>0</v>
      </c>
      <c r="AE98" s="2">
        <f>0</f>
        <v>0</v>
      </c>
      <c r="AF98" s="2">
        <f>0</f>
        <v>0</v>
      </c>
      <c r="AG98" s="2">
        <f>0</f>
        <v>0</v>
      </c>
      <c r="AH98" s="2">
        <f>0</f>
        <v>0</v>
      </c>
      <c r="AI98" s="2">
        <f>0</f>
        <v>0</v>
      </c>
      <c r="AJ98" s="2">
        <f>0</f>
        <v>0</v>
      </c>
      <c r="AK98" s="2">
        <v>251.35</v>
      </c>
      <c r="AL98" s="2">
        <v>0</v>
      </c>
      <c r="AM98" s="2">
        <v>0</v>
      </c>
      <c r="AN98" s="2">
        <v>0</v>
      </c>
      <c r="AO98" s="2">
        <v>0</v>
      </c>
      <c r="AP98" s="2">
        <v>0</v>
      </c>
      <c r="AQ98" s="2">
        <v>0</v>
      </c>
      <c r="AR98" s="2">
        <v>0</v>
      </c>
      <c r="AS98" s="2">
        <v>0</v>
      </c>
      <c r="AT98" s="2">
        <v>0</v>
      </c>
      <c r="AU98" s="2">
        <v>0</v>
      </c>
      <c r="AV98" s="2">
        <v>1</v>
      </c>
      <c r="AW98" s="2">
        <v>1</v>
      </c>
      <c r="AX98" s="2"/>
      <c r="AY98" s="2"/>
      <c r="AZ98" s="2">
        <v>1</v>
      </c>
      <c r="BA98" s="2">
        <v>1</v>
      </c>
      <c r="BB98" s="2">
        <v>1</v>
      </c>
      <c r="BC98" s="2">
        <v>1</v>
      </c>
      <c r="BD98" s="2" t="s">
        <v>3</v>
      </c>
      <c r="BE98" s="2" t="s">
        <v>3</v>
      </c>
      <c r="BF98" s="2" t="s">
        <v>3</v>
      </c>
      <c r="BG98" s="2" t="s">
        <v>3</v>
      </c>
      <c r="BH98" s="2">
        <v>0</v>
      </c>
      <c r="BI98" s="2">
        <v>1</v>
      </c>
      <c r="BJ98" s="2" t="s">
        <v>41</v>
      </c>
      <c r="BK98" s="2"/>
      <c r="BL98" s="2"/>
      <c r="BM98" s="2">
        <v>700008</v>
      </c>
      <c r="BN98" s="2">
        <v>0</v>
      </c>
      <c r="BO98" s="2" t="s">
        <v>3</v>
      </c>
      <c r="BP98" s="2">
        <v>0</v>
      </c>
      <c r="BQ98" s="2">
        <v>10</v>
      </c>
      <c r="BR98" s="2">
        <v>0</v>
      </c>
      <c r="BS98" s="2">
        <v>1</v>
      </c>
      <c r="BT98" s="2">
        <v>1</v>
      </c>
      <c r="BU98" s="2">
        <v>1</v>
      </c>
      <c r="BV98" s="2">
        <v>1</v>
      </c>
      <c r="BW98" s="2">
        <v>1</v>
      </c>
      <c r="BX98" s="2">
        <v>1</v>
      </c>
      <c r="BY98" s="2" t="s">
        <v>3</v>
      </c>
      <c r="BZ98" s="2">
        <v>94</v>
      </c>
      <c r="CA98" s="2">
        <v>61</v>
      </c>
      <c r="CB98" s="2" t="s">
        <v>3</v>
      </c>
      <c r="CC98" s="2"/>
      <c r="CD98" s="2"/>
      <c r="CE98" s="2">
        <v>0</v>
      </c>
      <c r="CF98" s="2">
        <v>0</v>
      </c>
      <c r="CG98" s="2">
        <v>0</v>
      </c>
      <c r="CH98" s="2"/>
      <c r="CI98" s="2"/>
      <c r="CJ98" s="2"/>
      <c r="CK98" s="2"/>
      <c r="CL98" s="2"/>
      <c r="CM98" s="2">
        <v>0</v>
      </c>
      <c r="CN98" s="2" t="s">
        <v>3</v>
      </c>
      <c r="CO98" s="2">
        <v>0</v>
      </c>
      <c r="CP98" s="2">
        <f>AB98*AZ98</f>
        <v>251.35</v>
      </c>
      <c r="CQ98" s="2">
        <v>0</v>
      </c>
      <c r="CR98" s="2">
        <v>0</v>
      </c>
      <c r="CS98" s="2">
        <v>0</v>
      </c>
      <c r="CT98" s="2">
        <v>0</v>
      </c>
      <c r="CU98" s="2">
        <v>0</v>
      </c>
      <c r="CV98" s="2">
        <v>0</v>
      </c>
      <c r="CW98" s="2">
        <v>0</v>
      </c>
      <c r="CX98" s="2">
        <v>0</v>
      </c>
      <c r="CY98" s="2">
        <v>0</v>
      </c>
      <c r="CZ98" s="2">
        <v>0</v>
      </c>
      <c r="DA98" s="2"/>
      <c r="DB98" s="2"/>
      <c r="DC98" s="2" t="s">
        <v>3</v>
      </c>
      <c r="DD98" s="2" t="s">
        <v>3</v>
      </c>
      <c r="DE98" s="2" t="s">
        <v>3</v>
      </c>
      <c r="DF98" s="2" t="s">
        <v>3</v>
      </c>
      <c r="DG98" s="2" t="s">
        <v>3</v>
      </c>
      <c r="DH98" s="2" t="s">
        <v>3</v>
      </c>
      <c r="DI98" s="2" t="s">
        <v>3</v>
      </c>
      <c r="DJ98" s="2" t="s">
        <v>3</v>
      </c>
      <c r="DK98" s="2" t="s">
        <v>3</v>
      </c>
      <c r="DL98" s="2" t="s">
        <v>3</v>
      </c>
      <c r="DM98" s="2" t="s">
        <v>3</v>
      </c>
      <c r="DN98" s="2">
        <v>0</v>
      </c>
      <c r="DO98" s="2">
        <v>0</v>
      </c>
      <c r="DP98" s="2">
        <v>1</v>
      </c>
      <c r="DQ98" s="2">
        <v>1</v>
      </c>
      <c r="DR98" s="2"/>
      <c r="DS98" s="2"/>
      <c r="DT98" s="2"/>
      <c r="DU98" s="2">
        <v>1013</v>
      </c>
      <c r="DV98" s="2" t="s">
        <v>43</v>
      </c>
      <c r="DW98" s="2" t="s">
        <v>43</v>
      </c>
      <c r="DX98" s="2">
        <v>1</v>
      </c>
      <c r="DY98" s="2"/>
      <c r="DZ98" s="2" t="s">
        <v>3</v>
      </c>
      <c r="EA98" s="2" t="s">
        <v>3</v>
      </c>
      <c r="EB98" s="2" t="s">
        <v>3</v>
      </c>
      <c r="EC98" s="2" t="s">
        <v>3</v>
      </c>
      <c r="ED98" s="2"/>
      <c r="EE98" s="2">
        <v>74004662</v>
      </c>
      <c r="EF98" s="2">
        <v>10</v>
      </c>
      <c r="EG98" s="2" t="s">
        <v>44</v>
      </c>
      <c r="EH98" s="2">
        <v>107</v>
      </c>
      <c r="EI98" s="2" t="s">
        <v>45</v>
      </c>
      <c r="EJ98" s="2">
        <v>1</v>
      </c>
      <c r="EK98" s="2">
        <v>700008</v>
      </c>
      <c r="EL98" s="2" t="s">
        <v>46</v>
      </c>
      <c r="EM98" s="2" t="s">
        <v>47</v>
      </c>
      <c r="EN98" s="2"/>
      <c r="EO98" s="2" t="s">
        <v>3</v>
      </c>
      <c r="EP98" s="2"/>
      <c r="EQ98" s="2">
        <v>0</v>
      </c>
      <c r="ER98" s="2">
        <v>0</v>
      </c>
      <c r="ES98" s="2">
        <v>0</v>
      </c>
      <c r="ET98" s="2">
        <v>0</v>
      </c>
      <c r="EU98" s="2">
        <v>0</v>
      </c>
      <c r="EV98" s="2">
        <v>0</v>
      </c>
      <c r="EW98" s="2">
        <v>0</v>
      </c>
      <c r="EX98" s="2">
        <v>0</v>
      </c>
      <c r="EY98" s="2">
        <v>0</v>
      </c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>
        <v>0</v>
      </c>
      <c r="FR98" s="2">
        <v>0</v>
      </c>
      <c r="FS98" s="2">
        <v>0</v>
      </c>
      <c r="FT98" s="2"/>
      <c r="FU98" s="2"/>
      <c r="FV98" s="2"/>
      <c r="FW98" s="2"/>
      <c r="FX98" s="2">
        <v>0</v>
      </c>
      <c r="FY98" s="2">
        <v>0</v>
      </c>
      <c r="FZ98" s="2"/>
      <c r="GA98" s="2" t="s">
        <v>3</v>
      </c>
      <c r="GB98" s="2"/>
      <c r="GC98" s="2"/>
      <c r="GD98" s="2">
        <v>1</v>
      </c>
      <c r="GE98" s="2"/>
      <c r="GF98" s="2">
        <v>-939797987</v>
      </c>
      <c r="GG98" s="2">
        <v>2</v>
      </c>
      <c r="GH98" s="2">
        <v>1</v>
      </c>
      <c r="GI98" s="2">
        <v>-2</v>
      </c>
      <c r="GJ98" s="2">
        <v>2</v>
      </c>
      <c r="GK98" s="2">
        <v>0</v>
      </c>
      <c r="GL98" s="2">
        <f t="shared" si="33"/>
        <v>0</v>
      </c>
      <c r="GM98" s="2">
        <f>ROUND(CP98*I98,2)</f>
        <v>2111.34</v>
      </c>
      <c r="GN98" s="2">
        <f t="shared" si="34"/>
        <v>2111.34</v>
      </c>
      <c r="GO98" s="2">
        <f t="shared" si="35"/>
        <v>0</v>
      </c>
      <c r="GP98" s="2">
        <f t="shared" si="36"/>
        <v>0</v>
      </c>
      <c r="GQ98" s="2"/>
      <c r="GR98" s="2">
        <v>0</v>
      </c>
      <c r="GS98" s="2">
        <v>3</v>
      </c>
      <c r="GT98" s="2">
        <v>0</v>
      </c>
      <c r="GU98" s="2" t="s">
        <v>3</v>
      </c>
      <c r="GV98" s="2">
        <f>0</f>
        <v>0</v>
      </c>
      <c r="GW98" s="2">
        <v>1</v>
      </c>
      <c r="GX98" s="2">
        <f>0</f>
        <v>0</v>
      </c>
      <c r="GY98" s="2"/>
      <c r="GZ98" s="2"/>
      <c r="HA98" s="2">
        <v>0</v>
      </c>
      <c r="HB98" s="2">
        <v>0</v>
      </c>
      <c r="HC98" s="2">
        <v>0</v>
      </c>
      <c r="HD98" s="2">
        <f>GM98</f>
        <v>2111.34</v>
      </c>
      <c r="HE98" s="2" t="s">
        <v>3</v>
      </c>
      <c r="HF98" s="2" t="s">
        <v>3</v>
      </c>
      <c r="HG98" s="2"/>
      <c r="HH98" s="2"/>
      <c r="HI98" s="2"/>
      <c r="HJ98" s="2"/>
      <c r="HK98" s="2"/>
      <c r="HL98" s="2"/>
      <c r="HM98" s="2" t="s">
        <v>3</v>
      </c>
      <c r="HN98" s="2" t="s">
        <v>48</v>
      </c>
      <c r="HO98" s="2" t="s">
        <v>49</v>
      </c>
      <c r="HP98" s="2" t="s">
        <v>45</v>
      </c>
      <c r="HQ98" s="2" t="s">
        <v>45</v>
      </c>
      <c r="HR98" s="2"/>
      <c r="HS98" s="2">
        <v>0</v>
      </c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>
        <v>0</v>
      </c>
      <c r="IL98" s="2"/>
      <c r="IM98" s="2"/>
      <c r="IN98" s="2"/>
      <c r="IO98" s="2"/>
      <c r="IP98" s="2"/>
      <c r="IQ98" s="2"/>
      <c r="IR98" s="2"/>
      <c r="IS98" s="2"/>
      <c r="IT98" s="2"/>
      <c r="IU98" s="2"/>
    </row>
    <row r="99" spans="1:255" ht="13.05" customHeight="1" x14ac:dyDescent="0.25">
      <c r="A99">
        <v>19</v>
      </c>
      <c r="B99">
        <v>1</v>
      </c>
      <c r="F99" t="s">
        <v>3</v>
      </c>
      <c r="G99" t="s">
        <v>209</v>
      </c>
      <c r="H99" t="s">
        <v>3</v>
      </c>
      <c r="AA99">
        <v>1</v>
      </c>
      <c r="IK99">
        <v>0</v>
      </c>
    </row>
    <row r="100" spans="1:255" ht="13.05" customHeight="1" x14ac:dyDescent="0.25">
      <c r="A100" s="2">
        <v>17</v>
      </c>
      <c r="B100" s="2">
        <v>1</v>
      </c>
      <c r="C100" s="2">
        <f>ROW(SmtRes!A60)</f>
        <v>60</v>
      </c>
      <c r="D100" s="2">
        <f>ROW(EtalonRes!A61)</f>
        <v>61</v>
      </c>
      <c r="E100" s="2" t="s">
        <v>210</v>
      </c>
      <c r="F100" s="2" t="s">
        <v>211</v>
      </c>
      <c r="G100" s="2" t="s">
        <v>212</v>
      </c>
      <c r="H100" s="2" t="s">
        <v>213</v>
      </c>
      <c r="I100" s="2">
        <v>0.15</v>
      </c>
      <c r="J100" s="2">
        <v>0</v>
      </c>
      <c r="K100" s="2">
        <v>0.15</v>
      </c>
      <c r="L100" s="2"/>
      <c r="M100" s="2"/>
      <c r="N100" s="2"/>
      <c r="O100" s="2">
        <f>ROUND(CP100,2)</f>
        <v>1917.71</v>
      </c>
      <c r="P100" s="2">
        <f>SUMIF(SmtRes!AQ54:'SmtRes'!AQ60,"=1",SmtRes!DF54:'SmtRes'!DF60)</f>
        <v>18.709999999999997</v>
      </c>
      <c r="Q100" s="2">
        <f>SUMIF(SmtRes!AQ54:'SmtRes'!AQ60,"=1",SmtRes!DG54:'SmtRes'!DG60)</f>
        <v>481.06</v>
      </c>
      <c r="R100" s="2">
        <f>SUMIF(SmtRes!AQ54:'SmtRes'!AQ60,"=1",SmtRes!DH54:'SmtRes'!DH60)</f>
        <v>155.10999999999999</v>
      </c>
      <c r="S100" s="2">
        <f>SUMIF(SmtRes!AQ54:'SmtRes'!AQ60,"=1",SmtRes!DI54:'SmtRes'!DI60)</f>
        <v>1262.83</v>
      </c>
      <c r="T100" s="2">
        <f>ROUND(CU100*I100,2)</f>
        <v>0</v>
      </c>
      <c r="U100" s="2">
        <f>SUMIF(SmtRes!AQ54:'SmtRes'!AQ60,"=1",SmtRes!CV54:'SmtRes'!CV60)</f>
        <v>3.8639999999999999</v>
      </c>
      <c r="V100" s="2">
        <f>SUMIF(SmtRes!AQ54:'SmtRes'!AQ60,"=1",SmtRes!CW54:'SmtRes'!CW60)</f>
        <v>0.32257500000000006</v>
      </c>
      <c r="W100" s="2">
        <f>ROUND(CX100*I100,2)</f>
        <v>0</v>
      </c>
      <c r="X100" s="2">
        <f t="shared" ref="X100:Y102" si="37">ROUND(CY100,2)</f>
        <v>1261.97</v>
      </c>
      <c r="Y100" s="2">
        <f t="shared" si="37"/>
        <v>623.89</v>
      </c>
      <c r="Z100" s="2"/>
      <c r="AA100" s="2">
        <v>75604747</v>
      </c>
      <c r="AB100" s="2">
        <f>ROUND((AC100+AD100+AF100),6)</f>
        <v>11734.140799999999</v>
      </c>
      <c r="AC100" s="2">
        <f>ROUND((SUM(SmtRes!BQ54:'SmtRes'!BQ60)),6)</f>
        <v>109.9868</v>
      </c>
      <c r="AD100" s="2">
        <f>ROUND((((SUM(SmtRes!BR54:'SmtRes'!BR60))-(SUM(SmtRes!BS54:'SmtRes'!BS60)))+AE100),6)</f>
        <v>3205.2707999999998</v>
      </c>
      <c r="AE100" s="2">
        <f>ROUND((SUM(SmtRes!BS54:'SmtRes'!BS60)),6)</f>
        <v>1034.0437750000001</v>
      </c>
      <c r="AF100" s="2">
        <f>ROUND((SUM(SmtRes!BT54:'SmtRes'!BT60)),6)</f>
        <v>8418.8832000000002</v>
      </c>
      <c r="AG100" s="2">
        <f>ROUND((AP100),6)</f>
        <v>0</v>
      </c>
      <c r="AH100" s="2">
        <f>(SUM(SmtRes!BU54:'SmtRes'!BU60))</f>
        <v>25.759999999999998</v>
      </c>
      <c r="AI100" s="2">
        <f>(SUM(SmtRes!BV54:'SmtRes'!BV60))</f>
        <v>2.1505000000000001</v>
      </c>
      <c r="AJ100" s="2">
        <f>(AS100)</f>
        <v>0</v>
      </c>
      <c r="AK100" s="2">
        <v>11117.115299999998</v>
      </c>
      <c r="AL100" s="2">
        <v>109.9868</v>
      </c>
      <c r="AM100" s="2">
        <v>2787.1919999999996</v>
      </c>
      <c r="AN100" s="2">
        <v>899.16849999999999</v>
      </c>
      <c r="AO100" s="2">
        <v>7320.7679999999991</v>
      </c>
      <c r="AP100" s="2">
        <v>0</v>
      </c>
      <c r="AQ100" s="2">
        <v>22.4</v>
      </c>
      <c r="AR100" s="2">
        <v>1.8699999999999999</v>
      </c>
      <c r="AS100" s="2">
        <v>0</v>
      </c>
      <c r="AT100" s="2">
        <v>89</v>
      </c>
      <c r="AU100" s="2">
        <v>44</v>
      </c>
      <c r="AV100" s="2">
        <v>1</v>
      </c>
      <c r="AW100" s="2">
        <v>1</v>
      </c>
      <c r="AX100" s="2"/>
      <c r="AY100" s="2"/>
      <c r="AZ100" s="2">
        <v>1</v>
      </c>
      <c r="BA100" s="2">
        <v>1</v>
      </c>
      <c r="BB100" s="2">
        <v>1</v>
      </c>
      <c r="BC100" s="2">
        <v>1</v>
      </c>
      <c r="BD100" s="2" t="s">
        <v>3</v>
      </c>
      <c r="BE100" s="2" t="s">
        <v>3</v>
      </c>
      <c r="BF100" s="2" t="s">
        <v>3</v>
      </c>
      <c r="BG100" s="2" t="s">
        <v>3</v>
      </c>
      <c r="BH100" s="2">
        <v>0</v>
      </c>
      <c r="BI100" s="2">
        <v>1</v>
      </c>
      <c r="BJ100" s="2" t="s">
        <v>214</v>
      </c>
      <c r="BK100" s="2"/>
      <c r="BL100" s="2"/>
      <c r="BM100" s="2">
        <v>66001</v>
      </c>
      <c r="BN100" s="2">
        <v>0</v>
      </c>
      <c r="BO100" s="2" t="s">
        <v>3</v>
      </c>
      <c r="BP100" s="2">
        <v>0</v>
      </c>
      <c r="BQ100" s="2">
        <v>6</v>
      </c>
      <c r="BR100" s="2">
        <v>0</v>
      </c>
      <c r="BS100" s="2">
        <v>1</v>
      </c>
      <c r="BT100" s="2">
        <v>1</v>
      </c>
      <c r="BU100" s="2">
        <v>1</v>
      </c>
      <c r="BV100" s="2">
        <v>1</v>
      </c>
      <c r="BW100" s="2">
        <v>1</v>
      </c>
      <c r="BX100" s="2">
        <v>1</v>
      </c>
      <c r="BY100" s="2" t="s">
        <v>3</v>
      </c>
      <c r="BZ100" s="2">
        <v>89</v>
      </c>
      <c r="CA100" s="2">
        <v>44</v>
      </c>
      <c r="CB100" s="2" t="s">
        <v>3</v>
      </c>
      <c r="CC100" s="2"/>
      <c r="CD100" s="2"/>
      <c r="CE100" s="2">
        <v>0</v>
      </c>
      <c r="CF100" s="2">
        <v>0</v>
      </c>
      <c r="CG100" s="2">
        <v>0</v>
      </c>
      <c r="CH100" s="2"/>
      <c r="CI100" s="2"/>
      <c r="CJ100" s="2"/>
      <c r="CK100" s="2"/>
      <c r="CL100" s="2"/>
      <c r="CM100" s="2">
        <v>0</v>
      </c>
      <c r="CN100" s="7" t="s">
        <v>805</v>
      </c>
      <c r="CO100" s="2">
        <v>0</v>
      </c>
      <c r="CP100" s="2">
        <f>(P100+Q100+S100+R100)</f>
        <v>1917.7099999999998</v>
      </c>
      <c r="CQ100" s="2">
        <f>SUMIF(SmtRes!AQ54:'SmtRes'!AQ60,"=1",SmtRes!AA54:'SmtRes'!AA60)</f>
        <v>188.57999999999998</v>
      </c>
      <c r="CR100" s="2">
        <f>SUMIF(SmtRes!AQ54:'SmtRes'!AQ60,"=1",SmtRes!AB54:'SmtRes'!AB60)</f>
        <v>2155.75</v>
      </c>
      <c r="CS100" s="2">
        <f>SUMIF(SmtRes!AQ54:'SmtRes'!AQ60,"=1",SmtRes!AC54:'SmtRes'!AC60)</f>
        <v>862.37</v>
      </c>
      <c r="CT100" s="2">
        <f>SUMIF(SmtRes!AQ54:'SmtRes'!AQ60,"=1",SmtRes!AD54:'SmtRes'!AD60)</f>
        <v>326.82</v>
      </c>
      <c r="CU100" s="2">
        <f>AG100</f>
        <v>0</v>
      </c>
      <c r="CV100" s="2">
        <f>SUMIF(SmtRes!AQ54:'SmtRes'!AQ60,"=1",SmtRes!BU54:'SmtRes'!BU60)</f>
        <v>25.759999999999998</v>
      </c>
      <c r="CW100" s="2">
        <f>SUMIF(SmtRes!AQ54:'SmtRes'!AQ60,"=1",SmtRes!BV54:'SmtRes'!BV60)</f>
        <v>2.1505000000000001</v>
      </c>
      <c r="CX100" s="2">
        <f>AJ100</f>
        <v>0</v>
      </c>
      <c r="CY100" s="2">
        <f>(((S100+R100)*AT100)/100)</f>
        <v>1261.9666</v>
      </c>
      <c r="CZ100" s="2">
        <f>(((S100+R100)*AU100)/100)</f>
        <v>623.89359999999988</v>
      </c>
      <c r="DA100" s="2"/>
      <c r="DB100" s="2">
        <v>21</v>
      </c>
      <c r="DC100" s="2" t="s">
        <v>3</v>
      </c>
      <c r="DD100" s="2" t="s">
        <v>3</v>
      </c>
      <c r="DE100" s="2" t="s">
        <v>27</v>
      </c>
      <c r="DF100" s="2" t="s">
        <v>27</v>
      </c>
      <c r="DG100" s="2" t="s">
        <v>27</v>
      </c>
      <c r="DH100" s="2" t="s">
        <v>3</v>
      </c>
      <c r="DI100" s="2" t="s">
        <v>27</v>
      </c>
      <c r="DJ100" s="2" t="s">
        <v>27</v>
      </c>
      <c r="DK100" s="2" t="s">
        <v>3</v>
      </c>
      <c r="DL100" s="2" t="s">
        <v>3</v>
      </c>
      <c r="DM100" s="2" t="s">
        <v>3</v>
      </c>
      <c r="DN100" s="2">
        <v>0</v>
      </c>
      <c r="DO100" s="2">
        <v>0</v>
      </c>
      <c r="DP100" s="2">
        <v>1</v>
      </c>
      <c r="DQ100" s="2">
        <v>1</v>
      </c>
      <c r="DR100" s="2"/>
      <c r="DS100" s="2"/>
      <c r="DT100" s="2"/>
      <c r="DU100" s="2">
        <v>1003</v>
      </c>
      <c r="DV100" s="2" t="s">
        <v>213</v>
      </c>
      <c r="DW100" s="2" t="s">
        <v>213</v>
      </c>
      <c r="DX100" s="2">
        <v>100</v>
      </c>
      <c r="DY100" s="2"/>
      <c r="DZ100" s="2" t="s">
        <v>3</v>
      </c>
      <c r="EA100" s="2" t="s">
        <v>3</v>
      </c>
      <c r="EB100" s="2" t="s">
        <v>3</v>
      </c>
      <c r="EC100" s="2" t="s">
        <v>3</v>
      </c>
      <c r="ED100" s="2"/>
      <c r="EE100" s="2">
        <v>74004301</v>
      </c>
      <c r="EF100" s="2">
        <v>6</v>
      </c>
      <c r="EG100" s="2" t="s">
        <v>187</v>
      </c>
      <c r="EH100" s="2">
        <v>100</v>
      </c>
      <c r="EI100" s="2" t="s">
        <v>188</v>
      </c>
      <c r="EJ100" s="2">
        <v>1</v>
      </c>
      <c r="EK100" s="2">
        <v>66001</v>
      </c>
      <c r="EL100" s="2" t="s">
        <v>189</v>
      </c>
      <c r="EM100" s="2" t="s">
        <v>190</v>
      </c>
      <c r="EN100" s="2"/>
      <c r="EO100" s="2" t="s">
        <v>191</v>
      </c>
      <c r="EP100" s="2"/>
      <c r="EQ100" s="2">
        <v>0</v>
      </c>
      <c r="ER100" s="2">
        <v>0</v>
      </c>
      <c r="ES100" s="2">
        <v>0</v>
      </c>
      <c r="ET100" s="2">
        <v>0</v>
      </c>
      <c r="EU100" s="2">
        <v>0</v>
      </c>
      <c r="EV100" s="2">
        <v>0</v>
      </c>
      <c r="EW100" s="2">
        <v>22.4</v>
      </c>
      <c r="EX100" s="2">
        <v>1.87</v>
      </c>
      <c r="EY100" s="2">
        <v>0</v>
      </c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>
        <v>0</v>
      </c>
      <c r="FR100" s="2">
        <v>0</v>
      </c>
      <c r="FS100" s="2">
        <v>0</v>
      </c>
      <c r="FT100" s="2"/>
      <c r="FU100" s="2"/>
      <c r="FV100" s="2"/>
      <c r="FW100" s="2"/>
      <c r="FX100" s="2">
        <v>89</v>
      </c>
      <c r="FY100" s="2">
        <v>44</v>
      </c>
      <c r="FZ100" s="2"/>
      <c r="GA100" s="2" t="s">
        <v>3</v>
      </c>
      <c r="GB100" s="2"/>
      <c r="GC100" s="2"/>
      <c r="GD100" s="2">
        <v>1</v>
      </c>
      <c r="GE100" s="2"/>
      <c r="GF100" s="2">
        <v>919953052</v>
      </c>
      <c r="GG100" s="2">
        <v>2</v>
      </c>
      <c r="GH100" s="2">
        <v>1</v>
      </c>
      <c r="GI100" s="2">
        <v>-2</v>
      </c>
      <c r="GJ100" s="2">
        <v>0</v>
      </c>
      <c r="GK100" s="2">
        <v>0</v>
      </c>
      <c r="GL100" s="2">
        <f>ROUND(IF(AND(BH100=3,BI100=3,FS100&lt;&gt;0),P100,0),2)</f>
        <v>0</v>
      </c>
      <c r="GM100" s="2">
        <f>ROUND(O100+X100+Y100,2)+GX100</f>
        <v>3803.57</v>
      </c>
      <c r="GN100" s="2">
        <f>IF(OR(BI100=0,BI100=1),GM100-GX100,0)</f>
        <v>3803.57</v>
      </c>
      <c r="GO100" s="2">
        <f>IF(BI100=2,GM100-GX100,0)</f>
        <v>0</v>
      </c>
      <c r="GP100" s="2">
        <f>IF(BI100=4,GM100-GX100,0)</f>
        <v>0</v>
      </c>
      <c r="GQ100" s="2"/>
      <c r="GR100" s="2">
        <v>0</v>
      </c>
      <c r="GS100" s="2">
        <v>3</v>
      </c>
      <c r="GT100" s="2">
        <v>0</v>
      </c>
      <c r="GU100" s="2" t="s">
        <v>3</v>
      </c>
      <c r="GV100" s="2">
        <f>ROUND((GT100),6)</f>
        <v>0</v>
      </c>
      <c r="GW100" s="2">
        <v>1</v>
      </c>
      <c r="GX100" s="2">
        <f>ROUND(HC100*I100,2)</f>
        <v>0</v>
      </c>
      <c r="GY100" s="2"/>
      <c r="GZ100" s="2"/>
      <c r="HA100" s="2">
        <v>0</v>
      </c>
      <c r="HB100" s="2">
        <v>0</v>
      </c>
      <c r="HC100" s="2">
        <f>GV100*GW100</f>
        <v>0</v>
      </c>
      <c r="HD100" s="2"/>
      <c r="HE100" s="2" t="s">
        <v>3</v>
      </c>
      <c r="HF100" s="2" t="s">
        <v>3</v>
      </c>
      <c r="HG100" s="2"/>
      <c r="HH100" s="2"/>
      <c r="HI100" s="2"/>
      <c r="HJ100" s="2"/>
      <c r="HK100" s="2"/>
      <c r="HL100" s="2"/>
      <c r="HM100" s="2" t="s">
        <v>3</v>
      </c>
      <c r="HN100" s="2" t="s">
        <v>192</v>
      </c>
      <c r="HO100" s="2" t="s">
        <v>193</v>
      </c>
      <c r="HP100" s="2" t="s">
        <v>189</v>
      </c>
      <c r="HQ100" s="2" t="s">
        <v>189</v>
      </c>
      <c r="HR100" s="2"/>
      <c r="HS100" s="2">
        <v>0</v>
      </c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>
        <v>0</v>
      </c>
      <c r="IL100" s="2"/>
      <c r="IM100" s="2"/>
      <c r="IN100" s="2"/>
      <c r="IO100" s="2"/>
      <c r="IP100" s="2"/>
      <c r="IQ100" s="2"/>
      <c r="IR100" s="2"/>
      <c r="IS100" s="2"/>
      <c r="IT100" s="2"/>
      <c r="IU100" s="2"/>
    </row>
    <row r="101" spans="1:255" ht="13.05" customHeight="1" x14ac:dyDescent="0.25">
      <c r="A101" s="2">
        <v>17</v>
      </c>
      <c r="B101" s="2">
        <v>1</v>
      </c>
      <c r="C101" s="2">
        <f>ROW(SmtRes!A67)</f>
        <v>67</v>
      </c>
      <c r="D101" s="2">
        <f>ROW(EtalonRes!A68)</f>
        <v>68</v>
      </c>
      <c r="E101" s="2" t="s">
        <v>215</v>
      </c>
      <c r="F101" s="2" t="s">
        <v>216</v>
      </c>
      <c r="G101" s="2" t="s">
        <v>217</v>
      </c>
      <c r="H101" s="2" t="s">
        <v>213</v>
      </c>
      <c r="I101" s="2">
        <v>0.45</v>
      </c>
      <c r="J101" s="2">
        <v>0</v>
      </c>
      <c r="K101" s="2">
        <v>0.45</v>
      </c>
      <c r="L101" s="2"/>
      <c r="M101" s="2"/>
      <c r="N101" s="2"/>
      <c r="O101" s="2">
        <f>ROUND(CP101,2)</f>
        <v>8004.97</v>
      </c>
      <c r="P101" s="2">
        <f>SUMIF(SmtRes!AQ61:'SmtRes'!AQ67,"=1",SmtRes!DF61:'SmtRes'!DF67)</f>
        <v>86.73</v>
      </c>
      <c r="Q101" s="2">
        <f>SUMIF(SmtRes!AQ61:'SmtRes'!AQ67,"=1",SmtRes!DG61:'SmtRes'!DG67)</f>
        <v>1667.28</v>
      </c>
      <c r="R101" s="2">
        <f>SUMIF(SmtRes!AQ61:'SmtRes'!AQ67,"=1",SmtRes!DH61:'SmtRes'!DH67)</f>
        <v>534.39</v>
      </c>
      <c r="S101" s="2">
        <f>SUMIF(SmtRes!AQ61:'SmtRes'!AQ67,"=1",SmtRes!DI61:'SmtRes'!DI67)</f>
        <v>5716.57</v>
      </c>
      <c r="T101" s="2">
        <f>ROUND(CU101*I101,2)</f>
        <v>0</v>
      </c>
      <c r="U101" s="2">
        <f>SUMIF(SmtRes!AQ61:'SmtRes'!AQ67,"=1",SmtRes!CV61:'SmtRes'!CV67)</f>
        <v>17.491499999999998</v>
      </c>
      <c r="V101" s="2">
        <f>SUMIF(SmtRes!AQ61:'SmtRes'!AQ67,"=1",SmtRes!CW61:'SmtRes'!CW67)</f>
        <v>1.1074499999999998</v>
      </c>
      <c r="W101" s="2">
        <f>ROUND(CX101*I101,2)</f>
        <v>0</v>
      </c>
      <c r="X101" s="2">
        <f t="shared" si="37"/>
        <v>5563.35</v>
      </c>
      <c r="Y101" s="2">
        <f t="shared" si="37"/>
        <v>2750.42</v>
      </c>
      <c r="Z101" s="2"/>
      <c r="AA101" s="2">
        <v>75604747</v>
      </c>
      <c r="AB101" s="2">
        <f>ROUND((AC101+AD101+AF101),6)</f>
        <v>16576.468400000002</v>
      </c>
      <c r="AC101" s="2">
        <f>ROUND((SUM(SmtRes!BQ61:'SmtRes'!BQ67)),6)</f>
        <v>169.9796</v>
      </c>
      <c r="AD101" s="2">
        <f>ROUND((((SUM(SmtRes!BR61:'SmtRes'!BR67))-(SUM(SmtRes!BS61:'SmtRes'!BS67)))+AE101),6)</f>
        <v>3702.9953999999998</v>
      </c>
      <c r="AE101" s="2">
        <f>ROUND((SUM(SmtRes!BS61:'SmtRes'!BS67)),6)</f>
        <v>1187.53945</v>
      </c>
      <c r="AF101" s="2">
        <f>ROUND((SUM(SmtRes!BT61:'SmtRes'!BT67)),6)</f>
        <v>12703.493399999999</v>
      </c>
      <c r="AG101" s="2">
        <f>ROUND((AP101),6)</f>
        <v>0</v>
      </c>
      <c r="AH101" s="2">
        <f>(SUM(SmtRes!BU61:'SmtRes'!BU67))</f>
        <v>38.86999999999999</v>
      </c>
      <c r="AI101" s="2">
        <f>(SUM(SmtRes!BV61:'SmtRes'!BV67))</f>
        <v>2.4609999999999999</v>
      </c>
      <c r="AJ101" s="2">
        <f>(AS101)</f>
        <v>0</v>
      </c>
      <c r="AK101" s="2">
        <v>15469.134599999999</v>
      </c>
      <c r="AL101" s="2">
        <v>169.9796</v>
      </c>
      <c r="AM101" s="2">
        <v>3219.9960000000001</v>
      </c>
      <c r="AN101" s="2">
        <v>1032.643</v>
      </c>
      <c r="AO101" s="2">
        <v>11046.516</v>
      </c>
      <c r="AP101" s="2">
        <v>0</v>
      </c>
      <c r="AQ101" s="2">
        <v>33.799999999999997</v>
      </c>
      <c r="AR101" s="2">
        <v>2.14</v>
      </c>
      <c r="AS101" s="2">
        <v>0</v>
      </c>
      <c r="AT101" s="2">
        <v>89</v>
      </c>
      <c r="AU101" s="2">
        <v>44</v>
      </c>
      <c r="AV101" s="2">
        <v>1</v>
      </c>
      <c r="AW101" s="2">
        <v>1</v>
      </c>
      <c r="AX101" s="2"/>
      <c r="AY101" s="2"/>
      <c r="AZ101" s="2">
        <v>1</v>
      </c>
      <c r="BA101" s="2">
        <v>1</v>
      </c>
      <c r="BB101" s="2">
        <v>1</v>
      </c>
      <c r="BC101" s="2">
        <v>1</v>
      </c>
      <c r="BD101" s="2" t="s">
        <v>3</v>
      </c>
      <c r="BE101" s="2" t="s">
        <v>3</v>
      </c>
      <c r="BF101" s="2" t="s">
        <v>3</v>
      </c>
      <c r="BG101" s="2" t="s">
        <v>3</v>
      </c>
      <c r="BH101" s="2">
        <v>0</v>
      </c>
      <c r="BI101" s="2">
        <v>1</v>
      </c>
      <c r="BJ101" s="2" t="s">
        <v>218</v>
      </c>
      <c r="BK101" s="2"/>
      <c r="BL101" s="2"/>
      <c r="BM101" s="2">
        <v>66001</v>
      </c>
      <c r="BN101" s="2">
        <v>0</v>
      </c>
      <c r="BO101" s="2" t="s">
        <v>3</v>
      </c>
      <c r="BP101" s="2">
        <v>0</v>
      </c>
      <c r="BQ101" s="2">
        <v>6</v>
      </c>
      <c r="BR101" s="2">
        <v>0</v>
      </c>
      <c r="BS101" s="2">
        <v>1</v>
      </c>
      <c r="BT101" s="2">
        <v>1</v>
      </c>
      <c r="BU101" s="2">
        <v>1</v>
      </c>
      <c r="BV101" s="2">
        <v>1</v>
      </c>
      <c r="BW101" s="2">
        <v>1</v>
      </c>
      <c r="BX101" s="2">
        <v>1</v>
      </c>
      <c r="BY101" s="2" t="s">
        <v>3</v>
      </c>
      <c r="BZ101" s="2">
        <v>89</v>
      </c>
      <c r="CA101" s="2">
        <v>44</v>
      </c>
      <c r="CB101" s="2" t="s">
        <v>3</v>
      </c>
      <c r="CC101" s="2"/>
      <c r="CD101" s="2"/>
      <c r="CE101" s="2">
        <v>0</v>
      </c>
      <c r="CF101" s="2">
        <v>0</v>
      </c>
      <c r="CG101" s="2">
        <v>0</v>
      </c>
      <c r="CH101" s="2"/>
      <c r="CI101" s="2"/>
      <c r="CJ101" s="2"/>
      <c r="CK101" s="2"/>
      <c r="CL101" s="2"/>
      <c r="CM101" s="2">
        <v>0</v>
      </c>
      <c r="CN101" s="7" t="s">
        <v>805</v>
      </c>
      <c r="CO101" s="2">
        <v>0</v>
      </c>
      <c r="CP101" s="2">
        <f>(P101+Q101+S101+R101)</f>
        <v>8004.97</v>
      </c>
      <c r="CQ101" s="2">
        <f>SUMIF(SmtRes!AQ61:'SmtRes'!AQ67,"=1",SmtRes!AA61:'SmtRes'!AA67)</f>
        <v>188.57999999999998</v>
      </c>
      <c r="CR101" s="2">
        <f>SUMIF(SmtRes!AQ61:'SmtRes'!AQ67,"=1",SmtRes!AB61:'SmtRes'!AB67)</f>
        <v>2155.75</v>
      </c>
      <c r="CS101" s="2">
        <f>SUMIF(SmtRes!AQ61:'SmtRes'!AQ67,"=1",SmtRes!AC61:'SmtRes'!AC67)</f>
        <v>862.37</v>
      </c>
      <c r="CT101" s="2">
        <f>SUMIF(SmtRes!AQ61:'SmtRes'!AQ67,"=1",SmtRes!AD61:'SmtRes'!AD67)</f>
        <v>326.82</v>
      </c>
      <c r="CU101" s="2">
        <f>AG101</f>
        <v>0</v>
      </c>
      <c r="CV101" s="2">
        <f>SUMIF(SmtRes!AQ61:'SmtRes'!AQ67,"=1",SmtRes!BU61:'SmtRes'!BU67)</f>
        <v>38.86999999999999</v>
      </c>
      <c r="CW101" s="2">
        <f>SUMIF(SmtRes!AQ61:'SmtRes'!AQ67,"=1",SmtRes!BV61:'SmtRes'!BV67)</f>
        <v>2.4609999999999999</v>
      </c>
      <c r="CX101" s="2">
        <f>AJ101</f>
        <v>0</v>
      </c>
      <c r="CY101" s="2">
        <f>(((S101+R101)*AT101)/100)</f>
        <v>5563.3544000000002</v>
      </c>
      <c r="CZ101" s="2">
        <f>(((S101+R101)*AU101)/100)</f>
        <v>2750.4223999999999</v>
      </c>
      <c r="DA101" s="2"/>
      <c r="DB101" s="2">
        <v>22</v>
      </c>
      <c r="DC101" s="2" t="s">
        <v>3</v>
      </c>
      <c r="DD101" s="2" t="s">
        <v>3</v>
      </c>
      <c r="DE101" s="2" t="s">
        <v>27</v>
      </c>
      <c r="DF101" s="2" t="s">
        <v>27</v>
      </c>
      <c r="DG101" s="2" t="s">
        <v>27</v>
      </c>
      <c r="DH101" s="2" t="s">
        <v>3</v>
      </c>
      <c r="DI101" s="2" t="s">
        <v>27</v>
      </c>
      <c r="DJ101" s="2" t="s">
        <v>27</v>
      </c>
      <c r="DK101" s="2" t="s">
        <v>3</v>
      </c>
      <c r="DL101" s="2" t="s">
        <v>3</v>
      </c>
      <c r="DM101" s="2" t="s">
        <v>3</v>
      </c>
      <c r="DN101" s="2">
        <v>0</v>
      </c>
      <c r="DO101" s="2">
        <v>0</v>
      </c>
      <c r="DP101" s="2">
        <v>1</v>
      </c>
      <c r="DQ101" s="2">
        <v>1</v>
      </c>
      <c r="DR101" s="2"/>
      <c r="DS101" s="2"/>
      <c r="DT101" s="2"/>
      <c r="DU101" s="2">
        <v>1003</v>
      </c>
      <c r="DV101" s="2" t="s">
        <v>213</v>
      </c>
      <c r="DW101" s="2" t="s">
        <v>213</v>
      </c>
      <c r="DX101" s="2">
        <v>100</v>
      </c>
      <c r="DY101" s="2"/>
      <c r="DZ101" s="2" t="s">
        <v>3</v>
      </c>
      <c r="EA101" s="2" t="s">
        <v>3</v>
      </c>
      <c r="EB101" s="2" t="s">
        <v>3</v>
      </c>
      <c r="EC101" s="2" t="s">
        <v>3</v>
      </c>
      <c r="ED101" s="2"/>
      <c r="EE101" s="2">
        <v>74004301</v>
      </c>
      <c r="EF101" s="2">
        <v>6</v>
      </c>
      <c r="EG101" s="2" t="s">
        <v>187</v>
      </c>
      <c r="EH101" s="2">
        <v>100</v>
      </c>
      <c r="EI101" s="2" t="s">
        <v>188</v>
      </c>
      <c r="EJ101" s="2">
        <v>1</v>
      </c>
      <c r="EK101" s="2">
        <v>66001</v>
      </c>
      <c r="EL101" s="2" t="s">
        <v>189</v>
      </c>
      <c r="EM101" s="2" t="s">
        <v>190</v>
      </c>
      <c r="EN101" s="2"/>
      <c r="EO101" s="2" t="s">
        <v>191</v>
      </c>
      <c r="EP101" s="2"/>
      <c r="EQ101" s="2">
        <v>0</v>
      </c>
      <c r="ER101" s="2">
        <v>0</v>
      </c>
      <c r="ES101" s="2">
        <v>0</v>
      </c>
      <c r="ET101" s="2">
        <v>0</v>
      </c>
      <c r="EU101" s="2">
        <v>0</v>
      </c>
      <c r="EV101" s="2">
        <v>0</v>
      </c>
      <c r="EW101" s="2">
        <v>33.799999999999997</v>
      </c>
      <c r="EX101" s="2">
        <v>2.14</v>
      </c>
      <c r="EY101" s="2">
        <v>0</v>
      </c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>
        <v>0</v>
      </c>
      <c r="FR101" s="2">
        <v>0</v>
      </c>
      <c r="FS101" s="2">
        <v>0</v>
      </c>
      <c r="FT101" s="2"/>
      <c r="FU101" s="2"/>
      <c r="FV101" s="2"/>
      <c r="FW101" s="2"/>
      <c r="FX101" s="2">
        <v>89</v>
      </c>
      <c r="FY101" s="2">
        <v>44</v>
      </c>
      <c r="FZ101" s="2"/>
      <c r="GA101" s="2" t="s">
        <v>3</v>
      </c>
      <c r="GB101" s="2"/>
      <c r="GC101" s="2"/>
      <c r="GD101" s="2">
        <v>1</v>
      </c>
      <c r="GE101" s="2"/>
      <c r="GF101" s="2">
        <v>-1941681866</v>
      </c>
      <c r="GG101" s="2">
        <v>2</v>
      </c>
      <c r="GH101" s="2">
        <v>1</v>
      </c>
      <c r="GI101" s="2">
        <v>-2</v>
      </c>
      <c r="GJ101" s="2">
        <v>0</v>
      </c>
      <c r="GK101" s="2">
        <v>0</v>
      </c>
      <c r="GL101" s="2">
        <f>ROUND(IF(AND(BH101=3,BI101=3,FS101&lt;&gt;0),P101,0),2)</f>
        <v>0</v>
      </c>
      <c r="GM101" s="2">
        <f>ROUND(O101+X101+Y101,2)+GX101</f>
        <v>16318.74</v>
      </c>
      <c r="GN101" s="2">
        <f>IF(OR(BI101=0,BI101=1),GM101-GX101,0)</f>
        <v>16318.74</v>
      </c>
      <c r="GO101" s="2">
        <f>IF(BI101=2,GM101-GX101,0)</f>
        <v>0</v>
      </c>
      <c r="GP101" s="2">
        <f>IF(BI101=4,GM101-GX101,0)</f>
        <v>0</v>
      </c>
      <c r="GQ101" s="2"/>
      <c r="GR101" s="2">
        <v>0</v>
      </c>
      <c r="GS101" s="2">
        <v>3</v>
      </c>
      <c r="GT101" s="2">
        <v>0</v>
      </c>
      <c r="GU101" s="2" t="s">
        <v>3</v>
      </c>
      <c r="GV101" s="2">
        <f>ROUND((GT101),6)</f>
        <v>0</v>
      </c>
      <c r="GW101" s="2">
        <v>1</v>
      </c>
      <c r="GX101" s="2">
        <f>ROUND(HC101*I101,2)</f>
        <v>0</v>
      </c>
      <c r="GY101" s="2"/>
      <c r="GZ101" s="2"/>
      <c r="HA101" s="2">
        <v>0</v>
      </c>
      <c r="HB101" s="2">
        <v>0</v>
      </c>
      <c r="HC101" s="2">
        <f>GV101*GW101</f>
        <v>0</v>
      </c>
      <c r="HD101" s="2"/>
      <c r="HE101" s="2" t="s">
        <v>3</v>
      </c>
      <c r="HF101" s="2" t="s">
        <v>3</v>
      </c>
      <c r="HG101" s="2"/>
      <c r="HH101" s="2"/>
      <c r="HI101" s="2"/>
      <c r="HJ101" s="2"/>
      <c r="HK101" s="2"/>
      <c r="HL101" s="2"/>
      <c r="HM101" s="2" t="s">
        <v>3</v>
      </c>
      <c r="HN101" s="2" t="s">
        <v>192</v>
      </c>
      <c r="HO101" s="2" t="s">
        <v>193</v>
      </c>
      <c r="HP101" s="2" t="s">
        <v>189</v>
      </c>
      <c r="HQ101" s="2" t="s">
        <v>189</v>
      </c>
      <c r="HR101" s="2"/>
      <c r="HS101" s="2">
        <v>0</v>
      </c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>
        <v>0</v>
      </c>
      <c r="IL101" s="2"/>
      <c r="IM101" s="2"/>
      <c r="IN101" s="2"/>
      <c r="IO101" s="2"/>
      <c r="IP101" s="2"/>
      <c r="IQ101" s="2"/>
      <c r="IR101" s="2"/>
      <c r="IS101" s="2"/>
      <c r="IT101" s="2"/>
      <c r="IU101" s="2"/>
    </row>
    <row r="102" spans="1:255" ht="13.05" customHeight="1" x14ac:dyDescent="0.25">
      <c r="A102" s="2">
        <v>17</v>
      </c>
      <c r="B102" s="2">
        <v>1</v>
      </c>
      <c r="C102" s="2">
        <f>ROW(SmtRes!A70)</f>
        <v>70</v>
      </c>
      <c r="D102" s="2">
        <f>ROW(EtalonRes!A71)</f>
        <v>71</v>
      </c>
      <c r="E102" s="2" t="s">
        <v>219</v>
      </c>
      <c r="F102" s="2" t="s">
        <v>220</v>
      </c>
      <c r="G102" s="2" t="s">
        <v>221</v>
      </c>
      <c r="H102" s="2" t="s">
        <v>222</v>
      </c>
      <c r="I102" s="2">
        <v>4</v>
      </c>
      <c r="J102" s="2">
        <v>0</v>
      </c>
      <c r="K102" s="2">
        <v>4</v>
      </c>
      <c r="L102" s="2"/>
      <c r="M102" s="2"/>
      <c r="N102" s="2"/>
      <c r="O102" s="2">
        <f>ROUND(CP102,2)</f>
        <v>1351.58</v>
      </c>
      <c r="P102" s="2">
        <f>SUMIF(SmtRes!AQ68:'SmtRes'!AQ70,"=1",SmtRes!DF68:'SmtRes'!DF70)</f>
        <v>0</v>
      </c>
      <c r="Q102" s="2">
        <f>SUMIF(SmtRes!AQ68:'SmtRes'!AQ70,"=1",SmtRes!DG68:'SmtRes'!DG70)</f>
        <v>253.67</v>
      </c>
      <c r="R102" s="2">
        <f>SUMIF(SmtRes!AQ68:'SmtRes'!AQ70,"=1",SmtRes!DH68:'SmtRes'!DH70)</f>
        <v>169.29</v>
      </c>
      <c r="S102" s="2">
        <f>SUMIF(SmtRes!AQ68:'SmtRes'!AQ70,"=1",SmtRes!DI68:'SmtRes'!DI70)</f>
        <v>928.62</v>
      </c>
      <c r="T102" s="2">
        <f>ROUND(CU102*I102,2)</f>
        <v>0</v>
      </c>
      <c r="U102" s="2">
        <f>SUMIF(SmtRes!AQ68:'SmtRes'!AQ70,"=1",SmtRes!CV68:'SmtRes'!CV70)</f>
        <v>2.806</v>
      </c>
      <c r="V102" s="2">
        <f>SUMIF(SmtRes!AQ68:'SmtRes'!AQ70,"=1",SmtRes!CW68:'SmtRes'!CW70)</f>
        <v>0.46</v>
      </c>
      <c r="W102" s="2">
        <f>ROUND(CX102*I102,2)</f>
        <v>0</v>
      </c>
      <c r="X102" s="2">
        <f t="shared" si="37"/>
        <v>977.14</v>
      </c>
      <c r="Y102" s="2">
        <f t="shared" si="37"/>
        <v>483.08</v>
      </c>
      <c r="Z102" s="2"/>
      <c r="AA102" s="2">
        <v>75604747</v>
      </c>
      <c r="AB102" s="2">
        <f>ROUND((AC102+AD102+AF102),6)</f>
        <v>295.57116000000002</v>
      </c>
      <c r="AC102" s="2">
        <f>ROUND((0),6)</f>
        <v>0</v>
      </c>
      <c r="AD102" s="2">
        <f>ROUND((((SUM(SmtRes!BR68:'SmtRes'!BR70))-(SUM(SmtRes!BS68:'SmtRes'!BS70)))+AE102),6)</f>
        <v>63.41675</v>
      </c>
      <c r="AE102" s="2">
        <f>ROUND((SUM(SmtRes!BS68:'SmtRes'!BS70)),6)</f>
        <v>42.322299999999998</v>
      </c>
      <c r="AF102" s="2">
        <f>ROUND((SUM(SmtRes!BT68:'SmtRes'!BT70)),6)</f>
        <v>232.15441000000001</v>
      </c>
      <c r="AG102" s="2">
        <f>ROUND((AP102),6)</f>
        <v>0</v>
      </c>
      <c r="AH102" s="2">
        <f>(SUM(SmtRes!BU68:'SmtRes'!BU70))</f>
        <v>0.7014999999999999</v>
      </c>
      <c r="AI102" s="2">
        <f>(SUM(SmtRes!BV68:'SmtRes'!BV70))</f>
        <v>0.11499999999999999</v>
      </c>
      <c r="AJ102" s="2">
        <f>(AS102)</f>
        <v>0</v>
      </c>
      <c r="AK102" s="2">
        <v>293.82040000000006</v>
      </c>
      <c r="AL102" s="2">
        <v>0</v>
      </c>
      <c r="AM102" s="2">
        <v>55.14500000000001</v>
      </c>
      <c r="AN102" s="2">
        <v>36.802</v>
      </c>
      <c r="AO102" s="2">
        <v>201.8734</v>
      </c>
      <c r="AP102" s="2">
        <v>0</v>
      </c>
      <c r="AQ102" s="2">
        <v>0.61</v>
      </c>
      <c r="AR102" s="2">
        <v>0.1</v>
      </c>
      <c r="AS102" s="2">
        <v>0</v>
      </c>
      <c r="AT102" s="2">
        <v>89</v>
      </c>
      <c r="AU102" s="2">
        <v>44</v>
      </c>
      <c r="AV102" s="2">
        <v>1</v>
      </c>
      <c r="AW102" s="2">
        <v>1</v>
      </c>
      <c r="AX102" s="2"/>
      <c r="AY102" s="2"/>
      <c r="AZ102" s="2">
        <v>1</v>
      </c>
      <c r="BA102" s="2">
        <v>1</v>
      </c>
      <c r="BB102" s="2">
        <v>1</v>
      </c>
      <c r="BC102" s="2">
        <v>1</v>
      </c>
      <c r="BD102" s="2" t="s">
        <v>3</v>
      </c>
      <c r="BE102" s="2" t="s">
        <v>3</v>
      </c>
      <c r="BF102" s="2" t="s">
        <v>3</v>
      </c>
      <c r="BG102" s="2" t="s">
        <v>3</v>
      </c>
      <c r="BH102" s="2">
        <v>0</v>
      </c>
      <c r="BI102" s="2">
        <v>1</v>
      </c>
      <c r="BJ102" s="2" t="s">
        <v>223</v>
      </c>
      <c r="BK102" s="2"/>
      <c r="BL102" s="2"/>
      <c r="BM102" s="2">
        <v>66001</v>
      </c>
      <c r="BN102" s="2">
        <v>0</v>
      </c>
      <c r="BO102" s="2" t="s">
        <v>3</v>
      </c>
      <c r="BP102" s="2">
        <v>0</v>
      </c>
      <c r="BQ102" s="2">
        <v>6</v>
      </c>
      <c r="BR102" s="2">
        <v>0</v>
      </c>
      <c r="BS102" s="2">
        <v>1</v>
      </c>
      <c r="BT102" s="2">
        <v>1</v>
      </c>
      <c r="BU102" s="2">
        <v>1</v>
      </c>
      <c r="BV102" s="2">
        <v>1</v>
      </c>
      <c r="BW102" s="2">
        <v>1</v>
      </c>
      <c r="BX102" s="2">
        <v>1</v>
      </c>
      <c r="BY102" s="2" t="s">
        <v>3</v>
      </c>
      <c r="BZ102" s="2">
        <v>89</v>
      </c>
      <c r="CA102" s="2">
        <v>44</v>
      </c>
      <c r="CB102" s="2" t="s">
        <v>3</v>
      </c>
      <c r="CC102" s="2"/>
      <c r="CD102" s="2"/>
      <c r="CE102" s="2">
        <v>0</v>
      </c>
      <c r="CF102" s="2">
        <v>0</v>
      </c>
      <c r="CG102" s="2">
        <v>0</v>
      </c>
      <c r="CH102" s="2"/>
      <c r="CI102" s="2"/>
      <c r="CJ102" s="2"/>
      <c r="CK102" s="2"/>
      <c r="CL102" s="2"/>
      <c r="CM102" s="2">
        <v>0</v>
      </c>
      <c r="CN102" s="7" t="s">
        <v>805</v>
      </c>
      <c r="CO102" s="2">
        <v>0</v>
      </c>
      <c r="CP102" s="2">
        <f>(P102+Q102+S102+R102)</f>
        <v>1351.58</v>
      </c>
      <c r="CQ102" s="2">
        <f>SUMIF(SmtRes!AQ68:'SmtRes'!AQ70,"=1",SmtRes!AA68:'SmtRes'!AA70)</f>
        <v>0</v>
      </c>
      <c r="CR102" s="2">
        <f>SUMIF(SmtRes!AQ68:'SmtRes'!AQ70,"=1",SmtRes!AB68:'SmtRes'!AB70)</f>
        <v>551.45000000000005</v>
      </c>
      <c r="CS102" s="2">
        <f>SUMIF(SmtRes!AQ68:'SmtRes'!AQ70,"=1",SmtRes!AC68:'SmtRes'!AC70)</f>
        <v>368.02</v>
      </c>
      <c r="CT102" s="2">
        <f>SUMIF(SmtRes!AQ68:'SmtRes'!AQ70,"=1",SmtRes!AD68:'SmtRes'!AD70)</f>
        <v>330.94</v>
      </c>
      <c r="CU102" s="2">
        <f>AG102</f>
        <v>0</v>
      </c>
      <c r="CV102" s="2">
        <f>SUMIF(SmtRes!AQ68:'SmtRes'!AQ70,"=1",SmtRes!BU68:'SmtRes'!BU70)</f>
        <v>0.7014999999999999</v>
      </c>
      <c r="CW102" s="2">
        <f>SUMIF(SmtRes!AQ68:'SmtRes'!AQ70,"=1",SmtRes!BV68:'SmtRes'!BV70)</f>
        <v>0.11499999999999999</v>
      </c>
      <c r="CX102" s="2">
        <f>AJ102</f>
        <v>0</v>
      </c>
      <c r="CY102" s="2">
        <f>(((S102+R102)*AT102)/100)</f>
        <v>977.13990000000001</v>
      </c>
      <c r="CZ102" s="2">
        <f>(((S102+R102)*AU102)/100)</f>
        <v>483.0804</v>
      </c>
      <c r="DA102" s="2"/>
      <c r="DB102" s="2">
        <v>23</v>
      </c>
      <c r="DC102" s="2" t="s">
        <v>3</v>
      </c>
      <c r="DD102" s="2" t="s">
        <v>3</v>
      </c>
      <c r="DE102" s="2" t="s">
        <v>27</v>
      </c>
      <c r="DF102" s="2" t="s">
        <v>27</v>
      </c>
      <c r="DG102" s="2" t="s">
        <v>27</v>
      </c>
      <c r="DH102" s="2" t="s">
        <v>3</v>
      </c>
      <c r="DI102" s="2" t="s">
        <v>27</v>
      </c>
      <c r="DJ102" s="2" t="s">
        <v>27</v>
      </c>
      <c r="DK102" s="2" t="s">
        <v>3</v>
      </c>
      <c r="DL102" s="2" t="s">
        <v>3</v>
      </c>
      <c r="DM102" s="2" t="s">
        <v>3</v>
      </c>
      <c r="DN102" s="2">
        <v>0</v>
      </c>
      <c r="DO102" s="2">
        <v>0</v>
      </c>
      <c r="DP102" s="2">
        <v>1</v>
      </c>
      <c r="DQ102" s="2">
        <v>1</v>
      </c>
      <c r="DR102" s="2"/>
      <c r="DS102" s="2"/>
      <c r="DT102" s="2"/>
      <c r="DU102" s="2">
        <v>1013</v>
      </c>
      <c r="DV102" s="2" t="s">
        <v>222</v>
      </c>
      <c r="DW102" s="2" t="s">
        <v>222</v>
      </c>
      <c r="DX102" s="2">
        <v>1</v>
      </c>
      <c r="DY102" s="2"/>
      <c r="DZ102" s="2" t="s">
        <v>3</v>
      </c>
      <c r="EA102" s="2" t="s">
        <v>3</v>
      </c>
      <c r="EB102" s="2" t="s">
        <v>3</v>
      </c>
      <c r="EC102" s="2" t="s">
        <v>3</v>
      </c>
      <c r="ED102" s="2"/>
      <c r="EE102" s="2">
        <v>74004301</v>
      </c>
      <c r="EF102" s="2">
        <v>6</v>
      </c>
      <c r="EG102" s="2" t="s">
        <v>187</v>
      </c>
      <c r="EH102" s="2">
        <v>100</v>
      </c>
      <c r="EI102" s="2" t="s">
        <v>188</v>
      </c>
      <c r="EJ102" s="2">
        <v>1</v>
      </c>
      <c r="EK102" s="2">
        <v>66001</v>
      </c>
      <c r="EL102" s="2" t="s">
        <v>189</v>
      </c>
      <c r="EM102" s="2" t="s">
        <v>190</v>
      </c>
      <c r="EN102" s="2"/>
      <c r="EO102" s="2" t="s">
        <v>191</v>
      </c>
      <c r="EP102" s="2"/>
      <c r="EQ102" s="2">
        <v>0</v>
      </c>
      <c r="ER102" s="2">
        <v>0</v>
      </c>
      <c r="ES102" s="2">
        <v>0</v>
      </c>
      <c r="ET102" s="2">
        <v>0</v>
      </c>
      <c r="EU102" s="2">
        <v>0</v>
      </c>
      <c r="EV102" s="2">
        <v>0</v>
      </c>
      <c r="EW102" s="2">
        <v>0.61</v>
      </c>
      <c r="EX102" s="2">
        <v>0.1</v>
      </c>
      <c r="EY102" s="2">
        <v>0</v>
      </c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>
        <v>0</v>
      </c>
      <c r="FR102" s="2">
        <v>0</v>
      </c>
      <c r="FS102" s="2">
        <v>0</v>
      </c>
      <c r="FT102" s="2"/>
      <c r="FU102" s="2"/>
      <c r="FV102" s="2"/>
      <c r="FW102" s="2"/>
      <c r="FX102" s="2">
        <v>89</v>
      </c>
      <c r="FY102" s="2">
        <v>44</v>
      </c>
      <c r="FZ102" s="2"/>
      <c r="GA102" s="2" t="s">
        <v>3</v>
      </c>
      <c r="GB102" s="2"/>
      <c r="GC102" s="2"/>
      <c r="GD102" s="2">
        <v>1</v>
      </c>
      <c r="GE102" s="2"/>
      <c r="GF102" s="2">
        <v>436035</v>
      </c>
      <c r="GG102" s="2">
        <v>2</v>
      </c>
      <c r="GH102" s="2">
        <v>1</v>
      </c>
      <c r="GI102" s="2">
        <v>-2</v>
      </c>
      <c r="GJ102" s="2">
        <v>0</v>
      </c>
      <c r="GK102" s="2">
        <v>0</v>
      </c>
      <c r="GL102" s="2">
        <f>ROUND(IF(AND(BH102=3,BI102=3,FS102&lt;&gt;0),P102,0),2)</f>
        <v>0</v>
      </c>
      <c r="GM102" s="2">
        <f>ROUND(O102+X102+Y102,2)+GX102</f>
        <v>2811.8</v>
      </c>
      <c r="GN102" s="2">
        <f>IF(OR(BI102=0,BI102=1),GM102-GX102,0)</f>
        <v>2811.8</v>
      </c>
      <c r="GO102" s="2">
        <f>IF(BI102=2,GM102-GX102,0)</f>
        <v>0</v>
      </c>
      <c r="GP102" s="2">
        <f>IF(BI102=4,GM102-GX102,0)</f>
        <v>0</v>
      </c>
      <c r="GQ102" s="2"/>
      <c r="GR102" s="2">
        <v>0</v>
      </c>
      <c r="GS102" s="2">
        <v>3</v>
      </c>
      <c r="GT102" s="2">
        <v>0</v>
      </c>
      <c r="GU102" s="2" t="s">
        <v>3</v>
      </c>
      <c r="GV102" s="2">
        <f>ROUND((GT102),6)</f>
        <v>0</v>
      </c>
      <c r="GW102" s="2">
        <v>1</v>
      </c>
      <c r="GX102" s="2">
        <f>ROUND(HC102*I102,2)</f>
        <v>0</v>
      </c>
      <c r="GY102" s="2"/>
      <c r="GZ102" s="2"/>
      <c r="HA102" s="2">
        <v>0</v>
      </c>
      <c r="HB102" s="2">
        <v>0</v>
      </c>
      <c r="HC102" s="2">
        <f>GV102*GW102</f>
        <v>0</v>
      </c>
      <c r="HD102" s="2"/>
      <c r="HE102" s="2" t="s">
        <v>3</v>
      </c>
      <c r="HF102" s="2" t="s">
        <v>3</v>
      </c>
      <c r="HG102" s="2"/>
      <c r="HH102" s="2"/>
      <c r="HI102" s="2"/>
      <c r="HJ102" s="2"/>
      <c r="HK102" s="2"/>
      <c r="HL102" s="2"/>
      <c r="HM102" s="2" t="s">
        <v>3</v>
      </c>
      <c r="HN102" s="2" t="s">
        <v>192</v>
      </c>
      <c r="HO102" s="2" t="s">
        <v>193</v>
      </c>
      <c r="HP102" s="2" t="s">
        <v>189</v>
      </c>
      <c r="HQ102" s="2" t="s">
        <v>189</v>
      </c>
      <c r="HR102" s="2"/>
      <c r="HS102" s="2">
        <v>0</v>
      </c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>
        <v>0</v>
      </c>
      <c r="IL102" s="2"/>
      <c r="IM102" s="2"/>
      <c r="IN102" s="2"/>
      <c r="IO102" s="2"/>
      <c r="IP102" s="2"/>
      <c r="IQ102" s="2"/>
      <c r="IR102" s="2"/>
      <c r="IS102" s="2"/>
      <c r="IT102" s="2"/>
      <c r="IU102" s="2"/>
    </row>
    <row r="103" spans="1:255" ht="13.05" customHeight="1" x14ac:dyDescent="0.25">
      <c r="A103" s="2">
        <v>17</v>
      </c>
      <c r="B103" s="2">
        <v>1</v>
      </c>
      <c r="C103" s="2"/>
      <c r="D103" s="2"/>
      <c r="E103" s="2" t="s">
        <v>224</v>
      </c>
      <c r="F103" s="2" t="s">
        <v>225</v>
      </c>
      <c r="G103" s="2" t="s">
        <v>226</v>
      </c>
      <c r="H103" s="2" t="s">
        <v>43</v>
      </c>
      <c r="I103" s="2">
        <v>0.71699999999999997</v>
      </c>
      <c r="J103" s="2">
        <v>0</v>
      </c>
      <c r="K103" s="2">
        <v>0.71699999999999997</v>
      </c>
      <c r="L103" s="2"/>
      <c r="M103" s="2"/>
      <c r="N103" s="2"/>
      <c r="O103" s="2">
        <f>0</f>
        <v>0</v>
      </c>
      <c r="P103" s="2">
        <f>0</f>
        <v>0</v>
      </c>
      <c r="Q103" s="2">
        <f>0</f>
        <v>0</v>
      </c>
      <c r="R103" s="2">
        <f>0</f>
        <v>0</v>
      </c>
      <c r="S103" s="2">
        <f>0</f>
        <v>0</v>
      </c>
      <c r="T103" s="2">
        <f>0</f>
        <v>0</v>
      </c>
      <c r="U103" s="2">
        <f>0</f>
        <v>0</v>
      </c>
      <c r="V103" s="2">
        <f>0</f>
        <v>0</v>
      </c>
      <c r="W103" s="2">
        <f>0</f>
        <v>0</v>
      </c>
      <c r="X103" s="2">
        <f>0</f>
        <v>0</v>
      </c>
      <c r="Y103" s="2">
        <f>0</f>
        <v>0</v>
      </c>
      <c r="Z103" s="2"/>
      <c r="AA103" s="2">
        <v>75604747</v>
      </c>
      <c r="AB103" s="2">
        <f>ROUND((AK103),6)</f>
        <v>284.61</v>
      </c>
      <c r="AC103" s="2">
        <f>0</f>
        <v>0</v>
      </c>
      <c r="AD103" s="2">
        <f>0</f>
        <v>0</v>
      </c>
      <c r="AE103" s="2">
        <f>0</f>
        <v>0</v>
      </c>
      <c r="AF103" s="2">
        <f>0</f>
        <v>0</v>
      </c>
      <c r="AG103" s="2">
        <f>0</f>
        <v>0</v>
      </c>
      <c r="AH103" s="2">
        <f>0</f>
        <v>0</v>
      </c>
      <c r="AI103" s="2">
        <f>0</f>
        <v>0</v>
      </c>
      <c r="AJ103" s="2">
        <f>0</f>
        <v>0</v>
      </c>
      <c r="AK103" s="2">
        <v>284.61</v>
      </c>
      <c r="AL103" s="2">
        <v>0</v>
      </c>
      <c r="AM103" s="2">
        <v>0</v>
      </c>
      <c r="AN103" s="2">
        <v>0</v>
      </c>
      <c r="AO103" s="2">
        <v>0</v>
      </c>
      <c r="AP103" s="2">
        <v>0</v>
      </c>
      <c r="AQ103" s="2">
        <v>0</v>
      </c>
      <c r="AR103" s="2">
        <v>0</v>
      </c>
      <c r="AS103" s="2">
        <v>0</v>
      </c>
      <c r="AT103" s="2">
        <v>0</v>
      </c>
      <c r="AU103" s="2">
        <v>0</v>
      </c>
      <c r="AV103" s="2">
        <v>1</v>
      </c>
      <c r="AW103" s="2">
        <v>1</v>
      </c>
      <c r="AX103" s="2"/>
      <c r="AY103" s="2"/>
      <c r="AZ103" s="2">
        <v>1</v>
      </c>
      <c r="BA103" s="2">
        <v>1</v>
      </c>
      <c r="BB103" s="2">
        <v>1</v>
      </c>
      <c r="BC103" s="2">
        <v>1</v>
      </c>
      <c r="BD103" s="2" t="s">
        <v>3</v>
      </c>
      <c r="BE103" s="2" t="s">
        <v>3</v>
      </c>
      <c r="BF103" s="2" t="s">
        <v>3</v>
      </c>
      <c r="BG103" s="2" t="s">
        <v>3</v>
      </c>
      <c r="BH103" s="2">
        <v>0</v>
      </c>
      <c r="BI103" s="2">
        <v>1</v>
      </c>
      <c r="BJ103" s="2" t="s">
        <v>225</v>
      </c>
      <c r="BK103" s="2"/>
      <c r="BL103" s="2"/>
      <c r="BM103" s="2">
        <v>700007</v>
      </c>
      <c r="BN103" s="2">
        <v>0</v>
      </c>
      <c r="BO103" s="2" t="s">
        <v>3</v>
      </c>
      <c r="BP103" s="2">
        <v>0</v>
      </c>
      <c r="BQ103" s="2">
        <v>19</v>
      </c>
      <c r="BR103" s="2">
        <v>0</v>
      </c>
      <c r="BS103" s="2">
        <v>1</v>
      </c>
      <c r="BT103" s="2">
        <v>1</v>
      </c>
      <c r="BU103" s="2">
        <v>1</v>
      </c>
      <c r="BV103" s="2">
        <v>1</v>
      </c>
      <c r="BW103" s="2">
        <v>1</v>
      </c>
      <c r="BX103" s="2">
        <v>1</v>
      </c>
      <c r="BY103" s="2" t="s">
        <v>3</v>
      </c>
      <c r="BZ103" s="2">
        <v>90</v>
      </c>
      <c r="CA103" s="2">
        <v>42</v>
      </c>
      <c r="CB103" s="2" t="s">
        <v>3</v>
      </c>
      <c r="CC103" s="2"/>
      <c r="CD103" s="2"/>
      <c r="CE103" s="2">
        <v>0</v>
      </c>
      <c r="CF103" s="2">
        <v>0</v>
      </c>
      <c r="CG103" s="2">
        <v>0</v>
      </c>
      <c r="CH103" s="2"/>
      <c r="CI103" s="2"/>
      <c r="CJ103" s="2"/>
      <c r="CK103" s="2"/>
      <c r="CL103" s="2"/>
      <c r="CM103" s="2">
        <v>0</v>
      </c>
      <c r="CN103" s="2" t="s">
        <v>3</v>
      </c>
      <c r="CO103" s="2">
        <v>0</v>
      </c>
      <c r="CP103" s="2">
        <f>AB103*AZ103</f>
        <v>284.61</v>
      </c>
      <c r="CQ103" s="2">
        <v>0</v>
      </c>
      <c r="CR103" s="2">
        <v>0</v>
      </c>
      <c r="CS103" s="2">
        <v>0</v>
      </c>
      <c r="CT103" s="2">
        <v>0</v>
      </c>
      <c r="CU103" s="2">
        <v>0</v>
      </c>
      <c r="CV103" s="2">
        <v>0</v>
      </c>
      <c r="CW103" s="2">
        <v>0</v>
      </c>
      <c r="CX103" s="2">
        <v>0</v>
      </c>
      <c r="CY103" s="2">
        <v>0</v>
      </c>
      <c r="CZ103" s="2">
        <v>0</v>
      </c>
      <c r="DA103" s="2"/>
      <c r="DB103" s="2"/>
      <c r="DC103" s="2" t="s">
        <v>3</v>
      </c>
      <c r="DD103" s="2" t="s">
        <v>3</v>
      </c>
      <c r="DE103" s="2" t="s">
        <v>3</v>
      </c>
      <c r="DF103" s="2" t="s">
        <v>3</v>
      </c>
      <c r="DG103" s="2" t="s">
        <v>3</v>
      </c>
      <c r="DH103" s="2" t="s">
        <v>3</v>
      </c>
      <c r="DI103" s="2" t="s">
        <v>3</v>
      </c>
      <c r="DJ103" s="2" t="s">
        <v>3</v>
      </c>
      <c r="DK103" s="2" t="s">
        <v>3</v>
      </c>
      <c r="DL103" s="2" t="s">
        <v>3</v>
      </c>
      <c r="DM103" s="2" t="s">
        <v>3</v>
      </c>
      <c r="DN103" s="2">
        <v>0</v>
      </c>
      <c r="DO103" s="2">
        <v>0</v>
      </c>
      <c r="DP103" s="2">
        <v>1</v>
      </c>
      <c r="DQ103" s="2">
        <v>1</v>
      </c>
      <c r="DR103" s="2"/>
      <c r="DS103" s="2"/>
      <c r="DT103" s="2"/>
      <c r="DU103" s="2">
        <v>1013</v>
      </c>
      <c r="DV103" s="2" t="s">
        <v>43</v>
      </c>
      <c r="DW103" s="2" t="s">
        <v>43</v>
      </c>
      <c r="DX103" s="2">
        <v>1</v>
      </c>
      <c r="DY103" s="2"/>
      <c r="DZ103" s="2" t="s">
        <v>3</v>
      </c>
      <c r="EA103" s="2" t="s">
        <v>3</v>
      </c>
      <c r="EB103" s="2" t="s">
        <v>3</v>
      </c>
      <c r="EC103" s="2" t="s">
        <v>3</v>
      </c>
      <c r="ED103" s="2"/>
      <c r="EE103" s="2">
        <v>74004661</v>
      </c>
      <c r="EF103" s="2">
        <v>19</v>
      </c>
      <c r="EG103" s="2" t="s">
        <v>197</v>
      </c>
      <c r="EH103" s="2">
        <v>106</v>
      </c>
      <c r="EI103" s="2" t="s">
        <v>197</v>
      </c>
      <c r="EJ103" s="2">
        <v>1</v>
      </c>
      <c r="EK103" s="2">
        <v>700007</v>
      </c>
      <c r="EL103" s="2" t="s">
        <v>197</v>
      </c>
      <c r="EM103" s="2" t="s">
        <v>198</v>
      </c>
      <c r="EN103" s="2"/>
      <c r="EO103" s="2" t="s">
        <v>3</v>
      </c>
      <c r="EP103" s="2"/>
      <c r="EQ103" s="2">
        <v>0</v>
      </c>
      <c r="ER103" s="2">
        <v>0</v>
      </c>
      <c r="ES103" s="2">
        <v>0</v>
      </c>
      <c r="ET103" s="2">
        <v>0</v>
      </c>
      <c r="EU103" s="2">
        <v>0</v>
      </c>
      <c r="EV103" s="2">
        <v>0</v>
      </c>
      <c r="EW103" s="2">
        <v>0</v>
      </c>
      <c r="EX103" s="2">
        <v>0</v>
      </c>
      <c r="EY103" s="2">
        <v>0</v>
      </c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>
        <v>0</v>
      </c>
      <c r="FR103" s="2">
        <v>0</v>
      </c>
      <c r="FS103" s="2">
        <v>0</v>
      </c>
      <c r="FT103" s="2"/>
      <c r="FU103" s="2"/>
      <c r="FV103" s="2"/>
      <c r="FW103" s="2"/>
      <c r="FX103" s="2">
        <v>0</v>
      </c>
      <c r="FY103" s="2">
        <v>0</v>
      </c>
      <c r="FZ103" s="2"/>
      <c r="GA103" s="2" t="s">
        <v>3</v>
      </c>
      <c r="GB103" s="2"/>
      <c r="GC103" s="2"/>
      <c r="GD103" s="2">
        <v>1</v>
      </c>
      <c r="GE103" s="2"/>
      <c r="GF103" s="2">
        <v>-1927016921</v>
      </c>
      <c r="GG103" s="2">
        <v>2</v>
      </c>
      <c r="GH103" s="2">
        <v>1</v>
      </c>
      <c r="GI103" s="2">
        <v>-2</v>
      </c>
      <c r="GJ103" s="2">
        <v>2</v>
      </c>
      <c r="GK103" s="2">
        <v>0</v>
      </c>
      <c r="GL103" s="2">
        <f>ROUND(IF(AND(BH103=3,BI103=3,FS103&lt;&gt;0),P103,0),2)</f>
        <v>0</v>
      </c>
      <c r="GM103" s="2">
        <f>ROUND(CP103*I103,2)</f>
        <v>204.07</v>
      </c>
      <c r="GN103" s="2">
        <f>IF(OR(BI103=0,BI103=1),GM103-GX103,0)</f>
        <v>204.07</v>
      </c>
      <c r="GO103" s="2">
        <f>IF(BI103=2,GM103-GX103,0)</f>
        <v>0</v>
      </c>
      <c r="GP103" s="2">
        <f>IF(BI103=4,GM103-GX103,0)</f>
        <v>0</v>
      </c>
      <c r="GQ103" s="2"/>
      <c r="GR103" s="2">
        <v>0</v>
      </c>
      <c r="GS103" s="2">
        <v>3</v>
      </c>
      <c r="GT103" s="2">
        <v>0</v>
      </c>
      <c r="GU103" s="2" t="s">
        <v>3</v>
      </c>
      <c r="GV103" s="2">
        <f>0</f>
        <v>0</v>
      </c>
      <c r="GW103" s="2">
        <v>1</v>
      </c>
      <c r="GX103" s="2">
        <f>0</f>
        <v>0</v>
      </c>
      <c r="GY103" s="2"/>
      <c r="GZ103" s="2"/>
      <c r="HA103" s="2">
        <v>0</v>
      </c>
      <c r="HB103" s="2">
        <v>0</v>
      </c>
      <c r="HC103" s="2">
        <v>0</v>
      </c>
      <c r="HD103" s="2">
        <f>GM103</f>
        <v>204.07</v>
      </c>
      <c r="HE103" s="2" t="s">
        <v>3</v>
      </c>
      <c r="HF103" s="2" t="s">
        <v>3</v>
      </c>
      <c r="HG103" s="2"/>
      <c r="HH103" s="2"/>
      <c r="HI103" s="2"/>
      <c r="HJ103" s="2"/>
      <c r="HK103" s="2"/>
      <c r="HL103" s="2"/>
      <c r="HM103" s="2" t="s">
        <v>3</v>
      </c>
      <c r="HN103" s="2" t="s">
        <v>199</v>
      </c>
      <c r="HO103" s="2" t="s">
        <v>200</v>
      </c>
      <c r="HP103" s="2" t="s">
        <v>197</v>
      </c>
      <c r="HQ103" s="2" t="s">
        <v>197</v>
      </c>
      <c r="HR103" s="2"/>
      <c r="HS103" s="2">
        <v>0</v>
      </c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>
        <v>0</v>
      </c>
      <c r="IL103" s="2"/>
      <c r="IM103" s="2"/>
      <c r="IN103" s="2"/>
      <c r="IO103" s="2"/>
      <c r="IP103" s="2"/>
      <c r="IQ103" s="2"/>
      <c r="IR103" s="2"/>
      <c r="IS103" s="2"/>
      <c r="IT103" s="2"/>
      <c r="IU103" s="2"/>
    </row>
    <row r="104" spans="1:255" ht="13.05" customHeight="1" x14ac:dyDescent="0.25">
      <c r="A104" s="2">
        <v>17</v>
      </c>
      <c r="B104" s="2">
        <v>1</v>
      </c>
      <c r="C104" s="2"/>
      <c r="D104" s="2"/>
      <c r="E104" s="2" t="s">
        <v>227</v>
      </c>
      <c r="F104" s="2" t="s">
        <v>41</v>
      </c>
      <c r="G104" s="2" t="s">
        <v>42</v>
      </c>
      <c r="H104" s="2" t="s">
        <v>43</v>
      </c>
      <c r="I104" s="2">
        <v>0.71699999999999997</v>
      </c>
      <c r="J104" s="2">
        <v>0</v>
      </c>
      <c r="K104" s="2">
        <v>0.71699999999999997</v>
      </c>
      <c r="L104" s="2"/>
      <c r="M104" s="2"/>
      <c r="N104" s="2"/>
      <c r="O104" s="2">
        <f>0</f>
        <v>0</v>
      </c>
      <c r="P104" s="2">
        <f>0</f>
        <v>0</v>
      </c>
      <c r="Q104" s="2">
        <f>0</f>
        <v>0</v>
      </c>
      <c r="R104" s="2">
        <f>0</f>
        <v>0</v>
      </c>
      <c r="S104" s="2">
        <f>0</f>
        <v>0</v>
      </c>
      <c r="T104" s="2">
        <f>0</f>
        <v>0</v>
      </c>
      <c r="U104" s="2">
        <f>0</f>
        <v>0</v>
      </c>
      <c r="V104" s="2">
        <f>0</f>
        <v>0</v>
      </c>
      <c r="W104" s="2">
        <f>0</f>
        <v>0</v>
      </c>
      <c r="X104" s="2">
        <f>0</f>
        <v>0</v>
      </c>
      <c r="Y104" s="2">
        <f>0</f>
        <v>0</v>
      </c>
      <c r="Z104" s="2"/>
      <c r="AA104" s="2">
        <v>75604747</v>
      </c>
      <c r="AB104" s="2">
        <f>ROUND((AK104),6)</f>
        <v>251.35</v>
      </c>
      <c r="AC104" s="2">
        <f>0</f>
        <v>0</v>
      </c>
      <c r="AD104" s="2">
        <f>0</f>
        <v>0</v>
      </c>
      <c r="AE104" s="2">
        <f>0</f>
        <v>0</v>
      </c>
      <c r="AF104" s="2">
        <f>0</f>
        <v>0</v>
      </c>
      <c r="AG104" s="2">
        <f>0</f>
        <v>0</v>
      </c>
      <c r="AH104" s="2">
        <f>0</f>
        <v>0</v>
      </c>
      <c r="AI104" s="2">
        <f>0</f>
        <v>0</v>
      </c>
      <c r="AJ104" s="2">
        <f>0</f>
        <v>0</v>
      </c>
      <c r="AK104" s="2">
        <v>251.35</v>
      </c>
      <c r="AL104" s="2">
        <v>0</v>
      </c>
      <c r="AM104" s="2">
        <v>0</v>
      </c>
      <c r="AN104" s="2">
        <v>0</v>
      </c>
      <c r="AO104" s="2">
        <v>0</v>
      </c>
      <c r="AP104" s="2">
        <v>0</v>
      </c>
      <c r="AQ104" s="2">
        <v>0</v>
      </c>
      <c r="AR104" s="2">
        <v>0</v>
      </c>
      <c r="AS104" s="2">
        <v>0</v>
      </c>
      <c r="AT104" s="2">
        <v>0</v>
      </c>
      <c r="AU104" s="2">
        <v>0</v>
      </c>
      <c r="AV104" s="2">
        <v>1</v>
      </c>
      <c r="AW104" s="2">
        <v>1</v>
      </c>
      <c r="AX104" s="2"/>
      <c r="AY104" s="2"/>
      <c r="AZ104" s="2">
        <v>1</v>
      </c>
      <c r="BA104" s="2">
        <v>1</v>
      </c>
      <c r="BB104" s="2">
        <v>1</v>
      </c>
      <c r="BC104" s="2">
        <v>1</v>
      </c>
      <c r="BD104" s="2" t="s">
        <v>3</v>
      </c>
      <c r="BE104" s="2" t="s">
        <v>3</v>
      </c>
      <c r="BF104" s="2" t="s">
        <v>3</v>
      </c>
      <c r="BG104" s="2" t="s">
        <v>3</v>
      </c>
      <c r="BH104" s="2">
        <v>0</v>
      </c>
      <c r="BI104" s="2">
        <v>1</v>
      </c>
      <c r="BJ104" s="2" t="s">
        <v>41</v>
      </c>
      <c r="BK104" s="2"/>
      <c r="BL104" s="2"/>
      <c r="BM104" s="2">
        <v>700008</v>
      </c>
      <c r="BN104" s="2">
        <v>0</v>
      </c>
      <c r="BO104" s="2" t="s">
        <v>3</v>
      </c>
      <c r="BP104" s="2">
        <v>0</v>
      </c>
      <c r="BQ104" s="2">
        <v>10</v>
      </c>
      <c r="BR104" s="2">
        <v>0</v>
      </c>
      <c r="BS104" s="2">
        <v>1</v>
      </c>
      <c r="BT104" s="2">
        <v>1</v>
      </c>
      <c r="BU104" s="2">
        <v>1</v>
      </c>
      <c r="BV104" s="2">
        <v>1</v>
      </c>
      <c r="BW104" s="2">
        <v>1</v>
      </c>
      <c r="BX104" s="2">
        <v>1</v>
      </c>
      <c r="BY104" s="2" t="s">
        <v>3</v>
      </c>
      <c r="BZ104" s="2">
        <v>94</v>
      </c>
      <c r="CA104" s="2">
        <v>61</v>
      </c>
      <c r="CB104" s="2" t="s">
        <v>3</v>
      </c>
      <c r="CC104" s="2"/>
      <c r="CD104" s="2"/>
      <c r="CE104" s="2">
        <v>0</v>
      </c>
      <c r="CF104" s="2">
        <v>0</v>
      </c>
      <c r="CG104" s="2">
        <v>0</v>
      </c>
      <c r="CH104" s="2"/>
      <c r="CI104" s="2"/>
      <c r="CJ104" s="2"/>
      <c r="CK104" s="2"/>
      <c r="CL104" s="2"/>
      <c r="CM104" s="2">
        <v>0</v>
      </c>
      <c r="CN104" s="2" t="s">
        <v>3</v>
      </c>
      <c r="CO104" s="2">
        <v>0</v>
      </c>
      <c r="CP104" s="2">
        <f>AB104*AZ104</f>
        <v>251.35</v>
      </c>
      <c r="CQ104" s="2">
        <v>0</v>
      </c>
      <c r="CR104" s="2">
        <v>0</v>
      </c>
      <c r="CS104" s="2">
        <v>0</v>
      </c>
      <c r="CT104" s="2">
        <v>0</v>
      </c>
      <c r="CU104" s="2">
        <v>0</v>
      </c>
      <c r="CV104" s="2">
        <v>0</v>
      </c>
      <c r="CW104" s="2">
        <v>0</v>
      </c>
      <c r="CX104" s="2">
        <v>0</v>
      </c>
      <c r="CY104" s="2">
        <v>0</v>
      </c>
      <c r="CZ104" s="2">
        <v>0</v>
      </c>
      <c r="DA104" s="2"/>
      <c r="DB104" s="2"/>
      <c r="DC104" s="2" t="s">
        <v>3</v>
      </c>
      <c r="DD104" s="2" t="s">
        <v>3</v>
      </c>
      <c r="DE104" s="2" t="s">
        <v>3</v>
      </c>
      <c r="DF104" s="2" t="s">
        <v>3</v>
      </c>
      <c r="DG104" s="2" t="s">
        <v>3</v>
      </c>
      <c r="DH104" s="2" t="s">
        <v>3</v>
      </c>
      <c r="DI104" s="2" t="s">
        <v>3</v>
      </c>
      <c r="DJ104" s="2" t="s">
        <v>3</v>
      </c>
      <c r="DK104" s="2" t="s">
        <v>3</v>
      </c>
      <c r="DL104" s="2" t="s">
        <v>3</v>
      </c>
      <c r="DM104" s="2" t="s">
        <v>3</v>
      </c>
      <c r="DN104" s="2">
        <v>0</v>
      </c>
      <c r="DO104" s="2">
        <v>0</v>
      </c>
      <c r="DP104" s="2">
        <v>1</v>
      </c>
      <c r="DQ104" s="2">
        <v>1</v>
      </c>
      <c r="DR104" s="2"/>
      <c r="DS104" s="2"/>
      <c r="DT104" s="2"/>
      <c r="DU104" s="2">
        <v>1013</v>
      </c>
      <c r="DV104" s="2" t="s">
        <v>43</v>
      </c>
      <c r="DW104" s="2" t="s">
        <v>43</v>
      </c>
      <c r="DX104" s="2">
        <v>1</v>
      </c>
      <c r="DY104" s="2"/>
      <c r="DZ104" s="2" t="s">
        <v>3</v>
      </c>
      <c r="EA104" s="2" t="s">
        <v>3</v>
      </c>
      <c r="EB104" s="2" t="s">
        <v>3</v>
      </c>
      <c r="EC104" s="2" t="s">
        <v>3</v>
      </c>
      <c r="ED104" s="2"/>
      <c r="EE104" s="2">
        <v>74004662</v>
      </c>
      <c r="EF104" s="2">
        <v>10</v>
      </c>
      <c r="EG104" s="2" t="s">
        <v>44</v>
      </c>
      <c r="EH104" s="2">
        <v>107</v>
      </c>
      <c r="EI104" s="2" t="s">
        <v>45</v>
      </c>
      <c r="EJ104" s="2">
        <v>1</v>
      </c>
      <c r="EK104" s="2">
        <v>700008</v>
      </c>
      <c r="EL104" s="2" t="s">
        <v>46</v>
      </c>
      <c r="EM104" s="2" t="s">
        <v>47</v>
      </c>
      <c r="EN104" s="2"/>
      <c r="EO104" s="2" t="s">
        <v>3</v>
      </c>
      <c r="EP104" s="2"/>
      <c r="EQ104" s="2">
        <v>0</v>
      </c>
      <c r="ER104" s="2">
        <v>0</v>
      </c>
      <c r="ES104" s="2">
        <v>0</v>
      </c>
      <c r="ET104" s="2">
        <v>0</v>
      </c>
      <c r="EU104" s="2">
        <v>0</v>
      </c>
      <c r="EV104" s="2">
        <v>0</v>
      </c>
      <c r="EW104" s="2">
        <v>0</v>
      </c>
      <c r="EX104" s="2">
        <v>0</v>
      </c>
      <c r="EY104" s="2">
        <v>0</v>
      </c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>
        <v>0</v>
      </c>
      <c r="FR104" s="2">
        <v>0</v>
      </c>
      <c r="FS104" s="2">
        <v>0</v>
      </c>
      <c r="FT104" s="2"/>
      <c r="FU104" s="2"/>
      <c r="FV104" s="2"/>
      <c r="FW104" s="2"/>
      <c r="FX104" s="2">
        <v>0</v>
      </c>
      <c r="FY104" s="2">
        <v>0</v>
      </c>
      <c r="FZ104" s="2"/>
      <c r="GA104" s="2" t="s">
        <v>3</v>
      </c>
      <c r="GB104" s="2"/>
      <c r="GC104" s="2"/>
      <c r="GD104" s="2">
        <v>1</v>
      </c>
      <c r="GE104" s="2"/>
      <c r="GF104" s="2">
        <v>-939797987</v>
      </c>
      <c r="GG104" s="2">
        <v>2</v>
      </c>
      <c r="GH104" s="2">
        <v>1</v>
      </c>
      <c r="GI104" s="2">
        <v>-2</v>
      </c>
      <c r="GJ104" s="2">
        <v>2</v>
      </c>
      <c r="GK104" s="2">
        <v>0</v>
      </c>
      <c r="GL104" s="2">
        <f>ROUND(IF(AND(BH104=3,BI104=3,FS104&lt;&gt;0),P104,0),2)</f>
        <v>0</v>
      </c>
      <c r="GM104" s="2">
        <f>ROUND(CP104*I104,2)</f>
        <v>180.22</v>
      </c>
      <c r="GN104" s="2">
        <f>IF(OR(BI104=0,BI104=1),GM104-GX104,0)</f>
        <v>180.22</v>
      </c>
      <c r="GO104" s="2">
        <f>IF(BI104=2,GM104-GX104,0)</f>
        <v>0</v>
      </c>
      <c r="GP104" s="2">
        <f>IF(BI104=4,GM104-GX104,0)</f>
        <v>0</v>
      </c>
      <c r="GQ104" s="2"/>
      <c r="GR104" s="2">
        <v>0</v>
      </c>
      <c r="GS104" s="2">
        <v>3</v>
      </c>
      <c r="GT104" s="2">
        <v>0</v>
      </c>
      <c r="GU104" s="2" t="s">
        <v>3</v>
      </c>
      <c r="GV104" s="2">
        <f>0</f>
        <v>0</v>
      </c>
      <c r="GW104" s="2">
        <v>1</v>
      </c>
      <c r="GX104" s="2">
        <f>0</f>
        <v>0</v>
      </c>
      <c r="GY104" s="2"/>
      <c r="GZ104" s="2"/>
      <c r="HA104" s="2">
        <v>0</v>
      </c>
      <c r="HB104" s="2">
        <v>0</v>
      </c>
      <c r="HC104" s="2">
        <v>0</v>
      </c>
      <c r="HD104" s="2">
        <f>GM104</f>
        <v>180.22</v>
      </c>
      <c r="HE104" s="2" t="s">
        <v>3</v>
      </c>
      <c r="HF104" s="2" t="s">
        <v>3</v>
      </c>
      <c r="HG104" s="2"/>
      <c r="HH104" s="2"/>
      <c r="HI104" s="2"/>
      <c r="HJ104" s="2"/>
      <c r="HK104" s="2"/>
      <c r="HL104" s="2"/>
      <c r="HM104" s="2" t="s">
        <v>3</v>
      </c>
      <c r="HN104" s="2" t="s">
        <v>48</v>
      </c>
      <c r="HO104" s="2" t="s">
        <v>49</v>
      </c>
      <c r="HP104" s="2" t="s">
        <v>45</v>
      </c>
      <c r="HQ104" s="2" t="s">
        <v>45</v>
      </c>
      <c r="HR104" s="2"/>
      <c r="HS104" s="2">
        <v>0</v>
      </c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>
        <v>0</v>
      </c>
      <c r="IL104" s="2"/>
      <c r="IM104" s="2"/>
      <c r="IN104" s="2"/>
      <c r="IO104" s="2"/>
      <c r="IP104" s="2"/>
      <c r="IQ104" s="2"/>
      <c r="IR104" s="2"/>
      <c r="IS104" s="2"/>
      <c r="IT104" s="2"/>
      <c r="IU104" s="2"/>
    </row>
    <row r="105" spans="1:255" ht="13.05" customHeight="1" x14ac:dyDescent="0.25"/>
    <row r="106" spans="1:255" ht="13.05" customHeight="1" x14ac:dyDescent="0.25">
      <c r="A106" s="3">
        <v>51</v>
      </c>
      <c r="B106" s="3">
        <f>B83</f>
        <v>1</v>
      </c>
      <c r="C106" s="3">
        <f>A83</f>
        <v>4</v>
      </c>
      <c r="D106" s="3">
        <f>ROW(A83)</f>
        <v>83</v>
      </c>
      <c r="E106" s="3"/>
      <c r="F106" s="3" t="str">
        <f>IF(F83&lt;&gt;"",F83,"")</f>
        <v>Новый раздел</v>
      </c>
      <c r="G106" s="3" t="str">
        <f>IF(G83&lt;&gt;"",G83,"")</f>
        <v>Раздел 2. Демонтажные работы</v>
      </c>
      <c r="H106" s="3">
        <v>0</v>
      </c>
      <c r="I106" s="3"/>
      <c r="J106" s="3"/>
      <c r="K106" s="3"/>
      <c r="L106" s="3"/>
      <c r="M106" s="3"/>
      <c r="N106" s="3"/>
      <c r="O106" s="3">
        <f t="shared" ref="O106:T106" si="38">ROUND(AB106,2)</f>
        <v>48653.45</v>
      </c>
      <c r="P106" s="3">
        <f t="shared" si="38"/>
        <v>534.86</v>
      </c>
      <c r="Q106" s="3">
        <f t="shared" si="38"/>
        <v>12501.67</v>
      </c>
      <c r="R106" s="3">
        <f t="shared" si="38"/>
        <v>3152.6</v>
      </c>
      <c r="S106" s="3">
        <f t="shared" si="38"/>
        <v>32464.32</v>
      </c>
      <c r="T106" s="3">
        <f t="shared" si="38"/>
        <v>0</v>
      </c>
      <c r="U106" s="3">
        <f>AH106</f>
        <v>103.193732</v>
      </c>
      <c r="V106" s="3">
        <f>AI106</f>
        <v>7.3143450000000003</v>
      </c>
      <c r="W106" s="3">
        <f>ROUND(AJ106,2)</f>
        <v>0</v>
      </c>
      <c r="X106" s="3">
        <f>ROUND(AK106,2)</f>
        <v>33528.589999999997</v>
      </c>
      <c r="Y106" s="3">
        <f>ROUND(AL106,2)</f>
        <v>17278.689999999999</v>
      </c>
      <c r="Z106" s="3"/>
      <c r="AA106" s="3"/>
      <c r="AB106" s="3">
        <f>ROUND(SUMIF(AA87:AA104,"=75604747",O87:O104),2)</f>
        <v>48653.45</v>
      </c>
      <c r="AC106" s="3">
        <f>ROUND(SUMIF(AA87:AA104,"=75604747",P87:P104),2)</f>
        <v>534.86</v>
      </c>
      <c r="AD106" s="3">
        <f>ROUND(SUMIF(AA87:AA104,"=75604747",Q87:Q104),2)</f>
        <v>12501.67</v>
      </c>
      <c r="AE106" s="3">
        <f>ROUND(SUMIF(AA87:AA104,"=75604747",R87:R104),2)</f>
        <v>3152.6</v>
      </c>
      <c r="AF106" s="3">
        <f>ROUND(SUMIF(AA87:AA104,"=75604747",S87:S104),2)</f>
        <v>32464.32</v>
      </c>
      <c r="AG106" s="3">
        <f>ROUND(SUMIF(AA87:AA104,"=75604747",T87:T104),2)</f>
        <v>0</v>
      </c>
      <c r="AH106" s="3">
        <f>SUMIF(AA87:AA104,"=75604747",U87:U104)</f>
        <v>103.193732</v>
      </c>
      <c r="AI106" s="3">
        <f>SUMIF(AA87:AA104,"=75604747",V87:V104)</f>
        <v>7.3143450000000003</v>
      </c>
      <c r="AJ106" s="3">
        <f>ROUND(SUMIF(AA87:AA104,"=75604747",W87:W104),2)</f>
        <v>0</v>
      </c>
      <c r="AK106" s="3">
        <f>ROUND(SUMIF(AA87:AA104,"=75604747",X87:X104),2)</f>
        <v>33528.589999999997</v>
      </c>
      <c r="AL106" s="3">
        <f>ROUND(SUMIF(AA87:AA104,"=75604747",Y87:Y104),2)</f>
        <v>17278.689999999999</v>
      </c>
      <c r="AM106" s="3"/>
      <c r="AN106" s="3"/>
      <c r="AO106" s="3">
        <f t="shared" ref="AO106:BD106" si="39">ROUND(BX106,2)</f>
        <v>0</v>
      </c>
      <c r="AP106" s="3">
        <f t="shared" si="39"/>
        <v>0</v>
      </c>
      <c r="AQ106" s="3">
        <f t="shared" si="39"/>
        <v>0</v>
      </c>
      <c r="AR106" s="3">
        <f t="shared" si="39"/>
        <v>101997.26</v>
      </c>
      <c r="AS106" s="3">
        <f t="shared" si="39"/>
        <v>101997.26</v>
      </c>
      <c r="AT106" s="3">
        <f t="shared" si="39"/>
        <v>0</v>
      </c>
      <c r="AU106" s="3">
        <f t="shared" si="39"/>
        <v>0</v>
      </c>
      <c r="AV106" s="3">
        <f t="shared" si="39"/>
        <v>534.86</v>
      </c>
      <c r="AW106" s="3">
        <f t="shared" si="39"/>
        <v>534.86</v>
      </c>
      <c r="AX106" s="3">
        <f t="shared" si="39"/>
        <v>0</v>
      </c>
      <c r="AY106" s="3">
        <f t="shared" si="39"/>
        <v>534.86</v>
      </c>
      <c r="AZ106" s="3">
        <f t="shared" si="39"/>
        <v>0</v>
      </c>
      <c r="BA106" s="3">
        <f t="shared" si="39"/>
        <v>0</v>
      </c>
      <c r="BB106" s="3">
        <f t="shared" si="39"/>
        <v>0</v>
      </c>
      <c r="BC106" s="3">
        <f t="shared" si="39"/>
        <v>0</v>
      </c>
      <c r="BD106" s="3">
        <f t="shared" si="39"/>
        <v>2536.5300000000002</v>
      </c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>
        <f>ROUND(SUMIF(AA87:AA104,"=75604747",FQ87:FQ104),2)</f>
        <v>0</v>
      </c>
      <c r="BY106" s="3">
        <f>ROUND(SUMIF(AA87:AA104,"=75604747",FR87:FR104),2)</f>
        <v>0</v>
      </c>
      <c r="BZ106" s="3">
        <f>ROUND(SUMIF(AA87:AA104,"=75604747",GL87:GL104),2)</f>
        <v>0</v>
      </c>
      <c r="CA106" s="3">
        <f>ROUND(SUMIF(AA87:AA104,"=75604747",GM87:GM104),2)</f>
        <v>101997.26</v>
      </c>
      <c r="CB106" s="3">
        <f>ROUND(SUMIF(AA87:AA104,"=75604747",GN87:GN104),2)</f>
        <v>101997.26</v>
      </c>
      <c r="CC106" s="3">
        <f>ROUND(SUMIF(AA87:AA104,"=75604747",GO87:GO104),2)</f>
        <v>0</v>
      </c>
      <c r="CD106" s="3">
        <f>ROUND(SUMIF(AA87:AA104,"=75604747",GP87:GP104),2)</f>
        <v>0</v>
      </c>
      <c r="CE106" s="3">
        <f>AC106-BX106</f>
        <v>534.86</v>
      </c>
      <c r="CF106" s="3">
        <f>AC106-BY106</f>
        <v>534.86</v>
      </c>
      <c r="CG106" s="3">
        <f>BX106-BZ106</f>
        <v>0</v>
      </c>
      <c r="CH106" s="3">
        <f>AC106-BX106-BY106+BZ106</f>
        <v>534.86</v>
      </c>
      <c r="CI106" s="3">
        <f>BY106-BZ106</f>
        <v>0</v>
      </c>
      <c r="CJ106" s="3">
        <f>ROUND(SUMIF(AA87:AA104,"=75604747",GX87:GX104),2)</f>
        <v>0</v>
      </c>
      <c r="CK106" s="3">
        <f>ROUND(SUMIF(AA87:AA104,"=75604747",GY87:GY104),2)</f>
        <v>0</v>
      </c>
      <c r="CL106" s="3">
        <f>ROUND(SUMIF(AA87:AA104,"=75604747",GZ87:GZ104),2)</f>
        <v>0</v>
      </c>
      <c r="CM106" s="3">
        <f>ROUND(SUMIF(AA87:AA104,"=75604747",HD87:HD104),2)</f>
        <v>2536.5300000000002</v>
      </c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  <c r="GP106" s="4"/>
      <c r="GQ106" s="4"/>
      <c r="GR106" s="4"/>
      <c r="GS106" s="4"/>
      <c r="GT106" s="4"/>
      <c r="GU106" s="4"/>
      <c r="GV106" s="4"/>
      <c r="GW106" s="4"/>
      <c r="GX106" s="4">
        <v>0</v>
      </c>
    </row>
    <row r="107" spans="1:255" ht="13.05" customHeight="1" x14ac:dyDescent="0.25"/>
    <row r="108" spans="1:255" ht="13.05" customHeight="1" x14ac:dyDescent="0.25">
      <c r="A108" s="5">
        <v>50</v>
      </c>
      <c r="B108" s="5">
        <v>1</v>
      </c>
      <c r="C108" s="5">
        <v>0</v>
      </c>
      <c r="D108" s="5">
        <v>1</v>
      </c>
      <c r="E108" s="5">
        <v>201</v>
      </c>
      <c r="F108" s="5">
        <f>ROUND(Source!O106,O108)</f>
        <v>48653.45</v>
      </c>
      <c r="G108" s="5" t="s">
        <v>104</v>
      </c>
      <c r="H108" s="5" t="s">
        <v>105</v>
      </c>
      <c r="I108" s="5"/>
      <c r="J108" s="5"/>
      <c r="K108" s="5">
        <v>201</v>
      </c>
      <c r="L108" s="5">
        <v>1</v>
      </c>
      <c r="M108" s="5">
        <v>0</v>
      </c>
      <c r="N108" s="5" t="s">
        <v>3</v>
      </c>
      <c r="O108" s="5">
        <v>2</v>
      </c>
      <c r="P108" s="5"/>
      <c r="Q108" s="5"/>
      <c r="R108" s="5"/>
      <c r="S108" s="5"/>
      <c r="T108" s="5"/>
      <c r="U108" s="5"/>
      <c r="V108" s="5"/>
      <c r="W108" s="5">
        <v>51189.979999999996</v>
      </c>
      <c r="X108" s="5">
        <v>1</v>
      </c>
      <c r="Y108" s="5">
        <v>51189.979999999996</v>
      </c>
      <c r="Z108" s="5"/>
      <c r="AA108" s="5"/>
      <c r="AB108" s="5"/>
    </row>
    <row r="109" spans="1:255" ht="13.05" customHeight="1" x14ac:dyDescent="0.25">
      <c r="A109" s="5">
        <v>50</v>
      </c>
      <c r="B109" s="5">
        <v>1</v>
      </c>
      <c r="C109" s="5">
        <v>0</v>
      </c>
      <c r="D109" s="5">
        <v>1</v>
      </c>
      <c r="E109" s="5">
        <v>202</v>
      </c>
      <c r="F109" s="5">
        <f>ROUND(Source!P106,O109)</f>
        <v>534.86</v>
      </c>
      <c r="G109" s="5" t="s">
        <v>106</v>
      </c>
      <c r="H109" s="5" t="s">
        <v>107</v>
      </c>
      <c r="I109" s="5"/>
      <c r="J109" s="5"/>
      <c r="K109" s="5">
        <v>202</v>
      </c>
      <c r="L109" s="5">
        <v>2</v>
      </c>
      <c r="M109" s="5">
        <v>1</v>
      </c>
      <c r="N109" s="5" t="s">
        <v>3</v>
      </c>
      <c r="O109" s="5">
        <v>2</v>
      </c>
      <c r="P109" s="5"/>
      <c r="Q109" s="5"/>
      <c r="R109" s="5"/>
      <c r="S109" s="5"/>
      <c r="T109" s="5"/>
      <c r="U109" s="5"/>
      <c r="V109" s="5"/>
      <c r="W109" s="5">
        <v>534.86</v>
      </c>
      <c r="X109" s="5">
        <v>1</v>
      </c>
      <c r="Y109" s="5">
        <v>534.86</v>
      </c>
      <c r="Z109" s="5"/>
      <c r="AA109" s="5"/>
      <c r="AB109" s="5"/>
    </row>
    <row r="110" spans="1:255" ht="13.05" customHeight="1" x14ac:dyDescent="0.25">
      <c r="A110" s="5">
        <v>50</v>
      </c>
      <c r="B110" s="5">
        <v>0</v>
      </c>
      <c r="C110" s="5">
        <v>0</v>
      </c>
      <c r="D110" s="5">
        <v>1</v>
      </c>
      <c r="E110" s="5">
        <v>222</v>
      </c>
      <c r="F110" s="5">
        <f>ROUND(Source!AO106,O110)</f>
        <v>0</v>
      </c>
      <c r="G110" s="5" t="s">
        <v>108</v>
      </c>
      <c r="H110" s="5" t="s">
        <v>109</v>
      </c>
      <c r="I110" s="5"/>
      <c r="J110" s="5"/>
      <c r="K110" s="5">
        <v>222</v>
      </c>
      <c r="L110" s="5">
        <v>3</v>
      </c>
      <c r="M110" s="5">
        <v>3</v>
      </c>
      <c r="N110" s="5" t="s">
        <v>3</v>
      </c>
      <c r="O110" s="5">
        <v>2</v>
      </c>
      <c r="P110" s="5"/>
      <c r="Q110" s="5"/>
      <c r="R110" s="5"/>
      <c r="S110" s="5"/>
      <c r="T110" s="5"/>
      <c r="U110" s="5"/>
      <c r="V110" s="5"/>
      <c r="W110" s="5">
        <v>0</v>
      </c>
      <c r="X110" s="5">
        <v>1</v>
      </c>
      <c r="Y110" s="5">
        <v>0</v>
      </c>
      <c r="Z110" s="5"/>
      <c r="AA110" s="5"/>
      <c r="AB110" s="5"/>
    </row>
    <row r="111" spans="1:255" ht="13.05" customHeight="1" x14ac:dyDescent="0.25">
      <c r="A111" s="5">
        <v>50</v>
      </c>
      <c r="B111" s="5">
        <v>0</v>
      </c>
      <c r="C111" s="5">
        <v>0</v>
      </c>
      <c r="D111" s="5">
        <v>1</v>
      </c>
      <c r="E111" s="5">
        <v>225</v>
      </c>
      <c r="F111" s="5">
        <f>ROUND(Source!AV106,O111)</f>
        <v>534.86</v>
      </c>
      <c r="G111" s="5" t="s">
        <v>110</v>
      </c>
      <c r="H111" s="5" t="s">
        <v>111</v>
      </c>
      <c r="I111" s="5"/>
      <c r="J111" s="5"/>
      <c r="K111" s="5">
        <v>225</v>
      </c>
      <c r="L111" s="5">
        <v>4</v>
      </c>
      <c r="M111" s="5">
        <v>3</v>
      </c>
      <c r="N111" s="5" t="s">
        <v>3</v>
      </c>
      <c r="O111" s="5">
        <v>2</v>
      </c>
      <c r="P111" s="5"/>
      <c r="Q111" s="5"/>
      <c r="R111" s="5"/>
      <c r="S111" s="5"/>
      <c r="T111" s="5"/>
      <c r="U111" s="5"/>
      <c r="V111" s="5"/>
      <c r="W111" s="5">
        <v>534.86</v>
      </c>
      <c r="X111" s="5">
        <v>1</v>
      </c>
      <c r="Y111" s="5">
        <v>534.86</v>
      </c>
      <c r="Z111" s="5"/>
      <c r="AA111" s="5"/>
      <c r="AB111" s="5"/>
    </row>
    <row r="112" spans="1:255" ht="13.05" customHeight="1" x14ac:dyDescent="0.25">
      <c r="A112" s="5">
        <v>50</v>
      </c>
      <c r="B112" s="5">
        <v>1</v>
      </c>
      <c r="C112" s="5">
        <v>0</v>
      </c>
      <c r="D112" s="5">
        <v>1</v>
      </c>
      <c r="E112" s="5">
        <v>226</v>
      </c>
      <c r="F112" s="5">
        <f>ROUND(Source!AW106,O112)</f>
        <v>534.86</v>
      </c>
      <c r="G112" s="5" t="s">
        <v>112</v>
      </c>
      <c r="H112" s="5" t="s">
        <v>113</v>
      </c>
      <c r="I112" s="5"/>
      <c r="J112" s="5"/>
      <c r="K112" s="5">
        <v>226</v>
      </c>
      <c r="L112" s="5">
        <v>5</v>
      </c>
      <c r="M112" s="5">
        <v>1</v>
      </c>
      <c r="N112" s="5" t="s">
        <v>3</v>
      </c>
      <c r="O112" s="5">
        <v>2</v>
      </c>
      <c r="P112" s="5"/>
      <c r="Q112" s="5"/>
      <c r="R112" s="5"/>
      <c r="S112" s="5"/>
      <c r="T112" s="5"/>
      <c r="U112" s="5"/>
      <c r="V112" s="5"/>
      <c r="W112" s="5">
        <v>534.86</v>
      </c>
      <c r="X112" s="5">
        <v>1</v>
      </c>
      <c r="Y112" s="5">
        <v>534.86</v>
      </c>
      <c r="Z112" s="5"/>
      <c r="AA112" s="5"/>
      <c r="AB112" s="5"/>
    </row>
    <row r="113" spans="1:28" ht="13.05" customHeight="1" x14ac:dyDescent="0.25">
      <c r="A113" s="5">
        <v>50</v>
      </c>
      <c r="B113" s="5">
        <v>0</v>
      </c>
      <c r="C113" s="5">
        <v>0</v>
      </c>
      <c r="D113" s="5">
        <v>1</v>
      </c>
      <c r="E113" s="5">
        <v>227</v>
      </c>
      <c r="F113" s="5">
        <f>ROUND(Source!AX106,O113)</f>
        <v>0</v>
      </c>
      <c r="G113" s="5" t="s">
        <v>114</v>
      </c>
      <c r="H113" s="5" t="s">
        <v>115</v>
      </c>
      <c r="I113" s="5"/>
      <c r="J113" s="5"/>
      <c r="K113" s="5">
        <v>227</v>
      </c>
      <c r="L113" s="5">
        <v>6</v>
      </c>
      <c r="M113" s="5">
        <v>1</v>
      </c>
      <c r="N113" s="5" t="s">
        <v>3</v>
      </c>
      <c r="O113" s="5">
        <v>2</v>
      </c>
      <c r="P113" s="5"/>
      <c r="Q113" s="5"/>
      <c r="R113" s="5"/>
      <c r="S113" s="5"/>
      <c r="T113" s="5"/>
      <c r="U113" s="5"/>
      <c r="V113" s="5"/>
      <c r="W113" s="5">
        <v>0</v>
      </c>
      <c r="X113" s="5">
        <v>1</v>
      </c>
      <c r="Y113" s="5">
        <v>0</v>
      </c>
      <c r="Z113" s="5"/>
      <c r="AA113" s="5"/>
      <c r="AB113" s="5"/>
    </row>
    <row r="114" spans="1:28" ht="13.05" customHeight="1" x14ac:dyDescent="0.25">
      <c r="A114" s="5">
        <v>50</v>
      </c>
      <c r="B114" s="5">
        <v>0</v>
      </c>
      <c r="C114" s="5">
        <v>0</v>
      </c>
      <c r="D114" s="5">
        <v>1</v>
      </c>
      <c r="E114" s="5">
        <v>228</v>
      </c>
      <c r="F114" s="5">
        <f>ROUND(Source!AY106,O114)</f>
        <v>534.86</v>
      </c>
      <c r="G114" s="5" t="s">
        <v>116</v>
      </c>
      <c r="H114" s="5" t="s">
        <v>117</v>
      </c>
      <c r="I114" s="5"/>
      <c r="J114" s="5"/>
      <c r="K114" s="5">
        <v>228</v>
      </c>
      <c r="L114" s="5">
        <v>7</v>
      </c>
      <c r="M114" s="5">
        <v>3</v>
      </c>
      <c r="N114" s="5" t="s">
        <v>3</v>
      </c>
      <c r="O114" s="5">
        <v>2</v>
      </c>
      <c r="P114" s="5"/>
      <c r="Q114" s="5"/>
      <c r="R114" s="5"/>
      <c r="S114" s="5"/>
      <c r="T114" s="5"/>
      <c r="U114" s="5"/>
      <c r="V114" s="5"/>
      <c r="W114" s="5">
        <v>534.86</v>
      </c>
      <c r="X114" s="5">
        <v>1</v>
      </c>
      <c r="Y114" s="5">
        <v>534.86</v>
      </c>
      <c r="Z114" s="5"/>
      <c r="AA114" s="5"/>
      <c r="AB114" s="5"/>
    </row>
    <row r="115" spans="1:28" ht="13.05" customHeight="1" x14ac:dyDescent="0.25">
      <c r="A115" s="5">
        <v>50</v>
      </c>
      <c r="B115" s="5">
        <v>0</v>
      </c>
      <c r="C115" s="5">
        <v>0</v>
      </c>
      <c r="D115" s="5">
        <v>1</v>
      </c>
      <c r="E115" s="5">
        <v>216</v>
      </c>
      <c r="F115" s="5">
        <f>ROUND(Source!AP106,O115)</f>
        <v>0</v>
      </c>
      <c r="G115" s="5" t="s">
        <v>118</v>
      </c>
      <c r="H115" s="5" t="s">
        <v>119</v>
      </c>
      <c r="I115" s="5"/>
      <c r="J115" s="5"/>
      <c r="K115" s="5">
        <v>216</v>
      </c>
      <c r="L115" s="5">
        <v>8</v>
      </c>
      <c r="M115" s="5">
        <v>1</v>
      </c>
      <c r="N115" s="5" t="s">
        <v>3</v>
      </c>
      <c r="O115" s="5">
        <v>2</v>
      </c>
      <c r="P115" s="5"/>
      <c r="Q115" s="5"/>
      <c r="R115" s="5"/>
      <c r="S115" s="5"/>
      <c r="T115" s="5"/>
      <c r="U115" s="5"/>
      <c r="V115" s="5"/>
      <c r="W115" s="5">
        <v>0</v>
      </c>
      <c r="X115" s="5">
        <v>1</v>
      </c>
      <c r="Y115" s="5">
        <v>0</v>
      </c>
      <c r="Z115" s="5"/>
      <c r="AA115" s="5"/>
      <c r="AB115" s="5"/>
    </row>
    <row r="116" spans="1:28" ht="13.05" customHeight="1" x14ac:dyDescent="0.25">
      <c r="A116" s="5">
        <v>50</v>
      </c>
      <c r="B116" s="5">
        <v>0</v>
      </c>
      <c r="C116" s="5">
        <v>0</v>
      </c>
      <c r="D116" s="5">
        <v>1</v>
      </c>
      <c r="E116" s="5">
        <v>223</v>
      </c>
      <c r="F116" s="5">
        <f>ROUND(Source!AQ106,O116)</f>
        <v>0</v>
      </c>
      <c r="G116" s="5" t="s">
        <v>120</v>
      </c>
      <c r="H116" s="5" t="s">
        <v>121</v>
      </c>
      <c r="I116" s="5"/>
      <c r="J116" s="5"/>
      <c r="K116" s="5">
        <v>223</v>
      </c>
      <c r="L116" s="5">
        <v>9</v>
      </c>
      <c r="M116" s="5">
        <v>1</v>
      </c>
      <c r="N116" s="5" t="s">
        <v>3</v>
      </c>
      <c r="O116" s="5">
        <v>2</v>
      </c>
      <c r="P116" s="5"/>
      <c r="Q116" s="5"/>
      <c r="R116" s="5"/>
      <c r="S116" s="5"/>
      <c r="T116" s="5"/>
      <c r="U116" s="5"/>
      <c r="V116" s="5"/>
      <c r="W116" s="5">
        <v>0</v>
      </c>
      <c r="X116" s="5">
        <v>1</v>
      </c>
      <c r="Y116" s="5">
        <v>0</v>
      </c>
      <c r="Z116" s="5"/>
      <c r="AA116" s="5"/>
      <c r="AB116" s="5"/>
    </row>
    <row r="117" spans="1:28" ht="13.05" customHeight="1" x14ac:dyDescent="0.25">
      <c r="A117" s="5">
        <v>50</v>
      </c>
      <c r="B117" s="5">
        <v>0</v>
      </c>
      <c r="C117" s="5">
        <v>0</v>
      </c>
      <c r="D117" s="5">
        <v>1</v>
      </c>
      <c r="E117" s="5">
        <v>229</v>
      </c>
      <c r="F117" s="5">
        <f>ROUND(Source!AZ106,O117)</f>
        <v>0</v>
      </c>
      <c r="G117" s="5" t="s">
        <v>122</v>
      </c>
      <c r="H117" s="5" t="s">
        <v>123</v>
      </c>
      <c r="I117" s="5"/>
      <c r="J117" s="5"/>
      <c r="K117" s="5">
        <v>229</v>
      </c>
      <c r="L117" s="5">
        <v>10</v>
      </c>
      <c r="M117" s="5">
        <v>3</v>
      </c>
      <c r="N117" s="5" t="s">
        <v>3</v>
      </c>
      <c r="O117" s="5">
        <v>2</v>
      </c>
      <c r="P117" s="5"/>
      <c r="Q117" s="5"/>
      <c r="R117" s="5"/>
      <c r="S117" s="5"/>
      <c r="T117" s="5"/>
      <c r="U117" s="5"/>
      <c r="V117" s="5"/>
      <c r="W117" s="5">
        <v>0</v>
      </c>
      <c r="X117" s="5">
        <v>1</v>
      </c>
      <c r="Y117" s="5">
        <v>0</v>
      </c>
      <c r="Z117" s="5"/>
      <c r="AA117" s="5"/>
      <c r="AB117" s="5"/>
    </row>
    <row r="118" spans="1:28" ht="13.05" customHeight="1" x14ac:dyDescent="0.25">
      <c r="A118" s="5">
        <v>50</v>
      </c>
      <c r="B118" s="5">
        <v>1</v>
      </c>
      <c r="C118" s="5">
        <v>0</v>
      </c>
      <c r="D118" s="5">
        <v>1</v>
      </c>
      <c r="E118" s="5">
        <v>203</v>
      </c>
      <c r="F118" s="5">
        <f>ROUND(Source!Q106,O118)</f>
        <v>12501.67</v>
      </c>
      <c r="G118" s="5" t="s">
        <v>124</v>
      </c>
      <c r="H118" s="5" t="s">
        <v>125</v>
      </c>
      <c r="I118" s="5"/>
      <c r="J118" s="5"/>
      <c r="K118" s="5">
        <v>203</v>
      </c>
      <c r="L118" s="5">
        <v>11</v>
      </c>
      <c r="M118" s="5">
        <v>0</v>
      </c>
      <c r="N118" s="5" t="s">
        <v>3</v>
      </c>
      <c r="O118" s="5">
        <v>2</v>
      </c>
      <c r="P118" s="5"/>
      <c r="Q118" s="5"/>
      <c r="R118" s="5"/>
      <c r="S118" s="5"/>
      <c r="T118" s="5"/>
      <c r="U118" s="5"/>
      <c r="V118" s="5"/>
      <c r="W118" s="5">
        <v>12501.67</v>
      </c>
      <c r="X118" s="5">
        <v>1</v>
      </c>
      <c r="Y118" s="5">
        <v>12501.67</v>
      </c>
      <c r="Z118" s="5"/>
      <c r="AA118" s="5"/>
      <c r="AB118" s="5"/>
    </row>
    <row r="119" spans="1:28" ht="13.05" customHeight="1" x14ac:dyDescent="0.25">
      <c r="A119" s="5">
        <v>50</v>
      </c>
      <c r="B119" s="5">
        <v>0</v>
      </c>
      <c r="C119" s="5">
        <v>0</v>
      </c>
      <c r="D119" s="5">
        <v>1</v>
      </c>
      <c r="E119" s="5">
        <v>231</v>
      </c>
      <c r="F119" s="5">
        <f>ROUND(Source!BB106,O119)</f>
        <v>0</v>
      </c>
      <c r="G119" s="5" t="s">
        <v>126</v>
      </c>
      <c r="H119" s="5" t="s">
        <v>127</v>
      </c>
      <c r="I119" s="5"/>
      <c r="J119" s="5"/>
      <c r="K119" s="5">
        <v>231</v>
      </c>
      <c r="L119" s="5">
        <v>12</v>
      </c>
      <c r="M119" s="5">
        <v>3</v>
      </c>
      <c r="N119" s="5" t="s">
        <v>3</v>
      </c>
      <c r="O119" s="5">
        <v>2</v>
      </c>
      <c r="P119" s="5"/>
      <c r="Q119" s="5"/>
      <c r="R119" s="5"/>
      <c r="S119" s="5"/>
      <c r="T119" s="5"/>
      <c r="U119" s="5"/>
      <c r="V119" s="5"/>
      <c r="W119" s="5">
        <v>0</v>
      </c>
      <c r="X119" s="5">
        <v>1</v>
      </c>
      <c r="Y119" s="5">
        <v>0</v>
      </c>
      <c r="Z119" s="5"/>
      <c r="AA119" s="5"/>
      <c r="AB119" s="5"/>
    </row>
    <row r="120" spans="1:28" ht="13.05" customHeight="1" x14ac:dyDescent="0.25">
      <c r="A120" s="5">
        <v>50</v>
      </c>
      <c r="B120" s="5">
        <v>1</v>
      </c>
      <c r="C120" s="5">
        <v>0</v>
      </c>
      <c r="D120" s="5">
        <v>1</v>
      </c>
      <c r="E120" s="5">
        <v>204</v>
      </c>
      <c r="F120" s="5">
        <f>ROUND(Source!R106,O120)</f>
        <v>3152.6</v>
      </c>
      <c r="G120" s="5" t="s">
        <v>128</v>
      </c>
      <c r="H120" s="5" t="s">
        <v>129</v>
      </c>
      <c r="I120" s="5"/>
      <c r="J120" s="5"/>
      <c r="K120" s="5">
        <v>204</v>
      </c>
      <c r="L120" s="5">
        <v>13</v>
      </c>
      <c r="M120" s="5">
        <v>0</v>
      </c>
      <c r="N120" s="5" t="s">
        <v>3</v>
      </c>
      <c r="O120" s="5">
        <v>2</v>
      </c>
      <c r="P120" s="5"/>
      <c r="Q120" s="5"/>
      <c r="R120" s="5"/>
      <c r="S120" s="5"/>
      <c r="T120" s="5"/>
      <c r="U120" s="5"/>
      <c r="V120" s="5"/>
      <c r="W120" s="5">
        <v>3152.6</v>
      </c>
      <c r="X120" s="5">
        <v>1</v>
      </c>
      <c r="Y120" s="5">
        <v>3152.6</v>
      </c>
      <c r="Z120" s="5"/>
      <c r="AA120" s="5"/>
      <c r="AB120" s="5"/>
    </row>
    <row r="121" spans="1:28" ht="13.05" customHeight="1" x14ac:dyDescent="0.25">
      <c r="A121" s="5">
        <v>50</v>
      </c>
      <c r="B121" s="5">
        <v>1</v>
      </c>
      <c r="C121" s="5">
        <v>0</v>
      </c>
      <c r="D121" s="5">
        <v>1</v>
      </c>
      <c r="E121" s="5">
        <v>205</v>
      </c>
      <c r="F121" s="5">
        <f>ROUND(Source!S106,O121)</f>
        <v>32464.32</v>
      </c>
      <c r="G121" s="5" t="s">
        <v>130</v>
      </c>
      <c r="H121" s="5" t="s">
        <v>131</v>
      </c>
      <c r="I121" s="5"/>
      <c r="J121" s="5"/>
      <c r="K121" s="5">
        <v>205</v>
      </c>
      <c r="L121" s="5">
        <v>14</v>
      </c>
      <c r="M121" s="5">
        <v>0</v>
      </c>
      <c r="N121" s="5" t="s">
        <v>3</v>
      </c>
      <c r="O121" s="5">
        <v>2</v>
      </c>
      <c r="P121" s="5"/>
      <c r="Q121" s="5"/>
      <c r="R121" s="5"/>
      <c r="S121" s="5"/>
      <c r="T121" s="5"/>
      <c r="U121" s="5"/>
      <c r="V121" s="5"/>
      <c r="W121" s="5">
        <v>32464.319999999996</v>
      </c>
      <c r="X121" s="5">
        <v>1</v>
      </c>
      <c r="Y121" s="5">
        <v>32464.319999999996</v>
      </c>
      <c r="Z121" s="5"/>
      <c r="AA121" s="5"/>
      <c r="AB121" s="5"/>
    </row>
    <row r="122" spans="1:28" ht="13.05" customHeight="1" x14ac:dyDescent="0.25">
      <c r="A122" s="5">
        <v>50</v>
      </c>
      <c r="B122" s="5">
        <v>0</v>
      </c>
      <c r="C122" s="5">
        <v>0</v>
      </c>
      <c r="D122" s="5">
        <v>1</v>
      </c>
      <c r="E122" s="5">
        <v>232</v>
      </c>
      <c r="F122" s="5">
        <f>ROUND(Source!BC106,O122)</f>
        <v>0</v>
      </c>
      <c r="G122" s="5" t="s">
        <v>132</v>
      </c>
      <c r="H122" s="5" t="s">
        <v>133</v>
      </c>
      <c r="I122" s="5"/>
      <c r="J122" s="5"/>
      <c r="K122" s="5">
        <v>232</v>
      </c>
      <c r="L122" s="5">
        <v>15</v>
      </c>
      <c r="M122" s="5">
        <v>3</v>
      </c>
      <c r="N122" s="5" t="s">
        <v>3</v>
      </c>
      <c r="O122" s="5">
        <v>2</v>
      </c>
      <c r="P122" s="5"/>
      <c r="Q122" s="5"/>
      <c r="R122" s="5"/>
      <c r="S122" s="5"/>
      <c r="T122" s="5"/>
      <c r="U122" s="5"/>
      <c r="V122" s="5"/>
      <c r="W122" s="5">
        <v>0</v>
      </c>
      <c r="X122" s="5">
        <v>1</v>
      </c>
      <c r="Y122" s="5">
        <v>0</v>
      </c>
      <c r="Z122" s="5"/>
      <c r="AA122" s="5"/>
      <c r="AB122" s="5"/>
    </row>
    <row r="123" spans="1:28" ht="13.05" customHeight="1" x14ac:dyDescent="0.25">
      <c r="A123" s="5">
        <v>50</v>
      </c>
      <c r="B123" s="5">
        <v>0</v>
      </c>
      <c r="C123" s="5">
        <v>0</v>
      </c>
      <c r="D123" s="5">
        <v>1</v>
      </c>
      <c r="E123" s="5">
        <v>214</v>
      </c>
      <c r="F123" s="5">
        <f>ROUND(Source!AS106,O123)</f>
        <v>101997.26</v>
      </c>
      <c r="G123" s="5" t="s">
        <v>134</v>
      </c>
      <c r="H123" s="5" t="s">
        <v>135</v>
      </c>
      <c r="I123" s="5"/>
      <c r="J123" s="5"/>
      <c r="K123" s="5">
        <v>214</v>
      </c>
      <c r="L123" s="5">
        <v>16</v>
      </c>
      <c r="M123" s="5">
        <v>3</v>
      </c>
      <c r="N123" s="5" t="s">
        <v>3</v>
      </c>
      <c r="O123" s="5">
        <v>2</v>
      </c>
      <c r="P123" s="5"/>
      <c r="Q123" s="5"/>
      <c r="R123" s="5"/>
      <c r="S123" s="5"/>
      <c r="T123" s="5"/>
      <c r="U123" s="5"/>
      <c r="V123" s="5"/>
      <c r="W123" s="5">
        <v>101997.26</v>
      </c>
      <c r="X123" s="5">
        <v>1</v>
      </c>
      <c r="Y123" s="5">
        <v>101997.26</v>
      </c>
      <c r="Z123" s="5"/>
      <c r="AA123" s="5"/>
      <c r="AB123" s="5"/>
    </row>
    <row r="124" spans="1:28" ht="13.05" customHeight="1" x14ac:dyDescent="0.25">
      <c r="A124" s="5">
        <v>50</v>
      </c>
      <c r="B124" s="5">
        <v>0</v>
      </c>
      <c r="C124" s="5">
        <v>0</v>
      </c>
      <c r="D124" s="5">
        <v>1</v>
      </c>
      <c r="E124" s="5">
        <v>215</v>
      </c>
      <c r="F124" s="5">
        <f>ROUND(Source!AT106,O124)</f>
        <v>0</v>
      </c>
      <c r="G124" s="5" t="s">
        <v>136</v>
      </c>
      <c r="H124" s="5" t="s">
        <v>137</v>
      </c>
      <c r="I124" s="5"/>
      <c r="J124" s="5"/>
      <c r="K124" s="5">
        <v>215</v>
      </c>
      <c r="L124" s="5">
        <v>17</v>
      </c>
      <c r="M124" s="5">
        <v>3</v>
      </c>
      <c r="N124" s="5" t="s">
        <v>3</v>
      </c>
      <c r="O124" s="5">
        <v>2</v>
      </c>
      <c r="P124" s="5"/>
      <c r="Q124" s="5"/>
      <c r="R124" s="5"/>
      <c r="S124" s="5"/>
      <c r="T124" s="5"/>
      <c r="U124" s="5"/>
      <c r="V124" s="5"/>
      <c r="W124" s="5">
        <v>0</v>
      </c>
      <c r="X124" s="5">
        <v>1</v>
      </c>
      <c r="Y124" s="5">
        <v>0</v>
      </c>
      <c r="Z124" s="5"/>
      <c r="AA124" s="5"/>
      <c r="AB124" s="5"/>
    </row>
    <row r="125" spans="1:28" ht="13.05" customHeight="1" x14ac:dyDescent="0.25">
      <c r="A125" s="5">
        <v>50</v>
      </c>
      <c r="B125" s="5">
        <v>0</v>
      </c>
      <c r="C125" s="5">
        <v>0</v>
      </c>
      <c r="D125" s="5">
        <v>1</v>
      </c>
      <c r="E125" s="5">
        <v>217</v>
      </c>
      <c r="F125" s="5">
        <f>ROUND(Source!AU106,O125)</f>
        <v>0</v>
      </c>
      <c r="G125" s="5" t="s">
        <v>138</v>
      </c>
      <c r="H125" s="5" t="s">
        <v>139</v>
      </c>
      <c r="I125" s="5"/>
      <c r="J125" s="5"/>
      <c r="K125" s="5">
        <v>217</v>
      </c>
      <c r="L125" s="5">
        <v>18</v>
      </c>
      <c r="M125" s="5">
        <v>3</v>
      </c>
      <c r="N125" s="5" t="s">
        <v>3</v>
      </c>
      <c r="O125" s="5">
        <v>2</v>
      </c>
      <c r="P125" s="5"/>
      <c r="Q125" s="5"/>
      <c r="R125" s="5"/>
      <c r="S125" s="5"/>
      <c r="T125" s="5"/>
      <c r="U125" s="5"/>
      <c r="V125" s="5"/>
      <c r="W125" s="5">
        <v>0</v>
      </c>
      <c r="X125" s="5">
        <v>1</v>
      </c>
      <c r="Y125" s="5">
        <v>0</v>
      </c>
      <c r="Z125" s="5"/>
      <c r="AA125" s="5"/>
      <c r="AB125" s="5"/>
    </row>
    <row r="126" spans="1:28" ht="13.05" customHeight="1" x14ac:dyDescent="0.25">
      <c r="A126" s="5">
        <v>50</v>
      </c>
      <c r="B126" s="5">
        <v>0</v>
      </c>
      <c r="C126" s="5">
        <v>0</v>
      </c>
      <c r="D126" s="5">
        <v>1</v>
      </c>
      <c r="E126" s="5">
        <v>230</v>
      </c>
      <c r="F126" s="5">
        <f>ROUND(Source!BA106,O126)</f>
        <v>0</v>
      </c>
      <c r="G126" s="5" t="s">
        <v>140</v>
      </c>
      <c r="H126" s="5" t="s">
        <v>141</v>
      </c>
      <c r="I126" s="5"/>
      <c r="J126" s="5"/>
      <c r="K126" s="5">
        <v>230</v>
      </c>
      <c r="L126" s="5">
        <v>19</v>
      </c>
      <c r="M126" s="5">
        <v>3</v>
      </c>
      <c r="N126" s="5" t="s">
        <v>3</v>
      </c>
      <c r="O126" s="5">
        <v>2</v>
      </c>
      <c r="P126" s="5"/>
      <c r="Q126" s="5"/>
      <c r="R126" s="5"/>
      <c r="S126" s="5"/>
      <c r="T126" s="5"/>
      <c r="U126" s="5"/>
      <c r="V126" s="5"/>
      <c r="W126" s="5">
        <v>0</v>
      </c>
      <c r="X126" s="5">
        <v>1</v>
      </c>
      <c r="Y126" s="5">
        <v>0</v>
      </c>
      <c r="Z126" s="5"/>
      <c r="AA126" s="5"/>
      <c r="AB126" s="5"/>
    </row>
    <row r="127" spans="1:28" ht="13.05" customHeight="1" x14ac:dyDescent="0.25">
      <c r="A127" s="5">
        <v>50</v>
      </c>
      <c r="B127" s="5">
        <v>0</v>
      </c>
      <c r="C127" s="5">
        <v>0</v>
      </c>
      <c r="D127" s="5">
        <v>1</v>
      </c>
      <c r="E127" s="5">
        <v>206</v>
      </c>
      <c r="F127" s="5">
        <f>ROUND(Source!T106,O127)</f>
        <v>0</v>
      </c>
      <c r="G127" s="5" t="s">
        <v>142</v>
      </c>
      <c r="H127" s="5" t="s">
        <v>143</v>
      </c>
      <c r="I127" s="5"/>
      <c r="J127" s="5"/>
      <c r="K127" s="5">
        <v>206</v>
      </c>
      <c r="L127" s="5">
        <v>20</v>
      </c>
      <c r="M127" s="5">
        <v>1</v>
      </c>
      <c r="N127" s="5" t="s">
        <v>3</v>
      </c>
      <c r="O127" s="5">
        <v>2</v>
      </c>
      <c r="P127" s="5"/>
      <c r="Q127" s="5"/>
      <c r="R127" s="5"/>
      <c r="S127" s="5"/>
      <c r="T127" s="5"/>
      <c r="U127" s="5"/>
      <c r="V127" s="5"/>
      <c r="W127" s="5">
        <v>0</v>
      </c>
      <c r="X127" s="5">
        <v>1</v>
      </c>
      <c r="Y127" s="5">
        <v>0</v>
      </c>
      <c r="Z127" s="5"/>
      <c r="AA127" s="5"/>
      <c r="AB127" s="5"/>
    </row>
    <row r="128" spans="1:28" ht="13.05" customHeight="1" x14ac:dyDescent="0.25">
      <c r="A128" s="5">
        <v>50</v>
      </c>
      <c r="B128" s="5">
        <v>1</v>
      </c>
      <c r="C128" s="5">
        <v>0</v>
      </c>
      <c r="D128" s="5">
        <v>1</v>
      </c>
      <c r="E128" s="5">
        <v>207</v>
      </c>
      <c r="F128" s="5">
        <f>ROUND(Source!U106,O128)</f>
        <v>103.193732</v>
      </c>
      <c r="G128" s="5" t="s">
        <v>144</v>
      </c>
      <c r="H128" s="5" t="s">
        <v>145</v>
      </c>
      <c r="I128" s="5"/>
      <c r="J128" s="5"/>
      <c r="K128" s="5">
        <v>207</v>
      </c>
      <c r="L128" s="5">
        <v>21</v>
      </c>
      <c r="M128" s="5">
        <v>0</v>
      </c>
      <c r="N128" s="5" t="s">
        <v>3</v>
      </c>
      <c r="O128" s="5">
        <v>7</v>
      </c>
      <c r="P128" s="5"/>
      <c r="Q128" s="5"/>
      <c r="R128" s="5"/>
      <c r="S128" s="5"/>
      <c r="T128" s="5"/>
      <c r="U128" s="5"/>
      <c r="V128" s="5"/>
      <c r="W128" s="5">
        <v>103.193732</v>
      </c>
      <c r="X128" s="5">
        <v>1</v>
      </c>
      <c r="Y128" s="5">
        <v>103.193732</v>
      </c>
      <c r="Z128" s="5"/>
      <c r="AA128" s="5"/>
      <c r="AB128" s="5"/>
    </row>
    <row r="129" spans="1:255" ht="13.05" customHeight="1" x14ac:dyDescent="0.25">
      <c r="A129" s="5">
        <v>50</v>
      </c>
      <c r="B129" s="5">
        <v>1</v>
      </c>
      <c r="C129" s="5">
        <v>0</v>
      </c>
      <c r="D129" s="5">
        <v>1</v>
      </c>
      <c r="E129" s="5">
        <v>208</v>
      </c>
      <c r="F129" s="5">
        <f>ROUND(Source!V106,O129)</f>
        <v>7.3143450000000003</v>
      </c>
      <c r="G129" s="5" t="s">
        <v>146</v>
      </c>
      <c r="H129" s="5" t="s">
        <v>147</v>
      </c>
      <c r="I129" s="5"/>
      <c r="J129" s="5"/>
      <c r="K129" s="5">
        <v>208</v>
      </c>
      <c r="L129" s="5">
        <v>22</v>
      </c>
      <c r="M129" s="5">
        <v>0</v>
      </c>
      <c r="N129" s="5" t="s">
        <v>3</v>
      </c>
      <c r="O129" s="5">
        <v>7</v>
      </c>
      <c r="P129" s="5"/>
      <c r="Q129" s="5"/>
      <c r="R129" s="5"/>
      <c r="S129" s="5"/>
      <c r="T129" s="5"/>
      <c r="U129" s="5"/>
      <c r="V129" s="5"/>
      <c r="W129" s="5">
        <v>7.3143450000000003</v>
      </c>
      <c r="X129" s="5">
        <v>1</v>
      </c>
      <c r="Y129" s="5">
        <v>7.3143450000000003</v>
      </c>
      <c r="Z129" s="5"/>
      <c r="AA129" s="5"/>
      <c r="AB129" s="5"/>
    </row>
    <row r="130" spans="1:255" ht="13.05" customHeight="1" x14ac:dyDescent="0.25">
      <c r="A130" s="5">
        <v>50</v>
      </c>
      <c r="B130" s="5">
        <v>0</v>
      </c>
      <c r="C130" s="5">
        <v>0</v>
      </c>
      <c r="D130" s="5">
        <v>1</v>
      </c>
      <c r="E130" s="5">
        <v>209</v>
      </c>
      <c r="F130" s="5">
        <f>ROUND(Source!W106,O130)</f>
        <v>0</v>
      </c>
      <c r="G130" s="5" t="s">
        <v>148</v>
      </c>
      <c r="H130" s="5" t="s">
        <v>149</v>
      </c>
      <c r="I130" s="5"/>
      <c r="J130" s="5"/>
      <c r="K130" s="5">
        <v>209</v>
      </c>
      <c r="L130" s="5">
        <v>23</v>
      </c>
      <c r="M130" s="5">
        <v>3</v>
      </c>
      <c r="N130" s="5" t="s">
        <v>3</v>
      </c>
      <c r="O130" s="5">
        <v>2</v>
      </c>
      <c r="P130" s="5"/>
      <c r="Q130" s="5"/>
      <c r="R130" s="5"/>
      <c r="S130" s="5"/>
      <c r="T130" s="5"/>
      <c r="U130" s="5"/>
      <c r="V130" s="5"/>
      <c r="W130" s="5">
        <v>0</v>
      </c>
      <c r="X130" s="5">
        <v>1</v>
      </c>
      <c r="Y130" s="5">
        <v>0</v>
      </c>
      <c r="Z130" s="5"/>
      <c r="AA130" s="5"/>
      <c r="AB130" s="5"/>
    </row>
    <row r="131" spans="1:255" ht="13.05" customHeight="1" x14ac:dyDescent="0.25">
      <c r="A131" s="5">
        <v>50</v>
      </c>
      <c r="B131" s="5">
        <v>1</v>
      </c>
      <c r="C131" s="5">
        <v>0</v>
      </c>
      <c r="D131" s="5">
        <v>1</v>
      </c>
      <c r="E131" s="5">
        <v>233</v>
      </c>
      <c r="F131" s="5">
        <f>ROUND(Source!BD106,O131)</f>
        <v>2536.5300000000002</v>
      </c>
      <c r="G131" s="5" t="s">
        <v>150</v>
      </c>
      <c r="H131" s="5" t="s">
        <v>151</v>
      </c>
      <c r="I131" s="5"/>
      <c r="J131" s="5"/>
      <c r="K131" s="5">
        <v>233</v>
      </c>
      <c r="L131" s="5">
        <v>24</v>
      </c>
      <c r="M131" s="5">
        <v>1</v>
      </c>
      <c r="N131" s="5" t="s">
        <v>3</v>
      </c>
      <c r="O131" s="5">
        <v>2</v>
      </c>
      <c r="P131" s="5"/>
      <c r="Q131" s="5"/>
      <c r="R131" s="5"/>
      <c r="S131" s="5"/>
      <c r="T131" s="5"/>
      <c r="U131" s="5"/>
      <c r="V131" s="5"/>
      <c r="W131" s="5">
        <v>2536.5300000000002</v>
      </c>
      <c r="X131" s="5">
        <v>1</v>
      </c>
      <c r="Y131" s="5">
        <v>2536.5300000000002</v>
      </c>
      <c r="Z131" s="5"/>
      <c r="AA131" s="5"/>
      <c r="AB131" s="5"/>
    </row>
    <row r="132" spans="1:255" ht="13.05" customHeight="1" x14ac:dyDescent="0.25">
      <c r="A132" s="5">
        <v>50</v>
      </c>
      <c r="B132" s="5">
        <v>1</v>
      </c>
      <c r="C132" s="5">
        <v>0</v>
      </c>
      <c r="D132" s="5">
        <v>1</v>
      </c>
      <c r="E132" s="5">
        <v>210</v>
      </c>
      <c r="F132" s="5">
        <f>ROUND(Source!X106,O132)</f>
        <v>33528.589999999997</v>
      </c>
      <c r="G132" s="5" t="s">
        <v>152</v>
      </c>
      <c r="H132" s="5" t="s">
        <v>153</v>
      </c>
      <c r="I132" s="5"/>
      <c r="J132" s="5"/>
      <c r="K132" s="5">
        <v>210</v>
      </c>
      <c r="L132" s="5">
        <v>25</v>
      </c>
      <c r="M132" s="5">
        <v>0</v>
      </c>
      <c r="N132" s="5" t="s">
        <v>3</v>
      </c>
      <c r="O132" s="5">
        <v>2</v>
      </c>
      <c r="P132" s="5"/>
      <c r="Q132" s="5"/>
      <c r="R132" s="5"/>
      <c r="S132" s="5"/>
      <c r="T132" s="5"/>
      <c r="U132" s="5"/>
      <c r="V132" s="5"/>
      <c r="W132" s="5">
        <v>33528.589999999997</v>
      </c>
      <c r="X132" s="5">
        <v>1</v>
      </c>
      <c r="Y132" s="5">
        <v>33528.589999999997</v>
      </c>
      <c r="Z132" s="5"/>
      <c r="AA132" s="5"/>
      <c r="AB132" s="5"/>
    </row>
    <row r="133" spans="1:255" ht="13.05" customHeight="1" x14ac:dyDescent="0.25">
      <c r="A133" s="5">
        <v>50</v>
      </c>
      <c r="B133" s="5">
        <v>1</v>
      </c>
      <c r="C133" s="5">
        <v>0</v>
      </c>
      <c r="D133" s="5">
        <v>1</v>
      </c>
      <c r="E133" s="5">
        <v>211</v>
      </c>
      <c r="F133" s="5">
        <f>ROUND(Source!Y106,O133)</f>
        <v>17278.689999999999</v>
      </c>
      <c r="G133" s="5" t="s">
        <v>154</v>
      </c>
      <c r="H133" s="5" t="s">
        <v>155</v>
      </c>
      <c r="I133" s="5"/>
      <c r="J133" s="5"/>
      <c r="K133" s="5">
        <v>211</v>
      </c>
      <c r="L133" s="5">
        <v>26</v>
      </c>
      <c r="M133" s="5">
        <v>0</v>
      </c>
      <c r="N133" s="5" t="s">
        <v>3</v>
      </c>
      <c r="O133" s="5">
        <v>2</v>
      </c>
      <c r="P133" s="5"/>
      <c r="Q133" s="5"/>
      <c r="R133" s="5"/>
      <c r="S133" s="5"/>
      <c r="T133" s="5"/>
      <c r="U133" s="5"/>
      <c r="V133" s="5"/>
      <c r="W133" s="5">
        <v>17278.689999999999</v>
      </c>
      <c r="X133" s="5">
        <v>1</v>
      </c>
      <c r="Y133" s="5">
        <v>17278.689999999999</v>
      </c>
      <c r="Z133" s="5"/>
      <c r="AA133" s="5"/>
      <c r="AB133" s="5"/>
    </row>
    <row r="134" spans="1:255" ht="13.05" customHeight="1" x14ac:dyDescent="0.25">
      <c r="A134" s="5">
        <v>50</v>
      </c>
      <c r="B134" s="5">
        <v>1</v>
      </c>
      <c r="C134" s="5">
        <v>0</v>
      </c>
      <c r="D134" s="5">
        <v>1</v>
      </c>
      <c r="E134" s="5">
        <v>224</v>
      </c>
      <c r="F134" s="5">
        <f>ROUND(Source!AR106,O134)</f>
        <v>101997.26</v>
      </c>
      <c r="G134" s="5" t="s">
        <v>156</v>
      </c>
      <c r="H134" s="5" t="s">
        <v>157</v>
      </c>
      <c r="I134" s="5"/>
      <c r="J134" s="5"/>
      <c r="K134" s="5">
        <v>224</v>
      </c>
      <c r="L134" s="5">
        <v>27</v>
      </c>
      <c r="M134" s="5">
        <v>0</v>
      </c>
      <c r="N134" s="5" t="s">
        <v>3</v>
      </c>
      <c r="O134" s="5">
        <v>2</v>
      </c>
      <c r="P134" s="5"/>
      <c r="Q134" s="5"/>
      <c r="R134" s="5"/>
      <c r="S134" s="5"/>
      <c r="T134" s="5"/>
      <c r="U134" s="5"/>
      <c r="V134" s="5"/>
      <c r="W134" s="5">
        <v>101997.26</v>
      </c>
      <c r="X134" s="5">
        <v>1</v>
      </c>
      <c r="Y134" s="5">
        <v>101997.26</v>
      </c>
      <c r="Z134" s="5"/>
      <c r="AA134" s="5"/>
      <c r="AB134" s="5"/>
    </row>
    <row r="135" spans="1:255" ht="13.05" customHeight="1" x14ac:dyDescent="0.25">
      <c r="A135" s="5">
        <v>50</v>
      </c>
      <c r="B135" s="5">
        <v>1</v>
      </c>
      <c r="C135" s="5">
        <v>0</v>
      </c>
      <c r="D135" s="5">
        <v>2</v>
      </c>
      <c r="E135" s="5">
        <v>0</v>
      </c>
      <c r="F135" s="5">
        <f>ROUND(F134*0.22,O135)</f>
        <v>22439.4</v>
      </c>
      <c r="G135" s="5" t="s">
        <v>158</v>
      </c>
      <c r="H135" s="5" t="s">
        <v>158</v>
      </c>
      <c r="I135" s="5"/>
      <c r="J135" s="5"/>
      <c r="K135" s="5">
        <v>212</v>
      </c>
      <c r="L135" s="5">
        <v>28</v>
      </c>
      <c r="M135" s="5">
        <v>0</v>
      </c>
      <c r="N135" s="5" t="s">
        <v>3</v>
      </c>
      <c r="O135" s="5">
        <v>2</v>
      </c>
      <c r="P135" s="5"/>
      <c r="Q135" s="5"/>
      <c r="R135" s="5"/>
      <c r="S135" s="5"/>
      <c r="T135" s="5"/>
      <c r="U135" s="5"/>
      <c r="V135" s="5"/>
      <c r="W135" s="5">
        <v>22439.4</v>
      </c>
      <c r="X135" s="5">
        <v>1</v>
      </c>
      <c r="Y135" s="5">
        <v>22439.4</v>
      </c>
      <c r="Z135" s="5"/>
      <c r="AA135" s="5"/>
      <c r="AB135" s="5"/>
    </row>
    <row r="136" spans="1:255" ht="13.05" customHeight="1" x14ac:dyDescent="0.25">
      <c r="A136" s="5">
        <v>50</v>
      </c>
      <c r="B136" s="5">
        <v>1</v>
      </c>
      <c r="C136" s="5">
        <v>0</v>
      </c>
      <c r="D136" s="5">
        <v>2</v>
      </c>
      <c r="E136" s="5">
        <v>0</v>
      </c>
      <c r="F136" s="5">
        <f>ROUND(F134*1.22,O136)</f>
        <v>124436.66</v>
      </c>
      <c r="G136" s="5" t="s">
        <v>159</v>
      </c>
      <c r="H136" s="5" t="s">
        <v>159</v>
      </c>
      <c r="I136" s="5"/>
      <c r="J136" s="5"/>
      <c r="K136" s="5">
        <v>212</v>
      </c>
      <c r="L136" s="5">
        <v>29</v>
      </c>
      <c r="M136" s="5">
        <v>0</v>
      </c>
      <c r="N136" s="5" t="s">
        <v>3</v>
      </c>
      <c r="O136" s="5">
        <v>2</v>
      </c>
      <c r="P136" s="5"/>
      <c r="Q136" s="5"/>
      <c r="R136" s="5"/>
      <c r="S136" s="5"/>
      <c r="T136" s="5"/>
      <c r="U136" s="5"/>
      <c r="V136" s="5"/>
      <c r="W136" s="5">
        <v>124436.66</v>
      </c>
      <c r="X136" s="5">
        <v>1</v>
      </c>
      <c r="Y136" s="5">
        <v>124436.66</v>
      </c>
      <c r="Z136" s="5"/>
      <c r="AA136" s="5"/>
      <c r="AB136" s="5"/>
    </row>
    <row r="137" spans="1:255" ht="13.05" customHeight="1" x14ac:dyDescent="0.25"/>
    <row r="138" spans="1:255" ht="13.05" customHeight="1" x14ac:dyDescent="0.25">
      <c r="A138" s="1">
        <v>4</v>
      </c>
      <c r="B138" s="1">
        <v>1</v>
      </c>
      <c r="C138" s="1"/>
      <c r="D138" s="1">
        <f>ROW(A188)</f>
        <v>188</v>
      </c>
      <c r="E138" s="1"/>
      <c r="F138" s="1" t="s">
        <v>19</v>
      </c>
      <c r="G138" s="1" t="s">
        <v>228</v>
      </c>
      <c r="H138" s="1" t="s">
        <v>3</v>
      </c>
      <c r="I138" s="1">
        <v>0</v>
      </c>
      <c r="J138" s="1"/>
      <c r="K138" s="1">
        <v>0</v>
      </c>
      <c r="L138" s="1"/>
      <c r="M138" s="1" t="s">
        <v>3</v>
      </c>
      <c r="N138" s="1"/>
      <c r="O138" s="1"/>
      <c r="P138" s="1"/>
      <c r="Q138" s="1"/>
      <c r="R138" s="1"/>
      <c r="S138" s="1">
        <v>0</v>
      </c>
      <c r="T138" s="1"/>
      <c r="U138" s="1" t="s">
        <v>3</v>
      </c>
      <c r="V138" s="1">
        <v>0</v>
      </c>
      <c r="W138" s="1"/>
      <c r="X138" s="1"/>
      <c r="Y138" s="1"/>
      <c r="Z138" s="1"/>
      <c r="AA138" s="1"/>
      <c r="AB138" s="1" t="s">
        <v>3</v>
      </c>
      <c r="AC138" s="1" t="s">
        <v>3</v>
      </c>
      <c r="AD138" s="1" t="s">
        <v>3</v>
      </c>
      <c r="AE138" s="1" t="s">
        <v>3</v>
      </c>
      <c r="AF138" s="1" t="s">
        <v>3</v>
      </c>
      <c r="AG138" s="1" t="s">
        <v>3</v>
      </c>
      <c r="AH138" s="1"/>
      <c r="AI138" s="1"/>
      <c r="AJ138" s="1"/>
      <c r="AK138" s="1"/>
      <c r="AL138" s="1"/>
      <c r="AM138" s="1"/>
      <c r="AN138" s="1"/>
      <c r="AO138" s="1"/>
      <c r="AP138" s="1" t="s">
        <v>3</v>
      </c>
      <c r="AQ138" s="1" t="s">
        <v>3</v>
      </c>
      <c r="AR138" s="1" t="s">
        <v>3</v>
      </c>
      <c r="AS138" s="1"/>
      <c r="AT138" s="1"/>
      <c r="AU138" s="1"/>
      <c r="AV138" s="1"/>
      <c r="AW138" s="1"/>
      <c r="AX138" s="1"/>
      <c r="AY138" s="1"/>
      <c r="AZ138" s="1" t="s">
        <v>3</v>
      </c>
      <c r="BA138" s="1"/>
      <c r="BB138" s="1" t="s">
        <v>3</v>
      </c>
      <c r="BC138" s="1" t="s">
        <v>3</v>
      </c>
      <c r="BD138" s="1" t="s">
        <v>3</v>
      </c>
      <c r="BE138" s="1" t="s">
        <v>3</v>
      </c>
      <c r="BF138" s="1" t="s">
        <v>3</v>
      </c>
      <c r="BG138" s="1" t="s">
        <v>3</v>
      </c>
      <c r="BH138" s="1" t="s">
        <v>3</v>
      </c>
      <c r="BI138" s="1" t="s">
        <v>3</v>
      </c>
      <c r="BJ138" s="1" t="s">
        <v>3</v>
      </c>
      <c r="BK138" s="1" t="s">
        <v>3</v>
      </c>
      <c r="BL138" s="1" t="s">
        <v>3</v>
      </c>
      <c r="BM138" s="1" t="s">
        <v>3</v>
      </c>
      <c r="BN138" s="1" t="s">
        <v>3</v>
      </c>
      <c r="BO138" s="1" t="s">
        <v>3</v>
      </c>
      <c r="BP138" s="1" t="s">
        <v>3</v>
      </c>
      <c r="BQ138" s="1"/>
      <c r="BR138" s="1"/>
      <c r="BS138" s="1"/>
      <c r="BT138" s="1"/>
      <c r="BU138" s="1"/>
      <c r="BV138" s="1"/>
      <c r="BW138" s="1"/>
      <c r="BX138" s="1">
        <v>0</v>
      </c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>
        <v>0</v>
      </c>
    </row>
    <row r="139" spans="1:255" ht="13.05" customHeight="1" x14ac:dyDescent="0.25"/>
    <row r="140" spans="1:255" ht="13.05" customHeight="1" x14ac:dyDescent="0.25">
      <c r="A140" s="3">
        <v>52</v>
      </c>
      <c r="B140" s="3">
        <f t="shared" ref="B140:G140" si="40">B188</f>
        <v>1</v>
      </c>
      <c r="C140" s="3">
        <f t="shared" si="40"/>
        <v>4</v>
      </c>
      <c r="D140" s="3">
        <f t="shared" si="40"/>
        <v>138</v>
      </c>
      <c r="E140" s="3">
        <f t="shared" si="40"/>
        <v>0</v>
      </c>
      <c r="F140" s="3" t="str">
        <f t="shared" si="40"/>
        <v>Новый раздел</v>
      </c>
      <c r="G140" s="3" t="str">
        <f t="shared" si="40"/>
        <v>Раздел 3. Монтажные работы</v>
      </c>
      <c r="H140" s="3"/>
      <c r="I140" s="3"/>
      <c r="J140" s="3"/>
      <c r="K140" s="3"/>
      <c r="L140" s="3"/>
      <c r="M140" s="3"/>
      <c r="N140" s="3"/>
      <c r="O140" s="3">
        <f t="shared" ref="O140:AT140" si="41">O188</f>
        <v>131626.81</v>
      </c>
      <c r="P140" s="3">
        <f t="shared" si="41"/>
        <v>59285.27</v>
      </c>
      <c r="Q140" s="3">
        <f t="shared" si="41"/>
        <v>6705.25</v>
      </c>
      <c r="R140" s="3">
        <f t="shared" si="41"/>
        <v>2215.23</v>
      </c>
      <c r="S140" s="3">
        <f t="shared" si="41"/>
        <v>63421.06</v>
      </c>
      <c r="T140" s="3">
        <f t="shared" si="41"/>
        <v>0</v>
      </c>
      <c r="U140" s="3">
        <f t="shared" si="41"/>
        <v>170.92850200000001</v>
      </c>
      <c r="V140" s="3">
        <f t="shared" si="41"/>
        <v>5.7175108000000003</v>
      </c>
      <c r="W140" s="3">
        <f t="shared" si="41"/>
        <v>0</v>
      </c>
      <c r="X140" s="3">
        <f t="shared" si="41"/>
        <v>69614.77</v>
      </c>
      <c r="Y140" s="3">
        <f t="shared" si="41"/>
        <v>41506.449999999997</v>
      </c>
      <c r="Z140" s="3">
        <f t="shared" si="41"/>
        <v>0</v>
      </c>
      <c r="AA140" s="3">
        <f t="shared" si="41"/>
        <v>0</v>
      </c>
      <c r="AB140" s="3">
        <f t="shared" si="41"/>
        <v>131626.81</v>
      </c>
      <c r="AC140" s="3">
        <f t="shared" si="41"/>
        <v>59285.27</v>
      </c>
      <c r="AD140" s="3">
        <f t="shared" si="41"/>
        <v>6705.25</v>
      </c>
      <c r="AE140" s="3">
        <f t="shared" si="41"/>
        <v>2215.23</v>
      </c>
      <c r="AF140" s="3">
        <f t="shared" si="41"/>
        <v>63421.06</v>
      </c>
      <c r="AG140" s="3">
        <f t="shared" si="41"/>
        <v>0</v>
      </c>
      <c r="AH140" s="3">
        <f t="shared" si="41"/>
        <v>170.92850200000001</v>
      </c>
      <c r="AI140" s="3">
        <f t="shared" si="41"/>
        <v>5.7175108000000003</v>
      </c>
      <c r="AJ140" s="3">
        <f t="shared" si="41"/>
        <v>0</v>
      </c>
      <c r="AK140" s="3">
        <f t="shared" si="41"/>
        <v>69614.77</v>
      </c>
      <c r="AL140" s="3">
        <f t="shared" si="41"/>
        <v>41506.449999999997</v>
      </c>
      <c r="AM140" s="3">
        <f t="shared" si="41"/>
        <v>0</v>
      </c>
      <c r="AN140" s="3">
        <f t="shared" si="41"/>
        <v>0</v>
      </c>
      <c r="AO140" s="3">
        <f t="shared" si="41"/>
        <v>0</v>
      </c>
      <c r="AP140" s="3">
        <f t="shared" si="41"/>
        <v>0</v>
      </c>
      <c r="AQ140" s="3">
        <f t="shared" si="41"/>
        <v>0</v>
      </c>
      <c r="AR140" s="3">
        <f t="shared" si="41"/>
        <v>242748.03</v>
      </c>
      <c r="AS140" s="3">
        <f t="shared" si="41"/>
        <v>205061.34</v>
      </c>
      <c r="AT140" s="3">
        <f t="shared" si="41"/>
        <v>37686.69</v>
      </c>
      <c r="AU140" s="3">
        <f t="shared" ref="AU140:BZ140" si="42">AU188</f>
        <v>0</v>
      </c>
      <c r="AV140" s="3">
        <f t="shared" si="42"/>
        <v>59285.27</v>
      </c>
      <c r="AW140" s="3">
        <f t="shared" si="42"/>
        <v>59285.27</v>
      </c>
      <c r="AX140" s="3">
        <f t="shared" si="42"/>
        <v>0</v>
      </c>
      <c r="AY140" s="3">
        <f t="shared" si="42"/>
        <v>59285.27</v>
      </c>
      <c r="AZ140" s="3">
        <f t="shared" si="42"/>
        <v>0</v>
      </c>
      <c r="BA140" s="3">
        <f t="shared" si="42"/>
        <v>0</v>
      </c>
      <c r="BB140" s="3">
        <f t="shared" si="42"/>
        <v>0</v>
      </c>
      <c r="BC140" s="3">
        <f t="shared" si="42"/>
        <v>0</v>
      </c>
      <c r="BD140" s="3">
        <f t="shared" si="42"/>
        <v>0</v>
      </c>
      <c r="BE140" s="3">
        <f t="shared" si="42"/>
        <v>0</v>
      </c>
      <c r="BF140" s="3">
        <f t="shared" si="42"/>
        <v>0</v>
      </c>
      <c r="BG140" s="3">
        <f t="shared" si="42"/>
        <v>0</v>
      </c>
      <c r="BH140" s="3">
        <f t="shared" si="42"/>
        <v>0</v>
      </c>
      <c r="BI140" s="3">
        <f t="shared" si="42"/>
        <v>0</v>
      </c>
      <c r="BJ140" s="3">
        <f t="shared" si="42"/>
        <v>0</v>
      </c>
      <c r="BK140" s="3">
        <f t="shared" si="42"/>
        <v>0</v>
      </c>
      <c r="BL140" s="3">
        <f t="shared" si="42"/>
        <v>0</v>
      </c>
      <c r="BM140" s="3">
        <f t="shared" si="42"/>
        <v>0</v>
      </c>
      <c r="BN140" s="3">
        <f t="shared" si="42"/>
        <v>0</v>
      </c>
      <c r="BO140" s="3">
        <f t="shared" si="42"/>
        <v>0</v>
      </c>
      <c r="BP140" s="3">
        <f t="shared" si="42"/>
        <v>0</v>
      </c>
      <c r="BQ140" s="3">
        <f t="shared" si="42"/>
        <v>0</v>
      </c>
      <c r="BR140" s="3">
        <f t="shared" si="42"/>
        <v>0</v>
      </c>
      <c r="BS140" s="3">
        <f t="shared" si="42"/>
        <v>0</v>
      </c>
      <c r="BT140" s="3">
        <f t="shared" si="42"/>
        <v>0</v>
      </c>
      <c r="BU140" s="3">
        <f t="shared" si="42"/>
        <v>0</v>
      </c>
      <c r="BV140" s="3">
        <f t="shared" si="42"/>
        <v>0</v>
      </c>
      <c r="BW140" s="3">
        <f t="shared" si="42"/>
        <v>0</v>
      </c>
      <c r="BX140" s="3">
        <f t="shared" si="42"/>
        <v>0</v>
      </c>
      <c r="BY140" s="3">
        <f t="shared" si="42"/>
        <v>0</v>
      </c>
      <c r="BZ140" s="3">
        <f t="shared" si="42"/>
        <v>0</v>
      </c>
      <c r="CA140" s="3">
        <f t="shared" ref="CA140:DF140" si="43">CA188</f>
        <v>242748.03</v>
      </c>
      <c r="CB140" s="3">
        <f t="shared" si="43"/>
        <v>205061.34</v>
      </c>
      <c r="CC140" s="3">
        <f t="shared" si="43"/>
        <v>37686.69</v>
      </c>
      <c r="CD140" s="3">
        <f t="shared" si="43"/>
        <v>0</v>
      </c>
      <c r="CE140" s="3">
        <f t="shared" si="43"/>
        <v>59285.27</v>
      </c>
      <c r="CF140" s="3">
        <f t="shared" si="43"/>
        <v>59285.27</v>
      </c>
      <c r="CG140" s="3">
        <f t="shared" si="43"/>
        <v>0</v>
      </c>
      <c r="CH140" s="3">
        <f t="shared" si="43"/>
        <v>59285.27</v>
      </c>
      <c r="CI140" s="3">
        <f t="shared" si="43"/>
        <v>0</v>
      </c>
      <c r="CJ140" s="3">
        <f t="shared" si="43"/>
        <v>0</v>
      </c>
      <c r="CK140" s="3">
        <f t="shared" si="43"/>
        <v>0</v>
      </c>
      <c r="CL140" s="3">
        <f t="shared" si="43"/>
        <v>0</v>
      </c>
      <c r="CM140" s="3">
        <f t="shared" si="43"/>
        <v>0</v>
      </c>
      <c r="CN140" s="3">
        <f t="shared" si="43"/>
        <v>0</v>
      </c>
      <c r="CO140" s="3">
        <f t="shared" si="43"/>
        <v>0</v>
      </c>
      <c r="CP140" s="3">
        <f t="shared" si="43"/>
        <v>0</v>
      </c>
      <c r="CQ140" s="3">
        <f t="shared" si="43"/>
        <v>0</v>
      </c>
      <c r="CR140" s="3">
        <f t="shared" si="43"/>
        <v>0</v>
      </c>
      <c r="CS140" s="3">
        <f t="shared" si="43"/>
        <v>0</v>
      </c>
      <c r="CT140" s="3">
        <f t="shared" si="43"/>
        <v>0</v>
      </c>
      <c r="CU140" s="3">
        <f t="shared" si="43"/>
        <v>0</v>
      </c>
      <c r="CV140" s="3">
        <f t="shared" si="43"/>
        <v>0</v>
      </c>
      <c r="CW140" s="3">
        <f t="shared" si="43"/>
        <v>0</v>
      </c>
      <c r="CX140" s="3">
        <f t="shared" si="43"/>
        <v>0</v>
      </c>
      <c r="CY140" s="3">
        <f t="shared" si="43"/>
        <v>0</v>
      </c>
      <c r="CZ140" s="3">
        <f t="shared" si="43"/>
        <v>0</v>
      </c>
      <c r="DA140" s="3">
        <f t="shared" si="43"/>
        <v>0</v>
      </c>
      <c r="DB140" s="3">
        <f t="shared" si="43"/>
        <v>0</v>
      </c>
      <c r="DC140" s="3">
        <f t="shared" si="43"/>
        <v>0</v>
      </c>
      <c r="DD140" s="3">
        <f t="shared" si="43"/>
        <v>0</v>
      </c>
      <c r="DE140" s="3">
        <f t="shared" si="43"/>
        <v>0</v>
      </c>
      <c r="DF140" s="3">
        <f t="shared" si="43"/>
        <v>0</v>
      </c>
      <c r="DG140" s="4">
        <f t="shared" ref="DG140:EL140" si="44">DG188</f>
        <v>0</v>
      </c>
      <c r="DH140" s="4">
        <f t="shared" si="44"/>
        <v>0</v>
      </c>
      <c r="DI140" s="4">
        <f t="shared" si="44"/>
        <v>0</v>
      </c>
      <c r="DJ140" s="4">
        <f t="shared" si="44"/>
        <v>0</v>
      </c>
      <c r="DK140" s="4">
        <f t="shared" si="44"/>
        <v>0</v>
      </c>
      <c r="DL140" s="4">
        <f t="shared" si="44"/>
        <v>0</v>
      </c>
      <c r="DM140" s="4">
        <f t="shared" si="44"/>
        <v>0</v>
      </c>
      <c r="DN140" s="4">
        <f t="shared" si="44"/>
        <v>0</v>
      </c>
      <c r="DO140" s="4">
        <f t="shared" si="44"/>
        <v>0</v>
      </c>
      <c r="DP140" s="4">
        <f t="shared" si="44"/>
        <v>0</v>
      </c>
      <c r="DQ140" s="4">
        <f t="shared" si="44"/>
        <v>0</v>
      </c>
      <c r="DR140" s="4">
        <f t="shared" si="44"/>
        <v>0</v>
      </c>
      <c r="DS140" s="4">
        <f t="shared" si="44"/>
        <v>0</v>
      </c>
      <c r="DT140" s="4">
        <f t="shared" si="44"/>
        <v>0</v>
      </c>
      <c r="DU140" s="4">
        <f t="shared" si="44"/>
        <v>0</v>
      </c>
      <c r="DV140" s="4">
        <f t="shared" si="44"/>
        <v>0</v>
      </c>
      <c r="DW140" s="4">
        <f t="shared" si="44"/>
        <v>0</v>
      </c>
      <c r="DX140" s="4">
        <f t="shared" si="44"/>
        <v>0</v>
      </c>
      <c r="DY140" s="4">
        <f t="shared" si="44"/>
        <v>0</v>
      </c>
      <c r="DZ140" s="4">
        <f t="shared" si="44"/>
        <v>0</v>
      </c>
      <c r="EA140" s="4">
        <f t="shared" si="44"/>
        <v>0</v>
      </c>
      <c r="EB140" s="4">
        <f t="shared" si="44"/>
        <v>0</v>
      </c>
      <c r="EC140" s="4">
        <f t="shared" si="44"/>
        <v>0</v>
      </c>
      <c r="ED140" s="4">
        <f t="shared" si="44"/>
        <v>0</v>
      </c>
      <c r="EE140" s="4">
        <f t="shared" si="44"/>
        <v>0</v>
      </c>
      <c r="EF140" s="4">
        <f t="shared" si="44"/>
        <v>0</v>
      </c>
      <c r="EG140" s="4">
        <f t="shared" si="44"/>
        <v>0</v>
      </c>
      <c r="EH140" s="4">
        <f t="shared" si="44"/>
        <v>0</v>
      </c>
      <c r="EI140" s="4">
        <f t="shared" si="44"/>
        <v>0</v>
      </c>
      <c r="EJ140" s="4">
        <f t="shared" si="44"/>
        <v>0</v>
      </c>
      <c r="EK140" s="4">
        <f t="shared" si="44"/>
        <v>0</v>
      </c>
      <c r="EL140" s="4">
        <f t="shared" si="44"/>
        <v>0</v>
      </c>
      <c r="EM140" s="4">
        <f t="shared" ref="EM140:FR140" si="45">EM188</f>
        <v>0</v>
      </c>
      <c r="EN140" s="4">
        <f t="shared" si="45"/>
        <v>0</v>
      </c>
      <c r="EO140" s="4">
        <f t="shared" si="45"/>
        <v>0</v>
      </c>
      <c r="EP140" s="4">
        <f t="shared" si="45"/>
        <v>0</v>
      </c>
      <c r="EQ140" s="4">
        <f t="shared" si="45"/>
        <v>0</v>
      </c>
      <c r="ER140" s="4">
        <f t="shared" si="45"/>
        <v>0</v>
      </c>
      <c r="ES140" s="4">
        <f t="shared" si="45"/>
        <v>0</v>
      </c>
      <c r="ET140" s="4">
        <f t="shared" si="45"/>
        <v>0</v>
      </c>
      <c r="EU140" s="4">
        <f t="shared" si="45"/>
        <v>0</v>
      </c>
      <c r="EV140" s="4">
        <f t="shared" si="45"/>
        <v>0</v>
      </c>
      <c r="EW140" s="4">
        <f t="shared" si="45"/>
        <v>0</v>
      </c>
      <c r="EX140" s="4">
        <f t="shared" si="45"/>
        <v>0</v>
      </c>
      <c r="EY140" s="4">
        <f t="shared" si="45"/>
        <v>0</v>
      </c>
      <c r="EZ140" s="4">
        <f t="shared" si="45"/>
        <v>0</v>
      </c>
      <c r="FA140" s="4">
        <f t="shared" si="45"/>
        <v>0</v>
      </c>
      <c r="FB140" s="4">
        <f t="shared" si="45"/>
        <v>0</v>
      </c>
      <c r="FC140" s="4">
        <f t="shared" si="45"/>
        <v>0</v>
      </c>
      <c r="FD140" s="4">
        <f t="shared" si="45"/>
        <v>0</v>
      </c>
      <c r="FE140" s="4">
        <f t="shared" si="45"/>
        <v>0</v>
      </c>
      <c r="FF140" s="4">
        <f t="shared" si="45"/>
        <v>0</v>
      </c>
      <c r="FG140" s="4">
        <f t="shared" si="45"/>
        <v>0</v>
      </c>
      <c r="FH140" s="4">
        <f t="shared" si="45"/>
        <v>0</v>
      </c>
      <c r="FI140" s="4">
        <f t="shared" si="45"/>
        <v>0</v>
      </c>
      <c r="FJ140" s="4">
        <f t="shared" si="45"/>
        <v>0</v>
      </c>
      <c r="FK140" s="4">
        <f t="shared" si="45"/>
        <v>0</v>
      </c>
      <c r="FL140" s="4">
        <f t="shared" si="45"/>
        <v>0</v>
      </c>
      <c r="FM140" s="4">
        <f t="shared" si="45"/>
        <v>0</v>
      </c>
      <c r="FN140" s="4">
        <f t="shared" si="45"/>
        <v>0</v>
      </c>
      <c r="FO140" s="4">
        <f t="shared" si="45"/>
        <v>0</v>
      </c>
      <c r="FP140" s="4">
        <f t="shared" si="45"/>
        <v>0</v>
      </c>
      <c r="FQ140" s="4">
        <f t="shared" si="45"/>
        <v>0</v>
      </c>
      <c r="FR140" s="4">
        <f t="shared" si="45"/>
        <v>0</v>
      </c>
      <c r="FS140" s="4">
        <f t="shared" ref="FS140:GX140" si="46">FS188</f>
        <v>0</v>
      </c>
      <c r="FT140" s="4">
        <f t="shared" si="46"/>
        <v>0</v>
      </c>
      <c r="FU140" s="4">
        <f t="shared" si="46"/>
        <v>0</v>
      </c>
      <c r="FV140" s="4">
        <f t="shared" si="46"/>
        <v>0</v>
      </c>
      <c r="FW140" s="4">
        <f t="shared" si="46"/>
        <v>0</v>
      </c>
      <c r="FX140" s="4">
        <f t="shared" si="46"/>
        <v>0</v>
      </c>
      <c r="FY140" s="4">
        <f t="shared" si="46"/>
        <v>0</v>
      </c>
      <c r="FZ140" s="4">
        <f t="shared" si="46"/>
        <v>0</v>
      </c>
      <c r="GA140" s="4">
        <f t="shared" si="46"/>
        <v>0</v>
      </c>
      <c r="GB140" s="4">
        <f t="shared" si="46"/>
        <v>0</v>
      </c>
      <c r="GC140" s="4">
        <f t="shared" si="46"/>
        <v>0</v>
      </c>
      <c r="GD140" s="4">
        <f t="shared" si="46"/>
        <v>0</v>
      </c>
      <c r="GE140" s="4">
        <f t="shared" si="46"/>
        <v>0</v>
      </c>
      <c r="GF140" s="4">
        <f t="shared" si="46"/>
        <v>0</v>
      </c>
      <c r="GG140" s="4">
        <f t="shared" si="46"/>
        <v>0</v>
      </c>
      <c r="GH140" s="4">
        <f t="shared" si="46"/>
        <v>0</v>
      </c>
      <c r="GI140" s="4">
        <f t="shared" si="46"/>
        <v>0</v>
      </c>
      <c r="GJ140" s="4">
        <f t="shared" si="46"/>
        <v>0</v>
      </c>
      <c r="GK140" s="4">
        <f t="shared" si="46"/>
        <v>0</v>
      </c>
      <c r="GL140" s="4">
        <f t="shared" si="46"/>
        <v>0</v>
      </c>
      <c r="GM140" s="4">
        <f t="shared" si="46"/>
        <v>0</v>
      </c>
      <c r="GN140" s="4">
        <f t="shared" si="46"/>
        <v>0</v>
      </c>
      <c r="GO140" s="4">
        <f t="shared" si="46"/>
        <v>0</v>
      </c>
      <c r="GP140" s="4">
        <f t="shared" si="46"/>
        <v>0</v>
      </c>
      <c r="GQ140" s="4">
        <f t="shared" si="46"/>
        <v>0</v>
      </c>
      <c r="GR140" s="4">
        <f t="shared" si="46"/>
        <v>0</v>
      </c>
      <c r="GS140" s="4">
        <f t="shared" si="46"/>
        <v>0</v>
      </c>
      <c r="GT140" s="4">
        <f t="shared" si="46"/>
        <v>0</v>
      </c>
      <c r="GU140" s="4">
        <f t="shared" si="46"/>
        <v>0</v>
      </c>
      <c r="GV140" s="4">
        <f t="shared" si="46"/>
        <v>0</v>
      </c>
      <c r="GW140" s="4">
        <f t="shared" si="46"/>
        <v>0</v>
      </c>
      <c r="GX140" s="4">
        <f t="shared" si="46"/>
        <v>0</v>
      </c>
    </row>
    <row r="141" spans="1:255" ht="13.05" customHeight="1" x14ac:dyDescent="0.25"/>
    <row r="142" spans="1:255" ht="13.05" customHeight="1" x14ac:dyDescent="0.25">
      <c r="A142">
        <v>19</v>
      </c>
      <c r="B142">
        <v>1</v>
      </c>
      <c r="F142" t="s">
        <v>3</v>
      </c>
      <c r="G142" t="s">
        <v>229</v>
      </c>
      <c r="H142" t="s">
        <v>3</v>
      </c>
      <c r="AA142">
        <v>1</v>
      </c>
      <c r="IK142">
        <v>0</v>
      </c>
    </row>
    <row r="143" spans="1:255" ht="13.05" customHeight="1" x14ac:dyDescent="0.25">
      <c r="A143">
        <v>19</v>
      </c>
      <c r="B143">
        <v>1</v>
      </c>
      <c r="F143" t="s">
        <v>3</v>
      </c>
      <c r="G143" t="s">
        <v>230</v>
      </c>
      <c r="H143" t="s">
        <v>3</v>
      </c>
      <c r="AA143">
        <v>1</v>
      </c>
      <c r="IK143">
        <v>0</v>
      </c>
    </row>
    <row r="144" spans="1:255" ht="13.05" customHeight="1" x14ac:dyDescent="0.25">
      <c r="A144" s="2">
        <v>17</v>
      </c>
      <c r="B144" s="2">
        <v>1</v>
      </c>
      <c r="C144" s="2">
        <f>ROW(SmtRes!A86)</f>
        <v>86</v>
      </c>
      <c r="D144" s="2">
        <f>ROW(EtalonRes!A90)</f>
        <v>90</v>
      </c>
      <c r="E144" s="2" t="s">
        <v>231</v>
      </c>
      <c r="F144" s="2" t="s">
        <v>232</v>
      </c>
      <c r="G144" s="2" t="s">
        <v>233</v>
      </c>
      <c r="H144" s="2" t="s">
        <v>234</v>
      </c>
      <c r="I144" s="2">
        <v>1.4999999999999999E-2</v>
      </c>
      <c r="J144" s="2">
        <v>0</v>
      </c>
      <c r="K144" s="2">
        <v>1.4999999999999999E-2</v>
      </c>
      <c r="L144" s="2"/>
      <c r="M144" s="2"/>
      <c r="N144" s="2"/>
      <c r="O144" s="2">
        <f>ROUND(CP144,2)</f>
        <v>4634.78</v>
      </c>
      <c r="P144" s="2">
        <f>SUMIF(SmtRes!AQ71:'SmtRes'!AQ86,"=1",SmtRes!DF71:'SmtRes'!DF86)</f>
        <v>116.38</v>
      </c>
      <c r="Q144" s="2">
        <f>SUMIF(SmtRes!AQ71:'SmtRes'!AQ86,"=1",SmtRes!DG71:'SmtRes'!DG86)</f>
        <v>1366.98</v>
      </c>
      <c r="R144" s="2">
        <f>SUMIF(SmtRes!AQ71:'SmtRes'!AQ86,"=1",SmtRes!DH71:'SmtRes'!DH86)</f>
        <v>419.56999999999994</v>
      </c>
      <c r="S144" s="2">
        <f>SUMIF(SmtRes!AQ71:'SmtRes'!AQ86,"=1",SmtRes!DI71:'SmtRes'!DI86)</f>
        <v>2731.85</v>
      </c>
      <c r="T144" s="2">
        <f>ROUND(CU144*I144,2)</f>
        <v>0</v>
      </c>
      <c r="U144" s="2">
        <f>SUMIF(SmtRes!AQ71:'SmtRes'!AQ86,"=1",SmtRes!CV71:'SmtRes'!CV86)</f>
        <v>7.3140000000000001</v>
      </c>
      <c r="V144" s="2">
        <f>SUMIF(SmtRes!AQ71:'SmtRes'!AQ86,"=1",SmtRes!CW71:'SmtRes'!CW86)</f>
        <v>1.076055</v>
      </c>
      <c r="W144" s="2">
        <f>ROUND(CX144*I144,2)</f>
        <v>0</v>
      </c>
      <c r="X144" s="2">
        <f t="shared" ref="X144:Y147" si="47">ROUND(CY144,2)</f>
        <v>3687.16</v>
      </c>
      <c r="Y144" s="2">
        <f t="shared" si="47"/>
        <v>2332.0500000000002</v>
      </c>
      <c r="Z144" s="2"/>
      <c r="AA144" s="2">
        <v>75604747</v>
      </c>
      <c r="AB144" s="2">
        <f>ROUND((AC144+AD144+AF144),6)</f>
        <v>268608.34435999999</v>
      </c>
      <c r="AC144" s="2">
        <f>ROUND((SUM(SmtRes!BQ71:'SmtRes'!BQ86)),6)</f>
        <v>8513.3641599999992</v>
      </c>
      <c r="AD144" s="2">
        <f>ROUND((((SUM(SmtRes!BR71:'SmtRes'!BR86))-(SUM(SmtRes!BS71:'SmtRes'!BS86)))+AE144),6)</f>
        <v>77971.504199999996</v>
      </c>
      <c r="AE144" s="2">
        <f>ROUND((SUM(SmtRes!BS71:'SmtRes'!BS86)),6)</f>
        <v>27971.106954999999</v>
      </c>
      <c r="AF144" s="2">
        <f>ROUND((SUM(SmtRes!BT71:'SmtRes'!BT86)),6)</f>
        <v>182123.476</v>
      </c>
      <c r="AG144" s="2">
        <f>ROUND((AP144),6)</f>
        <v>0</v>
      </c>
      <c r="AH144" s="2">
        <f>(SUM(SmtRes!BU71:'SmtRes'!BU86))</f>
        <v>487.59999999999997</v>
      </c>
      <c r="AI144" s="2">
        <f>(SUM(SmtRes!BV71:'SmtRes'!BV86))</f>
        <v>71.736999999999995</v>
      </c>
      <c r="AJ144" s="2">
        <f>(AS144)</f>
        <v>0</v>
      </c>
      <c r="AK144" s="2">
        <v>259005.61386000001</v>
      </c>
      <c r="AL144" s="2">
        <v>8513.3641599999992</v>
      </c>
      <c r="AM144" s="2">
        <v>67801.308000000005</v>
      </c>
      <c r="AN144" s="2">
        <v>24322.701699999998</v>
      </c>
      <c r="AO144" s="2">
        <v>158368.24</v>
      </c>
      <c r="AP144" s="2">
        <v>0</v>
      </c>
      <c r="AQ144" s="2">
        <v>424</v>
      </c>
      <c r="AR144" s="2">
        <v>62.379999999999995</v>
      </c>
      <c r="AS144" s="2">
        <v>0</v>
      </c>
      <c r="AT144" s="2">
        <v>117</v>
      </c>
      <c r="AU144" s="2">
        <v>74</v>
      </c>
      <c r="AV144" s="2">
        <v>1</v>
      </c>
      <c r="AW144" s="2">
        <v>1</v>
      </c>
      <c r="AX144" s="2"/>
      <c r="AY144" s="2"/>
      <c r="AZ144" s="2">
        <v>1</v>
      </c>
      <c r="BA144" s="2">
        <v>1</v>
      </c>
      <c r="BB144" s="2">
        <v>1</v>
      </c>
      <c r="BC144" s="2">
        <v>1</v>
      </c>
      <c r="BD144" s="2" t="s">
        <v>3</v>
      </c>
      <c r="BE144" s="2" t="s">
        <v>3</v>
      </c>
      <c r="BF144" s="2" t="s">
        <v>3</v>
      </c>
      <c r="BG144" s="2" t="s">
        <v>3</v>
      </c>
      <c r="BH144" s="2">
        <v>0</v>
      </c>
      <c r="BI144" s="2">
        <v>1</v>
      </c>
      <c r="BJ144" s="2" t="s">
        <v>235</v>
      </c>
      <c r="BK144" s="2"/>
      <c r="BL144" s="2"/>
      <c r="BM144" s="2">
        <v>24001</v>
      </c>
      <c r="BN144" s="2">
        <v>0</v>
      </c>
      <c r="BO144" s="2" t="s">
        <v>3</v>
      </c>
      <c r="BP144" s="2">
        <v>0</v>
      </c>
      <c r="BQ144" s="2">
        <v>2</v>
      </c>
      <c r="BR144" s="2">
        <v>0</v>
      </c>
      <c r="BS144" s="2">
        <v>1</v>
      </c>
      <c r="BT144" s="2">
        <v>1</v>
      </c>
      <c r="BU144" s="2">
        <v>1</v>
      </c>
      <c r="BV144" s="2">
        <v>1</v>
      </c>
      <c r="BW144" s="2">
        <v>1</v>
      </c>
      <c r="BX144" s="2">
        <v>1</v>
      </c>
      <c r="BY144" s="2" t="s">
        <v>3</v>
      </c>
      <c r="BZ144" s="2">
        <v>117</v>
      </c>
      <c r="CA144" s="2">
        <v>74</v>
      </c>
      <c r="CB144" s="2" t="s">
        <v>3</v>
      </c>
      <c r="CC144" s="2"/>
      <c r="CD144" s="2"/>
      <c r="CE144" s="2">
        <v>0</v>
      </c>
      <c r="CF144" s="2">
        <v>0</v>
      </c>
      <c r="CG144" s="2">
        <v>0</v>
      </c>
      <c r="CH144" s="2"/>
      <c r="CI144" s="2"/>
      <c r="CJ144" s="2"/>
      <c r="CK144" s="2"/>
      <c r="CL144" s="2"/>
      <c r="CM144" s="2">
        <v>0</v>
      </c>
      <c r="CN144" s="7" t="s">
        <v>802</v>
      </c>
      <c r="CO144" s="2">
        <v>0</v>
      </c>
      <c r="CP144" s="2">
        <f>(P144+Q144+S144+R144)</f>
        <v>4634.78</v>
      </c>
      <c r="CQ144" s="2">
        <f>SUMIF(SmtRes!AQ71:'SmtRes'!AQ86,"=1",SmtRes!AA71:'SmtRes'!AA86)</f>
        <v>178464.40000000002</v>
      </c>
      <c r="CR144" s="2">
        <f>SUMIF(SmtRes!AQ71:'SmtRes'!AQ86,"=1",SmtRes!AB71:'SmtRes'!AB86)</f>
        <v>5446.91</v>
      </c>
      <c r="CS144" s="2">
        <f>SUMIF(SmtRes!AQ71:'SmtRes'!AQ86,"=1",SmtRes!AC71:'SmtRes'!AC86)</f>
        <v>2021.36</v>
      </c>
      <c r="CT144" s="2">
        <f>SUMIF(SmtRes!AQ71:'SmtRes'!AQ86,"=1",SmtRes!AD71:'SmtRes'!AD86)</f>
        <v>373.51</v>
      </c>
      <c r="CU144" s="2">
        <f>AG144</f>
        <v>0</v>
      </c>
      <c r="CV144" s="2">
        <f>SUMIF(SmtRes!AQ71:'SmtRes'!AQ86,"=1",SmtRes!BU71:'SmtRes'!BU86)</f>
        <v>487.59999999999997</v>
      </c>
      <c r="CW144" s="2">
        <f>SUMIF(SmtRes!AQ71:'SmtRes'!AQ86,"=1",SmtRes!BV71:'SmtRes'!BV86)</f>
        <v>71.736999999999995</v>
      </c>
      <c r="CX144" s="2">
        <f>AJ144</f>
        <v>0</v>
      </c>
      <c r="CY144" s="2">
        <f>(((S144+R144)*AT144)/100)</f>
        <v>3687.1614</v>
      </c>
      <c r="CZ144" s="2">
        <f>(((S144+R144)*AU144)/100)</f>
        <v>2332.0508</v>
      </c>
      <c r="DA144" s="2"/>
      <c r="DB144" s="2">
        <v>24</v>
      </c>
      <c r="DC144" s="2" t="s">
        <v>3</v>
      </c>
      <c r="DD144" s="2" t="s">
        <v>3</v>
      </c>
      <c r="DE144" s="2" t="s">
        <v>27</v>
      </c>
      <c r="DF144" s="2" t="s">
        <v>27</v>
      </c>
      <c r="DG144" s="2" t="s">
        <v>27</v>
      </c>
      <c r="DH144" s="2" t="s">
        <v>3</v>
      </c>
      <c r="DI144" s="2" t="s">
        <v>27</v>
      </c>
      <c r="DJ144" s="2" t="s">
        <v>27</v>
      </c>
      <c r="DK144" s="2" t="s">
        <v>3</v>
      </c>
      <c r="DL144" s="2" t="s">
        <v>3</v>
      </c>
      <c r="DM144" s="2" t="s">
        <v>3</v>
      </c>
      <c r="DN144" s="2">
        <v>0</v>
      </c>
      <c r="DO144" s="2">
        <v>0</v>
      </c>
      <c r="DP144" s="2">
        <v>1</v>
      </c>
      <c r="DQ144" s="2">
        <v>1</v>
      </c>
      <c r="DR144" s="2"/>
      <c r="DS144" s="2"/>
      <c r="DT144" s="2"/>
      <c r="DU144" s="2">
        <v>1003</v>
      </c>
      <c r="DV144" s="2" t="s">
        <v>234</v>
      </c>
      <c r="DW144" s="2" t="s">
        <v>234</v>
      </c>
      <c r="DX144" s="2">
        <v>1000</v>
      </c>
      <c r="DY144" s="2"/>
      <c r="DZ144" s="2" t="s">
        <v>3</v>
      </c>
      <c r="EA144" s="2" t="s">
        <v>3</v>
      </c>
      <c r="EB144" s="2" t="s">
        <v>3</v>
      </c>
      <c r="EC144" s="2" t="s">
        <v>3</v>
      </c>
      <c r="ED144" s="2"/>
      <c r="EE144" s="2">
        <v>74004233</v>
      </c>
      <c r="EF144" s="2">
        <v>2</v>
      </c>
      <c r="EG144" s="2" t="s">
        <v>29</v>
      </c>
      <c r="EH144" s="2">
        <v>18</v>
      </c>
      <c r="EI144" s="2" t="s">
        <v>100</v>
      </c>
      <c r="EJ144" s="2">
        <v>1</v>
      </c>
      <c r="EK144" s="2">
        <v>24001</v>
      </c>
      <c r="EL144" s="2" t="s">
        <v>100</v>
      </c>
      <c r="EM144" s="2" t="s">
        <v>236</v>
      </c>
      <c r="EN144" s="2"/>
      <c r="EO144" s="2" t="s">
        <v>39</v>
      </c>
      <c r="EP144" s="2"/>
      <c r="EQ144" s="2">
        <v>262144</v>
      </c>
      <c r="ER144" s="2">
        <v>0</v>
      </c>
      <c r="ES144" s="2">
        <v>0</v>
      </c>
      <c r="ET144" s="2">
        <v>0</v>
      </c>
      <c r="EU144" s="2">
        <v>0</v>
      </c>
      <c r="EV144" s="2">
        <v>0</v>
      </c>
      <c r="EW144" s="2">
        <v>424</v>
      </c>
      <c r="EX144" s="2">
        <v>62.38</v>
      </c>
      <c r="EY144" s="2">
        <v>0</v>
      </c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>
        <v>0</v>
      </c>
      <c r="FR144" s="2">
        <v>0</v>
      </c>
      <c r="FS144" s="2">
        <v>0</v>
      </c>
      <c r="FT144" s="2"/>
      <c r="FU144" s="2"/>
      <c r="FV144" s="2"/>
      <c r="FW144" s="2"/>
      <c r="FX144" s="2">
        <v>117</v>
      </c>
      <c r="FY144" s="2">
        <v>74</v>
      </c>
      <c r="FZ144" s="2"/>
      <c r="GA144" s="2" t="s">
        <v>3</v>
      </c>
      <c r="GB144" s="2"/>
      <c r="GC144" s="2"/>
      <c r="GD144" s="2">
        <v>1</v>
      </c>
      <c r="GE144" s="2"/>
      <c r="GF144" s="2">
        <v>1455831621</v>
      </c>
      <c r="GG144" s="2">
        <v>2</v>
      </c>
      <c r="GH144" s="2">
        <v>1</v>
      </c>
      <c r="GI144" s="2">
        <v>-2</v>
      </c>
      <c r="GJ144" s="2">
        <v>0</v>
      </c>
      <c r="GK144" s="2">
        <v>0</v>
      </c>
      <c r="GL144" s="2">
        <f>ROUND(IF(AND(BH144=3,BI144=3,FS144&lt;&gt;0),P144,0),2)</f>
        <v>0</v>
      </c>
      <c r="GM144" s="2">
        <f>ROUND(O144+X144+Y144,2)+GX144</f>
        <v>10653.99</v>
      </c>
      <c r="GN144" s="2">
        <f>IF(OR(BI144=0,BI144=1),GM144-GX144,0)</f>
        <v>10653.99</v>
      </c>
      <c r="GO144" s="2">
        <f>IF(BI144=2,GM144-GX144,0)</f>
        <v>0</v>
      </c>
      <c r="GP144" s="2">
        <f>IF(BI144=4,GM144-GX144,0)</f>
        <v>0</v>
      </c>
      <c r="GQ144" s="2"/>
      <c r="GR144" s="2">
        <v>0</v>
      </c>
      <c r="GS144" s="2">
        <v>3</v>
      </c>
      <c r="GT144" s="2">
        <v>0</v>
      </c>
      <c r="GU144" s="2" t="s">
        <v>3</v>
      </c>
      <c r="GV144" s="2">
        <f>ROUND((GT144),6)</f>
        <v>0</v>
      </c>
      <c r="GW144" s="2">
        <v>1</v>
      </c>
      <c r="GX144" s="2">
        <f>ROUND(HC144*I144,2)</f>
        <v>0</v>
      </c>
      <c r="GY144" s="2"/>
      <c r="GZ144" s="2"/>
      <c r="HA144" s="2">
        <v>0</v>
      </c>
      <c r="HB144" s="2">
        <v>0</v>
      </c>
      <c r="HC144" s="2">
        <f>GV144*GW144</f>
        <v>0</v>
      </c>
      <c r="HD144" s="2"/>
      <c r="HE144" s="2" t="s">
        <v>3</v>
      </c>
      <c r="HF144" s="2" t="s">
        <v>3</v>
      </c>
      <c r="HG144" s="2"/>
      <c r="HH144" s="2"/>
      <c r="HI144" s="2"/>
      <c r="HJ144" s="2"/>
      <c r="HK144" s="2"/>
      <c r="HL144" s="2"/>
      <c r="HM144" s="2" t="s">
        <v>3</v>
      </c>
      <c r="HN144" s="2" t="s">
        <v>102</v>
      </c>
      <c r="HO144" s="2" t="s">
        <v>103</v>
      </c>
      <c r="HP144" s="2" t="s">
        <v>100</v>
      </c>
      <c r="HQ144" s="2" t="s">
        <v>100</v>
      </c>
      <c r="HR144" s="2"/>
      <c r="HS144" s="2">
        <v>0</v>
      </c>
      <c r="HT144" s="2"/>
      <c r="HU144" s="2"/>
      <c r="HV144" s="2"/>
      <c r="HW144" s="2"/>
      <c r="HX144" s="2"/>
      <c r="HY144" s="2"/>
      <c r="HZ144" s="2"/>
      <c r="IA144" s="2"/>
      <c r="IB144" s="2"/>
      <c r="IC144" s="2"/>
      <c r="ID144" s="2"/>
      <c r="IE144" s="2"/>
      <c r="IF144" s="2"/>
      <c r="IG144" s="2"/>
      <c r="IH144" s="2"/>
      <c r="II144" s="2"/>
      <c r="IJ144" s="2"/>
      <c r="IK144" s="2">
        <v>0</v>
      </c>
      <c r="IL144" s="2"/>
      <c r="IM144" s="2"/>
      <c r="IN144" s="2"/>
      <c r="IO144" s="2"/>
      <c r="IP144" s="2"/>
      <c r="IQ144" s="2"/>
      <c r="IR144" s="2"/>
      <c r="IS144" s="2"/>
      <c r="IT144" s="2"/>
      <c r="IU144" s="2"/>
    </row>
    <row r="145" spans="1:255" ht="13.05" customHeight="1" x14ac:dyDescent="0.25">
      <c r="A145" s="2">
        <v>18</v>
      </c>
      <c r="B145" s="2">
        <v>1</v>
      </c>
      <c r="C145" s="2">
        <v>84</v>
      </c>
      <c r="D145" s="2"/>
      <c r="E145" s="2" t="s">
        <v>237</v>
      </c>
      <c r="F145" s="2" t="s">
        <v>238</v>
      </c>
      <c r="G145" s="2" t="s">
        <v>239</v>
      </c>
      <c r="H145" s="2" t="s">
        <v>240</v>
      </c>
      <c r="I145" s="2">
        <f>I144*J145</f>
        <v>4.3499999999999996</v>
      </c>
      <c r="J145" s="2">
        <v>290</v>
      </c>
      <c r="K145" s="2">
        <v>290</v>
      </c>
      <c r="L145" s="2"/>
      <c r="M145" s="2"/>
      <c r="N145" s="2"/>
      <c r="O145" s="2">
        <f>ROUND(CP145,2)</f>
        <v>1000.94</v>
      </c>
      <c r="P145" s="2">
        <f>ROUND(CQ145*I145,2)</f>
        <v>1000.94</v>
      </c>
      <c r="Q145" s="2">
        <f>ROUND(CR145*I145,2)</f>
        <v>0</v>
      </c>
      <c r="R145" s="2">
        <f>ROUND(CS145*I145,2)</f>
        <v>0</v>
      </c>
      <c r="S145" s="2">
        <f>ROUND(CT145*I145,2)</f>
        <v>0</v>
      </c>
      <c r="T145" s="2">
        <f>ROUND(CU145*I145,2)</f>
        <v>0</v>
      </c>
      <c r="U145" s="2">
        <f>ROUND(CV145*I145,7)</f>
        <v>0</v>
      </c>
      <c r="V145" s="2">
        <f>ROUND(CW145*I145,7)</f>
        <v>0</v>
      </c>
      <c r="W145" s="2">
        <f>ROUND(CX145*I145,2)</f>
        <v>0</v>
      </c>
      <c r="X145" s="2">
        <f t="shared" si="47"/>
        <v>0</v>
      </c>
      <c r="Y145" s="2">
        <f t="shared" si="47"/>
        <v>0</v>
      </c>
      <c r="Z145" s="2"/>
      <c r="AA145" s="2">
        <v>75604747</v>
      </c>
      <c r="AB145" s="2">
        <f>ROUND((AC145+AD145+AF145),6)</f>
        <v>175.65</v>
      </c>
      <c r="AC145" s="2">
        <f>ROUND((ES145),6)</f>
        <v>175.65</v>
      </c>
      <c r="AD145" s="2">
        <f>ROUND((((ET145)-(EU145))+AE145),6)</f>
        <v>0</v>
      </c>
      <c r="AE145" s="2">
        <f t="shared" ref="AE145:AF147" si="48">ROUND((EU145),6)</f>
        <v>0</v>
      </c>
      <c r="AF145" s="2">
        <f t="shared" si="48"/>
        <v>0</v>
      </c>
      <c r="AG145" s="2">
        <f>ROUND((AP145),6)</f>
        <v>0</v>
      </c>
      <c r="AH145" s="2">
        <f t="shared" ref="AH145:AI147" si="49">(EW145)</f>
        <v>0</v>
      </c>
      <c r="AI145" s="2">
        <f t="shared" si="49"/>
        <v>0</v>
      </c>
      <c r="AJ145" s="2">
        <f>(AS145)</f>
        <v>0</v>
      </c>
      <c r="AK145" s="2">
        <v>175.65</v>
      </c>
      <c r="AL145" s="2">
        <v>175.65</v>
      </c>
      <c r="AM145" s="2">
        <v>0</v>
      </c>
      <c r="AN145" s="2">
        <v>0</v>
      </c>
      <c r="AO145" s="2">
        <v>0</v>
      </c>
      <c r="AP145" s="2">
        <v>0</v>
      </c>
      <c r="AQ145" s="2">
        <v>0</v>
      </c>
      <c r="AR145" s="2">
        <v>0</v>
      </c>
      <c r="AS145" s="2">
        <v>0</v>
      </c>
      <c r="AT145" s="2">
        <v>117</v>
      </c>
      <c r="AU145" s="2">
        <v>74</v>
      </c>
      <c r="AV145" s="2">
        <v>1</v>
      </c>
      <c r="AW145" s="2">
        <v>1</v>
      </c>
      <c r="AX145" s="2"/>
      <c r="AY145" s="2"/>
      <c r="AZ145" s="2">
        <v>1</v>
      </c>
      <c r="BA145" s="2">
        <v>1</v>
      </c>
      <c r="BB145" s="2">
        <v>1</v>
      </c>
      <c r="BC145" s="2">
        <v>1.31</v>
      </c>
      <c r="BD145" s="2" t="s">
        <v>3</v>
      </c>
      <c r="BE145" s="2" t="s">
        <v>3</v>
      </c>
      <c r="BF145" s="2" t="s">
        <v>3</v>
      </c>
      <c r="BG145" s="2" t="s">
        <v>3</v>
      </c>
      <c r="BH145" s="2">
        <v>3</v>
      </c>
      <c r="BI145" s="2">
        <v>1</v>
      </c>
      <c r="BJ145" s="2" t="s">
        <v>241</v>
      </c>
      <c r="BK145" s="2"/>
      <c r="BL145" s="2"/>
      <c r="BM145" s="2">
        <v>24001</v>
      </c>
      <c r="BN145" s="2">
        <v>0</v>
      </c>
      <c r="BO145" s="2" t="s">
        <v>238</v>
      </c>
      <c r="BP145" s="2">
        <v>1</v>
      </c>
      <c r="BQ145" s="2">
        <v>2</v>
      </c>
      <c r="BR145" s="2">
        <v>0</v>
      </c>
      <c r="BS145" s="2">
        <v>1</v>
      </c>
      <c r="BT145" s="2">
        <v>1</v>
      </c>
      <c r="BU145" s="2">
        <v>1</v>
      </c>
      <c r="BV145" s="2">
        <v>1</v>
      </c>
      <c r="BW145" s="2">
        <v>1</v>
      </c>
      <c r="BX145" s="2">
        <v>1</v>
      </c>
      <c r="BY145" s="2" t="s">
        <v>3</v>
      </c>
      <c r="BZ145" s="2">
        <v>117</v>
      </c>
      <c r="CA145" s="2">
        <v>74</v>
      </c>
      <c r="CB145" s="2" t="s">
        <v>3</v>
      </c>
      <c r="CC145" s="2"/>
      <c r="CD145" s="2"/>
      <c r="CE145" s="2">
        <v>0</v>
      </c>
      <c r="CF145" s="2">
        <v>0</v>
      </c>
      <c r="CG145" s="2">
        <v>0</v>
      </c>
      <c r="CH145" s="2"/>
      <c r="CI145" s="2"/>
      <c r="CJ145" s="2"/>
      <c r="CK145" s="2"/>
      <c r="CL145" s="2"/>
      <c r="CM145" s="2">
        <v>0</v>
      </c>
      <c r="CN145" s="2" t="s">
        <v>3</v>
      </c>
      <c r="CO145" s="2">
        <v>0</v>
      </c>
      <c r="CP145" s="2">
        <f>(P145+Q145+S145+R145)</f>
        <v>1000.94</v>
      </c>
      <c r="CQ145" s="2">
        <f>ROUND(AL145*BC145,2)</f>
        <v>230.1</v>
      </c>
      <c r="CR145" s="2">
        <f>ROUND(AM145*BB145,2)</f>
        <v>0</v>
      </c>
      <c r="CS145" s="2">
        <f>ROUND(AN145*BS145,2)</f>
        <v>0</v>
      </c>
      <c r="CT145" s="2">
        <f>ROUND(AO145*BA145,2)</f>
        <v>0</v>
      </c>
      <c r="CU145" s="2">
        <f>AG145</f>
        <v>0</v>
      </c>
      <c r="CV145" s="2">
        <f t="shared" ref="CV145:CW147" si="50">AH145</f>
        <v>0</v>
      </c>
      <c r="CW145" s="2">
        <f t="shared" si="50"/>
        <v>0</v>
      </c>
      <c r="CX145" s="2">
        <f>AJ145</f>
        <v>0</v>
      </c>
      <c r="CY145" s="2">
        <f>(((S145+R145)*AT145)/100)</f>
        <v>0</v>
      </c>
      <c r="CZ145" s="2">
        <f>(((S145+R145)*AU145)/100)</f>
        <v>0</v>
      </c>
      <c r="DA145" s="2"/>
      <c r="DB145" s="2"/>
      <c r="DC145" s="2" t="s">
        <v>3</v>
      </c>
      <c r="DD145" s="2" t="s">
        <v>3</v>
      </c>
      <c r="DE145" s="2" t="s">
        <v>3</v>
      </c>
      <c r="DF145" s="2" t="s">
        <v>3</v>
      </c>
      <c r="DG145" s="2" t="s">
        <v>3</v>
      </c>
      <c r="DH145" s="2" t="s">
        <v>3</v>
      </c>
      <c r="DI145" s="2" t="s">
        <v>3</v>
      </c>
      <c r="DJ145" s="2" t="s">
        <v>3</v>
      </c>
      <c r="DK145" s="2" t="s">
        <v>3</v>
      </c>
      <c r="DL145" s="2" t="s">
        <v>3</v>
      </c>
      <c r="DM145" s="2" t="s">
        <v>3</v>
      </c>
      <c r="DN145" s="2">
        <v>0</v>
      </c>
      <c r="DO145" s="2">
        <v>0</v>
      </c>
      <c r="DP145" s="2">
        <v>1</v>
      </c>
      <c r="DQ145" s="2">
        <v>1</v>
      </c>
      <c r="DR145" s="2"/>
      <c r="DS145" s="2"/>
      <c r="DT145" s="2"/>
      <c r="DU145" s="2">
        <v>1009</v>
      </c>
      <c r="DV145" s="2" t="s">
        <v>240</v>
      </c>
      <c r="DW145" s="2" t="s">
        <v>240</v>
      </c>
      <c r="DX145" s="2">
        <v>1</v>
      </c>
      <c r="DY145" s="2"/>
      <c r="DZ145" s="2" t="s">
        <v>3</v>
      </c>
      <c r="EA145" s="2" t="s">
        <v>3</v>
      </c>
      <c r="EB145" s="2" t="s">
        <v>3</v>
      </c>
      <c r="EC145" s="2" t="s">
        <v>3</v>
      </c>
      <c r="ED145" s="2"/>
      <c r="EE145" s="2">
        <v>74004233</v>
      </c>
      <c r="EF145" s="2">
        <v>2</v>
      </c>
      <c r="EG145" s="2" t="s">
        <v>29</v>
      </c>
      <c r="EH145" s="2">
        <v>18</v>
      </c>
      <c r="EI145" s="2" t="s">
        <v>100</v>
      </c>
      <c r="EJ145" s="2">
        <v>1</v>
      </c>
      <c r="EK145" s="2">
        <v>24001</v>
      </c>
      <c r="EL145" s="2" t="s">
        <v>100</v>
      </c>
      <c r="EM145" s="2" t="s">
        <v>236</v>
      </c>
      <c r="EN145" s="2"/>
      <c r="EO145" s="2" t="s">
        <v>3</v>
      </c>
      <c r="EP145" s="2"/>
      <c r="EQ145" s="2">
        <v>262144</v>
      </c>
      <c r="ER145" s="2">
        <v>175.65</v>
      </c>
      <c r="ES145" s="2">
        <v>175.65</v>
      </c>
      <c r="ET145" s="2">
        <v>0</v>
      </c>
      <c r="EU145" s="2">
        <v>0</v>
      </c>
      <c r="EV145" s="2">
        <v>0</v>
      </c>
      <c r="EW145" s="2">
        <v>0</v>
      </c>
      <c r="EX145" s="2">
        <v>0</v>
      </c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>
        <v>0</v>
      </c>
      <c r="FR145" s="2">
        <v>0</v>
      </c>
      <c r="FS145" s="2">
        <v>0</v>
      </c>
      <c r="FT145" s="2"/>
      <c r="FU145" s="2"/>
      <c r="FV145" s="2"/>
      <c r="FW145" s="2"/>
      <c r="FX145" s="2">
        <v>117</v>
      </c>
      <c r="FY145" s="2">
        <v>74</v>
      </c>
      <c r="FZ145" s="2"/>
      <c r="GA145" s="2" t="s">
        <v>3</v>
      </c>
      <c r="GB145" s="2"/>
      <c r="GC145" s="2"/>
      <c r="GD145" s="2">
        <v>1</v>
      </c>
      <c r="GE145" s="2"/>
      <c r="GF145" s="2">
        <v>-738673789</v>
      </c>
      <c r="GG145" s="2">
        <v>2</v>
      </c>
      <c r="GH145" s="2">
        <v>1</v>
      </c>
      <c r="GI145" s="2">
        <v>2</v>
      </c>
      <c r="GJ145" s="2">
        <v>0</v>
      </c>
      <c r="GK145" s="2">
        <v>0</v>
      </c>
      <c r="GL145" s="2">
        <f>ROUND(IF(AND(BH145=3,BI145=3,FS145&lt;&gt;0),P145,0),2)</f>
        <v>0</v>
      </c>
      <c r="GM145" s="2">
        <f>ROUND(O145+X145+Y145,2)+GX145</f>
        <v>1000.94</v>
      </c>
      <c r="GN145" s="2">
        <f>IF(OR(BI145=0,BI145=1),GM145-GX145,0)</f>
        <v>1000.94</v>
      </c>
      <c r="GO145" s="2">
        <f>IF(BI145=2,GM145-GX145,0)</f>
        <v>0</v>
      </c>
      <c r="GP145" s="2">
        <f>IF(BI145=4,GM145-GX145,0)</f>
        <v>0</v>
      </c>
      <c r="GQ145" s="2"/>
      <c r="GR145" s="2">
        <v>0</v>
      </c>
      <c r="GS145" s="2">
        <v>3</v>
      </c>
      <c r="GT145" s="2">
        <v>0</v>
      </c>
      <c r="GU145" s="2" t="s">
        <v>3</v>
      </c>
      <c r="GV145" s="2">
        <f>ROUND((GT145),6)</f>
        <v>0</v>
      </c>
      <c r="GW145" s="2">
        <v>1</v>
      </c>
      <c r="GX145" s="2">
        <f>ROUND(HC145*I145,2)</f>
        <v>0</v>
      </c>
      <c r="GY145" s="2"/>
      <c r="GZ145" s="2"/>
      <c r="HA145" s="2">
        <v>0</v>
      </c>
      <c r="HB145" s="2">
        <v>0</v>
      </c>
      <c r="HC145" s="2">
        <f>GV145*GW145</f>
        <v>0</v>
      </c>
      <c r="HD145" s="2"/>
      <c r="HE145" s="2" t="s">
        <v>3</v>
      </c>
      <c r="HF145" s="2" t="s">
        <v>3</v>
      </c>
      <c r="HG145" s="2"/>
      <c r="HH145" s="2"/>
      <c r="HI145" s="2"/>
      <c r="HJ145" s="2"/>
      <c r="HK145" s="2"/>
      <c r="HL145" s="2"/>
      <c r="HM145" s="2" t="s">
        <v>3</v>
      </c>
      <c r="HN145" s="2" t="s">
        <v>102</v>
      </c>
      <c r="HO145" s="2" t="s">
        <v>103</v>
      </c>
      <c r="HP145" s="2" t="s">
        <v>100</v>
      </c>
      <c r="HQ145" s="2" t="s">
        <v>100</v>
      </c>
      <c r="HR145" s="2"/>
      <c r="HS145" s="2">
        <v>0</v>
      </c>
      <c r="HT145" s="2"/>
      <c r="HU145" s="2"/>
      <c r="HV145" s="2"/>
      <c r="HW145" s="2"/>
      <c r="HX145" s="2"/>
      <c r="HY145" s="2"/>
      <c r="HZ145" s="2"/>
      <c r="IA145" s="2"/>
      <c r="IB145" s="2"/>
      <c r="IC145" s="2"/>
      <c r="ID145" s="2"/>
      <c r="IE145" s="2"/>
      <c r="IF145" s="2"/>
      <c r="IG145" s="2"/>
      <c r="IH145" s="2"/>
      <c r="II145" s="2"/>
      <c r="IJ145" s="2"/>
      <c r="IK145" s="2">
        <v>0</v>
      </c>
      <c r="IL145" s="2"/>
      <c r="IM145" s="2"/>
      <c r="IN145" s="2"/>
      <c r="IO145" s="2"/>
      <c r="IP145" s="2"/>
      <c r="IQ145" s="2"/>
      <c r="IR145" s="2"/>
      <c r="IS145" s="2"/>
      <c r="IT145" s="2"/>
      <c r="IU145" s="2"/>
    </row>
    <row r="146" spans="1:255" ht="13.05" customHeight="1" x14ac:dyDescent="0.25">
      <c r="A146" s="2">
        <v>18</v>
      </c>
      <c r="B146" s="2">
        <v>1</v>
      </c>
      <c r="C146" s="2">
        <v>85</v>
      </c>
      <c r="D146" s="2"/>
      <c r="E146" s="2" t="s">
        <v>242</v>
      </c>
      <c r="F146" s="2" t="s">
        <v>243</v>
      </c>
      <c r="G146" s="2" t="s">
        <v>244</v>
      </c>
      <c r="H146" s="2" t="s">
        <v>98</v>
      </c>
      <c r="I146" s="2">
        <f>I144*J146</f>
        <v>15</v>
      </c>
      <c r="J146" s="2">
        <v>1000</v>
      </c>
      <c r="K146" s="2">
        <v>1000</v>
      </c>
      <c r="L146" s="2"/>
      <c r="M146" s="2"/>
      <c r="N146" s="2"/>
      <c r="O146" s="2">
        <f>ROUND(CP146,2)</f>
        <v>5417.7</v>
      </c>
      <c r="P146" s="2">
        <f>ROUND(CQ146*I146,2)</f>
        <v>5417.7</v>
      </c>
      <c r="Q146" s="2">
        <f>ROUND(CR146*I146,2)</f>
        <v>0</v>
      </c>
      <c r="R146" s="2">
        <f>ROUND(CS146*I146,2)</f>
        <v>0</v>
      </c>
      <c r="S146" s="2">
        <f>ROUND(CT146*I146,2)</f>
        <v>0</v>
      </c>
      <c r="T146" s="2">
        <f>ROUND(CU146*I146,2)</f>
        <v>0</v>
      </c>
      <c r="U146" s="2">
        <f>ROUND(CV146*I146,7)</f>
        <v>0</v>
      </c>
      <c r="V146" s="2">
        <f>ROUND(CW146*I146,7)</f>
        <v>0</v>
      </c>
      <c r="W146" s="2">
        <f>ROUND(CX146*I146,2)</f>
        <v>0</v>
      </c>
      <c r="X146" s="2">
        <f t="shared" si="47"/>
        <v>0</v>
      </c>
      <c r="Y146" s="2">
        <f t="shared" si="47"/>
        <v>0</v>
      </c>
      <c r="Z146" s="2"/>
      <c r="AA146" s="2">
        <v>75604747</v>
      </c>
      <c r="AB146" s="2">
        <f>ROUND((AC146+AD146+AF146),6)</f>
        <v>440.46</v>
      </c>
      <c r="AC146" s="2">
        <f>ROUND((ES146),6)</f>
        <v>440.46</v>
      </c>
      <c r="AD146" s="2">
        <f>ROUND((((ET146)-(EU146))+AE146),6)</f>
        <v>0</v>
      </c>
      <c r="AE146" s="2">
        <f t="shared" si="48"/>
        <v>0</v>
      </c>
      <c r="AF146" s="2">
        <f t="shared" si="48"/>
        <v>0</v>
      </c>
      <c r="AG146" s="2">
        <f>ROUND((AP146),6)</f>
        <v>0</v>
      </c>
      <c r="AH146" s="2">
        <f t="shared" si="49"/>
        <v>0</v>
      </c>
      <c r="AI146" s="2">
        <f t="shared" si="49"/>
        <v>0</v>
      </c>
      <c r="AJ146" s="2">
        <f>(AS146)</f>
        <v>0</v>
      </c>
      <c r="AK146" s="2">
        <v>440.46</v>
      </c>
      <c r="AL146" s="2">
        <v>440.46</v>
      </c>
      <c r="AM146" s="2">
        <v>0</v>
      </c>
      <c r="AN146" s="2">
        <v>0</v>
      </c>
      <c r="AO146" s="2">
        <v>0</v>
      </c>
      <c r="AP146" s="2">
        <v>0</v>
      </c>
      <c r="AQ146" s="2">
        <v>0</v>
      </c>
      <c r="AR146" s="2">
        <v>0</v>
      </c>
      <c r="AS146" s="2">
        <v>0</v>
      </c>
      <c r="AT146" s="2">
        <v>117</v>
      </c>
      <c r="AU146" s="2">
        <v>74</v>
      </c>
      <c r="AV146" s="2">
        <v>1</v>
      </c>
      <c r="AW146" s="2">
        <v>1</v>
      </c>
      <c r="AX146" s="2"/>
      <c r="AY146" s="2"/>
      <c r="AZ146" s="2">
        <v>1</v>
      </c>
      <c r="BA146" s="2">
        <v>1</v>
      </c>
      <c r="BB146" s="2">
        <v>1</v>
      </c>
      <c r="BC146" s="2">
        <v>0.82</v>
      </c>
      <c r="BD146" s="2" t="s">
        <v>3</v>
      </c>
      <c r="BE146" s="2" t="s">
        <v>3</v>
      </c>
      <c r="BF146" s="2" t="s">
        <v>3</v>
      </c>
      <c r="BG146" s="2" t="s">
        <v>3</v>
      </c>
      <c r="BH146" s="2">
        <v>3</v>
      </c>
      <c r="BI146" s="2">
        <v>1</v>
      </c>
      <c r="BJ146" s="2" t="s">
        <v>245</v>
      </c>
      <c r="BK146" s="2"/>
      <c r="BL146" s="2"/>
      <c r="BM146" s="2">
        <v>24001</v>
      </c>
      <c r="BN146" s="2">
        <v>0</v>
      </c>
      <c r="BO146" s="2" t="s">
        <v>243</v>
      </c>
      <c r="BP146" s="2">
        <v>1</v>
      </c>
      <c r="BQ146" s="2">
        <v>2</v>
      </c>
      <c r="BR146" s="2">
        <v>0</v>
      </c>
      <c r="BS146" s="2">
        <v>1</v>
      </c>
      <c r="BT146" s="2">
        <v>1</v>
      </c>
      <c r="BU146" s="2">
        <v>1</v>
      </c>
      <c r="BV146" s="2">
        <v>1</v>
      </c>
      <c r="BW146" s="2">
        <v>1</v>
      </c>
      <c r="BX146" s="2">
        <v>1</v>
      </c>
      <c r="BY146" s="2" t="s">
        <v>3</v>
      </c>
      <c r="BZ146" s="2">
        <v>117</v>
      </c>
      <c r="CA146" s="2">
        <v>74</v>
      </c>
      <c r="CB146" s="2" t="s">
        <v>3</v>
      </c>
      <c r="CC146" s="2"/>
      <c r="CD146" s="2"/>
      <c r="CE146" s="2">
        <v>0</v>
      </c>
      <c r="CF146" s="2">
        <v>0</v>
      </c>
      <c r="CG146" s="2">
        <v>0</v>
      </c>
      <c r="CH146" s="2"/>
      <c r="CI146" s="2"/>
      <c r="CJ146" s="2"/>
      <c r="CK146" s="2"/>
      <c r="CL146" s="2"/>
      <c r="CM146" s="2">
        <v>0</v>
      </c>
      <c r="CN146" s="2" t="s">
        <v>3</v>
      </c>
      <c r="CO146" s="2">
        <v>0</v>
      </c>
      <c r="CP146" s="2">
        <f>(P146+Q146+S146+R146)</f>
        <v>5417.7</v>
      </c>
      <c r="CQ146" s="2">
        <f>ROUND(AL146*BC146,2)</f>
        <v>361.18</v>
      </c>
      <c r="CR146" s="2">
        <f>ROUND(AM146*BB146,2)</f>
        <v>0</v>
      </c>
      <c r="CS146" s="2">
        <f>ROUND(AN146*BS146,2)</f>
        <v>0</v>
      </c>
      <c r="CT146" s="2">
        <f>ROUND(AO146*BA146,2)</f>
        <v>0</v>
      </c>
      <c r="CU146" s="2">
        <f>AG146</f>
        <v>0</v>
      </c>
      <c r="CV146" s="2">
        <f t="shared" si="50"/>
        <v>0</v>
      </c>
      <c r="CW146" s="2">
        <f t="shared" si="50"/>
        <v>0</v>
      </c>
      <c r="CX146" s="2">
        <f>AJ146</f>
        <v>0</v>
      </c>
      <c r="CY146" s="2">
        <f>(((S146+R146)*AT146)/100)</f>
        <v>0</v>
      </c>
      <c r="CZ146" s="2">
        <f>(((S146+R146)*AU146)/100)</f>
        <v>0</v>
      </c>
      <c r="DA146" s="2"/>
      <c r="DB146" s="2"/>
      <c r="DC146" s="2" t="s">
        <v>3</v>
      </c>
      <c r="DD146" s="2" t="s">
        <v>3</v>
      </c>
      <c r="DE146" s="2" t="s">
        <v>3</v>
      </c>
      <c r="DF146" s="2" t="s">
        <v>3</v>
      </c>
      <c r="DG146" s="2" t="s">
        <v>3</v>
      </c>
      <c r="DH146" s="2" t="s">
        <v>3</v>
      </c>
      <c r="DI146" s="2" t="s">
        <v>3</v>
      </c>
      <c r="DJ146" s="2" t="s">
        <v>3</v>
      </c>
      <c r="DK146" s="2" t="s">
        <v>3</v>
      </c>
      <c r="DL146" s="2" t="s">
        <v>3</v>
      </c>
      <c r="DM146" s="2" t="s">
        <v>3</v>
      </c>
      <c r="DN146" s="2">
        <v>0</v>
      </c>
      <c r="DO146" s="2">
        <v>0</v>
      </c>
      <c r="DP146" s="2">
        <v>1</v>
      </c>
      <c r="DQ146" s="2">
        <v>1</v>
      </c>
      <c r="DR146" s="2"/>
      <c r="DS146" s="2"/>
      <c r="DT146" s="2"/>
      <c r="DU146" s="2">
        <v>1003</v>
      </c>
      <c r="DV146" s="2" t="s">
        <v>98</v>
      </c>
      <c r="DW146" s="2" t="s">
        <v>98</v>
      </c>
      <c r="DX146" s="2">
        <v>1</v>
      </c>
      <c r="DY146" s="2"/>
      <c r="DZ146" s="2" t="s">
        <v>3</v>
      </c>
      <c r="EA146" s="2" t="s">
        <v>3</v>
      </c>
      <c r="EB146" s="2" t="s">
        <v>3</v>
      </c>
      <c r="EC146" s="2" t="s">
        <v>3</v>
      </c>
      <c r="ED146" s="2"/>
      <c r="EE146" s="2">
        <v>74004233</v>
      </c>
      <c r="EF146" s="2">
        <v>2</v>
      </c>
      <c r="EG146" s="2" t="s">
        <v>29</v>
      </c>
      <c r="EH146" s="2">
        <v>18</v>
      </c>
      <c r="EI146" s="2" t="s">
        <v>100</v>
      </c>
      <c r="EJ146" s="2">
        <v>1</v>
      </c>
      <c r="EK146" s="2">
        <v>24001</v>
      </c>
      <c r="EL146" s="2" t="s">
        <v>100</v>
      </c>
      <c r="EM146" s="2" t="s">
        <v>236</v>
      </c>
      <c r="EN146" s="2"/>
      <c r="EO146" s="2" t="s">
        <v>3</v>
      </c>
      <c r="EP146" s="2"/>
      <c r="EQ146" s="2">
        <v>262144</v>
      </c>
      <c r="ER146" s="2">
        <v>440.46</v>
      </c>
      <c r="ES146" s="2">
        <v>440.46</v>
      </c>
      <c r="ET146" s="2">
        <v>0</v>
      </c>
      <c r="EU146" s="2">
        <v>0</v>
      </c>
      <c r="EV146" s="2">
        <v>0</v>
      </c>
      <c r="EW146" s="2">
        <v>0</v>
      </c>
      <c r="EX146" s="2">
        <v>0</v>
      </c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>
        <v>0</v>
      </c>
      <c r="FR146" s="2">
        <v>0</v>
      </c>
      <c r="FS146" s="2">
        <v>0</v>
      </c>
      <c r="FT146" s="2"/>
      <c r="FU146" s="2"/>
      <c r="FV146" s="2"/>
      <c r="FW146" s="2"/>
      <c r="FX146" s="2">
        <v>117</v>
      </c>
      <c r="FY146" s="2">
        <v>74</v>
      </c>
      <c r="FZ146" s="2"/>
      <c r="GA146" s="2" t="s">
        <v>3</v>
      </c>
      <c r="GB146" s="2"/>
      <c r="GC146" s="2"/>
      <c r="GD146" s="2">
        <v>1</v>
      </c>
      <c r="GE146" s="2"/>
      <c r="GF146" s="2">
        <v>514000554</v>
      </c>
      <c r="GG146" s="2">
        <v>2</v>
      </c>
      <c r="GH146" s="2">
        <v>1</v>
      </c>
      <c r="GI146" s="2">
        <v>2</v>
      </c>
      <c r="GJ146" s="2">
        <v>0</v>
      </c>
      <c r="GK146" s="2">
        <v>0</v>
      </c>
      <c r="GL146" s="2">
        <f>ROUND(IF(AND(BH146=3,BI146=3,FS146&lt;&gt;0),P146,0),2)</f>
        <v>0</v>
      </c>
      <c r="GM146" s="2">
        <f>ROUND(O146+X146+Y146,2)+GX146</f>
        <v>5417.7</v>
      </c>
      <c r="GN146" s="2">
        <f>IF(OR(BI146=0,BI146=1),GM146-GX146,0)</f>
        <v>5417.7</v>
      </c>
      <c r="GO146" s="2">
        <f>IF(BI146=2,GM146-GX146,0)</f>
        <v>0</v>
      </c>
      <c r="GP146" s="2">
        <f>IF(BI146=4,GM146-GX146,0)</f>
        <v>0</v>
      </c>
      <c r="GQ146" s="2"/>
      <c r="GR146" s="2">
        <v>0</v>
      </c>
      <c r="GS146" s="2">
        <v>3</v>
      </c>
      <c r="GT146" s="2">
        <v>0</v>
      </c>
      <c r="GU146" s="2" t="s">
        <v>3</v>
      </c>
      <c r="GV146" s="2">
        <f>ROUND((GT146),6)</f>
        <v>0</v>
      </c>
      <c r="GW146" s="2">
        <v>1</v>
      </c>
      <c r="GX146" s="2">
        <f>ROUND(HC146*I146,2)</f>
        <v>0</v>
      </c>
      <c r="GY146" s="2"/>
      <c r="GZ146" s="2"/>
      <c r="HA146" s="2">
        <v>0</v>
      </c>
      <c r="HB146" s="2">
        <v>0</v>
      </c>
      <c r="HC146" s="2">
        <f>GV146*GW146</f>
        <v>0</v>
      </c>
      <c r="HD146" s="2"/>
      <c r="HE146" s="2" t="s">
        <v>3</v>
      </c>
      <c r="HF146" s="2" t="s">
        <v>3</v>
      </c>
      <c r="HG146" s="2"/>
      <c r="HH146" s="2"/>
      <c r="HI146" s="2"/>
      <c r="HJ146" s="2"/>
      <c r="HK146" s="2"/>
      <c r="HL146" s="2"/>
      <c r="HM146" s="2" t="s">
        <v>3</v>
      </c>
      <c r="HN146" s="2" t="s">
        <v>102</v>
      </c>
      <c r="HO146" s="2" t="s">
        <v>103</v>
      </c>
      <c r="HP146" s="2" t="s">
        <v>100</v>
      </c>
      <c r="HQ146" s="2" t="s">
        <v>100</v>
      </c>
      <c r="HR146" s="2"/>
      <c r="HS146" s="2">
        <v>0</v>
      </c>
      <c r="HT146" s="2"/>
      <c r="HU146" s="2"/>
      <c r="HV146" s="2"/>
      <c r="HW146" s="2"/>
      <c r="HX146" s="2"/>
      <c r="HY146" s="2"/>
      <c r="HZ146" s="2"/>
      <c r="IA146" s="2"/>
      <c r="IB146" s="2"/>
      <c r="IC146" s="2"/>
      <c r="ID146" s="2"/>
      <c r="IE146" s="2"/>
      <c r="IF146" s="2"/>
      <c r="IG146" s="2"/>
      <c r="IH146" s="2"/>
      <c r="II146" s="2"/>
      <c r="IJ146" s="2"/>
      <c r="IK146" s="2">
        <v>0</v>
      </c>
      <c r="IL146" s="2"/>
      <c r="IM146" s="2"/>
      <c r="IN146" s="2"/>
      <c r="IO146" s="2"/>
      <c r="IP146" s="2"/>
      <c r="IQ146" s="2"/>
      <c r="IR146" s="2"/>
      <c r="IS146" s="2"/>
      <c r="IT146" s="2"/>
      <c r="IU146" s="2"/>
    </row>
    <row r="147" spans="1:255" ht="13.05" customHeight="1" x14ac:dyDescent="0.25">
      <c r="A147" s="2">
        <v>18</v>
      </c>
      <c r="B147" s="2">
        <v>1</v>
      </c>
      <c r="C147" s="2">
        <v>86</v>
      </c>
      <c r="D147" s="2"/>
      <c r="E147" s="2" t="s">
        <v>246</v>
      </c>
      <c r="F147" s="2" t="s">
        <v>247</v>
      </c>
      <c r="G147" s="2" t="s">
        <v>248</v>
      </c>
      <c r="H147" s="2" t="s">
        <v>222</v>
      </c>
      <c r="I147" s="2">
        <f>I144*J147</f>
        <v>4</v>
      </c>
      <c r="J147" s="2">
        <v>266.66666666666669</v>
      </c>
      <c r="K147" s="2">
        <v>266.66666670000001</v>
      </c>
      <c r="L147" s="2"/>
      <c r="M147" s="2"/>
      <c r="N147" s="2"/>
      <c r="O147" s="2">
        <f>ROUND(CP147,2)</f>
        <v>788.68</v>
      </c>
      <c r="P147" s="2">
        <f>ROUND(CQ147*I147,2)</f>
        <v>788.68</v>
      </c>
      <c r="Q147" s="2">
        <f>ROUND(CR147*I147,2)</f>
        <v>0</v>
      </c>
      <c r="R147" s="2">
        <f>ROUND(CS147*I147,2)</f>
        <v>0</v>
      </c>
      <c r="S147" s="2">
        <f>ROUND(CT147*I147,2)</f>
        <v>0</v>
      </c>
      <c r="T147" s="2">
        <f>ROUND(CU147*I147,2)</f>
        <v>0</v>
      </c>
      <c r="U147" s="2">
        <f>ROUND(CV147*I147,7)</f>
        <v>0</v>
      </c>
      <c r="V147" s="2">
        <f>ROUND(CW147*I147,7)</f>
        <v>0</v>
      </c>
      <c r="W147" s="2">
        <f>ROUND(CX147*I147,2)</f>
        <v>0</v>
      </c>
      <c r="X147" s="2">
        <f t="shared" si="47"/>
        <v>0</v>
      </c>
      <c r="Y147" s="2">
        <f t="shared" si="47"/>
        <v>0</v>
      </c>
      <c r="Z147" s="2"/>
      <c r="AA147" s="2">
        <v>75604747</v>
      </c>
      <c r="AB147" s="2">
        <f>ROUND((AC147+AD147+AF147),6)</f>
        <v>172.96</v>
      </c>
      <c r="AC147" s="2">
        <f>ROUND((ES147),6)</f>
        <v>172.96</v>
      </c>
      <c r="AD147" s="2">
        <f>ROUND((((ET147)-(EU147))+AE147),6)</f>
        <v>0</v>
      </c>
      <c r="AE147" s="2">
        <f t="shared" si="48"/>
        <v>0</v>
      </c>
      <c r="AF147" s="2">
        <f t="shared" si="48"/>
        <v>0</v>
      </c>
      <c r="AG147" s="2">
        <f>ROUND((AP147),6)</f>
        <v>0</v>
      </c>
      <c r="AH147" s="2">
        <f t="shared" si="49"/>
        <v>0</v>
      </c>
      <c r="AI147" s="2">
        <f t="shared" si="49"/>
        <v>0</v>
      </c>
      <c r="AJ147" s="2">
        <f>(AS147)</f>
        <v>0</v>
      </c>
      <c r="AK147" s="2">
        <v>172.96</v>
      </c>
      <c r="AL147" s="2">
        <v>172.96</v>
      </c>
      <c r="AM147" s="2">
        <v>0</v>
      </c>
      <c r="AN147" s="2">
        <v>0</v>
      </c>
      <c r="AO147" s="2">
        <v>0</v>
      </c>
      <c r="AP147" s="2">
        <v>0</v>
      </c>
      <c r="AQ147" s="2">
        <v>0</v>
      </c>
      <c r="AR147" s="2">
        <v>0</v>
      </c>
      <c r="AS147" s="2">
        <v>0</v>
      </c>
      <c r="AT147" s="2">
        <v>117</v>
      </c>
      <c r="AU147" s="2">
        <v>74</v>
      </c>
      <c r="AV147" s="2">
        <v>1</v>
      </c>
      <c r="AW147" s="2">
        <v>1</v>
      </c>
      <c r="AX147" s="2"/>
      <c r="AY147" s="2"/>
      <c r="AZ147" s="2">
        <v>1</v>
      </c>
      <c r="BA147" s="2">
        <v>1</v>
      </c>
      <c r="BB147" s="2">
        <v>1</v>
      </c>
      <c r="BC147" s="2">
        <v>1.1399999999999999</v>
      </c>
      <c r="BD147" s="2" t="s">
        <v>3</v>
      </c>
      <c r="BE147" s="2" t="s">
        <v>3</v>
      </c>
      <c r="BF147" s="2" t="s">
        <v>3</v>
      </c>
      <c r="BG147" s="2" t="s">
        <v>3</v>
      </c>
      <c r="BH147" s="2">
        <v>3</v>
      </c>
      <c r="BI147" s="2">
        <v>1</v>
      </c>
      <c r="BJ147" s="2" t="s">
        <v>249</v>
      </c>
      <c r="BK147" s="2"/>
      <c r="BL147" s="2"/>
      <c r="BM147" s="2">
        <v>24001</v>
      </c>
      <c r="BN147" s="2">
        <v>0</v>
      </c>
      <c r="BO147" s="2" t="s">
        <v>247</v>
      </c>
      <c r="BP147" s="2">
        <v>1</v>
      </c>
      <c r="BQ147" s="2">
        <v>2</v>
      </c>
      <c r="BR147" s="2">
        <v>0</v>
      </c>
      <c r="BS147" s="2">
        <v>1</v>
      </c>
      <c r="BT147" s="2">
        <v>1</v>
      </c>
      <c r="BU147" s="2">
        <v>1</v>
      </c>
      <c r="BV147" s="2">
        <v>1</v>
      </c>
      <c r="BW147" s="2">
        <v>1</v>
      </c>
      <c r="BX147" s="2">
        <v>1</v>
      </c>
      <c r="BY147" s="2" t="s">
        <v>3</v>
      </c>
      <c r="BZ147" s="2">
        <v>117</v>
      </c>
      <c r="CA147" s="2">
        <v>74</v>
      </c>
      <c r="CB147" s="2" t="s">
        <v>3</v>
      </c>
      <c r="CC147" s="2"/>
      <c r="CD147" s="2"/>
      <c r="CE147" s="2">
        <v>0</v>
      </c>
      <c r="CF147" s="2">
        <v>0</v>
      </c>
      <c r="CG147" s="2">
        <v>0</v>
      </c>
      <c r="CH147" s="2"/>
      <c r="CI147" s="2"/>
      <c r="CJ147" s="2"/>
      <c r="CK147" s="2"/>
      <c r="CL147" s="2"/>
      <c r="CM147" s="2">
        <v>0</v>
      </c>
      <c r="CN147" s="2" t="s">
        <v>3</v>
      </c>
      <c r="CO147" s="2">
        <v>0</v>
      </c>
      <c r="CP147" s="2">
        <f>(P147+Q147+S147+R147)</f>
        <v>788.68</v>
      </c>
      <c r="CQ147" s="2">
        <f>ROUND(AL147*BC147,2)</f>
        <v>197.17</v>
      </c>
      <c r="CR147" s="2">
        <f>ROUND(AM147*BB147,2)</f>
        <v>0</v>
      </c>
      <c r="CS147" s="2">
        <f>ROUND(AN147*BS147,2)</f>
        <v>0</v>
      </c>
      <c r="CT147" s="2">
        <f>ROUND(AO147*BA147,2)</f>
        <v>0</v>
      </c>
      <c r="CU147" s="2">
        <f>AG147</f>
        <v>0</v>
      </c>
      <c r="CV147" s="2">
        <f t="shared" si="50"/>
        <v>0</v>
      </c>
      <c r="CW147" s="2">
        <f t="shared" si="50"/>
        <v>0</v>
      </c>
      <c r="CX147" s="2">
        <f>AJ147</f>
        <v>0</v>
      </c>
      <c r="CY147" s="2">
        <f>(((S147+R147)*AT147)/100)</f>
        <v>0</v>
      </c>
      <c r="CZ147" s="2">
        <f>(((S147+R147)*AU147)/100)</f>
        <v>0</v>
      </c>
      <c r="DA147" s="2"/>
      <c r="DB147" s="2"/>
      <c r="DC147" s="2" t="s">
        <v>3</v>
      </c>
      <c r="DD147" s="2" t="s">
        <v>3</v>
      </c>
      <c r="DE147" s="2" t="s">
        <v>3</v>
      </c>
      <c r="DF147" s="2" t="s">
        <v>3</v>
      </c>
      <c r="DG147" s="2" t="s">
        <v>3</v>
      </c>
      <c r="DH147" s="2" t="s">
        <v>3</v>
      </c>
      <c r="DI147" s="2" t="s">
        <v>3</v>
      </c>
      <c r="DJ147" s="2" t="s">
        <v>3</v>
      </c>
      <c r="DK147" s="2" t="s">
        <v>3</v>
      </c>
      <c r="DL147" s="2" t="s">
        <v>3</v>
      </c>
      <c r="DM147" s="2" t="s">
        <v>3</v>
      </c>
      <c r="DN147" s="2">
        <v>0</v>
      </c>
      <c r="DO147" s="2">
        <v>0</v>
      </c>
      <c r="DP147" s="2">
        <v>1</v>
      </c>
      <c r="DQ147" s="2">
        <v>1</v>
      </c>
      <c r="DR147" s="2"/>
      <c r="DS147" s="2"/>
      <c r="DT147" s="2"/>
      <c r="DU147" s="2">
        <v>1013</v>
      </c>
      <c r="DV147" s="2" t="s">
        <v>222</v>
      </c>
      <c r="DW147" s="2" t="s">
        <v>222</v>
      </c>
      <c r="DX147" s="2">
        <v>1</v>
      </c>
      <c r="DY147" s="2"/>
      <c r="DZ147" s="2" t="s">
        <v>3</v>
      </c>
      <c r="EA147" s="2" t="s">
        <v>3</v>
      </c>
      <c r="EB147" s="2" t="s">
        <v>3</v>
      </c>
      <c r="EC147" s="2" t="s">
        <v>3</v>
      </c>
      <c r="ED147" s="2"/>
      <c r="EE147" s="2">
        <v>74004233</v>
      </c>
      <c r="EF147" s="2">
        <v>2</v>
      </c>
      <c r="EG147" s="2" t="s">
        <v>29</v>
      </c>
      <c r="EH147" s="2">
        <v>18</v>
      </c>
      <c r="EI147" s="2" t="s">
        <v>100</v>
      </c>
      <c r="EJ147" s="2">
        <v>1</v>
      </c>
      <c r="EK147" s="2">
        <v>24001</v>
      </c>
      <c r="EL147" s="2" t="s">
        <v>100</v>
      </c>
      <c r="EM147" s="2" t="s">
        <v>236</v>
      </c>
      <c r="EN147" s="2"/>
      <c r="EO147" s="2" t="s">
        <v>3</v>
      </c>
      <c r="EP147" s="2"/>
      <c r="EQ147" s="2">
        <v>262144</v>
      </c>
      <c r="ER147" s="2">
        <v>172.96</v>
      </c>
      <c r="ES147" s="2">
        <v>172.96</v>
      </c>
      <c r="ET147" s="2">
        <v>0</v>
      </c>
      <c r="EU147" s="2">
        <v>0</v>
      </c>
      <c r="EV147" s="2">
        <v>0</v>
      </c>
      <c r="EW147" s="2">
        <v>0</v>
      </c>
      <c r="EX147" s="2">
        <v>0</v>
      </c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>
        <v>0</v>
      </c>
      <c r="FR147" s="2">
        <v>0</v>
      </c>
      <c r="FS147" s="2">
        <v>0</v>
      </c>
      <c r="FT147" s="2"/>
      <c r="FU147" s="2"/>
      <c r="FV147" s="2"/>
      <c r="FW147" s="2"/>
      <c r="FX147" s="2">
        <v>117</v>
      </c>
      <c r="FY147" s="2">
        <v>74</v>
      </c>
      <c r="FZ147" s="2"/>
      <c r="GA147" s="2" t="s">
        <v>3</v>
      </c>
      <c r="GB147" s="2"/>
      <c r="GC147" s="2"/>
      <c r="GD147" s="2">
        <v>1</v>
      </c>
      <c r="GE147" s="2"/>
      <c r="GF147" s="2">
        <v>123726734</v>
      </c>
      <c r="GG147" s="2">
        <v>2</v>
      </c>
      <c r="GH147" s="2">
        <v>1</v>
      </c>
      <c r="GI147" s="2">
        <v>2</v>
      </c>
      <c r="GJ147" s="2">
        <v>0</v>
      </c>
      <c r="GK147" s="2">
        <v>0</v>
      </c>
      <c r="GL147" s="2">
        <f>ROUND(IF(AND(BH147=3,BI147=3,FS147&lt;&gt;0),P147,0),2)</f>
        <v>0</v>
      </c>
      <c r="GM147" s="2">
        <f>ROUND(O147+X147+Y147,2)+GX147</f>
        <v>788.68</v>
      </c>
      <c r="GN147" s="2">
        <f>IF(OR(BI147=0,BI147=1),GM147-GX147,0)</f>
        <v>788.68</v>
      </c>
      <c r="GO147" s="2">
        <f>IF(BI147=2,GM147-GX147,0)</f>
        <v>0</v>
      </c>
      <c r="GP147" s="2">
        <f>IF(BI147=4,GM147-GX147,0)</f>
        <v>0</v>
      </c>
      <c r="GQ147" s="2"/>
      <c r="GR147" s="2">
        <v>0</v>
      </c>
      <c r="GS147" s="2">
        <v>3</v>
      </c>
      <c r="GT147" s="2">
        <v>0</v>
      </c>
      <c r="GU147" s="2" t="s">
        <v>3</v>
      </c>
      <c r="GV147" s="2">
        <f>ROUND((GT147),6)</f>
        <v>0</v>
      </c>
      <c r="GW147" s="2">
        <v>1</v>
      </c>
      <c r="GX147" s="2">
        <f>ROUND(HC147*I147,2)</f>
        <v>0</v>
      </c>
      <c r="GY147" s="2"/>
      <c r="GZ147" s="2"/>
      <c r="HA147" s="2">
        <v>0</v>
      </c>
      <c r="HB147" s="2">
        <v>0</v>
      </c>
      <c r="HC147" s="2">
        <f>GV147*GW147</f>
        <v>0</v>
      </c>
      <c r="HD147" s="2"/>
      <c r="HE147" s="2" t="s">
        <v>3</v>
      </c>
      <c r="HF147" s="2" t="s">
        <v>3</v>
      </c>
      <c r="HG147" s="2"/>
      <c r="HH147" s="2"/>
      <c r="HI147" s="2"/>
      <c r="HJ147" s="2"/>
      <c r="HK147" s="2"/>
      <c r="HL147" s="2"/>
      <c r="HM147" s="2" t="s">
        <v>3</v>
      </c>
      <c r="HN147" s="2" t="s">
        <v>102</v>
      </c>
      <c r="HO147" s="2" t="s">
        <v>103</v>
      </c>
      <c r="HP147" s="2" t="s">
        <v>100</v>
      </c>
      <c r="HQ147" s="2" t="s">
        <v>100</v>
      </c>
      <c r="HR147" s="2"/>
      <c r="HS147" s="2">
        <v>0</v>
      </c>
      <c r="HT147" s="2"/>
      <c r="HU147" s="2"/>
      <c r="HV147" s="2"/>
      <c r="HW147" s="2"/>
      <c r="HX147" s="2"/>
      <c r="HY147" s="2"/>
      <c r="HZ147" s="2"/>
      <c r="IA147" s="2"/>
      <c r="IB147" s="2"/>
      <c r="IC147" s="2"/>
      <c r="ID147" s="2"/>
      <c r="IE147" s="2"/>
      <c r="IF147" s="2"/>
      <c r="IG147" s="2"/>
      <c r="IH147" s="2"/>
      <c r="II147" s="2"/>
      <c r="IJ147" s="2"/>
      <c r="IK147" s="2">
        <v>0</v>
      </c>
      <c r="IL147" s="2"/>
      <c r="IM147" s="2"/>
      <c r="IN147" s="2"/>
      <c r="IO147" s="2"/>
      <c r="IP147" s="2"/>
      <c r="IQ147" s="2"/>
      <c r="IR147" s="2"/>
      <c r="IS147" s="2"/>
      <c r="IT147" s="2"/>
      <c r="IU147" s="2"/>
    </row>
    <row r="148" spans="1:255" ht="13.05" customHeight="1" x14ac:dyDescent="0.25">
      <c r="A148">
        <v>19</v>
      </c>
      <c r="B148">
        <v>1</v>
      </c>
      <c r="F148" t="s">
        <v>3</v>
      </c>
      <c r="G148" t="s">
        <v>250</v>
      </c>
      <c r="H148" t="s">
        <v>3</v>
      </c>
      <c r="AA148">
        <v>1</v>
      </c>
      <c r="IK148">
        <v>0</v>
      </c>
    </row>
    <row r="149" spans="1:255" ht="13.05" customHeight="1" x14ac:dyDescent="0.25">
      <c r="A149" s="2">
        <v>17</v>
      </c>
      <c r="B149" s="2">
        <v>1</v>
      </c>
      <c r="C149" s="2">
        <f>ROW(SmtRes!A107)</f>
        <v>107</v>
      </c>
      <c r="D149" s="2">
        <f>ROW(EtalonRes!A111)</f>
        <v>111</v>
      </c>
      <c r="E149" s="2" t="s">
        <v>251</v>
      </c>
      <c r="F149" s="2" t="s">
        <v>252</v>
      </c>
      <c r="G149" s="2" t="s">
        <v>253</v>
      </c>
      <c r="H149" s="2" t="s">
        <v>174</v>
      </c>
      <c r="I149" s="2">
        <v>4.4999999999999997E-3</v>
      </c>
      <c r="J149" s="2">
        <v>0</v>
      </c>
      <c r="K149" s="2">
        <v>4.4999999999999997E-3</v>
      </c>
      <c r="L149" s="2"/>
      <c r="M149" s="2"/>
      <c r="N149" s="2"/>
      <c r="O149" s="2">
        <f>ROUND(CP149,2)</f>
        <v>157.80000000000001</v>
      </c>
      <c r="P149" s="2">
        <f>SUMIF(SmtRes!AQ87:'SmtRes'!AQ107,"=1",SmtRes!DF87:'SmtRes'!DF107)</f>
        <v>15.45</v>
      </c>
      <c r="Q149" s="2">
        <f>SUMIF(SmtRes!AQ87:'SmtRes'!AQ107,"=1",SmtRes!DG87:'SmtRes'!DG107)</f>
        <v>9.44</v>
      </c>
      <c r="R149" s="2">
        <f>SUMIF(SmtRes!AQ87:'SmtRes'!AQ107,"=1",SmtRes!DH87:'SmtRes'!DH107)</f>
        <v>0.58000000000000007</v>
      </c>
      <c r="S149" s="2">
        <f>SUMIF(SmtRes!AQ87:'SmtRes'!AQ107,"=1",SmtRes!DI87:'SmtRes'!DI107)</f>
        <v>132.33000000000001</v>
      </c>
      <c r="T149" s="2">
        <f>ROUND(CU149*I149,2)</f>
        <v>0</v>
      </c>
      <c r="U149" s="2">
        <f>SUMIF(SmtRes!AQ87:'SmtRes'!AQ107,"=1",SmtRes!CV87:'SmtRes'!CV107)</f>
        <v>0.38088</v>
      </c>
      <c r="V149" s="2">
        <f>SUMIF(SmtRes!AQ87:'SmtRes'!AQ107,"=1",SmtRes!CW87:'SmtRes'!CW107)</f>
        <v>1.3973E-3</v>
      </c>
      <c r="W149" s="2">
        <f>ROUND(CX149*I149,2)</f>
        <v>0</v>
      </c>
      <c r="X149" s="2">
        <f>ROUND(CY149,2)</f>
        <v>123.61</v>
      </c>
      <c r="Y149" s="2">
        <f>ROUND(CZ149,2)</f>
        <v>82.4</v>
      </c>
      <c r="Z149" s="2"/>
      <c r="AA149" s="2">
        <v>75604747</v>
      </c>
      <c r="AB149" s="2">
        <f>ROUND((AC149+AD149+AF149),6)</f>
        <v>35074.441373000001</v>
      </c>
      <c r="AC149" s="2">
        <f>ROUND((SUM(SmtRes!BQ87:'SmtRes'!BQ107)),6)</f>
        <v>3602.4873980000002</v>
      </c>
      <c r="AD149" s="2">
        <f>ROUND((((SUM(SmtRes!BR87:'SmtRes'!BR107))-(SUM(SmtRes!BS87:'SmtRes'!BS107)))+AE149),6)</f>
        <v>2066.3251749999999</v>
      </c>
      <c r="AE149" s="2">
        <f>ROUND((SUM(SmtRes!BS87:'SmtRes'!BS107)),6)</f>
        <v>130.250955</v>
      </c>
      <c r="AF149" s="2">
        <f>ROUND((SUM(SmtRes!BT87:'SmtRes'!BT107)),6)</f>
        <v>29405.628799999999</v>
      </c>
      <c r="AG149" s="2">
        <f>ROUND((AP149),6)</f>
        <v>0</v>
      </c>
      <c r="AH149" s="2">
        <f>(SUM(SmtRes!BU87:'SmtRes'!BU107))</f>
        <v>84.639999999999986</v>
      </c>
      <c r="AI149" s="2">
        <f>(SUM(SmtRes!BV87:'SmtRes'!BV107))</f>
        <v>0.3105</v>
      </c>
      <c r="AJ149" s="2">
        <f>(AS149)</f>
        <v>0</v>
      </c>
      <c r="AK149" s="2">
        <v>31082.665598399999</v>
      </c>
      <c r="AL149" s="2">
        <v>3602.4873984000001</v>
      </c>
      <c r="AM149" s="2">
        <v>1796.8045000000002</v>
      </c>
      <c r="AN149" s="2">
        <v>113.26169999999999</v>
      </c>
      <c r="AO149" s="2">
        <v>25570.112000000001</v>
      </c>
      <c r="AP149" s="2">
        <v>0</v>
      </c>
      <c r="AQ149" s="2">
        <v>73.599999999999994</v>
      </c>
      <c r="AR149" s="2">
        <v>0.27</v>
      </c>
      <c r="AS149" s="2">
        <v>0</v>
      </c>
      <c r="AT149" s="2">
        <v>93</v>
      </c>
      <c r="AU149" s="2">
        <v>62</v>
      </c>
      <c r="AV149" s="2">
        <v>1</v>
      </c>
      <c r="AW149" s="2">
        <v>1</v>
      </c>
      <c r="AX149" s="2"/>
      <c r="AY149" s="2"/>
      <c r="AZ149" s="2">
        <v>1</v>
      </c>
      <c r="BA149" s="2">
        <v>1</v>
      </c>
      <c r="BB149" s="2">
        <v>1</v>
      </c>
      <c r="BC149" s="2">
        <v>1</v>
      </c>
      <c r="BD149" s="2" t="s">
        <v>3</v>
      </c>
      <c r="BE149" s="2" t="s">
        <v>3</v>
      </c>
      <c r="BF149" s="2" t="s">
        <v>3</v>
      </c>
      <c r="BG149" s="2" t="s">
        <v>3</v>
      </c>
      <c r="BH149" s="2">
        <v>0</v>
      </c>
      <c r="BI149" s="2">
        <v>1</v>
      </c>
      <c r="BJ149" s="2" t="s">
        <v>254</v>
      </c>
      <c r="BK149" s="2"/>
      <c r="BL149" s="2"/>
      <c r="BM149" s="2">
        <v>9001</v>
      </c>
      <c r="BN149" s="2">
        <v>0</v>
      </c>
      <c r="BO149" s="2" t="s">
        <v>3</v>
      </c>
      <c r="BP149" s="2">
        <v>0</v>
      </c>
      <c r="BQ149" s="2">
        <v>2</v>
      </c>
      <c r="BR149" s="2">
        <v>0</v>
      </c>
      <c r="BS149" s="2">
        <v>1</v>
      </c>
      <c r="BT149" s="2">
        <v>1</v>
      </c>
      <c r="BU149" s="2">
        <v>1</v>
      </c>
      <c r="BV149" s="2">
        <v>1</v>
      </c>
      <c r="BW149" s="2">
        <v>1</v>
      </c>
      <c r="BX149" s="2">
        <v>1</v>
      </c>
      <c r="BY149" s="2" t="s">
        <v>3</v>
      </c>
      <c r="BZ149" s="2">
        <v>93</v>
      </c>
      <c r="CA149" s="2">
        <v>62</v>
      </c>
      <c r="CB149" s="2" t="s">
        <v>3</v>
      </c>
      <c r="CC149" s="2"/>
      <c r="CD149" s="2"/>
      <c r="CE149" s="2">
        <v>0</v>
      </c>
      <c r="CF149" s="2">
        <v>0</v>
      </c>
      <c r="CG149" s="2">
        <v>0</v>
      </c>
      <c r="CH149" s="2"/>
      <c r="CI149" s="2"/>
      <c r="CJ149" s="2"/>
      <c r="CK149" s="2"/>
      <c r="CL149" s="2"/>
      <c r="CM149" s="2">
        <v>0</v>
      </c>
      <c r="CN149" s="7" t="s">
        <v>802</v>
      </c>
      <c r="CO149" s="2">
        <v>0</v>
      </c>
      <c r="CP149" s="2">
        <f>(P149+Q149+S149+R149)</f>
        <v>157.80000000000004</v>
      </c>
      <c r="CQ149" s="2">
        <f>SUMIF(SmtRes!AQ87:'SmtRes'!AQ107,"=1",SmtRes!AA87:'SmtRes'!AA107)</f>
        <v>879980.35</v>
      </c>
      <c r="CR149" s="2">
        <f>SUMIF(SmtRes!AQ87:'SmtRes'!AQ107,"=1",SmtRes!AB87:'SmtRes'!AB107)</f>
        <v>2266.54</v>
      </c>
      <c r="CS149" s="2">
        <f>SUMIF(SmtRes!AQ87:'SmtRes'!AQ107,"=1",SmtRes!AC87:'SmtRes'!AC107)</f>
        <v>862.37</v>
      </c>
      <c r="CT149" s="2">
        <f>SUMIF(SmtRes!AQ87:'SmtRes'!AQ107,"=1",SmtRes!AD87:'SmtRes'!AD107)</f>
        <v>347.42</v>
      </c>
      <c r="CU149" s="2">
        <f>AG149</f>
        <v>0</v>
      </c>
      <c r="CV149" s="2">
        <f>SUMIF(SmtRes!AQ87:'SmtRes'!AQ107,"=1",SmtRes!BU87:'SmtRes'!BU107)</f>
        <v>84.639999999999986</v>
      </c>
      <c r="CW149" s="2">
        <f>SUMIF(SmtRes!AQ87:'SmtRes'!AQ107,"=1",SmtRes!BV87:'SmtRes'!BV107)</f>
        <v>0.3105</v>
      </c>
      <c r="CX149" s="2">
        <f>AJ149</f>
        <v>0</v>
      </c>
      <c r="CY149" s="2">
        <f>(((S149+R149)*AT149)/100)</f>
        <v>123.60630000000003</v>
      </c>
      <c r="CZ149" s="2">
        <f>(((S149+R149)*AU149)/100)</f>
        <v>82.404200000000017</v>
      </c>
      <c r="DA149" s="2"/>
      <c r="DB149" s="2">
        <v>25</v>
      </c>
      <c r="DC149" s="2" t="s">
        <v>3</v>
      </c>
      <c r="DD149" s="2" t="s">
        <v>3</v>
      </c>
      <c r="DE149" s="2" t="s">
        <v>27</v>
      </c>
      <c r="DF149" s="2" t="s">
        <v>27</v>
      </c>
      <c r="DG149" s="2" t="s">
        <v>27</v>
      </c>
      <c r="DH149" s="2" t="s">
        <v>3</v>
      </c>
      <c r="DI149" s="2" t="s">
        <v>27</v>
      </c>
      <c r="DJ149" s="2" t="s">
        <v>27</v>
      </c>
      <c r="DK149" s="2" t="s">
        <v>3</v>
      </c>
      <c r="DL149" s="2" t="s">
        <v>3</v>
      </c>
      <c r="DM149" s="2" t="s">
        <v>3</v>
      </c>
      <c r="DN149" s="2">
        <v>0</v>
      </c>
      <c r="DO149" s="2">
        <v>0</v>
      </c>
      <c r="DP149" s="2">
        <v>1</v>
      </c>
      <c r="DQ149" s="2">
        <v>1</v>
      </c>
      <c r="DR149" s="2"/>
      <c r="DS149" s="2"/>
      <c r="DT149" s="2"/>
      <c r="DU149" s="2">
        <v>1009</v>
      </c>
      <c r="DV149" s="2" t="s">
        <v>174</v>
      </c>
      <c r="DW149" s="2" t="s">
        <v>174</v>
      </c>
      <c r="DX149" s="2">
        <v>1000</v>
      </c>
      <c r="DY149" s="2"/>
      <c r="DZ149" s="2" t="s">
        <v>3</v>
      </c>
      <c r="EA149" s="2" t="s">
        <v>3</v>
      </c>
      <c r="EB149" s="2" t="s">
        <v>3</v>
      </c>
      <c r="EC149" s="2" t="s">
        <v>3</v>
      </c>
      <c r="ED149" s="2"/>
      <c r="EE149" s="2">
        <v>74004197</v>
      </c>
      <c r="EF149" s="2">
        <v>2</v>
      </c>
      <c r="EG149" s="2" t="s">
        <v>29</v>
      </c>
      <c r="EH149" s="2">
        <v>9</v>
      </c>
      <c r="EI149" s="2" t="s">
        <v>255</v>
      </c>
      <c r="EJ149" s="2">
        <v>1</v>
      </c>
      <c r="EK149" s="2">
        <v>9001</v>
      </c>
      <c r="EL149" s="2" t="s">
        <v>255</v>
      </c>
      <c r="EM149" s="2" t="s">
        <v>256</v>
      </c>
      <c r="EN149" s="2"/>
      <c r="EO149" s="2" t="s">
        <v>39</v>
      </c>
      <c r="EP149" s="2"/>
      <c r="EQ149" s="2">
        <v>262144</v>
      </c>
      <c r="ER149" s="2">
        <v>0</v>
      </c>
      <c r="ES149" s="2">
        <v>0</v>
      </c>
      <c r="ET149" s="2">
        <v>0</v>
      </c>
      <c r="EU149" s="2">
        <v>0</v>
      </c>
      <c r="EV149" s="2">
        <v>0</v>
      </c>
      <c r="EW149" s="2">
        <v>73.599999999999994</v>
      </c>
      <c r="EX149" s="2">
        <v>0.27</v>
      </c>
      <c r="EY149" s="2">
        <v>0</v>
      </c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>
        <v>0</v>
      </c>
      <c r="FR149" s="2">
        <v>0</v>
      </c>
      <c r="FS149" s="2">
        <v>0</v>
      </c>
      <c r="FT149" s="2"/>
      <c r="FU149" s="2"/>
      <c r="FV149" s="2"/>
      <c r="FW149" s="2"/>
      <c r="FX149" s="2">
        <v>93</v>
      </c>
      <c r="FY149" s="2">
        <v>62</v>
      </c>
      <c r="FZ149" s="2"/>
      <c r="GA149" s="2" t="s">
        <v>3</v>
      </c>
      <c r="GB149" s="2"/>
      <c r="GC149" s="2"/>
      <c r="GD149" s="2">
        <v>1</v>
      </c>
      <c r="GE149" s="2"/>
      <c r="GF149" s="2">
        <v>-1113579298</v>
      </c>
      <c r="GG149" s="2">
        <v>2</v>
      </c>
      <c r="GH149" s="2">
        <v>1</v>
      </c>
      <c r="GI149" s="2">
        <v>-2</v>
      </c>
      <c r="GJ149" s="2">
        <v>0</v>
      </c>
      <c r="GK149" s="2">
        <v>0</v>
      </c>
      <c r="GL149" s="2">
        <f>ROUND(IF(AND(BH149=3,BI149=3,FS149&lt;&gt;0),P149,0),2)</f>
        <v>0</v>
      </c>
      <c r="GM149" s="2">
        <f>ROUND(O149+X149+Y149,2)+GX149</f>
        <v>363.81</v>
      </c>
      <c r="GN149" s="2">
        <f>IF(OR(BI149=0,BI149=1),GM149-GX149,0)</f>
        <v>363.81</v>
      </c>
      <c r="GO149" s="2">
        <f>IF(BI149=2,GM149-GX149,0)</f>
        <v>0</v>
      </c>
      <c r="GP149" s="2">
        <f>IF(BI149=4,GM149-GX149,0)</f>
        <v>0</v>
      </c>
      <c r="GQ149" s="2"/>
      <c r="GR149" s="2">
        <v>0</v>
      </c>
      <c r="GS149" s="2">
        <v>3</v>
      </c>
      <c r="GT149" s="2">
        <v>0</v>
      </c>
      <c r="GU149" s="2" t="s">
        <v>3</v>
      </c>
      <c r="GV149" s="2">
        <f>ROUND((GT149),6)</f>
        <v>0</v>
      </c>
      <c r="GW149" s="2">
        <v>1</v>
      </c>
      <c r="GX149" s="2">
        <f>ROUND(HC149*I149,2)</f>
        <v>0</v>
      </c>
      <c r="GY149" s="2"/>
      <c r="GZ149" s="2"/>
      <c r="HA149" s="2">
        <v>0</v>
      </c>
      <c r="HB149" s="2">
        <v>0</v>
      </c>
      <c r="HC149" s="2">
        <f>GV149*GW149</f>
        <v>0</v>
      </c>
      <c r="HD149" s="2"/>
      <c r="HE149" s="2" t="s">
        <v>3</v>
      </c>
      <c r="HF149" s="2" t="s">
        <v>3</v>
      </c>
      <c r="HG149" s="2"/>
      <c r="HH149" s="2"/>
      <c r="HI149" s="2"/>
      <c r="HJ149" s="2"/>
      <c r="HK149" s="2"/>
      <c r="HL149" s="2"/>
      <c r="HM149" s="2" t="s">
        <v>3</v>
      </c>
      <c r="HN149" s="2" t="s">
        <v>257</v>
      </c>
      <c r="HO149" s="2" t="s">
        <v>258</v>
      </c>
      <c r="HP149" s="2" t="s">
        <v>255</v>
      </c>
      <c r="HQ149" s="2" t="s">
        <v>255</v>
      </c>
      <c r="HR149" s="2"/>
      <c r="HS149" s="2">
        <v>0</v>
      </c>
      <c r="HT149" s="2"/>
      <c r="HU149" s="2"/>
      <c r="HV149" s="2"/>
      <c r="HW149" s="2"/>
      <c r="HX149" s="2"/>
      <c r="HY149" s="2"/>
      <c r="HZ149" s="2"/>
      <c r="IA149" s="2"/>
      <c r="IB149" s="2"/>
      <c r="IC149" s="2"/>
      <c r="ID149" s="2"/>
      <c r="IE149" s="2"/>
      <c r="IF149" s="2"/>
      <c r="IG149" s="2"/>
      <c r="IH149" s="2"/>
      <c r="II149" s="2"/>
      <c r="IJ149" s="2"/>
      <c r="IK149" s="2">
        <v>0</v>
      </c>
      <c r="IL149" s="2"/>
      <c r="IM149" s="2"/>
      <c r="IN149" s="2"/>
      <c r="IO149" s="2"/>
      <c r="IP149" s="2"/>
      <c r="IQ149" s="2"/>
      <c r="IR149" s="2"/>
      <c r="IS149" s="2"/>
      <c r="IT149" s="2"/>
      <c r="IU149" s="2"/>
    </row>
    <row r="150" spans="1:255" ht="13.05" customHeight="1" x14ac:dyDescent="0.25">
      <c r="A150" s="2">
        <v>18</v>
      </c>
      <c r="B150" s="2">
        <v>1</v>
      </c>
      <c r="C150" s="2">
        <v>101</v>
      </c>
      <c r="D150" s="2"/>
      <c r="E150" s="2" t="s">
        <v>259</v>
      </c>
      <c r="F150" s="2" t="s">
        <v>238</v>
      </c>
      <c r="G150" s="2" t="s">
        <v>239</v>
      </c>
      <c r="H150" s="2" t="s">
        <v>240</v>
      </c>
      <c r="I150" s="2">
        <f>I149*J150</f>
        <v>4.5</v>
      </c>
      <c r="J150" s="2">
        <v>1000.0000000000001</v>
      </c>
      <c r="K150" s="2">
        <v>1000</v>
      </c>
      <c r="L150" s="2"/>
      <c r="M150" s="2"/>
      <c r="N150" s="2"/>
      <c r="O150" s="2">
        <f>ROUND(CP150,2)</f>
        <v>1035.45</v>
      </c>
      <c r="P150" s="2">
        <f>ROUND(CQ150*I150,2)</f>
        <v>1035.45</v>
      </c>
      <c r="Q150" s="2">
        <f>ROUND(CR150*I150,2)</f>
        <v>0</v>
      </c>
      <c r="R150" s="2">
        <f>ROUND(CS150*I150,2)</f>
        <v>0</v>
      </c>
      <c r="S150" s="2">
        <f>ROUND(CT150*I150,2)</f>
        <v>0</v>
      </c>
      <c r="T150" s="2">
        <f>ROUND(CU150*I150,2)</f>
        <v>0</v>
      </c>
      <c r="U150" s="2">
        <f>ROUND(CV150*I150,7)</f>
        <v>0</v>
      </c>
      <c r="V150" s="2">
        <f>ROUND(CW150*I150,7)</f>
        <v>0</v>
      </c>
      <c r="W150" s="2">
        <f>ROUND(CX150*I150,2)</f>
        <v>0</v>
      </c>
      <c r="X150" s="2">
        <f>ROUND(CY150,2)</f>
        <v>0</v>
      </c>
      <c r="Y150" s="2">
        <f>ROUND(CZ150,2)</f>
        <v>0</v>
      </c>
      <c r="Z150" s="2"/>
      <c r="AA150" s="2">
        <v>75604747</v>
      </c>
      <c r="AB150" s="2">
        <f>ROUND((AC150+AD150+AF150),6)</f>
        <v>175.65</v>
      </c>
      <c r="AC150" s="2">
        <f>ROUND((ES150),6)</f>
        <v>175.65</v>
      </c>
      <c r="AD150" s="2">
        <f>ROUND((((ET150)-(EU150))+AE150),6)</f>
        <v>0</v>
      </c>
      <c r="AE150" s="2">
        <f>ROUND((EU150),6)</f>
        <v>0</v>
      </c>
      <c r="AF150" s="2">
        <f>ROUND((EV150),6)</f>
        <v>0</v>
      </c>
      <c r="AG150" s="2">
        <f>ROUND((AP150),6)</f>
        <v>0</v>
      </c>
      <c r="AH150" s="2">
        <f>(EW150)</f>
        <v>0</v>
      </c>
      <c r="AI150" s="2">
        <f>(EX150)</f>
        <v>0</v>
      </c>
      <c r="AJ150" s="2">
        <f>(AS150)</f>
        <v>0</v>
      </c>
      <c r="AK150" s="2">
        <v>175.65</v>
      </c>
      <c r="AL150" s="2">
        <v>175.65</v>
      </c>
      <c r="AM150" s="2">
        <v>0</v>
      </c>
      <c r="AN150" s="2">
        <v>0</v>
      </c>
      <c r="AO150" s="2">
        <v>0</v>
      </c>
      <c r="AP150" s="2">
        <v>0</v>
      </c>
      <c r="AQ150" s="2">
        <v>0</v>
      </c>
      <c r="AR150" s="2">
        <v>0</v>
      </c>
      <c r="AS150" s="2">
        <v>0</v>
      </c>
      <c r="AT150" s="2">
        <v>117</v>
      </c>
      <c r="AU150" s="2">
        <v>74</v>
      </c>
      <c r="AV150" s="2">
        <v>1</v>
      </c>
      <c r="AW150" s="2">
        <v>1</v>
      </c>
      <c r="AX150" s="2"/>
      <c r="AY150" s="2"/>
      <c r="AZ150" s="2">
        <v>1</v>
      </c>
      <c r="BA150" s="2">
        <v>1</v>
      </c>
      <c r="BB150" s="2">
        <v>1</v>
      </c>
      <c r="BC150" s="2">
        <v>1.31</v>
      </c>
      <c r="BD150" s="2" t="s">
        <v>3</v>
      </c>
      <c r="BE150" s="2" t="s">
        <v>3</v>
      </c>
      <c r="BF150" s="2" t="s">
        <v>3</v>
      </c>
      <c r="BG150" s="2" t="s">
        <v>3</v>
      </c>
      <c r="BH150" s="2">
        <v>3</v>
      </c>
      <c r="BI150" s="2">
        <v>1</v>
      </c>
      <c r="BJ150" s="2" t="s">
        <v>241</v>
      </c>
      <c r="BK150" s="2"/>
      <c r="BL150" s="2"/>
      <c r="BM150" s="2">
        <v>24001</v>
      </c>
      <c r="BN150" s="2">
        <v>0</v>
      </c>
      <c r="BO150" s="2" t="s">
        <v>238</v>
      </c>
      <c r="BP150" s="2">
        <v>1</v>
      </c>
      <c r="BQ150" s="2">
        <v>2</v>
      </c>
      <c r="BR150" s="2">
        <v>0</v>
      </c>
      <c r="BS150" s="2">
        <v>1</v>
      </c>
      <c r="BT150" s="2">
        <v>1</v>
      </c>
      <c r="BU150" s="2">
        <v>1</v>
      </c>
      <c r="BV150" s="2">
        <v>1</v>
      </c>
      <c r="BW150" s="2">
        <v>1</v>
      </c>
      <c r="BX150" s="2">
        <v>1</v>
      </c>
      <c r="BY150" s="2" t="s">
        <v>3</v>
      </c>
      <c r="BZ150" s="2">
        <v>117</v>
      </c>
      <c r="CA150" s="2">
        <v>74</v>
      </c>
      <c r="CB150" s="2" t="s">
        <v>3</v>
      </c>
      <c r="CC150" s="2"/>
      <c r="CD150" s="2"/>
      <c r="CE150" s="2">
        <v>0</v>
      </c>
      <c r="CF150" s="2">
        <v>0</v>
      </c>
      <c r="CG150" s="2">
        <v>0</v>
      </c>
      <c r="CH150" s="2"/>
      <c r="CI150" s="2"/>
      <c r="CJ150" s="2"/>
      <c r="CK150" s="2"/>
      <c r="CL150" s="2"/>
      <c r="CM150" s="2">
        <v>0</v>
      </c>
      <c r="CN150" s="2" t="s">
        <v>3</v>
      </c>
      <c r="CO150" s="2">
        <v>0</v>
      </c>
      <c r="CP150" s="2">
        <f>(P150+Q150+S150+R150)</f>
        <v>1035.45</v>
      </c>
      <c r="CQ150" s="2">
        <f>ROUND(AL150*BC150,2)</f>
        <v>230.1</v>
      </c>
      <c r="CR150" s="2">
        <f>ROUND(AM150*BB150,2)</f>
        <v>0</v>
      </c>
      <c r="CS150" s="2">
        <f>ROUND(AN150*BS150,2)</f>
        <v>0</v>
      </c>
      <c r="CT150" s="2">
        <f>ROUND(AO150*BA150,2)</f>
        <v>0</v>
      </c>
      <c r="CU150" s="2">
        <f>AG150</f>
        <v>0</v>
      </c>
      <c r="CV150" s="2">
        <f>AH150</f>
        <v>0</v>
      </c>
      <c r="CW150" s="2">
        <f>AI150</f>
        <v>0</v>
      </c>
      <c r="CX150" s="2">
        <f>AJ150</f>
        <v>0</v>
      </c>
      <c r="CY150" s="2">
        <f>(((S150+R150)*AT150)/100)</f>
        <v>0</v>
      </c>
      <c r="CZ150" s="2">
        <f>(((S150+R150)*AU150)/100)</f>
        <v>0</v>
      </c>
      <c r="DA150" s="2"/>
      <c r="DB150" s="2"/>
      <c r="DC150" s="2" t="s">
        <v>3</v>
      </c>
      <c r="DD150" s="2" t="s">
        <v>3</v>
      </c>
      <c r="DE150" s="2" t="s">
        <v>3</v>
      </c>
      <c r="DF150" s="2" t="s">
        <v>3</v>
      </c>
      <c r="DG150" s="2" t="s">
        <v>3</v>
      </c>
      <c r="DH150" s="2" t="s">
        <v>3</v>
      </c>
      <c r="DI150" s="2" t="s">
        <v>3</v>
      </c>
      <c r="DJ150" s="2" t="s">
        <v>3</v>
      </c>
      <c r="DK150" s="2" t="s">
        <v>3</v>
      </c>
      <c r="DL150" s="2" t="s">
        <v>3</v>
      </c>
      <c r="DM150" s="2" t="s">
        <v>3</v>
      </c>
      <c r="DN150" s="2">
        <v>0</v>
      </c>
      <c r="DO150" s="2">
        <v>0</v>
      </c>
      <c r="DP150" s="2">
        <v>1</v>
      </c>
      <c r="DQ150" s="2">
        <v>1</v>
      </c>
      <c r="DR150" s="2"/>
      <c r="DS150" s="2"/>
      <c r="DT150" s="2"/>
      <c r="DU150" s="2">
        <v>1009</v>
      </c>
      <c r="DV150" s="2" t="s">
        <v>240</v>
      </c>
      <c r="DW150" s="2" t="s">
        <v>240</v>
      </c>
      <c r="DX150" s="2">
        <v>1</v>
      </c>
      <c r="DY150" s="2"/>
      <c r="DZ150" s="2" t="s">
        <v>3</v>
      </c>
      <c r="EA150" s="2" t="s">
        <v>3</v>
      </c>
      <c r="EB150" s="2" t="s">
        <v>3</v>
      </c>
      <c r="EC150" s="2" t="s">
        <v>3</v>
      </c>
      <c r="ED150" s="2"/>
      <c r="EE150" s="2">
        <v>74004233</v>
      </c>
      <c r="EF150" s="2">
        <v>2</v>
      </c>
      <c r="EG150" s="2" t="s">
        <v>29</v>
      </c>
      <c r="EH150" s="2">
        <v>18</v>
      </c>
      <c r="EI150" s="2" t="s">
        <v>100</v>
      </c>
      <c r="EJ150" s="2">
        <v>1</v>
      </c>
      <c r="EK150" s="2">
        <v>24001</v>
      </c>
      <c r="EL150" s="2" t="s">
        <v>100</v>
      </c>
      <c r="EM150" s="2" t="s">
        <v>236</v>
      </c>
      <c r="EN150" s="2"/>
      <c r="EO150" s="2" t="s">
        <v>3</v>
      </c>
      <c r="EP150" s="2"/>
      <c r="EQ150" s="2">
        <v>262144</v>
      </c>
      <c r="ER150" s="2">
        <v>175.65</v>
      </c>
      <c r="ES150" s="2">
        <v>175.65</v>
      </c>
      <c r="ET150" s="2">
        <v>0</v>
      </c>
      <c r="EU150" s="2">
        <v>0</v>
      </c>
      <c r="EV150" s="2">
        <v>0</v>
      </c>
      <c r="EW150" s="2">
        <v>0</v>
      </c>
      <c r="EX150" s="2">
        <v>0</v>
      </c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>
        <v>0</v>
      </c>
      <c r="FR150" s="2">
        <v>0</v>
      </c>
      <c r="FS150" s="2">
        <v>0</v>
      </c>
      <c r="FT150" s="2"/>
      <c r="FU150" s="2"/>
      <c r="FV150" s="2"/>
      <c r="FW150" s="2"/>
      <c r="FX150" s="2">
        <v>117</v>
      </c>
      <c r="FY150" s="2">
        <v>74</v>
      </c>
      <c r="FZ150" s="2"/>
      <c r="GA150" s="2" t="s">
        <v>3</v>
      </c>
      <c r="GB150" s="2"/>
      <c r="GC150" s="2"/>
      <c r="GD150" s="2">
        <v>1</v>
      </c>
      <c r="GE150" s="2"/>
      <c r="GF150" s="2">
        <v>-738673789</v>
      </c>
      <c r="GG150" s="2">
        <v>2</v>
      </c>
      <c r="GH150" s="2">
        <v>1</v>
      </c>
      <c r="GI150" s="2">
        <v>2</v>
      </c>
      <c r="GJ150" s="2">
        <v>0</v>
      </c>
      <c r="GK150" s="2">
        <v>0</v>
      </c>
      <c r="GL150" s="2">
        <f>ROUND(IF(AND(BH150=3,BI150=3,FS150&lt;&gt;0),P150,0),2)</f>
        <v>0</v>
      </c>
      <c r="GM150" s="2">
        <f>ROUND(O150+X150+Y150,2)+GX150</f>
        <v>1035.45</v>
      </c>
      <c r="GN150" s="2">
        <f>IF(OR(BI150=0,BI150=1),GM150-GX150,0)</f>
        <v>1035.45</v>
      </c>
      <c r="GO150" s="2">
        <f>IF(BI150=2,GM150-GX150,0)</f>
        <v>0</v>
      </c>
      <c r="GP150" s="2">
        <f>IF(BI150=4,GM150-GX150,0)</f>
        <v>0</v>
      </c>
      <c r="GQ150" s="2"/>
      <c r="GR150" s="2">
        <v>0</v>
      </c>
      <c r="GS150" s="2">
        <v>3</v>
      </c>
      <c r="GT150" s="2">
        <v>0</v>
      </c>
      <c r="GU150" s="2" t="s">
        <v>3</v>
      </c>
      <c r="GV150" s="2">
        <f>ROUND((GT150),6)</f>
        <v>0</v>
      </c>
      <c r="GW150" s="2">
        <v>1</v>
      </c>
      <c r="GX150" s="2">
        <f>ROUND(HC150*I150,2)</f>
        <v>0</v>
      </c>
      <c r="GY150" s="2"/>
      <c r="GZ150" s="2"/>
      <c r="HA150" s="2">
        <v>0</v>
      </c>
      <c r="HB150" s="2">
        <v>0</v>
      </c>
      <c r="HC150" s="2">
        <f>GV150*GW150</f>
        <v>0</v>
      </c>
      <c r="HD150" s="2"/>
      <c r="HE150" s="2" t="s">
        <v>3</v>
      </c>
      <c r="HF150" s="2" t="s">
        <v>3</v>
      </c>
      <c r="HG150" s="2"/>
      <c r="HH150" s="2"/>
      <c r="HI150" s="2"/>
      <c r="HJ150" s="2"/>
      <c r="HK150" s="2"/>
      <c r="HL150" s="2"/>
      <c r="HM150" s="2" t="s">
        <v>3</v>
      </c>
      <c r="HN150" s="2" t="s">
        <v>102</v>
      </c>
      <c r="HO150" s="2" t="s">
        <v>103</v>
      </c>
      <c r="HP150" s="2" t="s">
        <v>100</v>
      </c>
      <c r="HQ150" s="2" t="s">
        <v>100</v>
      </c>
      <c r="HR150" s="2"/>
      <c r="HS150" s="2">
        <v>0</v>
      </c>
      <c r="HT150" s="2"/>
      <c r="HU150" s="2"/>
      <c r="HV150" s="2"/>
      <c r="HW150" s="2"/>
      <c r="HX150" s="2"/>
      <c r="HY150" s="2"/>
      <c r="HZ150" s="2"/>
      <c r="IA150" s="2"/>
      <c r="IB150" s="2"/>
      <c r="IC150" s="2"/>
      <c r="ID150" s="2"/>
      <c r="IE150" s="2"/>
      <c r="IF150" s="2"/>
      <c r="IG150" s="2"/>
      <c r="IH150" s="2"/>
      <c r="II150" s="2"/>
      <c r="IJ150" s="2"/>
      <c r="IK150" s="2">
        <v>0</v>
      </c>
      <c r="IL150" s="2"/>
      <c r="IM150" s="2"/>
      <c r="IN150" s="2"/>
      <c r="IO150" s="2"/>
      <c r="IP150" s="2"/>
      <c r="IQ150" s="2"/>
      <c r="IR150" s="2"/>
      <c r="IS150" s="2"/>
      <c r="IT150" s="2"/>
      <c r="IU150" s="2"/>
    </row>
    <row r="151" spans="1:255" ht="13.05" customHeight="1" x14ac:dyDescent="0.25">
      <c r="A151">
        <v>19</v>
      </c>
      <c r="B151">
        <v>1</v>
      </c>
      <c r="F151" t="s">
        <v>3</v>
      </c>
      <c r="G151" t="s">
        <v>260</v>
      </c>
      <c r="H151" t="s">
        <v>3</v>
      </c>
      <c r="AA151">
        <v>1</v>
      </c>
      <c r="IK151">
        <v>0</v>
      </c>
    </row>
    <row r="152" spans="1:255" ht="13.05" customHeight="1" x14ac:dyDescent="0.25">
      <c r="A152" s="2">
        <v>17</v>
      </c>
      <c r="B152" s="2">
        <v>1</v>
      </c>
      <c r="C152" s="2">
        <f>ROW(SmtRes!A123)</f>
        <v>123</v>
      </c>
      <c r="D152" s="2">
        <f>ROW(EtalonRes!A130)</f>
        <v>130</v>
      </c>
      <c r="E152" s="2" t="s">
        <v>261</v>
      </c>
      <c r="F152" s="2" t="s">
        <v>262</v>
      </c>
      <c r="G152" s="2" t="s">
        <v>263</v>
      </c>
      <c r="H152" s="2" t="s">
        <v>234</v>
      </c>
      <c r="I152" s="2">
        <v>4.4999999999999998E-2</v>
      </c>
      <c r="J152" s="2">
        <v>0</v>
      </c>
      <c r="K152" s="2">
        <v>4.4999999999999998E-2</v>
      </c>
      <c r="L152" s="2"/>
      <c r="M152" s="2"/>
      <c r="N152" s="2"/>
      <c r="O152" s="2">
        <f>ROUND(CP152,2)</f>
        <v>14026.54</v>
      </c>
      <c r="P152" s="2">
        <f>SUMIF(SmtRes!AQ108:'SmtRes'!AQ123,"=1",SmtRes!DF108:'SmtRes'!DF123)</f>
        <v>393.84999999999997</v>
      </c>
      <c r="Q152" s="2">
        <f>SUMIF(SmtRes!AQ108:'SmtRes'!AQ123,"=1",SmtRes!DG108:'SmtRes'!DG123)</f>
        <v>4103.3099999999995</v>
      </c>
      <c r="R152" s="2">
        <f>SUMIF(SmtRes!AQ108:'SmtRes'!AQ123,"=1",SmtRes!DH108:'SmtRes'!DH123)</f>
        <v>1256.5100000000002</v>
      </c>
      <c r="S152" s="2">
        <f>SUMIF(SmtRes!AQ108:'SmtRes'!AQ123,"=1",SmtRes!DI108:'SmtRes'!DI123)</f>
        <v>8272.8700000000008</v>
      </c>
      <c r="T152" s="2">
        <f>ROUND(CU152*I152,2)</f>
        <v>0</v>
      </c>
      <c r="U152" s="2">
        <f>SUMIF(SmtRes!AQ108:'SmtRes'!AQ123,"=1",SmtRes!CV108:'SmtRes'!CV123)</f>
        <v>22.149000000000001</v>
      </c>
      <c r="V152" s="2">
        <f>SUMIF(SmtRes!AQ108:'SmtRes'!AQ123,"=1",SmtRes!CW108:'SmtRes'!CW123)</f>
        <v>3.2229900000000002</v>
      </c>
      <c r="W152" s="2">
        <f>ROUND(CX152*I152,2)</f>
        <v>0</v>
      </c>
      <c r="X152" s="2">
        <f t="shared" ref="X152:Y155" si="51">ROUND(CY152,2)</f>
        <v>11149.37</v>
      </c>
      <c r="Y152" s="2">
        <f t="shared" si="51"/>
        <v>7051.74</v>
      </c>
      <c r="Z152" s="2"/>
      <c r="AA152" s="2">
        <v>75604747</v>
      </c>
      <c r="AB152" s="2">
        <f>ROUND((AC152+AD152+AF152),6)</f>
        <v>271535.97265000001</v>
      </c>
      <c r="AC152" s="2">
        <f>ROUND((SUM(SmtRes!BQ108:'SmtRes'!BQ123)),6)</f>
        <v>9655.8026000000009</v>
      </c>
      <c r="AD152" s="2">
        <f>ROUND((((SUM(SmtRes!BR108:'SmtRes'!BR123))-(SUM(SmtRes!BS108:'SmtRes'!BS123)))+AE152),6)</f>
        <v>78038.548049999998</v>
      </c>
      <c r="AE152" s="2">
        <f>ROUND((SUM(SmtRes!BS108:'SmtRes'!BS123)),6)</f>
        <v>27922.467704999999</v>
      </c>
      <c r="AF152" s="2">
        <f>ROUND((SUM(SmtRes!BT108:'SmtRes'!BT123)),6)</f>
        <v>183841.622</v>
      </c>
      <c r="AG152" s="2">
        <f>ROUND((AP152),6)</f>
        <v>0</v>
      </c>
      <c r="AH152" s="2">
        <f>(SUM(SmtRes!BU108:'SmtRes'!BU123))</f>
        <v>492.2</v>
      </c>
      <c r="AI152" s="2">
        <f>(SUM(SmtRes!BV108:'SmtRes'!BV123))</f>
        <v>71.621999999999986</v>
      </c>
      <c r="AJ152" s="2">
        <f>(AS152)</f>
        <v>0</v>
      </c>
      <c r="AK152" s="2">
        <v>261658.09629999998</v>
      </c>
      <c r="AL152" s="2">
        <v>9655.8026000000009</v>
      </c>
      <c r="AM152" s="2">
        <v>67859.607000000004</v>
      </c>
      <c r="AN152" s="2">
        <v>24280.4067</v>
      </c>
      <c r="AO152" s="2">
        <v>159862.28</v>
      </c>
      <c r="AP152" s="2">
        <v>0</v>
      </c>
      <c r="AQ152" s="2">
        <v>428</v>
      </c>
      <c r="AR152" s="2">
        <v>62.28</v>
      </c>
      <c r="AS152" s="2">
        <v>0</v>
      </c>
      <c r="AT152" s="2">
        <v>117</v>
      </c>
      <c r="AU152" s="2">
        <v>74</v>
      </c>
      <c r="AV152" s="2">
        <v>1</v>
      </c>
      <c r="AW152" s="2">
        <v>1</v>
      </c>
      <c r="AX152" s="2"/>
      <c r="AY152" s="2"/>
      <c r="AZ152" s="2">
        <v>1</v>
      </c>
      <c r="BA152" s="2">
        <v>1</v>
      </c>
      <c r="BB152" s="2">
        <v>1</v>
      </c>
      <c r="BC152" s="2">
        <v>1</v>
      </c>
      <c r="BD152" s="2" t="s">
        <v>3</v>
      </c>
      <c r="BE152" s="2" t="s">
        <v>3</v>
      </c>
      <c r="BF152" s="2" t="s">
        <v>3</v>
      </c>
      <c r="BG152" s="2" t="s">
        <v>3</v>
      </c>
      <c r="BH152" s="2">
        <v>0</v>
      </c>
      <c r="BI152" s="2">
        <v>1</v>
      </c>
      <c r="BJ152" s="2" t="s">
        <v>264</v>
      </c>
      <c r="BK152" s="2"/>
      <c r="BL152" s="2"/>
      <c r="BM152" s="2">
        <v>24001</v>
      </c>
      <c r="BN152" s="2">
        <v>0</v>
      </c>
      <c r="BO152" s="2" t="s">
        <v>3</v>
      </c>
      <c r="BP152" s="2">
        <v>0</v>
      </c>
      <c r="BQ152" s="2">
        <v>2</v>
      </c>
      <c r="BR152" s="2">
        <v>0</v>
      </c>
      <c r="BS152" s="2">
        <v>1</v>
      </c>
      <c r="BT152" s="2">
        <v>1</v>
      </c>
      <c r="BU152" s="2">
        <v>1</v>
      </c>
      <c r="BV152" s="2">
        <v>1</v>
      </c>
      <c r="BW152" s="2">
        <v>1</v>
      </c>
      <c r="BX152" s="2">
        <v>1</v>
      </c>
      <c r="BY152" s="2" t="s">
        <v>3</v>
      </c>
      <c r="BZ152" s="2">
        <v>117</v>
      </c>
      <c r="CA152" s="2">
        <v>74</v>
      </c>
      <c r="CB152" s="2" t="s">
        <v>3</v>
      </c>
      <c r="CC152" s="2"/>
      <c r="CD152" s="2"/>
      <c r="CE152" s="2">
        <v>0</v>
      </c>
      <c r="CF152" s="2">
        <v>0</v>
      </c>
      <c r="CG152" s="2">
        <v>0</v>
      </c>
      <c r="CH152" s="2"/>
      <c r="CI152" s="2"/>
      <c r="CJ152" s="2"/>
      <c r="CK152" s="2"/>
      <c r="CL152" s="2"/>
      <c r="CM152" s="2">
        <v>0</v>
      </c>
      <c r="CN152" s="7" t="s">
        <v>802</v>
      </c>
      <c r="CO152" s="2">
        <v>0</v>
      </c>
      <c r="CP152" s="2">
        <f>(P152+Q152+S152+R152)</f>
        <v>14026.54</v>
      </c>
      <c r="CQ152" s="2">
        <f>SUMIF(SmtRes!AQ108:'SmtRes'!AQ123,"=1",SmtRes!AA108:'SmtRes'!AA123)</f>
        <v>178464.40000000002</v>
      </c>
      <c r="CR152" s="2">
        <f>SUMIF(SmtRes!AQ108:'SmtRes'!AQ123,"=1",SmtRes!AB108:'SmtRes'!AB123)</f>
        <v>5446.91</v>
      </c>
      <c r="CS152" s="2">
        <f>SUMIF(SmtRes!AQ108:'SmtRes'!AQ123,"=1",SmtRes!AC108:'SmtRes'!AC123)</f>
        <v>2021.36</v>
      </c>
      <c r="CT152" s="2">
        <f>SUMIF(SmtRes!AQ108:'SmtRes'!AQ123,"=1",SmtRes!AD108:'SmtRes'!AD123)</f>
        <v>373.51</v>
      </c>
      <c r="CU152" s="2">
        <f>AG152</f>
        <v>0</v>
      </c>
      <c r="CV152" s="2">
        <f>SUMIF(SmtRes!AQ108:'SmtRes'!AQ123,"=1",SmtRes!BU108:'SmtRes'!BU123)</f>
        <v>492.2</v>
      </c>
      <c r="CW152" s="2">
        <f>SUMIF(SmtRes!AQ108:'SmtRes'!AQ123,"=1",SmtRes!BV108:'SmtRes'!BV123)</f>
        <v>71.621999999999986</v>
      </c>
      <c r="CX152" s="2">
        <f>AJ152</f>
        <v>0</v>
      </c>
      <c r="CY152" s="2">
        <f>(((S152+R152)*AT152)/100)</f>
        <v>11149.374600000003</v>
      </c>
      <c r="CZ152" s="2">
        <f>(((S152+R152)*AU152)/100)</f>
        <v>7051.7412000000013</v>
      </c>
      <c r="DA152" s="2"/>
      <c r="DB152" s="2">
        <v>26</v>
      </c>
      <c r="DC152" s="2" t="s">
        <v>3</v>
      </c>
      <c r="DD152" s="2" t="s">
        <v>3</v>
      </c>
      <c r="DE152" s="2" t="s">
        <v>27</v>
      </c>
      <c r="DF152" s="2" t="s">
        <v>27</v>
      </c>
      <c r="DG152" s="2" t="s">
        <v>27</v>
      </c>
      <c r="DH152" s="2" t="s">
        <v>3</v>
      </c>
      <c r="DI152" s="2" t="s">
        <v>27</v>
      </c>
      <c r="DJ152" s="2" t="s">
        <v>27</v>
      </c>
      <c r="DK152" s="2" t="s">
        <v>3</v>
      </c>
      <c r="DL152" s="2" t="s">
        <v>3</v>
      </c>
      <c r="DM152" s="2" t="s">
        <v>3</v>
      </c>
      <c r="DN152" s="2">
        <v>0</v>
      </c>
      <c r="DO152" s="2">
        <v>0</v>
      </c>
      <c r="DP152" s="2">
        <v>1</v>
      </c>
      <c r="DQ152" s="2">
        <v>1</v>
      </c>
      <c r="DR152" s="2"/>
      <c r="DS152" s="2"/>
      <c r="DT152" s="2"/>
      <c r="DU152" s="2">
        <v>1003</v>
      </c>
      <c r="DV152" s="2" t="s">
        <v>234</v>
      </c>
      <c r="DW152" s="2" t="s">
        <v>234</v>
      </c>
      <c r="DX152" s="2">
        <v>1000</v>
      </c>
      <c r="DY152" s="2"/>
      <c r="DZ152" s="2" t="s">
        <v>3</v>
      </c>
      <c r="EA152" s="2" t="s">
        <v>3</v>
      </c>
      <c r="EB152" s="2" t="s">
        <v>3</v>
      </c>
      <c r="EC152" s="2" t="s">
        <v>3</v>
      </c>
      <c r="ED152" s="2"/>
      <c r="EE152" s="2">
        <v>74004233</v>
      </c>
      <c r="EF152" s="2">
        <v>2</v>
      </c>
      <c r="EG152" s="2" t="s">
        <v>29</v>
      </c>
      <c r="EH152" s="2">
        <v>18</v>
      </c>
      <c r="EI152" s="2" t="s">
        <v>100</v>
      </c>
      <c r="EJ152" s="2">
        <v>1</v>
      </c>
      <c r="EK152" s="2">
        <v>24001</v>
      </c>
      <c r="EL152" s="2" t="s">
        <v>100</v>
      </c>
      <c r="EM152" s="2" t="s">
        <v>236</v>
      </c>
      <c r="EN152" s="2"/>
      <c r="EO152" s="2" t="s">
        <v>39</v>
      </c>
      <c r="EP152" s="2"/>
      <c r="EQ152" s="2">
        <v>262144</v>
      </c>
      <c r="ER152" s="2">
        <v>0</v>
      </c>
      <c r="ES152" s="2">
        <v>0</v>
      </c>
      <c r="ET152" s="2">
        <v>0</v>
      </c>
      <c r="EU152" s="2">
        <v>0</v>
      </c>
      <c r="EV152" s="2">
        <v>0</v>
      </c>
      <c r="EW152" s="2">
        <v>428</v>
      </c>
      <c r="EX152" s="2">
        <v>62.28</v>
      </c>
      <c r="EY152" s="2">
        <v>0</v>
      </c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>
        <v>0</v>
      </c>
      <c r="FR152" s="2">
        <v>0</v>
      </c>
      <c r="FS152" s="2">
        <v>0</v>
      </c>
      <c r="FT152" s="2"/>
      <c r="FU152" s="2"/>
      <c r="FV152" s="2"/>
      <c r="FW152" s="2"/>
      <c r="FX152" s="2">
        <v>117</v>
      </c>
      <c r="FY152" s="2">
        <v>74</v>
      </c>
      <c r="FZ152" s="2"/>
      <c r="GA152" s="2" t="s">
        <v>3</v>
      </c>
      <c r="GB152" s="2"/>
      <c r="GC152" s="2"/>
      <c r="GD152" s="2">
        <v>1</v>
      </c>
      <c r="GE152" s="2"/>
      <c r="GF152" s="2">
        <v>-85147733</v>
      </c>
      <c r="GG152" s="2">
        <v>2</v>
      </c>
      <c r="GH152" s="2">
        <v>1</v>
      </c>
      <c r="GI152" s="2">
        <v>-2</v>
      </c>
      <c r="GJ152" s="2">
        <v>0</v>
      </c>
      <c r="GK152" s="2">
        <v>0</v>
      </c>
      <c r="GL152" s="2">
        <f>ROUND(IF(AND(BH152=3,BI152=3,FS152&lt;&gt;0),P152,0),2)</f>
        <v>0</v>
      </c>
      <c r="GM152" s="2">
        <f>ROUND(O152+X152+Y152,2)+GX152</f>
        <v>32227.65</v>
      </c>
      <c r="GN152" s="2">
        <f>IF(OR(BI152=0,BI152=1),GM152-GX152,0)</f>
        <v>32227.65</v>
      </c>
      <c r="GO152" s="2">
        <f>IF(BI152=2,GM152-GX152,0)</f>
        <v>0</v>
      </c>
      <c r="GP152" s="2">
        <f>IF(BI152=4,GM152-GX152,0)</f>
        <v>0</v>
      </c>
      <c r="GQ152" s="2"/>
      <c r="GR152" s="2">
        <v>0</v>
      </c>
      <c r="GS152" s="2">
        <v>3</v>
      </c>
      <c r="GT152" s="2">
        <v>0</v>
      </c>
      <c r="GU152" s="2" t="s">
        <v>3</v>
      </c>
      <c r="GV152" s="2">
        <f>ROUND((GT152),6)</f>
        <v>0</v>
      </c>
      <c r="GW152" s="2">
        <v>1</v>
      </c>
      <c r="GX152" s="2">
        <f>ROUND(HC152*I152,2)</f>
        <v>0</v>
      </c>
      <c r="GY152" s="2"/>
      <c r="GZ152" s="2"/>
      <c r="HA152" s="2">
        <v>0</v>
      </c>
      <c r="HB152" s="2">
        <v>0</v>
      </c>
      <c r="HC152" s="2">
        <f>GV152*GW152</f>
        <v>0</v>
      </c>
      <c r="HD152" s="2"/>
      <c r="HE152" s="2" t="s">
        <v>3</v>
      </c>
      <c r="HF152" s="2" t="s">
        <v>3</v>
      </c>
      <c r="HG152" s="2"/>
      <c r="HH152" s="2"/>
      <c r="HI152" s="2"/>
      <c r="HJ152" s="2"/>
      <c r="HK152" s="2"/>
      <c r="HL152" s="2"/>
      <c r="HM152" s="2" t="s">
        <v>3</v>
      </c>
      <c r="HN152" s="2" t="s">
        <v>102</v>
      </c>
      <c r="HO152" s="2" t="s">
        <v>103</v>
      </c>
      <c r="HP152" s="2" t="s">
        <v>100</v>
      </c>
      <c r="HQ152" s="2" t="s">
        <v>100</v>
      </c>
      <c r="HR152" s="2"/>
      <c r="HS152" s="2">
        <v>0</v>
      </c>
      <c r="HT152" s="2"/>
      <c r="HU152" s="2"/>
      <c r="HV152" s="2"/>
      <c r="HW152" s="2"/>
      <c r="HX152" s="2"/>
      <c r="HY152" s="2"/>
      <c r="HZ152" s="2"/>
      <c r="IA152" s="2"/>
      <c r="IB152" s="2"/>
      <c r="IC152" s="2"/>
      <c r="ID152" s="2"/>
      <c r="IE152" s="2"/>
      <c r="IF152" s="2"/>
      <c r="IG152" s="2"/>
      <c r="IH152" s="2"/>
      <c r="II152" s="2"/>
      <c r="IJ152" s="2"/>
      <c r="IK152" s="2">
        <v>0</v>
      </c>
      <c r="IL152" s="2"/>
      <c r="IM152" s="2"/>
      <c r="IN152" s="2"/>
      <c r="IO152" s="2"/>
      <c r="IP152" s="2"/>
      <c r="IQ152" s="2"/>
      <c r="IR152" s="2"/>
      <c r="IS152" s="2"/>
      <c r="IT152" s="2"/>
      <c r="IU152" s="2"/>
    </row>
    <row r="153" spans="1:255" ht="13.05" customHeight="1" x14ac:dyDescent="0.25">
      <c r="A153" s="2">
        <v>18</v>
      </c>
      <c r="B153" s="2">
        <v>1</v>
      </c>
      <c r="C153" s="2">
        <v>121</v>
      </c>
      <c r="D153" s="2"/>
      <c r="E153" s="2" t="s">
        <v>265</v>
      </c>
      <c r="F153" s="2" t="s">
        <v>238</v>
      </c>
      <c r="G153" s="2" t="s">
        <v>266</v>
      </c>
      <c r="H153" s="2" t="s">
        <v>240</v>
      </c>
      <c r="I153" s="2">
        <f>I152*J153</f>
        <v>13.049999999999999</v>
      </c>
      <c r="J153" s="2">
        <v>290</v>
      </c>
      <c r="K153" s="2">
        <v>290</v>
      </c>
      <c r="L153" s="2"/>
      <c r="M153" s="2"/>
      <c r="N153" s="2"/>
      <c r="O153" s="2">
        <f>ROUND(CP153,2)</f>
        <v>3002.81</v>
      </c>
      <c r="P153" s="2">
        <f>ROUND(CQ153*I153,2)</f>
        <v>3002.81</v>
      </c>
      <c r="Q153" s="2">
        <f>ROUND(CR153*I153,2)</f>
        <v>0</v>
      </c>
      <c r="R153" s="2">
        <f>ROUND(CS153*I153,2)</f>
        <v>0</v>
      </c>
      <c r="S153" s="2">
        <f>ROUND(CT153*I153,2)</f>
        <v>0</v>
      </c>
      <c r="T153" s="2">
        <f>ROUND(CU153*I153,2)</f>
        <v>0</v>
      </c>
      <c r="U153" s="2">
        <f>ROUND(CV153*I153,7)</f>
        <v>0</v>
      </c>
      <c r="V153" s="2">
        <f>ROUND(CW153*I153,7)</f>
        <v>0</v>
      </c>
      <c r="W153" s="2">
        <f>ROUND(CX153*I153,2)</f>
        <v>0</v>
      </c>
      <c r="X153" s="2">
        <f t="shared" si="51"/>
        <v>0</v>
      </c>
      <c r="Y153" s="2">
        <f t="shared" si="51"/>
        <v>0</v>
      </c>
      <c r="Z153" s="2"/>
      <c r="AA153" s="2">
        <v>75604747</v>
      </c>
      <c r="AB153" s="2">
        <f>ROUND((AC153+AD153+AF153),6)</f>
        <v>175.65</v>
      </c>
      <c r="AC153" s="2">
        <f>ROUND((ES153),6)</f>
        <v>175.65</v>
      </c>
      <c r="AD153" s="2">
        <f>ROUND((((ET153)-(EU153))+AE153),6)</f>
        <v>0</v>
      </c>
      <c r="AE153" s="2">
        <f t="shared" ref="AE153:AF155" si="52">ROUND((EU153),6)</f>
        <v>0</v>
      </c>
      <c r="AF153" s="2">
        <f t="shared" si="52"/>
        <v>0</v>
      </c>
      <c r="AG153" s="2">
        <f>ROUND((AP153),6)</f>
        <v>0</v>
      </c>
      <c r="AH153" s="2">
        <f t="shared" ref="AH153:AI155" si="53">(EW153)</f>
        <v>0</v>
      </c>
      <c r="AI153" s="2">
        <f t="shared" si="53"/>
        <v>0</v>
      </c>
      <c r="AJ153" s="2">
        <f>(AS153)</f>
        <v>0</v>
      </c>
      <c r="AK153" s="2">
        <v>175.65</v>
      </c>
      <c r="AL153" s="2">
        <v>175.65</v>
      </c>
      <c r="AM153" s="2">
        <v>0</v>
      </c>
      <c r="AN153" s="2">
        <v>0</v>
      </c>
      <c r="AO153" s="2">
        <v>0</v>
      </c>
      <c r="AP153" s="2">
        <v>0</v>
      </c>
      <c r="AQ153" s="2">
        <v>0</v>
      </c>
      <c r="AR153" s="2">
        <v>0</v>
      </c>
      <c r="AS153" s="2">
        <v>0</v>
      </c>
      <c r="AT153" s="2">
        <v>117</v>
      </c>
      <c r="AU153" s="2">
        <v>74</v>
      </c>
      <c r="AV153" s="2">
        <v>1</v>
      </c>
      <c r="AW153" s="2">
        <v>1</v>
      </c>
      <c r="AX153" s="2"/>
      <c r="AY153" s="2"/>
      <c r="AZ153" s="2">
        <v>1</v>
      </c>
      <c r="BA153" s="2">
        <v>1</v>
      </c>
      <c r="BB153" s="2">
        <v>1</v>
      </c>
      <c r="BC153" s="2">
        <v>1.31</v>
      </c>
      <c r="BD153" s="2" t="s">
        <v>3</v>
      </c>
      <c r="BE153" s="2" t="s">
        <v>3</v>
      </c>
      <c r="BF153" s="2" t="s">
        <v>3</v>
      </c>
      <c r="BG153" s="2" t="s">
        <v>3</v>
      </c>
      <c r="BH153" s="2">
        <v>3</v>
      </c>
      <c r="BI153" s="2">
        <v>1</v>
      </c>
      <c r="BJ153" s="2" t="s">
        <v>241</v>
      </c>
      <c r="BK153" s="2"/>
      <c r="BL153" s="2"/>
      <c r="BM153" s="2">
        <v>24001</v>
      </c>
      <c r="BN153" s="2">
        <v>0</v>
      </c>
      <c r="BO153" s="2" t="s">
        <v>238</v>
      </c>
      <c r="BP153" s="2">
        <v>1</v>
      </c>
      <c r="BQ153" s="2">
        <v>2</v>
      </c>
      <c r="BR153" s="2">
        <v>0</v>
      </c>
      <c r="BS153" s="2">
        <v>1</v>
      </c>
      <c r="BT153" s="2">
        <v>1</v>
      </c>
      <c r="BU153" s="2">
        <v>1</v>
      </c>
      <c r="BV153" s="2">
        <v>1</v>
      </c>
      <c r="BW153" s="2">
        <v>1</v>
      </c>
      <c r="BX153" s="2">
        <v>1</v>
      </c>
      <c r="BY153" s="2" t="s">
        <v>3</v>
      </c>
      <c r="BZ153" s="2">
        <v>117</v>
      </c>
      <c r="CA153" s="2">
        <v>74</v>
      </c>
      <c r="CB153" s="2" t="s">
        <v>3</v>
      </c>
      <c r="CC153" s="2"/>
      <c r="CD153" s="2"/>
      <c r="CE153" s="2">
        <v>0</v>
      </c>
      <c r="CF153" s="2">
        <v>0</v>
      </c>
      <c r="CG153" s="2">
        <v>0</v>
      </c>
      <c r="CH153" s="2"/>
      <c r="CI153" s="2"/>
      <c r="CJ153" s="2"/>
      <c r="CK153" s="2"/>
      <c r="CL153" s="2"/>
      <c r="CM153" s="2">
        <v>0</v>
      </c>
      <c r="CN153" s="2" t="s">
        <v>3</v>
      </c>
      <c r="CO153" s="2">
        <v>0</v>
      </c>
      <c r="CP153" s="2">
        <f>(P153+Q153+S153+R153)</f>
        <v>3002.81</v>
      </c>
      <c r="CQ153" s="2">
        <f>ROUND(AL153*BC153,2)</f>
        <v>230.1</v>
      </c>
      <c r="CR153" s="2">
        <f>ROUND(AM153*BB153,2)</f>
        <v>0</v>
      </c>
      <c r="CS153" s="2">
        <f>ROUND(AN153*BS153,2)</f>
        <v>0</v>
      </c>
      <c r="CT153" s="2">
        <f>ROUND(AO153*BA153,2)</f>
        <v>0</v>
      </c>
      <c r="CU153" s="2">
        <f>AG153</f>
        <v>0</v>
      </c>
      <c r="CV153" s="2">
        <f t="shared" ref="CV153:CW155" si="54">AH153</f>
        <v>0</v>
      </c>
      <c r="CW153" s="2">
        <f t="shared" si="54"/>
        <v>0</v>
      </c>
      <c r="CX153" s="2">
        <f>AJ153</f>
        <v>0</v>
      </c>
      <c r="CY153" s="2">
        <f>(((S153+R153)*AT153)/100)</f>
        <v>0</v>
      </c>
      <c r="CZ153" s="2">
        <f>(((S153+R153)*AU153)/100)</f>
        <v>0</v>
      </c>
      <c r="DA153" s="2"/>
      <c r="DB153" s="2"/>
      <c r="DC153" s="2" t="s">
        <v>3</v>
      </c>
      <c r="DD153" s="2" t="s">
        <v>3</v>
      </c>
      <c r="DE153" s="2" t="s">
        <v>3</v>
      </c>
      <c r="DF153" s="2" t="s">
        <v>3</v>
      </c>
      <c r="DG153" s="2" t="s">
        <v>3</v>
      </c>
      <c r="DH153" s="2" t="s">
        <v>3</v>
      </c>
      <c r="DI153" s="2" t="s">
        <v>3</v>
      </c>
      <c r="DJ153" s="2" t="s">
        <v>3</v>
      </c>
      <c r="DK153" s="2" t="s">
        <v>3</v>
      </c>
      <c r="DL153" s="2" t="s">
        <v>3</v>
      </c>
      <c r="DM153" s="2" t="s">
        <v>3</v>
      </c>
      <c r="DN153" s="2">
        <v>0</v>
      </c>
      <c r="DO153" s="2">
        <v>0</v>
      </c>
      <c r="DP153" s="2">
        <v>1</v>
      </c>
      <c r="DQ153" s="2">
        <v>1</v>
      </c>
      <c r="DR153" s="2"/>
      <c r="DS153" s="2"/>
      <c r="DT153" s="2"/>
      <c r="DU153" s="2">
        <v>1009</v>
      </c>
      <c r="DV153" s="2" t="s">
        <v>240</v>
      </c>
      <c r="DW153" s="2" t="s">
        <v>240</v>
      </c>
      <c r="DX153" s="2">
        <v>1</v>
      </c>
      <c r="DY153" s="2"/>
      <c r="DZ153" s="2" t="s">
        <v>3</v>
      </c>
      <c r="EA153" s="2" t="s">
        <v>3</v>
      </c>
      <c r="EB153" s="2" t="s">
        <v>3</v>
      </c>
      <c r="EC153" s="2" t="s">
        <v>3</v>
      </c>
      <c r="ED153" s="2"/>
      <c r="EE153" s="2">
        <v>74004233</v>
      </c>
      <c r="EF153" s="2">
        <v>2</v>
      </c>
      <c r="EG153" s="2" t="s">
        <v>29</v>
      </c>
      <c r="EH153" s="2">
        <v>18</v>
      </c>
      <c r="EI153" s="2" t="s">
        <v>100</v>
      </c>
      <c r="EJ153" s="2">
        <v>1</v>
      </c>
      <c r="EK153" s="2">
        <v>24001</v>
      </c>
      <c r="EL153" s="2" t="s">
        <v>100</v>
      </c>
      <c r="EM153" s="2" t="s">
        <v>236</v>
      </c>
      <c r="EN153" s="2"/>
      <c r="EO153" s="2" t="s">
        <v>3</v>
      </c>
      <c r="EP153" s="2"/>
      <c r="EQ153" s="2">
        <v>262144</v>
      </c>
      <c r="ER153" s="2">
        <v>175.65</v>
      </c>
      <c r="ES153" s="2">
        <v>175.65</v>
      </c>
      <c r="ET153" s="2">
        <v>0</v>
      </c>
      <c r="EU153" s="2">
        <v>0</v>
      </c>
      <c r="EV153" s="2">
        <v>0</v>
      </c>
      <c r="EW153" s="2">
        <v>0</v>
      </c>
      <c r="EX153" s="2">
        <v>0</v>
      </c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>
        <v>0</v>
      </c>
      <c r="FR153" s="2">
        <v>0</v>
      </c>
      <c r="FS153" s="2">
        <v>0</v>
      </c>
      <c r="FT153" s="2"/>
      <c r="FU153" s="2"/>
      <c r="FV153" s="2"/>
      <c r="FW153" s="2"/>
      <c r="FX153" s="2">
        <v>117</v>
      </c>
      <c r="FY153" s="2">
        <v>74</v>
      </c>
      <c r="FZ153" s="2"/>
      <c r="GA153" s="2" t="s">
        <v>3</v>
      </c>
      <c r="GB153" s="2"/>
      <c r="GC153" s="2"/>
      <c r="GD153" s="2">
        <v>1</v>
      </c>
      <c r="GE153" s="2"/>
      <c r="GF153" s="2">
        <v>601571053</v>
      </c>
      <c r="GG153" s="2">
        <v>2</v>
      </c>
      <c r="GH153" s="2">
        <v>1</v>
      </c>
      <c r="GI153" s="2">
        <v>2</v>
      </c>
      <c r="GJ153" s="2">
        <v>0</v>
      </c>
      <c r="GK153" s="2">
        <v>0</v>
      </c>
      <c r="GL153" s="2">
        <f>ROUND(IF(AND(BH153=3,BI153=3,FS153&lt;&gt;0),P153,0),2)</f>
        <v>0</v>
      </c>
      <c r="GM153" s="2">
        <f>ROUND(O153+X153+Y153,2)+GX153</f>
        <v>3002.81</v>
      </c>
      <c r="GN153" s="2">
        <f>IF(OR(BI153=0,BI153=1),GM153-GX153,0)</f>
        <v>3002.81</v>
      </c>
      <c r="GO153" s="2">
        <f>IF(BI153=2,GM153-GX153,0)</f>
        <v>0</v>
      </c>
      <c r="GP153" s="2">
        <f>IF(BI153=4,GM153-GX153,0)</f>
        <v>0</v>
      </c>
      <c r="GQ153" s="2"/>
      <c r="GR153" s="2">
        <v>0</v>
      </c>
      <c r="GS153" s="2">
        <v>3</v>
      </c>
      <c r="GT153" s="2">
        <v>0</v>
      </c>
      <c r="GU153" s="2" t="s">
        <v>3</v>
      </c>
      <c r="GV153" s="2">
        <f>ROUND((GT153),6)</f>
        <v>0</v>
      </c>
      <c r="GW153" s="2">
        <v>1</v>
      </c>
      <c r="GX153" s="2">
        <f>ROUND(HC153*I153,2)</f>
        <v>0</v>
      </c>
      <c r="GY153" s="2"/>
      <c r="GZ153" s="2"/>
      <c r="HA153" s="2">
        <v>0</v>
      </c>
      <c r="HB153" s="2">
        <v>0</v>
      </c>
      <c r="HC153" s="2">
        <f>GV153*GW153</f>
        <v>0</v>
      </c>
      <c r="HD153" s="2"/>
      <c r="HE153" s="2" t="s">
        <v>3</v>
      </c>
      <c r="HF153" s="2" t="s">
        <v>3</v>
      </c>
      <c r="HG153" s="2"/>
      <c r="HH153" s="2"/>
      <c r="HI153" s="2"/>
      <c r="HJ153" s="2"/>
      <c r="HK153" s="2"/>
      <c r="HL153" s="2"/>
      <c r="HM153" s="2" t="s">
        <v>3</v>
      </c>
      <c r="HN153" s="2" t="s">
        <v>102</v>
      </c>
      <c r="HO153" s="2" t="s">
        <v>103</v>
      </c>
      <c r="HP153" s="2" t="s">
        <v>100</v>
      </c>
      <c r="HQ153" s="2" t="s">
        <v>100</v>
      </c>
      <c r="HR153" s="2"/>
      <c r="HS153" s="2">
        <v>0</v>
      </c>
      <c r="HT153" s="2"/>
      <c r="HU153" s="2"/>
      <c r="HV153" s="2"/>
      <c r="HW153" s="2"/>
      <c r="HX153" s="2"/>
      <c r="HY153" s="2"/>
      <c r="HZ153" s="2"/>
      <c r="IA153" s="2"/>
      <c r="IB153" s="2"/>
      <c r="IC153" s="2"/>
      <c r="ID153" s="2"/>
      <c r="IE153" s="2"/>
      <c r="IF153" s="2"/>
      <c r="IG153" s="2"/>
      <c r="IH153" s="2"/>
      <c r="II153" s="2"/>
      <c r="IJ153" s="2"/>
      <c r="IK153" s="2">
        <v>0</v>
      </c>
      <c r="IL153" s="2"/>
      <c r="IM153" s="2"/>
      <c r="IN153" s="2"/>
      <c r="IO153" s="2"/>
      <c r="IP153" s="2"/>
      <c r="IQ153" s="2"/>
      <c r="IR153" s="2"/>
      <c r="IS153" s="2"/>
      <c r="IT153" s="2"/>
      <c r="IU153" s="2"/>
    </row>
    <row r="154" spans="1:255" ht="13.05" customHeight="1" x14ac:dyDescent="0.25">
      <c r="A154" s="2">
        <v>18</v>
      </c>
      <c r="B154" s="2">
        <v>1</v>
      </c>
      <c r="C154" s="2">
        <v>122</v>
      </c>
      <c r="D154" s="2"/>
      <c r="E154" s="2" t="s">
        <v>267</v>
      </c>
      <c r="F154" s="2" t="s">
        <v>268</v>
      </c>
      <c r="G154" s="2" t="s">
        <v>269</v>
      </c>
      <c r="H154" s="2" t="s">
        <v>98</v>
      </c>
      <c r="I154" s="2">
        <f>I152*J154</f>
        <v>45</v>
      </c>
      <c r="J154" s="2">
        <v>1000</v>
      </c>
      <c r="K154" s="2">
        <v>1000</v>
      </c>
      <c r="L154" s="2"/>
      <c r="M154" s="2"/>
      <c r="N154" s="2"/>
      <c r="O154" s="2">
        <f>ROUND(CP154,2)</f>
        <v>18247.95</v>
      </c>
      <c r="P154" s="2">
        <f>ROUND(CQ154*I154,2)</f>
        <v>18247.95</v>
      </c>
      <c r="Q154" s="2">
        <f>ROUND(CR154*I154,2)</f>
        <v>0</v>
      </c>
      <c r="R154" s="2">
        <f>ROUND(CS154*I154,2)</f>
        <v>0</v>
      </c>
      <c r="S154" s="2">
        <f>ROUND(CT154*I154,2)</f>
        <v>0</v>
      </c>
      <c r="T154" s="2">
        <f>ROUND(CU154*I154,2)</f>
        <v>0</v>
      </c>
      <c r="U154" s="2">
        <f>ROUND(CV154*I154,7)</f>
        <v>0</v>
      </c>
      <c r="V154" s="2">
        <f>ROUND(CW154*I154,7)</f>
        <v>0</v>
      </c>
      <c r="W154" s="2">
        <f>ROUND(CX154*I154,2)</f>
        <v>0</v>
      </c>
      <c r="X154" s="2">
        <f t="shared" si="51"/>
        <v>0</v>
      </c>
      <c r="Y154" s="2">
        <f t="shared" si="51"/>
        <v>0</v>
      </c>
      <c r="Z154" s="2"/>
      <c r="AA154" s="2">
        <v>75604747</v>
      </c>
      <c r="AB154" s="2">
        <f>ROUND((AC154+AD154+AF154),6)</f>
        <v>494.52</v>
      </c>
      <c r="AC154" s="2">
        <f>ROUND((ES154),6)</f>
        <v>494.52</v>
      </c>
      <c r="AD154" s="2">
        <f>ROUND((((ET154)-(EU154))+AE154),6)</f>
        <v>0</v>
      </c>
      <c r="AE154" s="2">
        <f t="shared" si="52"/>
        <v>0</v>
      </c>
      <c r="AF154" s="2">
        <f t="shared" si="52"/>
        <v>0</v>
      </c>
      <c r="AG154" s="2">
        <f>ROUND((AP154),6)</f>
        <v>0</v>
      </c>
      <c r="AH154" s="2">
        <f t="shared" si="53"/>
        <v>0</v>
      </c>
      <c r="AI154" s="2">
        <f t="shared" si="53"/>
        <v>0</v>
      </c>
      <c r="AJ154" s="2">
        <f>(AS154)</f>
        <v>0</v>
      </c>
      <c r="AK154" s="2">
        <v>494.52</v>
      </c>
      <c r="AL154" s="2">
        <v>494.52</v>
      </c>
      <c r="AM154" s="2">
        <v>0</v>
      </c>
      <c r="AN154" s="2">
        <v>0</v>
      </c>
      <c r="AO154" s="2">
        <v>0</v>
      </c>
      <c r="AP154" s="2">
        <v>0</v>
      </c>
      <c r="AQ154" s="2">
        <v>0</v>
      </c>
      <c r="AR154" s="2">
        <v>0</v>
      </c>
      <c r="AS154" s="2">
        <v>0</v>
      </c>
      <c r="AT154" s="2">
        <v>117</v>
      </c>
      <c r="AU154" s="2">
        <v>74</v>
      </c>
      <c r="AV154" s="2">
        <v>1</v>
      </c>
      <c r="AW154" s="2">
        <v>1</v>
      </c>
      <c r="AX154" s="2"/>
      <c r="AY154" s="2"/>
      <c r="AZ154" s="2">
        <v>1</v>
      </c>
      <c r="BA154" s="2">
        <v>1</v>
      </c>
      <c r="BB154" s="2">
        <v>1</v>
      </c>
      <c r="BC154" s="2">
        <v>0.82</v>
      </c>
      <c r="BD154" s="2" t="s">
        <v>3</v>
      </c>
      <c r="BE154" s="2" t="s">
        <v>3</v>
      </c>
      <c r="BF154" s="2" t="s">
        <v>3</v>
      </c>
      <c r="BG154" s="2" t="s">
        <v>3</v>
      </c>
      <c r="BH154" s="2">
        <v>3</v>
      </c>
      <c r="BI154" s="2">
        <v>1</v>
      </c>
      <c r="BJ154" s="2" t="s">
        <v>270</v>
      </c>
      <c r="BK154" s="2"/>
      <c r="BL154" s="2"/>
      <c r="BM154" s="2">
        <v>24001</v>
      </c>
      <c r="BN154" s="2">
        <v>0</v>
      </c>
      <c r="BO154" s="2" t="s">
        <v>268</v>
      </c>
      <c r="BP154" s="2">
        <v>1</v>
      </c>
      <c r="BQ154" s="2">
        <v>2</v>
      </c>
      <c r="BR154" s="2">
        <v>0</v>
      </c>
      <c r="BS154" s="2">
        <v>1</v>
      </c>
      <c r="BT154" s="2">
        <v>1</v>
      </c>
      <c r="BU154" s="2">
        <v>1</v>
      </c>
      <c r="BV154" s="2">
        <v>1</v>
      </c>
      <c r="BW154" s="2">
        <v>1</v>
      </c>
      <c r="BX154" s="2">
        <v>1</v>
      </c>
      <c r="BY154" s="2" t="s">
        <v>3</v>
      </c>
      <c r="BZ154" s="2">
        <v>117</v>
      </c>
      <c r="CA154" s="2">
        <v>74</v>
      </c>
      <c r="CB154" s="2" t="s">
        <v>3</v>
      </c>
      <c r="CC154" s="2"/>
      <c r="CD154" s="2"/>
      <c r="CE154" s="2">
        <v>0</v>
      </c>
      <c r="CF154" s="2">
        <v>0</v>
      </c>
      <c r="CG154" s="2">
        <v>0</v>
      </c>
      <c r="CH154" s="2"/>
      <c r="CI154" s="2"/>
      <c r="CJ154" s="2"/>
      <c r="CK154" s="2"/>
      <c r="CL154" s="2"/>
      <c r="CM154" s="2">
        <v>0</v>
      </c>
      <c r="CN154" s="2" t="s">
        <v>3</v>
      </c>
      <c r="CO154" s="2">
        <v>0</v>
      </c>
      <c r="CP154" s="2">
        <f>(P154+Q154+S154+R154)</f>
        <v>18247.95</v>
      </c>
      <c r="CQ154" s="2">
        <f>ROUND(AL154*BC154,2)</f>
        <v>405.51</v>
      </c>
      <c r="CR154" s="2">
        <f>ROUND(AM154*BB154,2)</f>
        <v>0</v>
      </c>
      <c r="CS154" s="2">
        <f>ROUND(AN154*BS154,2)</f>
        <v>0</v>
      </c>
      <c r="CT154" s="2">
        <f>ROUND(AO154*BA154,2)</f>
        <v>0</v>
      </c>
      <c r="CU154" s="2">
        <f>AG154</f>
        <v>0</v>
      </c>
      <c r="CV154" s="2">
        <f t="shared" si="54"/>
        <v>0</v>
      </c>
      <c r="CW154" s="2">
        <f t="shared" si="54"/>
        <v>0</v>
      </c>
      <c r="CX154" s="2">
        <f>AJ154</f>
        <v>0</v>
      </c>
      <c r="CY154" s="2">
        <f>(((S154+R154)*AT154)/100)</f>
        <v>0</v>
      </c>
      <c r="CZ154" s="2">
        <f>(((S154+R154)*AU154)/100)</f>
        <v>0</v>
      </c>
      <c r="DA154" s="2"/>
      <c r="DB154" s="2"/>
      <c r="DC154" s="2" t="s">
        <v>3</v>
      </c>
      <c r="DD154" s="2" t="s">
        <v>3</v>
      </c>
      <c r="DE154" s="2" t="s">
        <v>3</v>
      </c>
      <c r="DF154" s="2" t="s">
        <v>3</v>
      </c>
      <c r="DG154" s="2" t="s">
        <v>3</v>
      </c>
      <c r="DH154" s="2" t="s">
        <v>3</v>
      </c>
      <c r="DI154" s="2" t="s">
        <v>3</v>
      </c>
      <c r="DJ154" s="2" t="s">
        <v>3</v>
      </c>
      <c r="DK154" s="2" t="s">
        <v>3</v>
      </c>
      <c r="DL154" s="2" t="s">
        <v>3</v>
      </c>
      <c r="DM154" s="2" t="s">
        <v>3</v>
      </c>
      <c r="DN154" s="2">
        <v>0</v>
      </c>
      <c r="DO154" s="2">
        <v>0</v>
      </c>
      <c r="DP154" s="2">
        <v>1</v>
      </c>
      <c r="DQ154" s="2">
        <v>1</v>
      </c>
      <c r="DR154" s="2"/>
      <c r="DS154" s="2"/>
      <c r="DT154" s="2"/>
      <c r="DU154" s="2">
        <v>1003</v>
      </c>
      <c r="DV154" s="2" t="s">
        <v>98</v>
      </c>
      <c r="DW154" s="2" t="s">
        <v>98</v>
      </c>
      <c r="DX154" s="2">
        <v>1</v>
      </c>
      <c r="DY154" s="2"/>
      <c r="DZ154" s="2" t="s">
        <v>3</v>
      </c>
      <c r="EA154" s="2" t="s">
        <v>3</v>
      </c>
      <c r="EB154" s="2" t="s">
        <v>3</v>
      </c>
      <c r="EC154" s="2" t="s">
        <v>3</v>
      </c>
      <c r="ED154" s="2"/>
      <c r="EE154" s="2">
        <v>74004233</v>
      </c>
      <c r="EF154" s="2">
        <v>2</v>
      </c>
      <c r="EG154" s="2" t="s">
        <v>29</v>
      </c>
      <c r="EH154" s="2">
        <v>18</v>
      </c>
      <c r="EI154" s="2" t="s">
        <v>100</v>
      </c>
      <c r="EJ154" s="2">
        <v>1</v>
      </c>
      <c r="EK154" s="2">
        <v>24001</v>
      </c>
      <c r="EL154" s="2" t="s">
        <v>100</v>
      </c>
      <c r="EM154" s="2" t="s">
        <v>236</v>
      </c>
      <c r="EN154" s="2"/>
      <c r="EO154" s="2" t="s">
        <v>3</v>
      </c>
      <c r="EP154" s="2"/>
      <c r="EQ154" s="2">
        <v>262144</v>
      </c>
      <c r="ER154" s="2">
        <v>494.52</v>
      </c>
      <c r="ES154" s="2">
        <v>494.52</v>
      </c>
      <c r="ET154" s="2">
        <v>0</v>
      </c>
      <c r="EU154" s="2">
        <v>0</v>
      </c>
      <c r="EV154" s="2">
        <v>0</v>
      </c>
      <c r="EW154" s="2">
        <v>0</v>
      </c>
      <c r="EX154" s="2">
        <v>0</v>
      </c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>
        <v>0</v>
      </c>
      <c r="FR154" s="2">
        <v>0</v>
      </c>
      <c r="FS154" s="2">
        <v>0</v>
      </c>
      <c r="FT154" s="2"/>
      <c r="FU154" s="2"/>
      <c r="FV154" s="2"/>
      <c r="FW154" s="2"/>
      <c r="FX154" s="2">
        <v>117</v>
      </c>
      <c r="FY154" s="2">
        <v>74</v>
      </c>
      <c r="FZ154" s="2"/>
      <c r="GA154" s="2" t="s">
        <v>3</v>
      </c>
      <c r="GB154" s="2"/>
      <c r="GC154" s="2"/>
      <c r="GD154" s="2">
        <v>1</v>
      </c>
      <c r="GE154" s="2"/>
      <c r="GF154" s="2">
        <v>2107056787</v>
      </c>
      <c r="GG154" s="2">
        <v>2</v>
      </c>
      <c r="GH154" s="2">
        <v>1</v>
      </c>
      <c r="GI154" s="2">
        <v>2</v>
      </c>
      <c r="GJ154" s="2">
        <v>0</v>
      </c>
      <c r="GK154" s="2">
        <v>0</v>
      </c>
      <c r="GL154" s="2">
        <f>ROUND(IF(AND(BH154=3,BI154=3,FS154&lt;&gt;0),P154,0),2)</f>
        <v>0</v>
      </c>
      <c r="GM154" s="2">
        <f>ROUND(O154+X154+Y154,2)+GX154</f>
        <v>18247.95</v>
      </c>
      <c r="GN154" s="2">
        <f>IF(OR(BI154=0,BI154=1),GM154-GX154,0)</f>
        <v>18247.95</v>
      </c>
      <c r="GO154" s="2">
        <f>IF(BI154=2,GM154-GX154,0)</f>
        <v>0</v>
      </c>
      <c r="GP154" s="2">
        <f>IF(BI154=4,GM154-GX154,0)</f>
        <v>0</v>
      </c>
      <c r="GQ154" s="2"/>
      <c r="GR154" s="2">
        <v>0</v>
      </c>
      <c r="GS154" s="2">
        <v>3</v>
      </c>
      <c r="GT154" s="2">
        <v>0</v>
      </c>
      <c r="GU154" s="2" t="s">
        <v>3</v>
      </c>
      <c r="GV154" s="2">
        <f>ROUND((GT154),6)</f>
        <v>0</v>
      </c>
      <c r="GW154" s="2">
        <v>1</v>
      </c>
      <c r="GX154" s="2">
        <f>ROUND(HC154*I154,2)</f>
        <v>0</v>
      </c>
      <c r="GY154" s="2"/>
      <c r="GZ154" s="2"/>
      <c r="HA154" s="2">
        <v>0</v>
      </c>
      <c r="HB154" s="2">
        <v>0</v>
      </c>
      <c r="HC154" s="2">
        <f>GV154*GW154</f>
        <v>0</v>
      </c>
      <c r="HD154" s="2"/>
      <c r="HE154" s="2" t="s">
        <v>3</v>
      </c>
      <c r="HF154" s="2" t="s">
        <v>3</v>
      </c>
      <c r="HG154" s="2"/>
      <c r="HH154" s="2"/>
      <c r="HI154" s="2"/>
      <c r="HJ154" s="2"/>
      <c r="HK154" s="2"/>
      <c r="HL154" s="2"/>
      <c r="HM154" s="2" t="s">
        <v>3</v>
      </c>
      <c r="HN154" s="2" t="s">
        <v>102</v>
      </c>
      <c r="HO154" s="2" t="s">
        <v>103</v>
      </c>
      <c r="HP154" s="2" t="s">
        <v>100</v>
      </c>
      <c r="HQ154" s="2" t="s">
        <v>100</v>
      </c>
      <c r="HR154" s="2"/>
      <c r="HS154" s="2">
        <v>0</v>
      </c>
      <c r="HT154" s="2"/>
      <c r="HU154" s="2"/>
      <c r="HV154" s="2"/>
      <c r="HW154" s="2"/>
      <c r="HX154" s="2"/>
      <c r="HY154" s="2"/>
      <c r="HZ154" s="2"/>
      <c r="IA154" s="2"/>
      <c r="IB154" s="2"/>
      <c r="IC154" s="2"/>
      <c r="ID154" s="2"/>
      <c r="IE154" s="2"/>
      <c r="IF154" s="2"/>
      <c r="IG154" s="2"/>
      <c r="IH154" s="2"/>
      <c r="II154" s="2"/>
      <c r="IJ154" s="2"/>
      <c r="IK154" s="2">
        <v>0</v>
      </c>
      <c r="IL154" s="2"/>
      <c r="IM154" s="2"/>
      <c r="IN154" s="2"/>
      <c r="IO154" s="2"/>
      <c r="IP154" s="2"/>
      <c r="IQ154" s="2"/>
      <c r="IR154" s="2"/>
      <c r="IS154" s="2"/>
      <c r="IT154" s="2"/>
      <c r="IU154" s="2"/>
    </row>
    <row r="155" spans="1:255" ht="13.05" customHeight="1" x14ac:dyDescent="0.25">
      <c r="A155" s="2">
        <v>18</v>
      </c>
      <c r="B155" s="2">
        <v>1</v>
      </c>
      <c r="C155" s="2">
        <v>123</v>
      </c>
      <c r="D155" s="2"/>
      <c r="E155" s="2" t="s">
        <v>271</v>
      </c>
      <c r="F155" s="2" t="s">
        <v>272</v>
      </c>
      <c r="G155" s="2" t="s">
        <v>273</v>
      </c>
      <c r="H155" s="2" t="s">
        <v>222</v>
      </c>
      <c r="I155" s="2">
        <f>I152*J155</f>
        <v>12</v>
      </c>
      <c r="J155" s="2">
        <v>266.66666666666669</v>
      </c>
      <c r="K155" s="2">
        <v>266.66666670000001</v>
      </c>
      <c r="L155" s="2"/>
      <c r="M155" s="2"/>
      <c r="N155" s="2"/>
      <c r="O155" s="2">
        <f>ROUND(CP155,2)</f>
        <v>3789.36</v>
      </c>
      <c r="P155" s="2">
        <f>ROUND(CQ155*I155,2)</f>
        <v>3789.36</v>
      </c>
      <c r="Q155" s="2">
        <f>ROUND(CR155*I155,2)</f>
        <v>0</v>
      </c>
      <c r="R155" s="2">
        <f>ROUND(CS155*I155,2)</f>
        <v>0</v>
      </c>
      <c r="S155" s="2">
        <f>ROUND(CT155*I155,2)</f>
        <v>0</v>
      </c>
      <c r="T155" s="2">
        <f>ROUND(CU155*I155,2)</f>
        <v>0</v>
      </c>
      <c r="U155" s="2">
        <f>ROUND(CV155*I155,7)</f>
        <v>0</v>
      </c>
      <c r="V155" s="2">
        <f>ROUND(CW155*I155,7)</f>
        <v>0</v>
      </c>
      <c r="W155" s="2">
        <f>ROUND(CX155*I155,2)</f>
        <v>0</v>
      </c>
      <c r="X155" s="2">
        <f t="shared" si="51"/>
        <v>0</v>
      </c>
      <c r="Y155" s="2">
        <f t="shared" si="51"/>
        <v>0</v>
      </c>
      <c r="Z155" s="2"/>
      <c r="AA155" s="2">
        <v>75604747</v>
      </c>
      <c r="AB155" s="2">
        <f>ROUND((AC155+AD155+AF155),6)</f>
        <v>277</v>
      </c>
      <c r="AC155" s="2">
        <f>ROUND((ES155),6)</f>
        <v>277</v>
      </c>
      <c r="AD155" s="2">
        <f>ROUND((((ET155)-(EU155))+AE155),6)</f>
        <v>0</v>
      </c>
      <c r="AE155" s="2">
        <f t="shared" si="52"/>
        <v>0</v>
      </c>
      <c r="AF155" s="2">
        <f t="shared" si="52"/>
        <v>0</v>
      </c>
      <c r="AG155" s="2">
        <f>ROUND((AP155),6)</f>
        <v>0</v>
      </c>
      <c r="AH155" s="2">
        <f t="shared" si="53"/>
        <v>0</v>
      </c>
      <c r="AI155" s="2">
        <f t="shared" si="53"/>
        <v>0</v>
      </c>
      <c r="AJ155" s="2">
        <f>(AS155)</f>
        <v>0</v>
      </c>
      <c r="AK155" s="2">
        <v>277</v>
      </c>
      <c r="AL155" s="2">
        <v>277</v>
      </c>
      <c r="AM155" s="2">
        <v>0</v>
      </c>
      <c r="AN155" s="2">
        <v>0</v>
      </c>
      <c r="AO155" s="2">
        <v>0</v>
      </c>
      <c r="AP155" s="2">
        <v>0</v>
      </c>
      <c r="AQ155" s="2">
        <v>0</v>
      </c>
      <c r="AR155" s="2">
        <v>0</v>
      </c>
      <c r="AS155" s="2">
        <v>0</v>
      </c>
      <c r="AT155" s="2">
        <v>117</v>
      </c>
      <c r="AU155" s="2">
        <v>74</v>
      </c>
      <c r="AV155" s="2">
        <v>1</v>
      </c>
      <c r="AW155" s="2">
        <v>1</v>
      </c>
      <c r="AX155" s="2"/>
      <c r="AY155" s="2"/>
      <c r="AZ155" s="2">
        <v>1</v>
      </c>
      <c r="BA155" s="2">
        <v>1</v>
      </c>
      <c r="BB155" s="2">
        <v>1</v>
      </c>
      <c r="BC155" s="2">
        <v>1.1399999999999999</v>
      </c>
      <c r="BD155" s="2" t="s">
        <v>3</v>
      </c>
      <c r="BE155" s="2" t="s">
        <v>3</v>
      </c>
      <c r="BF155" s="2" t="s">
        <v>3</v>
      </c>
      <c r="BG155" s="2" t="s">
        <v>3</v>
      </c>
      <c r="BH155" s="2">
        <v>3</v>
      </c>
      <c r="BI155" s="2">
        <v>1</v>
      </c>
      <c r="BJ155" s="2" t="s">
        <v>274</v>
      </c>
      <c r="BK155" s="2"/>
      <c r="BL155" s="2"/>
      <c r="BM155" s="2">
        <v>24001</v>
      </c>
      <c r="BN155" s="2">
        <v>0</v>
      </c>
      <c r="BO155" s="2" t="s">
        <v>272</v>
      </c>
      <c r="BP155" s="2">
        <v>1</v>
      </c>
      <c r="BQ155" s="2">
        <v>2</v>
      </c>
      <c r="BR155" s="2">
        <v>0</v>
      </c>
      <c r="BS155" s="2">
        <v>1</v>
      </c>
      <c r="BT155" s="2">
        <v>1</v>
      </c>
      <c r="BU155" s="2">
        <v>1</v>
      </c>
      <c r="BV155" s="2">
        <v>1</v>
      </c>
      <c r="BW155" s="2">
        <v>1</v>
      </c>
      <c r="BX155" s="2">
        <v>1</v>
      </c>
      <c r="BY155" s="2" t="s">
        <v>3</v>
      </c>
      <c r="BZ155" s="2">
        <v>117</v>
      </c>
      <c r="CA155" s="2">
        <v>74</v>
      </c>
      <c r="CB155" s="2" t="s">
        <v>3</v>
      </c>
      <c r="CC155" s="2"/>
      <c r="CD155" s="2"/>
      <c r="CE155" s="2">
        <v>0</v>
      </c>
      <c r="CF155" s="2">
        <v>0</v>
      </c>
      <c r="CG155" s="2">
        <v>0</v>
      </c>
      <c r="CH155" s="2"/>
      <c r="CI155" s="2"/>
      <c r="CJ155" s="2"/>
      <c r="CK155" s="2"/>
      <c r="CL155" s="2"/>
      <c r="CM155" s="2">
        <v>0</v>
      </c>
      <c r="CN155" s="2" t="s">
        <v>3</v>
      </c>
      <c r="CO155" s="2">
        <v>0</v>
      </c>
      <c r="CP155" s="2">
        <f>(P155+Q155+S155+R155)</f>
        <v>3789.36</v>
      </c>
      <c r="CQ155" s="2">
        <f>ROUND(AL155*BC155,2)</f>
        <v>315.77999999999997</v>
      </c>
      <c r="CR155" s="2">
        <f>ROUND(AM155*BB155,2)</f>
        <v>0</v>
      </c>
      <c r="CS155" s="2">
        <f>ROUND(AN155*BS155,2)</f>
        <v>0</v>
      </c>
      <c r="CT155" s="2">
        <f>ROUND(AO155*BA155,2)</f>
        <v>0</v>
      </c>
      <c r="CU155" s="2">
        <f>AG155</f>
        <v>0</v>
      </c>
      <c r="CV155" s="2">
        <f t="shared" si="54"/>
        <v>0</v>
      </c>
      <c r="CW155" s="2">
        <f t="shared" si="54"/>
        <v>0</v>
      </c>
      <c r="CX155" s="2">
        <f>AJ155</f>
        <v>0</v>
      </c>
      <c r="CY155" s="2">
        <f>(((S155+R155)*AT155)/100)</f>
        <v>0</v>
      </c>
      <c r="CZ155" s="2">
        <f>(((S155+R155)*AU155)/100)</f>
        <v>0</v>
      </c>
      <c r="DA155" s="2"/>
      <c r="DB155" s="2"/>
      <c r="DC155" s="2" t="s">
        <v>3</v>
      </c>
      <c r="DD155" s="2" t="s">
        <v>3</v>
      </c>
      <c r="DE155" s="2" t="s">
        <v>3</v>
      </c>
      <c r="DF155" s="2" t="s">
        <v>3</v>
      </c>
      <c r="DG155" s="2" t="s">
        <v>3</v>
      </c>
      <c r="DH155" s="2" t="s">
        <v>3</v>
      </c>
      <c r="DI155" s="2" t="s">
        <v>3</v>
      </c>
      <c r="DJ155" s="2" t="s">
        <v>3</v>
      </c>
      <c r="DK155" s="2" t="s">
        <v>3</v>
      </c>
      <c r="DL155" s="2" t="s">
        <v>3</v>
      </c>
      <c r="DM155" s="2" t="s">
        <v>3</v>
      </c>
      <c r="DN155" s="2">
        <v>0</v>
      </c>
      <c r="DO155" s="2">
        <v>0</v>
      </c>
      <c r="DP155" s="2">
        <v>1</v>
      </c>
      <c r="DQ155" s="2">
        <v>1</v>
      </c>
      <c r="DR155" s="2"/>
      <c r="DS155" s="2"/>
      <c r="DT155" s="2"/>
      <c r="DU155" s="2">
        <v>1013</v>
      </c>
      <c r="DV155" s="2" t="s">
        <v>222</v>
      </c>
      <c r="DW155" s="2" t="s">
        <v>222</v>
      </c>
      <c r="DX155" s="2">
        <v>1</v>
      </c>
      <c r="DY155" s="2"/>
      <c r="DZ155" s="2" t="s">
        <v>3</v>
      </c>
      <c r="EA155" s="2" t="s">
        <v>3</v>
      </c>
      <c r="EB155" s="2" t="s">
        <v>3</v>
      </c>
      <c r="EC155" s="2" t="s">
        <v>3</v>
      </c>
      <c r="ED155" s="2"/>
      <c r="EE155" s="2">
        <v>74004233</v>
      </c>
      <c r="EF155" s="2">
        <v>2</v>
      </c>
      <c r="EG155" s="2" t="s">
        <v>29</v>
      </c>
      <c r="EH155" s="2">
        <v>18</v>
      </c>
      <c r="EI155" s="2" t="s">
        <v>100</v>
      </c>
      <c r="EJ155" s="2">
        <v>1</v>
      </c>
      <c r="EK155" s="2">
        <v>24001</v>
      </c>
      <c r="EL155" s="2" t="s">
        <v>100</v>
      </c>
      <c r="EM155" s="2" t="s">
        <v>236</v>
      </c>
      <c r="EN155" s="2"/>
      <c r="EO155" s="2" t="s">
        <v>3</v>
      </c>
      <c r="EP155" s="2"/>
      <c r="EQ155" s="2">
        <v>262144</v>
      </c>
      <c r="ER155" s="2">
        <v>277</v>
      </c>
      <c r="ES155" s="2">
        <v>277</v>
      </c>
      <c r="ET155" s="2">
        <v>0</v>
      </c>
      <c r="EU155" s="2">
        <v>0</v>
      </c>
      <c r="EV155" s="2">
        <v>0</v>
      </c>
      <c r="EW155" s="2">
        <v>0</v>
      </c>
      <c r="EX155" s="2">
        <v>0</v>
      </c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>
        <v>0</v>
      </c>
      <c r="FR155" s="2">
        <v>0</v>
      </c>
      <c r="FS155" s="2">
        <v>0</v>
      </c>
      <c r="FT155" s="2"/>
      <c r="FU155" s="2"/>
      <c r="FV155" s="2"/>
      <c r="FW155" s="2"/>
      <c r="FX155" s="2">
        <v>117</v>
      </c>
      <c r="FY155" s="2">
        <v>74</v>
      </c>
      <c r="FZ155" s="2"/>
      <c r="GA155" s="2" t="s">
        <v>3</v>
      </c>
      <c r="GB155" s="2"/>
      <c r="GC155" s="2"/>
      <c r="GD155" s="2">
        <v>1</v>
      </c>
      <c r="GE155" s="2"/>
      <c r="GF155" s="2">
        <v>-1145901236</v>
      </c>
      <c r="GG155" s="2">
        <v>2</v>
      </c>
      <c r="GH155" s="2">
        <v>1</v>
      </c>
      <c r="GI155" s="2">
        <v>2</v>
      </c>
      <c r="GJ155" s="2">
        <v>0</v>
      </c>
      <c r="GK155" s="2">
        <v>0</v>
      </c>
      <c r="GL155" s="2">
        <f>ROUND(IF(AND(BH155=3,BI155=3,FS155&lt;&gt;0),P155,0),2)</f>
        <v>0</v>
      </c>
      <c r="GM155" s="2">
        <f>ROUND(O155+X155+Y155,2)+GX155</f>
        <v>3789.36</v>
      </c>
      <c r="GN155" s="2">
        <f>IF(OR(BI155=0,BI155=1),GM155-GX155,0)</f>
        <v>3789.36</v>
      </c>
      <c r="GO155" s="2">
        <f>IF(BI155=2,GM155-GX155,0)</f>
        <v>0</v>
      </c>
      <c r="GP155" s="2">
        <f>IF(BI155=4,GM155-GX155,0)</f>
        <v>0</v>
      </c>
      <c r="GQ155" s="2"/>
      <c r="GR155" s="2">
        <v>0</v>
      </c>
      <c r="GS155" s="2">
        <v>3</v>
      </c>
      <c r="GT155" s="2">
        <v>0</v>
      </c>
      <c r="GU155" s="2" t="s">
        <v>3</v>
      </c>
      <c r="GV155" s="2">
        <f>ROUND((GT155),6)</f>
        <v>0</v>
      </c>
      <c r="GW155" s="2">
        <v>1</v>
      </c>
      <c r="GX155" s="2">
        <f>ROUND(HC155*I155,2)</f>
        <v>0</v>
      </c>
      <c r="GY155" s="2"/>
      <c r="GZ155" s="2"/>
      <c r="HA155" s="2">
        <v>0</v>
      </c>
      <c r="HB155" s="2">
        <v>0</v>
      </c>
      <c r="HC155" s="2">
        <f>GV155*GW155</f>
        <v>0</v>
      </c>
      <c r="HD155" s="2"/>
      <c r="HE155" s="2" t="s">
        <v>3</v>
      </c>
      <c r="HF155" s="2" t="s">
        <v>3</v>
      </c>
      <c r="HG155" s="2"/>
      <c r="HH155" s="2"/>
      <c r="HI155" s="2"/>
      <c r="HJ155" s="2"/>
      <c r="HK155" s="2"/>
      <c r="HL155" s="2"/>
      <c r="HM155" s="2" t="s">
        <v>3</v>
      </c>
      <c r="HN155" s="2" t="s">
        <v>102</v>
      </c>
      <c r="HO155" s="2" t="s">
        <v>103</v>
      </c>
      <c r="HP155" s="2" t="s">
        <v>100</v>
      </c>
      <c r="HQ155" s="2" t="s">
        <v>100</v>
      </c>
      <c r="HR155" s="2"/>
      <c r="HS155" s="2">
        <v>0</v>
      </c>
      <c r="HT155" s="2"/>
      <c r="HU155" s="2"/>
      <c r="HV155" s="2"/>
      <c r="HW155" s="2"/>
      <c r="HX155" s="2"/>
      <c r="HY155" s="2"/>
      <c r="HZ155" s="2"/>
      <c r="IA155" s="2"/>
      <c r="IB155" s="2"/>
      <c r="IC155" s="2"/>
      <c r="ID155" s="2"/>
      <c r="IE155" s="2"/>
      <c r="IF155" s="2"/>
      <c r="IG155" s="2"/>
      <c r="IH155" s="2"/>
      <c r="II155" s="2"/>
      <c r="IJ155" s="2"/>
      <c r="IK155" s="2">
        <v>0</v>
      </c>
      <c r="IL155" s="2"/>
      <c r="IM155" s="2"/>
      <c r="IN155" s="2"/>
      <c r="IO155" s="2"/>
      <c r="IP155" s="2"/>
      <c r="IQ155" s="2"/>
      <c r="IR155" s="2"/>
      <c r="IS155" s="2"/>
      <c r="IT155" s="2"/>
      <c r="IU155" s="2"/>
    </row>
    <row r="156" spans="1:255" ht="13.05" customHeight="1" x14ac:dyDescent="0.25">
      <c r="A156">
        <v>19</v>
      </c>
      <c r="B156">
        <v>1</v>
      </c>
      <c r="F156" t="s">
        <v>3</v>
      </c>
      <c r="G156" t="s">
        <v>275</v>
      </c>
      <c r="H156" t="s">
        <v>3</v>
      </c>
      <c r="AA156">
        <v>1</v>
      </c>
      <c r="IK156">
        <v>0</v>
      </c>
    </row>
    <row r="157" spans="1:255" ht="13.05" customHeight="1" x14ac:dyDescent="0.25">
      <c r="A157" s="2">
        <v>17</v>
      </c>
      <c r="B157" s="2">
        <v>1</v>
      </c>
      <c r="C157" s="2">
        <f>ROW(SmtRes!A144)</f>
        <v>144</v>
      </c>
      <c r="D157" s="2">
        <f>ROW(EtalonRes!A151)</f>
        <v>151</v>
      </c>
      <c r="E157" s="2" t="s">
        <v>276</v>
      </c>
      <c r="F157" s="2" t="s">
        <v>252</v>
      </c>
      <c r="G157" s="2" t="s">
        <v>253</v>
      </c>
      <c r="H157" s="2" t="s">
        <v>174</v>
      </c>
      <c r="I157" s="2">
        <v>1.6049999999999998E-2</v>
      </c>
      <c r="J157" s="2">
        <v>0</v>
      </c>
      <c r="K157" s="2">
        <v>1.6049999999999998E-2</v>
      </c>
      <c r="L157" s="2"/>
      <c r="M157" s="2"/>
      <c r="N157" s="2"/>
      <c r="O157" s="2">
        <f>ROUND(CP157,2)</f>
        <v>562.80999999999995</v>
      </c>
      <c r="P157" s="2">
        <f>SUMIF(SmtRes!AQ124:'SmtRes'!AQ144,"=1",SmtRes!DF124:'SmtRes'!DF144)</f>
        <v>55.06</v>
      </c>
      <c r="Q157" s="2">
        <f>SUMIF(SmtRes!AQ124:'SmtRes'!AQ144,"=1",SmtRes!DG124:'SmtRes'!DG144)</f>
        <v>33.700000000000003</v>
      </c>
      <c r="R157" s="2">
        <f>SUMIF(SmtRes!AQ124:'SmtRes'!AQ144,"=1",SmtRes!DH124:'SmtRes'!DH144)</f>
        <v>2.09</v>
      </c>
      <c r="S157" s="2">
        <f>SUMIF(SmtRes!AQ124:'SmtRes'!AQ144,"=1",SmtRes!DI124:'SmtRes'!DI144)</f>
        <v>471.96</v>
      </c>
      <c r="T157" s="2">
        <f>ROUND(CU157*I157,2)</f>
        <v>0</v>
      </c>
      <c r="U157" s="2">
        <f>SUMIF(SmtRes!AQ124:'SmtRes'!AQ144,"=1",SmtRes!CV124:'SmtRes'!CV144)</f>
        <v>1.3584719999999999</v>
      </c>
      <c r="V157" s="2">
        <f>SUMIF(SmtRes!AQ124:'SmtRes'!AQ144,"=1",SmtRes!CW124:'SmtRes'!CW144)</f>
        <v>4.9835000000000001E-3</v>
      </c>
      <c r="W157" s="2">
        <f>ROUND(CX157*I157,2)</f>
        <v>0</v>
      </c>
      <c r="X157" s="2">
        <f>ROUND(CY157,2)</f>
        <v>440.87</v>
      </c>
      <c r="Y157" s="2">
        <f>ROUND(CZ157,2)</f>
        <v>293.91000000000003</v>
      </c>
      <c r="Z157" s="2"/>
      <c r="AA157" s="2">
        <v>75604747</v>
      </c>
      <c r="AB157" s="2">
        <f>ROUND((AC157+AD157+AF157),6)</f>
        <v>35074.441373000001</v>
      </c>
      <c r="AC157" s="2">
        <f>ROUND((SUM(SmtRes!BQ124:'SmtRes'!BQ144)),6)</f>
        <v>3602.4873980000002</v>
      </c>
      <c r="AD157" s="2">
        <f>ROUND((((SUM(SmtRes!BR124:'SmtRes'!BR144))-(SUM(SmtRes!BS124:'SmtRes'!BS144)))+AE157),6)</f>
        <v>2066.3251749999999</v>
      </c>
      <c r="AE157" s="2">
        <f>ROUND((SUM(SmtRes!BS124:'SmtRes'!BS144)),6)</f>
        <v>130.250955</v>
      </c>
      <c r="AF157" s="2">
        <f>ROUND((SUM(SmtRes!BT124:'SmtRes'!BT144)),6)</f>
        <v>29405.628799999999</v>
      </c>
      <c r="AG157" s="2">
        <f>ROUND((AP157),6)</f>
        <v>0</v>
      </c>
      <c r="AH157" s="2">
        <f>(SUM(SmtRes!BU124:'SmtRes'!BU144))</f>
        <v>84.639999999999986</v>
      </c>
      <c r="AI157" s="2">
        <f>(SUM(SmtRes!BV124:'SmtRes'!BV144))</f>
        <v>0.3105</v>
      </c>
      <c r="AJ157" s="2">
        <f>(AS157)</f>
        <v>0</v>
      </c>
      <c r="AK157" s="2">
        <v>31082.665598399999</v>
      </c>
      <c r="AL157" s="2">
        <v>3602.4873984000001</v>
      </c>
      <c r="AM157" s="2">
        <v>1796.8045000000002</v>
      </c>
      <c r="AN157" s="2">
        <v>113.26169999999999</v>
      </c>
      <c r="AO157" s="2">
        <v>25570.112000000001</v>
      </c>
      <c r="AP157" s="2">
        <v>0</v>
      </c>
      <c r="AQ157" s="2">
        <v>73.599999999999994</v>
      </c>
      <c r="AR157" s="2">
        <v>0.27</v>
      </c>
      <c r="AS157" s="2">
        <v>0</v>
      </c>
      <c r="AT157" s="2">
        <v>93</v>
      </c>
      <c r="AU157" s="2">
        <v>62</v>
      </c>
      <c r="AV157" s="2">
        <v>1</v>
      </c>
      <c r="AW157" s="2">
        <v>1</v>
      </c>
      <c r="AX157" s="2"/>
      <c r="AY157" s="2"/>
      <c r="AZ157" s="2">
        <v>1</v>
      </c>
      <c r="BA157" s="2">
        <v>1</v>
      </c>
      <c r="BB157" s="2">
        <v>1</v>
      </c>
      <c r="BC157" s="2">
        <v>1</v>
      </c>
      <c r="BD157" s="2" t="s">
        <v>3</v>
      </c>
      <c r="BE157" s="2" t="s">
        <v>3</v>
      </c>
      <c r="BF157" s="2" t="s">
        <v>3</v>
      </c>
      <c r="BG157" s="2" t="s">
        <v>3</v>
      </c>
      <c r="BH157" s="2">
        <v>0</v>
      </c>
      <c r="BI157" s="2">
        <v>1</v>
      </c>
      <c r="BJ157" s="2" t="s">
        <v>254</v>
      </c>
      <c r="BK157" s="2"/>
      <c r="BL157" s="2"/>
      <c r="BM157" s="2">
        <v>9001</v>
      </c>
      <c r="BN157" s="2">
        <v>0</v>
      </c>
      <c r="BO157" s="2" t="s">
        <v>3</v>
      </c>
      <c r="BP157" s="2">
        <v>0</v>
      </c>
      <c r="BQ157" s="2">
        <v>2</v>
      </c>
      <c r="BR157" s="2">
        <v>0</v>
      </c>
      <c r="BS157" s="2">
        <v>1</v>
      </c>
      <c r="BT157" s="2">
        <v>1</v>
      </c>
      <c r="BU157" s="2">
        <v>1</v>
      </c>
      <c r="BV157" s="2">
        <v>1</v>
      </c>
      <c r="BW157" s="2">
        <v>1</v>
      </c>
      <c r="BX157" s="2">
        <v>1</v>
      </c>
      <c r="BY157" s="2" t="s">
        <v>3</v>
      </c>
      <c r="BZ157" s="2">
        <v>93</v>
      </c>
      <c r="CA157" s="2">
        <v>62</v>
      </c>
      <c r="CB157" s="2" t="s">
        <v>3</v>
      </c>
      <c r="CC157" s="2"/>
      <c r="CD157" s="2"/>
      <c r="CE157" s="2">
        <v>0</v>
      </c>
      <c r="CF157" s="2">
        <v>0</v>
      </c>
      <c r="CG157" s="2">
        <v>0</v>
      </c>
      <c r="CH157" s="2"/>
      <c r="CI157" s="2"/>
      <c r="CJ157" s="2"/>
      <c r="CK157" s="2"/>
      <c r="CL157" s="2"/>
      <c r="CM157" s="2">
        <v>0</v>
      </c>
      <c r="CN157" s="7" t="s">
        <v>802</v>
      </c>
      <c r="CO157" s="2">
        <v>0</v>
      </c>
      <c r="CP157" s="2">
        <f>(P157+Q157+S157+R157)</f>
        <v>562.81000000000006</v>
      </c>
      <c r="CQ157" s="2">
        <f>SUMIF(SmtRes!AQ124:'SmtRes'!AQ144,"=1",SmtRes!AA124:'SmtRes'!AA144)</f>
        <v>879980.35</v>
      </c>
      <c r="CR157" s="2">
        <f>SUMIF(SmtRes!AQ124:'SmtRes'!AQ144,"=1",SmtRes!AB124:'SmtRes'!AB144)</f>
        <v>2266.54</v>
      </c>
      <c r="CS157" s="2">
        <f>SUMIF(SmtRes!AQ124:'SmtRes'!AQ144,"=1",SmtRes!AC124:'SmtRes'!AC144)</f>
        <v>862.37</v>
      </c>
      <c r="CT157" s="2">
        <f>SUMIF(SmtRes!AQ124:'SmtRes'!AQ144,"=1",SmtRes!AD124:'SmtRes'!AD144)</f>
        <v>347.42</v>
      </c>
      <c r="CU157" s="2">
        <f>AG157</f>
        <v>0</v>
      </c>
      <c r="CV157" s="2">
        <f>SUMIF(SmtRes!AQ124:'SmtRes'!AQ144,"=1",SmtRes!BU124:'SmtRes'!BU144)</f>
        <v>84.639999999999986</v>
      </c>
      <c r="CW157" s="2">
        <f>SUMIF(SmtRes!AQ124:'SmtRes'!AQ144,"=1",SmtRes!BV124:'SmtRes'!BV144)</f>
        <v>0.3105</v>
      </c>
      <c r="CX157" s="2">
        <f>AJ157</f>
        <v>0</v>
      </c>
      <c r="CY157" s="2">
        <f>(((S157+R157)*AT157)/100)</f>
        <v>440.86649999999992</v>
      </c>
      <c r="CZ157" s="2">
        <f>(((S157+R157)*AU157)/100)</f>
        <v>293.911</v>
      </c>
      <c r="DA157" s="2"/>
      <c r="DB157" s="2">
        <v>27</v>
      </c>
      <c r="DC157" s="2" t="s">
        <v>3</v>
      </c>
      <c r="DD157" s="2" t="s">
        <v>3</v>
      </c>
      <c r="DE157" s="2" t="s">
        <v>27</v>
      </c>
      <c r="DF157" s="2" t="s">
        <v>27</v>
      </c>
      <c r="DG157" s="2" t="s">
        <v>27</v>
      </c>
      <c r="DH157" s="2" t="s">
        <v>3</v>
      </c>
      <c r="DI157" s="2" t="s">
        <v>27</v>
      </c>
      <c r="DJ157" s="2" t="s">
        <v>27</v>
      </c>
      <c r="DK157" s="2" t="s">
        <v>3</v>
      </c>
      <c r="DL157" s="2" t="s">
        <v>3</v>
      </c>
      <c r="DM157" s="2" t="s">
        <v>3</v>
      </c>
      <c r="DN157" s="2">
        <v>0</v>
      </c>
      <c r="DO157" s="2">
        <v>0</v>
      </c>
      <c r="DP157" s="2">
        <v>1</v>
      </c>
      <c r="DQ157" s="2">
        <v>1</v>
      </c>
      <c r="DR157" s="2"/>
      <c r="DS157" s="2"/>
      <c r="DT157" s="2"/>
      <c r="DU157" s="2">
        <v>1009</v>
      </c>
      <c r="DV157" s="2" t="s">
        <v>174</v>
      </c>
      <c r="DW157" s="2" t="s">
        <v>174</v>
      </c>
      <c r="DX157" s="2">
        <v>1000</v>
      </c>
      <c r="DY157" s="2"/>
      <c r="DZ157" s="2" t="s">
        <v>3</v>
      </c>
      <c r="EA157" s="2" t="s">
        <v>3</v>
      </c>
      <c r="EB157" s="2" t="s">
        <v>3</v>
      </c>
      <c r="EC157" s="2" t="s">
        <v>3</v>
      </c>
      <c r="ED157" s="2"/>
      <c r="EE157" s="2">
        <v>74004197</v>
      </c>
      <c r="EF157" s="2">
        <v>2</v>
      </c>
      <c r="EG157" s="2" t="s">
        <v>29</v>
      </c>
      <c r="EH157" s="2">
        <v>9</v>
      </c>
      <c r="EI157" s="2" t="s">
        <v>255</v>
      </c>
      <c r="EJ157" s="2">
        <v>1</v>
      </c>
      <c r="EK157" s="2">
        <v>9001</v>
      </c>
      <c r="EL157" s="2" t="s">
        <v>255</v>
      </c>
      <c r="EM157" s="2" t="s">
        <v>256</v>
      </c>
      <c r="EN157" s="2"/>
      <c r="EO157" s="2" t="s">
        <v>39</v>
      </c>
      <c r="EP157" s="2"/>
      <c r="EQ157" s="2">
        <v>262144</v>
      </c>
      <c r="ER157" s="2">
        <v>0</v>
      </c>
      <c r="ES157" s="2">
        <v>0</v>
      </c>
      <c r="ET157" s="2">
        <v>0</v>
      </c>
      <c r="EU157" s="2">
        <v>0</v>
      </c>
      <c r="EV157" s="2">
        <v>0</v>
      </c>
      <c r="EW157" s="2">
        <v>73.599999999999994</v>
      </c>
      <c r="EX157" s="2">
        <v>0.27</v>
      </c>
      <c r="EY157" s="2">
        <v>0</v>
      </c>
      <c r="EZ157" s="2"/>
      <c r="FA157" s="2"/>
      <c r="FB157" s="2"/>
      <c r="FC157" s="2"/>
      <c r="FD157" s="2"/>
      <c r="FE157" s="2"/>
      <c r="FF157" s="2"/>
      <c r="FG157" s="2"/>
      <c r="FH157" s="2"/>
      <c r="FI157" s="2"/>
      <c r="FJ157" s="2"/>
      <c r="FK157" s="2"/>
      <c r="FL157" s="2"/>
      <c r="FM157" s="2"/>
      <c r="FN157" s="2"/>
      <c r="FO157" s="2"/>
      <c r="FP157" s="2"/>
      <c r="FQ157" s="2">
        <v>0</v>
      </c>
      <c r="FR157" s="2">
        <v>0</v>
      </c>
      <c r="FS157" s="2">
        <v>0</v>
      </c>
      <c r="FT157" s="2"/>
      <c r="FU157" s="2"/>
      <c r="FV157" s="2"/>
      <c r="FW157" s="2"/>
      <c r="FX157" s="2">
        <v>93</v>
      </c>
      <c r="FY157" s="2">
        <v>62</v>
      </c>
      <c r="FZ157" s="2"/>
      <c r="GA157" s="2" t="s">
        <v>3</v>
      </c>
      <c r="GB157" s="2"/>
      <c r="GC157" s="2"/>
      <c r="GD157" s="2">
        <v>1</v>
      </c>
      <c r="GE157" s="2"/>
      <c r="GF157" s="2">
        <v>-1113579298</v>
      </c>
      <c r="GG157" s="2">
        <v>2</v>
      </c>
      <c r="GH157" s="2">
        <v>1</v>
      </c>
      <c r="GI157" s="2">
        <v>-2</v>
      </c>
      <c r="GJ157" s="2">
        <v>0</v>
      </c>
      <c r="GK157" s="2">
        <v>0</v>
      </c>
      <c r="GL157" s="2">
        <f>ROUND(IF(AND(BH157=3,BI157=3,FS157&lt;&gt;0),P157,0),2)</f>
        <v>0</v>
      </c>
      <c r="GM157" s="2">
        <f>ROUND(O157+X157+Y157,2)+GX157</f>
        <v>1297.5899999999999</v>
      </c>
      <c r="GN157" s="2">
        <f>IF(OR(BI157=0,BI157=1),GM157-GX157,0)</f>
        <v>1297.5899999999999</v>
      </c>
      <c r="GO157" s="2">
        <f>IF(BI157=2,GM157-GX157,0)</f>
        <v>0</v>
      </c>
      <c r="GP157" s="2">
        <f>IF(BI157=4,GM157-GX157,0)</f>
        <v>0</v>
      </c>
      <c r="GQ157" s="2"/>
      <c r="GR157" s="2">
        <v>0</v>
      </c>
      <c r="GS157" s="2">
        <v>3</v>
      </c>
      <c r="GT157" s="2">
        <v>0</v>
      </c>
      <c r="GU157" s="2" t="s">
        <v>3</v>
      </c>
      <c r="GV157" s="2">
        <f>ROUND((GT157),6)</f>
        <v>0</v>
      </c>
      <c r="GW157" s="2">
        <v>1</v>
      </c>
      <c r="GX157" s="2">
        <f>ROUND(HC157*I157,2)</f>
        <v>0</v>
      </c>
      <c r="GY157" s="2"/>
      <c r="GZ157" s="2"/>
      <c r="HA157" s="2">
        <v>0</v>
      </c>
      <c r="HB157" s="2">
        <v>0</v>
      </c>
      <c r="HC157" s="2">
        <f>GV157*GW157</f>
        <v>0</v>
      </c>
      <c r="HD157" s="2"/>
      <c r="HE157" s="2" t="s">
        <v>3</v>
      </c>
      <c r="HF157" s="2" t="s">
        <v>3</v>
      </c>
      <c r="HG157" s="2"/>
      <c r="HH157" s="2"/>
      <c r="HI157" s="2"/>
      <c r="HJ157" s="2"/>
      <c r="HK157" s="2"/>
      <c r="HL157" s="2"/>
      <c r="HM157" s="2" t="s">
        <v>3</v>
      </c>
      <c r="HN157" s="2" t="s">
        <v>257</v>
      </c>
      <c r="HO157" s="2" t="s">
        <v>258</v>
      </c>
      <c r="HP157" s="2" t="s">
        <v>255</v>
      </c>
      <c r="HQ157" s="2" t="s">
        <v>255</v>
      </c>
      <c r="HR157" s="2"/>
      <c r="HS157" s="2">
        <v>0</v>
      </c>
      <c r="HT157" s="2"/>
      <c r="HU157" s="2"/>
      <c r="HV157" s="2"/>
      <c r="HW157" s="2"/>
      <c r="HX157" s="2"/>
      <c r="HY157" s="2"/>
      <c r="HZ157" s="2"/>
      <c r="IA157" s="2"/>
      <c r="IB157" s="2"/>
      <c r="IC157" s="2"/>
      <c r="ID157" s="2"/>
      <c r="IE157" s="2"/>
      <c r="IF157" s="2"/>
      <c r="IG157" s="2"/>
      <c r="IH157" s="2"/>
      <c r="II157" s="2"/>
      <c r="IJ157" s="2"/>
      <c r="IK157" s="2">
        <v>0</v>
      </c>
      <c r="IL157" s="2"/>
      <c r="IM157" s="2"/>
      <c r="IN157" s="2"/>
      <c r="IO157" s="2"/>
      <c r="IP157" s="2"/>
      <c r="IQ157" s="2"/>
      <c r="IR157" s="2"/>
      <c r="IS157" s="2"/>
      <c r="IT157" s="2"/>
      <c r="IU157" s="2"/>
    </row>
    <row r="158" spans="1:255" ht="13.05" customHeight="1" x14ac:dyDescent="0.25">
      <c r="A158" s="2">
        <v>18</v>
      </c>
      <c r="B158" s="2">
        <v>1</v>
      </c>
      <c r="C158" s="2">
        <v>138</v>
      </c>
      <c r="D158" s="2"/>
      <c r="E158" s="2" t="s">
        <v>277</v>
      </c>
      <c r="F158" s="2" t="s">
        <v>238</v>
      </c>
      <c r="G158" s="2" t="s">
        <v>266</v>
      </c>
      <c r="H158" s="2" t="s">
        <v>240</v>
      </c>
      <c r="I158" s="2">
        <f>I157*J158</f>
        <v>16.05</v>
      </c>
      <c r="J158" s="2">
        <v>1000.0000000000001</v>
      </c>
      <c r="K158" s="2">
        <v>1000</v>
      </c>
      <c r="L158" s="2"/>
      <c r="M158" s="2"/>
      <c r="N158" s="2"/>
      <c r="O158" s="2">
        <f>ROUND(CP158,2)</f>
        <v>3693.11</v>
      </c>
      <c r="P158" s="2">
        <f>ROUND(CQ158*I158,2)</f>
        <v>3693.11</v>
      </c>
      <c r="Q158" s="2">
        <f>ROUND(CR158*I158,2)</f>
        <v>0</v>
      </c>
      <c r="R158" s="2">
        <f>ROUND(CS158*I158,2)</f>
        <v>0</v>
      </c>
      <c r="S158" s="2">
        <f>ROUND(CT158*I158,2)</f>
        <v>0</v>
      </c>
      <c r="T158" s="2">
        <f>ROUND(CU158*I158,2)</f>
        <v>0</v>
      </c>
      <c r="U158" s="2">
        <f>ROUND(CV158*I158,7)</f>
        <v>0</v>
      </c>
      <c r="V158" s="2">
        <f>ROUND(CW158*I158,7)</f>
        <v>0</v>
      </c>
      <c r="W158" s="2">
        <f>ROUND(CX158*I158,2)</f>
        <v>0</v>
      </c>
      <c r="X158" s="2">
        <f>ROUND(CY158,2)</f>
        <v>0</v>
      </c>
      <c r="Y158" s="2">
        <f>ROUND(CZ158,2)</f>
        <v>0</v>
      </c>
      <c r="Z158" s="2"/>
      <c r="AA158" s="2">
        <v>75604747</v>
      </c>
      <c r="AB158" s="2">
        <f>ROUND((AC158+AD158+AF158),6)</f>
        <v>175.65</v>
      </c>
      <c r="AC158" s="2">
        <f>ROUND((ES158),6)</f>
        <v>175.65</v>
      </c>
      <c r="AD158" s="2">
        <f>ROUND((((ET158)-(EU158))+AE158),6)</f>
        <v>0</v>
      </c>
      <c r="AE158" s="2">
        <f>ROUND((EU158),6)</f>
        <v>0</v>
      </c>
      <c r="AF158" s="2">
        <f>ROUND((EV158),6)</f>
        <v>0</v>
      </c>
      <c r="AG158" s="2">
        <f>ROUND((AP158),6)</f>
        <v>0</v>
      </c>
      <c r="AH158" s="2">
        <f>(EW158)</f>
        <v>0</v>
      </c>
      <c r="AI158" s="2">
        <f>(EX158)</f>
        <v>0</v>
      </c>
      <c r="AJ158" s="2">
        <f>(AS158)</f>
        <v>0</v>
      </c>
      <c r="AK158" s="2">
        <v>175.65</v>
      </c>
      <c r="AL158" s="2">
        <v>175.65</v>
      </c>
      <c r="AM158" s="2">
        <v>0</v>
      </c>
      <c r="AN158" s="2">
        <v>0</v>
      </c>
      <c r="AO158" s="2">
        <v>0</v>
      </c>
      <c r="AP158" s="2">
        <v>0</v>
      </c>
      <c r="AQ158" s="2">
        <v>0</v>
      </c>
      <c r="AR158" s="2">
        <v>0</v>
      </c>
      <c r="AS158" s="2">
        <v>0</v>
      </c>
      <c r="AT158" s="2">
        <v>117</v>
      </c>
      <c r="AU158" s="2">
        <v>74</v>
      </c>
      <c r="AV158" s="2">
        <v>1</v>
      </c>
      <c r="AW158" s="2">
        <v>1</v>
      </c>
      <c r="AX158" s="2"/>
      <c r="AY158" s="2"/>
      <c r="AZ158" s="2">
        <v>1</v>
      </c>
      <c r="BA158" s="2">
        <v>1</v>
      </c>
      <c r="BB158" s="2">
        <v>1</v>
      </c>
      <c r="BC158" s="2">
        <v>1.31</v>
      </c>
      <c r="BD158" s="2" t="s">
        <v>3</v>
      </c>
      <c r="BE158" s="2" t="s">
        <v>3</v>
      </c>
      <c r="BF158" s="2" t="s">
        <v>3</v>
      </c>
      <c r="BG158" s="2" t="s">
        <v>3</v>
      </c>
      <c r="BH158" s="2">
        <v>3</v>
      </c>
      <c r="BI158" s="2">
        <v>1</v>
      </c>
      <c r="BJ158" s="2" t="s">
        <v>241</v>
      </c>
      <c r="BK158" s="2"/>
      <c r="BL158" s="2"/>
      <c r="BM158" s="2">
        <v>24001</v>
      </c>
      <c r="BN158" s="2">
        <v>0</v>
      </c>
      <c r="BO158" s="2" t="s">
        <v>238</v>
      </c>
      <c r="BP158" s="2">
        <v>1</v>
      </c>
      <c r="BQ158" s="2">
        <v>2</v>
      </c>
      <c r="BR158" s="2">
        <v>0</v>
      </c>
      <c r="BS158" s="2">
        <v>1</v>
      </c>
      <c r="BT158" s="2">
        <v>1</v>
      </c>
      <c r="BU158" s="2">
        <v>1</v>
      </c>
      <c r="BV158" s="2">
        <v>1</v>
      </c>
      <c r="BW158" s="2">
        <v>1</v>
      </c>
      <c r="BX158" s="2">
        <v>1</v>
      </c>
      <c r="BY158" s="2" t="s">
        <v>3</v>
      </c>
      <c r="BZ158" s="2">
        <v>117</v>
      </c>
      <c r="CA158" s="2">
        <v>74</v>
      </c>
      <c r="CB158" s="2" t="s">
        <v>3</v>
      </c>
      <c r="CC158" s="2"/>
      <c r="CD158" s="2"/>
      <c r="CE158" s="2">
        <v>0</v>
      </c>
      <c r="CF158" s="2">
        <v>0</v>
      </c>
      <c r="CG158" s="2">
        <v>0</v>
      </c>
      <c r="CH158" s="2"/>
      <c r="CI158" s="2"/>
      <c r="CJ158" s="2"/>
      <c r="CK158" s="2"/>
      <c r="CL158" s="2"/>
      <c r="CM158" s="2">
        <v>0</v>
      </c>
      <c r="CN158" s="2" t="s">
        <v>3</v>
      </c>
      <c r="CO158" s="2">
        <v>0</v>
      </c>
      <c r="CP158" s="2">
        <f>(P158+Q158+S158+R158)</f>
        <v>3693.11</v>
      </c>
      <c r="CQ158" s="2">
        <f>ROUND(AL158*BC158,2)</f>
        <v>230.1</v>
      </c>
      <c r="CR158" s="2">
        <f>ROUND(AM158*BB158,2)</f>
        <v>0</v>
      </c>
      <c r="CS158" s="2">
        <f>ROUND(AN158*BS158,2)</f>
        <v>0</v>
      </c>
      <c r="CT158" s="2">
        <f>ROUND(AO158*BA158,2)</f>
        <v>0</v>
      </c>
      <c r="CU158" s="2">
        <f>AG158</f>
        <v>0</v>
      </c>
      <c r="CV158" s="2">
        <f>AH158</f>
        <v>0</v>
      </c>
      <c r="CW158" s="2">
        <f>AI158</f>
        <v>0</v>
      </c>
      <c r="CX158" s="2">
        <f>AJ158</f>
        <v>0</v>
      </c>
      <c r="CY158" s="2">
        <f>(((S158+R158)*AT158)/100)</f>
        <v>0</v>
      </c>
      <c r="CZ158" s="2">
        <f>(((S158+R158)*AU158)/100)</f>
        <v>0</v>
      </c>
      <c r="DA158" s="2"/>
      <c r="DB158" s="2"/>
      <c r="DC158" s="2" t="s">
        <v>3</v>
      </c>
      <c r="DD158" s="2" t="s">
        <v>3</v>
      </c>
      <c r="DE158" s="2" t="s">
        <v>3</v>
      </c>
      <c r="DF158" s="2" t="s">
        <v>3</v>
      </c>
      <c r="DG158" s="2" t="s">
        <v>3</v>
      </c>
      <c r="DH158" s="2" t="s">
        <v>3</v>
      </c>
      <c r="DI158" s="2" t="s">
        <v>3</v>
      </c>
      <c r="DJ158" s="2" t="s">
        <v>3</v>
      </c>
      <c r="DK158" s="2" t="s">
        <v>3</v>
      </c>
      <c r="DL158" s="2" t="s">
        <v>3</v>
      </c>
      <c r="DM158" s="2" t="s">
        <v>3</v>
      </c>
      <c r="DN158" s="2">
        <v>0</v>
      </c>
      <c r="DO158" s="2">
        <v>0</v>
      </c>
      <c r="DP158" s="2">
        <v>1</v>
      </c>
      <c r="DQ158" s="2">
        <v>1</v>
      </c>
      <c r="DR158" s="2"/>
      <c r="DS158" s="2"/>
      <c r="DT158" s="2"/>
      <c r="DU158" s="2">
        <v>1009</v>
      </c>
      <c r="DV158" s="2" t="s">
        <v>240</v>
      </c>
      <c r="DW158" s="2" t="s">
        <v>240</v>
      </c>
      <c r="DX158" s="2">
        <v>1</v>
      </c>
      <c r="DY158" s="2"/>
      <c r="DZ158" s="2" t="s">
        <v>3</v>
      </c>
      <c r="EA158" s="2" t="s">
        <v>3</v>
      </c>
      <c r="EB158" s="2" t="s">
        <v>3</v>
      </c>
      <c r="EC158" s="2" t="s">
        <v>3</v>
      </c>
      <c r="ED158" s="2"/>
      <c r="EE158" s="2">
        <v>74004233</v>
      </c>
      <c r="EF158" s="2">
        <v>2</v>
      </c>
      <c r="EG158" s="2" t="s">
        <v>29</v>
      </c>
      <c r="EH158" s="2">
        <v>18</v>
      </c>
      <c r="EI158" s="2" t="s">
        <v>100</v>
      </c>
      <c r="EJ158" s="2">
        <v>1</v>
      </c>
      <c r="EK158" s="2">
        <v>24001</v>
      </c>
      <c r="EL158" s="2" t="s">
        <v>100</v>
      </c>
      <c r="EM158" s="2" t="s">
        <v>236</v>
      </c>
      <c r="EN158" s="2"/>
      <c r="EO158" s="2" t="s">
        <v>3</v>
      </c>
      <c r="EP158" s="2"/>
      <c r="EQ158" s="2">
        <v>262144</v>
      </c>
      <c r="ER158" s="2">
        <v>175.65</v>
      </c>
      <c r="ES158" s="2">
        <v>175.65</v>
      </c>
      <c r="ET158" s="2">
        <v>0</v>
      </c>
      <c r="EU158" s="2">
        <v>0</v>
      </c>
      <c r="EV158" s="2">
        <v>0</v>
      </c>
      <c r="EW158" s="2">
        <v>0</v>
      </c>
      <c r="EX158" s="2">
        <v>0</v>
      </c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>
        <v>0</v>
      </c>
      <c r="FR158" s="2">
        <v>0</v>
      </c>
      <c r="FS158" s="2">
        <v>0</v>
      </c>
      <c r="FT158" s="2"/>
      <c r="FU158" s="2"/>
      <c r="FV158" s="2"/>
      <c r="FW158" s="2"/>
      <c r="FX158" s="2">
        <v>117</v>
      </c>
      <c r="FY158" s="2">
        <v>74</v>
      </c>
      <c r="FZ158" s="2"/>
      <c r="GA158" s="2" t="s">
        <v>3</v>
      </c>
      <c r="GB158" s="2"/>
      <c r="GC158" s="2"/>
      <c r="GD158" s="2">
        <v>1</v>
      </c>
      <c r="GE158" s="2"/>
      <c r="GF158" s="2">
        <v>601571053</v>
      </c>
      <c r="GG158" s="2">
        <v>2</v>
      </c>
      <c r="GH158" s="2">
        <v>1</v>
      </c>
      <c r="GI158" s="2">
        <v>2</v>
      </c>
      <c r="GJ158" s="2">
        <v>0</v>
      </c>
      <c r="GK158" s="2">
        <v>0</v>
      </c>
      <c r="GL158" s="2">
        <f>ROUND(IF(AND(BH158=3,BI158=3,FS158&lt;&gt;0),P158,0),2)</f>
        <v>0</v>
      </c>
      <c r="GM158" s="2">
        <f>ROUND(O158+X158+Y158,2)+GX158</f>
        <v>3693.11</v>
      </c>
      <c r="GN158" s="2">
        <f>IF(OR(BI158=0,BI158=1),GM158-GX158,0)</f>
        <v>3693.11</v>
      </c>
      <c r="GO158" s="2">
        <f>IF(BI158=2,GM158-GX158,0)</f>
        <v>0</v>
      </c>
      <c r="GP158" s="2">
        <f>IF(BI158=4,GM158-GX158,0)</f>
        <v>0</v>
      </c>
      <c r="GQ158" s="2"/>
      <c r="GR158" s="2">
        <v>0</v>
      </c>
      <c r="GS158" s="2">
        <v>3</v>
      </c>
      <c r="GT158" s="2">
        <v>0</v>
      </c>
      <c r="GU158" s="2" t="s">
        <v>3</v>
      </c>
      <c r="GV158" s="2">
        <f>ROUND((GT158),6)</f>
        <v>0</v>
      </c>
      <c r="GW158" s="2">
        <v>1</v>
      </c>
      <c r="GX158" s="2">
        <f>ROUND(HC158*I158,2)</f>
        <v>0</v>
      </c>
      <c r="GY158" s="2"/>
      <c r="GZ158" s="2"/>
      <c r="HA158" s="2">
        <v>0</v>
      </c>
      <c r="HB158" s="2">
        <v>0</v>
      </c>
      <c r="HC158" s="2">
        <f>GV158*GW158</f>
        <v>0</v>
      </c>
      <c r="HD158" s="2"/>
      <c r="HE158" s="2" t="s">
        <v>3</v>
      </c>
      <c r="HF158" s="2" t="s">
        <v>3</v>
      </c>
      <c r="HG158" s="2"/>
      <c r="HH158" s="2"/>
      <c r="HI158" s="2"/>
      <c r="HJ158" s="2"/>
      <c r="HK158" s="2"/>
      <c r="HL158" s="2"/>
      <c r="HM158" s="2" t="s">
        <v>3</v>
      </c>
      <c r="HN158" s="2" t="s">
        <v>102</v>
      </c>
      <c r="HO158" s="2" t="s">
        <v>103</v>
      </c>
      <c r="HP158" s="2" t="s">
        <v>100</v>
      </c>
      <c r="HQ158" s="2" t="s">
        <v>100</v>
      </c>
      <c r="HR158" s="2"/>
      <c r="HS158" s="2">
        <v>0</v>
      </c>
      <c r="HT158" s="2"/>
      <c r="HU158" s="2"/>
      <c r="HV158" s="2"/>
      <c r="HW158" s="2"/>
      <c r="HX158" s="2"/>
      <c r="HY158" s="2"/>
      <c r="HZ158" s="2"/>
      <c r="IA158" s="2"/>
      <c r="IB158" s="2"/>
      <c r="IC158" s="2"/>
      <c r="ID158" s="2"/>
      <c r="IE158" s="2"/>
      <c r="IF158" s="2"/>
      <c r="IG158" s="2"/>
      <c r="IH158" s="2"/>
      <c r="II158" s="2"/>
      <c r="IJ158" s="2"/>
      <c r="IK158" s="2">
        <v>0</v>
      </c>
      <c r="IL158" s="2"/>
      <c r="IM158" s="2"/>
      <c r="IN158" s="2"/>
      <c r="IO158" s="2"/>
      <c r="IP158" s="2"/>
      <c r="IQ158" s="2"/>
      <c r="IR158" s="2"/>
      <c r="IS158" s="2"/>
      <c r="IT158" s="2"/>
      <c r="IU158" s="2"/>
    </row>
    <row r="159" spans="1:255" ht="13.05" customHeight="1" x14ac:dyDescent="0.25">
      <c r="A159">
        <v>19</v>
      </c>
      <c r="B159">
        <v>1</v>
      </c>
      <c r="F159" t="s">
        <v>3</v>
      </c>
      <c r="G159" t="s">
        <v>278</v>
      </c>
      <c r="H159" t="s">
        <v>3</v>
      </c>
      <c r="AA159">
        <v>1</v>
      </c>
      <c r="IK159">
        <v>0</v>
      </c>
    </row>
    <row r="160" spans="1:255" ht="13.05" customHeight="1" x14ac:dyDescent="0.25">
      <c r="A160" s="2">
        <v>17</v>
      </c>
      <c r="B160" s="2">
        <v>1</v>
      </c>
      <c r="C160" s="2">
        <f>ROW(SmtRes!A151)</f>
        <v>151</v>
      </c>
      <c r="D160" s="2">
        <f>ROW(EtalonRes!A158)</f>
        <v>158</v>
      </c>
      <c r="E160" s="2" t="s">
        <v>279</v>
      </c>
      <c r="F160" s="2" t="s">
        <v>280</v>
      </c>
      <c r="G160" s="2" t="s">
        <v>281</v>
      </c>
      <c r="H160" s="2" t="s">
        <v>213</v>
      </c>
      <c r="I160" s="2">
        <v>0.48</v>
      </c>
      <c r="J160" s="2">
        <v>0</v>
      </c>
      <c r="K160" s="2">
        <v>0.48</v>
      </c>
      <c r="L160" s="2"/>
      <c r="M160" s="2"/>
      <c r="N160" s="2"/>
      <c r="O160" s="2">
        <f>ROUND(CP160,2)</f>
        <v>17262.55</v>
      </c>
      <c r="P160" s="2">
        <f>SUMIF(SmtRes!AQ145:'SmtRes'!AQ151,"=1",SmtRes!DF145:'SmtRes'!DF151)</f>
        <v>0</v>
      </c>
      <c r="Q160" s="2">
        <f>SUMIF(SmtRes!AQ145:'SmtRes'!AQ151,"=1",SmtRes!DG145:'SmtRes'!DG151)</f>
        <v>82.41</v>
      </c>
      <c r="R160" s="2">
        <f>SUMIF(SmtRes!AQ145:'SmtRes'!AQ151,"=1",SmtRes!DH145:'SmtRes'!DH151)</f>
        <v>34.53</v>
      </c>
      <c r="S160" s="2">
        <f>SUMIF(SmtRes!AQ145:'SmtRes'!AQ151,"=1",SmtRes!DI145:'SmtRes'!DI151)</f>
        <v>17145.61</v>
      </c>
      <c r="T160" s="2">
        <f>ROUND(CU160*I160,2)</f>
        <v>0</v>
      </c>
      <c r="U160" s="2">
        <f>SUMIF(SmtRes!AQ145:'SmtRes'!AQ151,"=1",SmtRes!CV145:'SmtRes'!CV151)</f>
        <v>46.588799999999999</v>
      </c>
      <c r="V160" s="2">
        <f>SUMIF(SmtRes!AQ145:'SmtRes'!AQ151,"=1",SmtRes!CW145:'SmtRes'!CW151)</f>
        <v>9.3840000000000007E-2</v>
      </c>
      <c r="W160" s="2">
        <f>ROUND(CX160*I160,2)</f>
        <v>0</v>
      </c>
      <c r="X160" s="2">
        <f>ROUND(CY160,2)</f>
        <v>20100.759999999998</v>
      </c>
      <c r="Y160" s="2">
        <f>ROUND(CZ160,2)</f>
        <v>12713.3</v>
      </c>
      <c r="Z160" s="2"/>
      <c r="AA160" s="2">
        <v>75604747</v>
      </c>
      <c r="AB160" s="2">
        <f>ROUND((AC160+AD160+AF160),6)</f>
        <v>35869.818475</v>
      </c>
      <c r="AC160" s="2">
        <f>ROUND((0),6)</f>
        <v>0</v>
      </c>
      <c r="AD160" s="2">
        <f>ROUND((((SUM(SmtRes!BR145:'SmtRes'!BR151))-(SUM(SmtRes!BS145:'SmtRes'!BS151)))+AE160),6)</f>
        <v>149.79727500000001</v>
      </c>
      <c r="AE160" s="2">
        <f>ROUND((SUM(SmtRes!BS145:'SmtRes'!BS151)),6)</f>
        <v>71.947909999999993</v>
      </c>
      <c r="AF160" s="2">
        <f>ROUND((SUM(SmtRes!BT145:'SmtRes'!BT151)),6)</f>
        <v>35720.021200000003</v>
      </c>
      <c r="AG160" s="2">
        <f>ROUND((AP160),6)</f>
        <v>0</v>
      </c>
      <c r="AH160" s="2">
        <f>(SUM(SmtRes!BU145:'SmtRes'!BU151))</f>
        <v>97.06</v>
      </c>
      <c r="AI160" s="2">
        <f>(SUM(SmtRes!BV145:'SmtRes'!BV151))</f>
        <v>0.19550000000000001</v>
      </c>
      <c r="AJ160" s="2">
        <f>(AS160)</f>
        <v>0</v>
      </c>
      <c r="AK160" s="2">
        <v>36505.942983999994</v>
      </c>
      <c r="AL160" s="2">
        <v>5252.2330839999995</v>
      </c>
      <c r="AM160" s="2">
        <v>130.2585</v>
      </c>
      <c r="AN160" s="2">
        <v>62.563400000000001</v>
      </c>
      <c r="AO160" s="2">
        <v>31060.887999999999</v>
      </c>
      <c r="AP160" s="2">
        <v>0</v>
      </c>
      <c r="AQ160" s="2">
        <v>84.4</v>
      </c>
      <c r="AR160" s="2">
        <v>0.17</v>
      </c>
      <c r="AS160" s="2">
        <v>0</v>
      </c>
      <c r="AT160" s="2">
        <v>117</v>
      </c>
      <c r="AU160" s="2">
        <v>74</v>
      </c>
      <c r="AV160" s="2">
        <v>1</v>
      </c>
      <c r="AW160" s="2">
        <v>1</v>
      </c>
      <c r="AX160" s="2"/>
      <c r="AY160" s="2"/>
      <c r="AZ160" s="2">
        <v>1</v>
      </c>
      <c r="BA160" s="2">
        <v>1</v>
      </c>
      <c r="BB160" s="2">
        <v>1</v>
      </c>
      <c r="BC160" s="2">
        <v>1</v>
      </c>
      <c r="BD160" s="2" t="s">
        <v>3</v>
      </c>
      <c r="BE160" s="2" t="s">
        <v>3</v>
      </c>
      <c r="BF160" s="2" t="s">
        <v>3</v>
      </c>
      <c r="BG160" s="2" t="s">
        <v>3</v>
      </c>
      <c r="BH160" s="2">
        <v>0</v>
      </c>
      <c r="BI160" s="2">
        <v>1</v>
      </c>
      <c r="BJ160" s="2" t="s">
        <v>282</v>
      </c>
      <c r="BK160" s="2"/>
      <c r="BL160" s="2"/>
      <c r="BM160" s="2">
        <v>22001</v>
      </c>
      <c r="BN160" s="2">
        <v>0</v>
      </c>
      <c r="BO160" s="2" t="s">
        <v>3</v>
      </c>
      <c r="BP160" s="2">
        <v>0</v>
      </c>
      <c r="BQ160" s="2">
        <v>2</v>
      </c>
      <c r="BR160" s="2">
        <v>0</v>
      </c>
      <c r="BS160" s="2">
        <v>1</v>
      </c>
      <c r="BT160" s="2">
        <v>1</v>
      </c>
      <c r="BU160" s="2">
        <v>1</v>
      </c>
      <c r="BV160" s="2">
        <v>1</v>
      </c>
      <c r="BW160" s="2">
        <v>1</v>
      </c>
      <c r="BX160" s="2">
        <v>1</v>
      </c>
      <c r="BY160" s="2" t="s">
        <v>3</v>
      </c>
      <c r="BZ160" s="2">
        <v>117</v>
      </c>
      <c r="CA160" s="2">
        <v>74</v>
      </c>
      <c r="CB160" s="2" t="s">
        <v>3</v>
      </c>
      <c r="CC160" s="2"/>
      <c r="CD160" s="2"/>
      <c r="CE160" s="2">
        <v>0</v>
      </c>
      <c r="CF160" s="2">
        <v>0</v>
      </c>
      <c r="CG160" s="2">
        <v>0</v>
      </c>
      <c r="CH160" s="2"/>
      <c r="CI160" s="2"/>
      <c r="CJ160" s="2"/>
      <c r="CK160" s="2"/>
      <c r="CL160" s="2"/>
      <c r="CM160" s="2">
        <v>0</v>
      </c>
      <c r="CN160" s="7" t="s">
        <v>802</v>
      </c>
      <c r="CO160" s="2">
        <v>0</v>
      </c>
      <c r="CP160" s="2">
        <f>(P160+Q160+S160+R160)</f>
        <v>17262.55</v>
      </c>
      <c r="CQ160" s="2">
        <f>SUMIF(SmtRes!AQ145:'SmtRes'!AQ151,"=1",SmtRes!AA145:'SmtRes'!AA151)</f>
        <v>73449.26999999999</v>
      </c>
      <c r="CR160" s="2">
        <f>SUMIF(SmtRes!AQ145:'SmtRes'!AQ151,"=1",SmtRes!AB145:'SmtRes'!AB151)</f>
        <v>553.58000000000004</v>
      </c>
      <c r="CS160" s="2">
        <f>SUMIF(SmtRes!AQ145:'SmtRes'!AQ151,"=1",SmtRes!AC145:'SmtRes'!AC151)</f>
        <v>368.02</v>
      </c>
      <c r="CT160" s="2">
        <f>SUMIF(SmtRes!AQ145:'SmtRes'!AQ151,"=1",SmtRes!AD145:'SmtRes'!AD151)</f>
        <v>368.02</v>
      </c>
      <c r="CU160" s="2">
        <f>AG160</f>
        <v>0</v>
      </c>
      <c r="CV160" s="2">
        <f>SUMIF(SmtRes!AQ145:'SmtRes'!AQ151,"=1",SmtRes!BU145:'SmtRes'!BU151)</f>
        <v>97.06</v>
      </c>
      <c r="CW160" s="2">
        <f>SUMIF(SmtRes!AQ145:'SmtRes'!AQ151,"=1",SmtRes!BV145:'SmtRes'!BV151)</f>
        <v>0.19550000000000001</v>
      </c>
      <c r="CX160" s="2">
        <f>AJ160</f>
        <v>0</v>
      </c>
      <c r="CY160" s="2">
        <f>(((S160+R160)*AT160)/100)</f>
        <v>20100.763800000001</v>
      </c>
      <c r="CZ160" s="2">
        <f>(((S160+R160)*AU160)/100)</f>
        <v>12713.303599999999</v>
      </c>
      <c r="DA160" s="2"/>
      <c r="DB160" s="2"/>
      <c r="DC160" s="2" t="s">
        <v>3</v>
      </c>
      <c r="DD160" s="2" t="s">
        <v>178</v>
      </c>
      <c r="DE160" s="2" t="s">
        <v>27</v>
      </c>
      <c r="DF160" s="2" t="s">
        <v>27</v>
      </c>
      <c r="DG160" s="2" t="s">
        <v>27</v>
      </c>
      <c r="DH160" s="2" t="s">
        <v>3</v>
      </c>
      <c r="DI160" s="2" t="s">
        <v>27</v>
      </c>
      <c r="DJ160" s="2" t="s">
        <v>27</v>
      </c>
      <c r="DK160" s="2" t="s">
        <v>3</v>
      </c>
      <c r="DL160" s="2" t="s">
        <v>3</v>
      </c>
      <c r="DM160" s="2" t="s">
        <v>3</v>
      </c>
      <c r="DN160" s="2">
        <v>0</v>
      </c>
      <c r="DO160" s="2">
        <v>0</v>
      </c>
      <c r="DP160" s="2">
        <v>1</v>
      </c>
      <c r="DQ160" s="2">
        <v>1</v>
      </c>
      <c r="DR160" s="2"/>
      <c r="DS160" s="2"/>
      <c r="DT160" s="2"/>
      <c r="DU160" s="2">
        <v>1003</v>
      </c>
      <c r="DV160" s="2" t="s">
        <v>213</v>
      </c>
      <c r="DW160" s="2" t="s">
        <v>213</v>
      </c>
      <c r="DX160" s="2">
        <v>100</v>
      </c>
      <c r="DY160" s="2"/>
      <c r="DZ160" s="2" t="s">
        <v>3</v>
      </c>
      <c r="EA160" s="2" t="s">
        <v>3</v>
      </c>
      <c r="EB160" s="2" t="s">
        <v>3</v>
      </c>
      <c r="EC160" s="2" t="s">
        <v>3</v>
      </c>
      <c r="ED160" s="2"/>
      <c r="EE160" s="2">
        <v>74004231</v>
      </c>
      <c r="EF160" s="2">
        <v>2</v>
      </c>
      <c r="EG160" s="2" t="s">
        <v>29</v>
      </c>
      <c r="EH160" s="2">
        <v>18</v>
      </c>
      <c r="EI160" s="2" t="s">
        <v>100</v>
      </c>
      <c r="EJ160" s="2">
        <v>1</v>
      </c>
      <c r="EK160" s="2">
        <v>22001</v>
      </c>
      <c r="EL160" s="2" t="s">
        <v>100</v>
      </c>
      <c r="EM160" s="2" t="s">
        <v>101</v>
      </c>
      <c r="EN160" s="2"/>
      <c r="EO160" s="2" t="s">
        <v>39</v>
      </c>
      <c r="EP160" s="2"/>
      <c r="EQ160" s="2">
        <v>262144</v>
      </c>
      <c r="ER160" s="2">
        <v>0</v>
      </c>
      <c r="ES160" s="2">
        <v>0</v>
      </c>
      <c r="ET160" s="2">
        <v>0</v>
      </c>
      <c r="EU160" s="2">
        <v>0</v>
      </c>
      <c r="EV160" s="2">
        <v>0</v>
      </c>
      <c r="EW160" s="2">
        <v>84.4</v>
      </c>
      <c r="EX160" s="2">
        <v>0.17</v>
      </c>
      <c r="EY160" s="2">
        <v>0</v>
      </c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>
        <v>0</v>
      </c>
      <c r="FR160" s="2">
        <v>0</v>
      </c>
      <c r="FS160" s="2">
        <v>0</v>
      </c>
      <c r="FT160" s="2"/>
      <c r="FU160" s="2"/>
      <c r="FV160" s="2"/>
      <c r="FW160" s="2"/>
      <c r="FX160" s="2">
        <v>117</v>
      </c>
      <c r="FY160" s="2">
        <v>74</v>
      </c>
      <c r="FZ160" s="2"/>
      <c r="GA160" s="2" t="s">
        <v>3</v>
      </c>
      <c r="GB160" s="2"/>
      <c r="GC160" s="2"/>
      <c r="GD160" s="2">
        <v>1</v>
      </c>
      <c r="GE160" s="2"/>
      <c r="GF160" s="2">
        <v>-176731102</v>
      </c>
      <c r="GG160" s="2">
        <v>2</v>
      </c>
      <c r="GH160" s="2">
        <v>1</v>
      </c>
      <c r="GI160" s="2">
        <v>-2</v>
      </c>
      <c r="GJ160" s="2">
        <v>0</v>
      </c>
      <c r="GK160" s="2">
        <v>0</v>
      </c>
      <c r="GL160" s="2">
        <f>ROUND(IF(AND(BH160=3,BI160=3,FS160&lt;&gt;0),P160,0),2)</f>
        <v>0</v>
      </c>
      <c r="GM160" s="2">
        <f>ROUND(O160+X160+Y160,2)+GX160</f>
        <v>50076.61</v>
      </c>
      <c r="GN160" s="2">
        <f>IF(OR(BI160=0,BI160=1),GM160-GX160,0)</f>
        <v>50076.61</v>
      </c>
      <c r="GO160" s="2">
        <f>IF(BI160=2,GM160-GX160,0)</f>
        <v>0</v>
      </c>
      <c r="GP160" s="2">
        <f>IF(BI160=4,GM160-GX160,0)</f>
        <v>0</v>
      </c>
      <c r="GQ160" s="2"/>
      <c r="GR160" s="2">
        <v>0</v>
      </c>
      <c r="GS160" s="2">
        <v>3</v>
      </c>
      <c r="GT160" s="2">
        <v>0</v>
      </c>
      <c r="GU160" s="2" t="s">
        <v>3</v>
      </c>
      <c r="GV160" s="2">
        <f>ROUND((GT160),6)</f>
        <v>0</v>
      </c>
      <c r="GW160" s="2">
        <v>1</v>
      </c>
      <c r="GX160" s="2">
        <f>ROUND(HC160*I160,2)</f>
        <v>0</v>
      </c>
      <c r="GY160" s="2"/>
      <c r="GZ160" s="2"/>
      <c r="HA160" s="2">
        <v>0</v>
      </c>
      <c r="HB160" s="2">
        <v>0</v>
      </c>
      <c r="HC160" s="2">
        <f>GV160*GW160</f>
        <v>0</v>
      </c>
      <c r="HD160" s="2"/>
      <c r="HE160" s="2" t="s">
        <v>3</v>
      </c>
      <c r="HF160" s="2" t="s">
        <v>3</v>
      </c>
      <c r="HG160" s="2"/>
      <c r="HH160" s="2"/>
      <c r="HI160" s="2"/>
      <c r="HJ160" s="2"/>
      <c r="HK160" s="2"/>
      <c r="HL160" s="2"/>
      <c r="HM160" s="2" t="s">
        <v>3</v>
      </c>
      <c r="HN160" s="2" t="s">
        <v>102</v>
      </c>
      <c r="HO160" s="2" t="s">
        <v>103</v>
      </c>
      <c r="HP160" s="2" t="s">
        <v>100</v>
      </c>
      <c r="HQ160" s="2" t="s">
        <v>100</v>
      </c>
      <c r="HR160" s="2"/>
      <c r="HS160" s="2">
        <v>0</v>
      </c>
      <c r="HT160" s="2"/>
      <c r="HU160" s="2"/>
      <c r="HV160" s="2"/>
      <c r="HW160" s="2"/>
      <c r="HX160" s="2"/>
      <c r="HY160" s="2"/>
      <c r="HZ160" s="2"/>
      <c r="IA160" s="2"/>
      <c r="IB160" s="2"/>
      <c r="IC160" s="2"/>
      <c r="ID160" s="2"/>
      <c r="IE160" s="2"/>
      <c r="IF160" s="2"/>
      <c r="IG160" s="2"/>
      <c r="IH160" s="2"/>
      <c r="II160" s="2"/>
      <c r="IJ160" s="2"/>
      <c r="IK160" s="2">
        <v>0</v>
      </c>
      <c r="IL160" s="2"/>
      <c r="IM160" s="2"/>
      <c r="IN160" s="2"/>
      <c r="IO160" s="2"/>
      <c r="IP160" s="2"/>
      <c r="IQ160" s="2"/>
      <c r="IR160" s="2"/>
      <c r="IS160" s="2"/>
      <c r="IT160" s="2"/>
      <c r="IU160" s="2"/>
    </row>
    <row r="161" spans="1:255" ht="13.05" customHeight="1" x14ac:dyDescent="0.25">
      <c r="A161">
        <v>19</v>
      </c>
      <c r="B161">
        <v>1</v>
      </c>
      <c r="F161" t="s">
        <v>3</v>
      </c>
      <c r="G161" t="s">
        <v>283</v>
      </c>
      <c r="H161" t="s">
        <v>3</v>
      </c>
      <c r="AA161">
        <v>1</v>
      </c>
      <c r="IK161">
        <v>0</v>
      </c>
    </row>
    <row r="162" spans="1:255" ht="13.05" customHeight="1" x14ac:dyDescent="0.25">
      <c r="A162" s="2">
        <v>17</v>
      </c>
      <c r="B162" s="2">
        <v>1</v>
      </c>
      <c r="C162" s="2">
        <f>ROW(SmtRes!A159)</f>
        <v>159</v>
      </c>
      <c r="D162" s="2">
        <f>ROW(EtalonRes!A166)</f>
        <v>166</v>
      </c>
      <c r="E162" s="2" t="s">
        <v>284</v>
      </c>
      <c r="F162" s="2" t="s">
        <v>285</v>
      </c>
      <c r="G162" s="2" t="s">
        <v>286</v>
      </c>
      <c r="H162" s="2" t="s">
        <v>185</v>
      </c>
      <c r="I162" s="2">
        <v>0.16</v>
      </c>
      <c r="J162" s="2">
        <v>0</v>
      </c>
      <c r="K162" s="2">
        <v>0.16</v>
      </c>
      <c r="L162" s="2"/>
      <c r="M162" s="2"/>
      <c r="N162" s="2"/>
      <c r="O162" s="2">
        <f>ROUND(CP162,2)</f>
        <v>1850.99</v>
      </c>
      <c r="P162" s="2">
        <f>SUMIF(SmtRes!AQ152:'SmtRes'!AQ159,"=1",SmtRes!DF152:'SmtRes'!DF159)</f>
        <v>1506.1200000000001</v>
      </c>
      <c r="Q162" s="2">
        <f>SUMIF(SmtRes!AQ152:'SmtRes'!AQ159,"=1",SmtRes!DG152:'SmtRes'!DG159)</f>
        <v>14.509999999999998</v>
      </c>
      <c r="R162" s="2">
        <f>SUMIF(SmtRes!AQ152:'SmtRes'!AQ159,"=1",SmtRes!DH152:'SmtRes'!DH159)</f>
        <v>5.6199999999999992</v>
      </c>
      <c r="S162" s="2">
        <f>SUMIF(SmtRes!AQ152:'SmtRes'!AQ159,"=1",SmtRes!DI152:'SmtRes'!DI159)</f>
        <v>324.74</v>
      </c>
      <c r="T162" s="2">
        <f>ROUND(CU162*I162,2)</f>
        <v>0</v>
      </c>
      <c r="U162" s="2">
        <f>SUMIF(SmtRes!AQ152:'SmtRes'!AQ159,"=1",SmtRes!CV152:'SmtRes'!CV159)</f>
        <v>0.93472</v>
      </c>
      <c r="V162" s="2">
        <f>SUMIF(SmtRes!AQ152:'SmtRes'!AQ159,"=1",SmtRes!CW152:'SmtRes'!CW159)</f>
        <v>1.472E-2</v>
      </c>
      <c r="W162" s="2">
        <f>ROUND(CX162*I162,2)</f>
        <v>0</v>
      </c>
      <c r="X162" s="2">
        <f t="shared" ref="X162:Y166" si="55">ROUND(CY162,2)</f>
        <v>310.54000000000002</v>
      </c>
      <c r="Y162" s="2">
        <f t="shared" si="55"/>
        <v>168.48</v>
      </c>
      <c r="Z162" s="2"/>
      <c r="AA162" s="2">
        <v>75604747</v>
      </c>
      <c r="AB162" s="2">
        <f>ROUND((AC162+AD162+AF162),6)</f>
        <v>7109.2235899999996</v>
      </c>
      <c r="AC162" s="2">
        <f>ROUND((SUM(SmtRes!BQ152:'SmtRes'!BQ159)),6)</f>
        <v>4993.65852</v>
      </c>
      <c r="AD162" s="2">
        <f>ROUND((((SUM(SmtRes!BR152:'SmtRes'!BR159))-(SUM(SmtRes!BS152:'SmtRes'!BS159)))+AE162),6)</f>
        <v>85.937430000000006</v>
      </c>
      <c r="AE162" s="2">
        <f>ROUND((SUM(SmtRes!BS152:'SmtRes'!BS159)),6)</f>
        <v>35.121229999999997</v>
      </c>
      <c r="AF162" s="2">
        <f>ROUND((SUM(SmtRes!BT152:'SmtRes'!BT159)),6)</f>
        <v>2029.6276399999999</v>
      </c>
      <c r="AG162" s="2">
        <f>ROUND((AP162),6)</f>
        <v>0</v>
      </c>
      <c r="AH162" s="2">
        <f>(SUM(SmtRes!BU152:'SmtRes'!BU159))</f>
        <v>5.8419999999999996</v>
      </c>
      <c r="AI162" s="2">
        <f>(SUM(SmtRes!BV152:'SmtRes'!BV159))</f>
        <v>9.1999999999999998E-2</v>
      </c>
      <c r="AJ162" s="2">
        <f>(AS162)</f>
        <v>0</v>
      </c>
      <c r="AK162" s="2">
        <v>3431.9102600000006</v>
      </c>
      <c r="AL162" s="2">
        <v>2496.82926</v>
      </c>
      <c r="AM162" s="2">
        <v>37.364100000000008</v>
      </c>
      <c r="AN162" s="2">
        <v>15.270099999999999</v>
      </c>
      <c r="AO162" s="2">
        <v>882.44680000000005</v>
      </c>
      <c r="AP162" s="2">
        <v>0</v>
      </c>
      <c r="AQ162" s="2">
        <v>2.54</v>
      </c>
      <c r="AR162" s="2">
        <v>0.04</v>
      </c>
      <c r="AS162" s="2">
        <v>0</v>
      </c>
      <c r="AT162" s="2">
        <v>94</v>
      </c>
      <c r="AU162" s="2">
        <v>51</v>
      </c>
      <c r="AV162" s="2">
        <v>1</v>
      </c>
      <c r="AW162" s="2">
        <v>1</v>
      </c>
      <c r="AX162" s="2"/>
      <c r="AY162" s="2"/>
      <c r="AZ162" s="2">
        <v>1</v>
      </c>
      <c r="BA162" s="2">
        <v>1</v>
      </c>
      <c r="BB162" s="2">
        <v>1</v>
      </c>
      <c r="BC162" s="2">
        <v>1</v>
      </c>
      <c r="BD162" s="2" t="s">
        <v>3</v>
      </c>
      <c r="BE162" s="2" t="s">
        <v>3</v>
      </c>
      <c r="BF162" s="2" t="s">
        <v>3</v>
      </c>
      <c r="BG162" s="2" t="s">
        <v>3</v>
      </c>
      <c r="BH162" s="2">
        <v>0</v>
      </c>
      <c r="BI162" s="2">
        <v>1</v>
      </c>
      <c r="BJ162" s="2" t="s">
        <v>287</v>
      </c>
      <c r="BK162" s="2"/>
      <c r="BL162" s="2"/>
      <c r="BM162" s="2">
        <v>13001</v>
      </c>
      <c r="BN162" s="2">
        <v>0</v>
      </c>
      <c r="BO162" s="2" t="s">
        <v>3</v>
      </c>
      <c r="BP162" s="2">
        <v>0</v>
      </c>
      <c r="BQ162" s="2">
        <v>2</v>
      </c>
      <c r="BR162" s="2">
        <v>0</v>
      </c>
      <c r="BS162" s="2">
        <v>1</v>
      </c>
      <c r="BT162" s="2">
        <v>1</v>
      </c>
      <c r="BU162" s="2">
        <v>1</v>
      </c>
      <c r="BV162" s="2">
        <v>1</v>
      </c>
      <c r="BW162" s="2">
        <v>1</v>
      </c>
      <c r="BX162" s="2">
        <v>1</v>
      </c>
      <c r="BY162" s="2" t="s">
        <v>3</v>
      </c>
      <c r="BZ162" s="2">
        <v>94</v>
      </c>
      <c r="CA162" s="2">
        <v>51</v>
      </c>
      <c r="CB162" s="2" t="s">
        <v>3</v>
      </c>
      <c r="CC162" s="2"/>
      <c r="CD162" s="2"/>
      <c r="CE162" s="2">
        <v>0</v>
      </c>
      <c r="CF162" s="2">
        <v>0</v>
      </c>
      <c r="CG162" s="2">
        <v>0</v>
      </c>
      <c r="CH162" s="2"/>
      <c r="CI162" s="2"/>
      <c r="CJ162" s="2"/>
      <c r="CK162" s="2"/>
      <c r="CL162" s="2"/>
      <c r="CM162" s="2">
        <v>0</v>
      </c>
      <c r="CN162" s="7" t="s">
        <v>802</v>
      </c>
      <c r="CO162" s="2">
        <v>0</v>
      </c>
      <c r="CP162" s="2">
        <f>(P162+Q162+S162+R162)</f>
        <v>1850.99</v>
      </c>
      <c r="CQ162" s="2">
        <f>SUMIF(SmtRes!AQ152:'SmtRes'!AQ159,"=1",SmtRes!AA152:'SmtRes'!AA159)</f>
        <v>359708.65</v>
      </c>
      <c r="CR162" s="2">
        <f>SUMIF(SmtRes!AQ152:'SmtRes'!AQ159,"=1",SmtRes!AB152:'SmtRes'!AB159)</f>
        <v>2137.04</v>
      </c>
      <c r="CS162" s="2">
        <f>SUMIF(SmtRes!AQ152:'SmtRes'!AQ159,"=1",SmtRes!AC152:'SmtRes'!AC159)</f>
        <v>790.97</v>
      </c>
      <c r="CT162" s="2">
        <f>SUMIF(SmtRes!AQ152:'SmtRes'!AQ159,"=1",SmtRes!AD152:'SmtRes'!AD159)</f>
        <v>347.42</v>
      </c>
      <c r="CU162" s="2">
        <f>AG162</f>
        <v>0</v>
      </c>
      <c r="CV162" s="2">
        <f>SUMIF(SmtRes!AQ152:'SmtRes'!AQ159,"=1",SmtRes!BU152:'SmtRes'!BU159)</f>
        <v>5.8419999999999996</v>
      </c>
      <c r="CW162" s="2">
        <f>SUMIF(SmtRes!AQ152:'SmtRes'!AQ159,"=1",SmtRes!BV152:'SmtRes'!BV159)</f>
        <v>9.1999999999999998E-2</v>
      </c>
      <c r="CX162" s="2">
        <f>AJ162</f>
        <v>0</v>
      </c>
      <c r="CY162" s="2">
        <f>(((S162+R162)*AT162)/100)</f>
        <v>310.53840000000002</v>
      </c>
      <c r="CZ162" s="2">
        <f>(((S162+R162)*AU162)/100)</f>
        <v>168.4836</v>
      </c>
      <c r="DA162" s="2"/>
      <c r="DB162" s="2"/>
      <c r="DC162" s="2" t="s">
        <v>3</v>
      </c>
      <c r="DD162" s="2" t="s">
        <v>288</v>
      </c>
      <c r="DE162" s="2" t="s">
        <v>289</v>
      </c>
      <c r="DF162" s="2" t="s">
        <v>289</v>
      </c>
      <c r="DG162" s="2" t="s">
        <v>289</v>
      </c>
      <c r="DH162" s="2" t="s">
        <v>3</v>
      </c>
      <c r="DI162" s="2" t="s">
        <v>289</v>
      </c>
      <c r="DJ162" s="2" t="s">
        <v>289</v>
      </c>
      <c r="DK162" s="2" t="s">
        <v>3</v>
      </c>
      <c r="DL162" s="2" t="s">
        <v>3</v>
      </c>
      <c r="DM162" s="2" t="s">
        <v>3</v>
      </c>
      <c r="DN162" s="2">
        <v>0</v>
      </c>
      <c r="DO162" s="2">
        <v>0</v>
      </c>
      <c r="DP162" s="2">
        <v>1</v>
      </c>
      <c r="DQ162" s="2">
        <v>1</v>
      </c>
      <c r="DR162" s="2"/>
      <c r="DS162" s="2"/>
      <c r="DT162" s="2"/>
      <c r="DU162" s="2">
        <v>1005</v>
      </c>
      <c r="DV162" s="2" t="s">
        <v>185</v>
      </c>
      <c r="DW162" s="2" t="s">
        <v>185</v>
      </c>
      <c r="DX162" s="2">
        <v>100</v>
      </c>
      <c r="DY162" s="2"/>
      <c r="DZ162" s="2" t="s">
        <v>3</v>
      </c>
      <c r="EA162" s="2" t="s">
        <v>3</v>
      </c>
      <c r="EB162" s="2" t="s">
        <v>3</v>
      </c>
      <c r="EC162" s="2" t="s">
        <v>3</v>
      </c>
      <c r="ED162" s="2"/>
      <c r="EE162" s="2">
        <v>74004201</v>
      </c>
      <c r="EF162" s="2">
        <v>2</v>
      </c>
      <c r="EG162" s="2" t="s">
        <v>29</v>
      </c>
      <c r="EH162" s="2">
        <v>13</v>
      </c>
      <c r="EI162" s="2" t="s">
        <v>290</v>
      </c>
      <c r="EJ162" s="2">
        <v>1</v>
      </c>
      <c r="EK162" s="2">
        <v>13001</v>
      </c>
      <c r="EL162" s="2" t="s">
        <v>291</v>
      </c>
      <c r="EM162" s="2" t="s">
        <v>292</v>
      </c>
      <c r="EN162" s="2"/>
      <c r="EO162" s="2" t="s">
        <v>39</v>
      </c>
      <c r="EP162" s="2"/>
      <c r="EQ162" s="2">
        <v>1048579</v>
      </c>
      <c r="ER162" s="2">
        <v>0</v>
      </c>
      <c r="ES162" s="2">
        <v>0</v>
      </c>
      <c r="ET162" s="2">
        <v>0</v>
      </c>
      <c r="EU162" s="2">
        <v>0</v>
      </c>
      <c r="EV162" s="2">
        <v>0</v>
      </c>
      <c r="EW162" s="2">
        <v>2.54</v>
      </c>
      <c r="EX162" s="2">
        <v>0.04</v>
      </c>
      <c r="EY162" s="2">
        <v>0</v>
      </c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>
        <v>0</v>
      </c>
      <c r="FR162" s="2">
        <v>0</v>
      </c>
      <c r="FS162" s="2">
        <v>0</v>
      </c>
      <c r="FT162" s="2"/>
      <c r="FU162" s="2"/>
      <c r="FV162" s="2"/>
      <c r="FW162" s="2"/>
      <c r="FX162" s="2">
        <v>94</v>
      </c>
      <c r="FY162" s="2">
        <v>51</v>
      </c>
      <c r="FZ162" s="2"/>
      <c r="GA162" s="2" t="s">
        <v>3</v>
      </c>
      <c r="GB162" s="2"/>
      <c r="GC162" s="2"/>
      <c r="GD162" s="2">
        <v>1</v>
      </c>
      <c r="GE162" s="2"/>
      <c r="GF162" s="2">
        <v>-206965179</v>
      </c>
      <c r="GG162" s="2">
        <v>2</v>
      </c>
      <c r="GH162" s="2">
        <v>1</v>
      </c>
      <c r="GI162" s="2">
        <v>-2</v>
      </c>
      <c r="GJ162" s="2">
        <v>0</v>
      </c>
      <c r="GK162" s="2">
        <v>0</v>
      </c>
      <c r="GL162" s="2">
        <f>ROUND(IF(AND(BH162=3,BI162=3,FS162&lt;&gt;0),P162,0),2)</f>
        <v>0</v>
      </c>
      <c r="GM162" s="2">
        <f>ROUND(O162+X162+Y162,2)+GX162</f>
        <v>2330.0100000000002</v>
      </c>
      <c r="GN162" s="2">
        <f>IF(OR(BI162=0,BI162=1),GM162-GX162,0)</f>
        <v>2330.0100000000002</v>
      </c>
      <c r="GO162" s="2">
        <f>IF(BI162=2,GM162-GX162,0)</f>
        <v>0</v>
      </c>
      <c r="GP162" s="2">
        <f>IF(BI162=4,GM162-GX162,0)</f>
        <v>0</v>
      </c>
      <c r="GQ162" s="2"/>
      <c r="GR162" s="2">
        <v>0</v>
      </c>
      <c r="GS162" s="2">
        <v>0</v>
      </c>
      <c r="GT162" s="2">
        <v>0</v>
      </c>
      <c r="GU162" s="2" t="s">
        <v>3</v>
      </c>
      <c r="GV162" s="2">
        <f>ROUND((GT162),6)</f>
        <v>0</v>
      </c>
      <c r="GW162" s="2">
        <v>1</v>
      </c>
      <c r="GX162" s="2">
        <f>ROUND(HC162*I162,2)</f>
        <v>0</v>
      </c>
      <c r="GY162" s="2"/>
      <c r="GZ162" s="2"/>
      <c r="HA162" s="2">
        <v>0</v>
      </c>
      <c r="HB162" s="2">
        <v>0</v>
      </c>
      <c r="HC162" s="2">
        <f>GV162*GW162</f>
        <v>0</v>
      </c>
      <c r="HD162" s="2"/>
      <c r="HE162" s="2" t="s">
        <v>3</v>
      </c>
      <c r="HF162" s="2" t="s">
        <v>3</v>
      </c>
      <c r="HG162" s="2"/>
      <c r="HH162" s="2"/>
      <c r="HI162" s="2"/>
      <c r="HJ162" s="2"/>
      <c r="HK162" s="2"/>
      <c r="HL162" s="2"/>
      <c r="HM162" s="2" t="s">
        <v>3</v>
      </c>
      <c r="HN162" s="2" t="s">
        <v>293</v>
      </c>
      <c r="HO162" s="2" t="s">
        <v>294</v>
      </c>
      <c r="HP162" s="2" t="s">
        <v>290</v>
      </c>
      <c r="HQ162" s="2" t="s">
        <v>290</v>
      </c>
      <c r="HR162" s="2"/>
      <c r="HS162" s="2">
        <v>0</v>
      </c>
      <c r="HT162" s="2"/>
      <c r="HU162" s="2"/>
      <c r="HV162" s="2"/>
      <c r="HW162" s="2"/>
      <c r="HX162" s="2"/>
      <c r="HY162" s="2"/>
      <c r="HZ162" s="2"/>
      <c r="IA162" s="2"/>
      <c r="IB162" s="2"/>
      <c r="IC162" s="2"/>
      <c r="ID162" s="2"/>
      <c r="IE162" s="2"/>
      <c r="IF162" s="2"/>
      <c r="IG162" s="2"/>
      <c r="IH162" s="2"/>
      <c r="II162" s="2"/>
      <c r="IJ162" s="2"/>
      <c r="IK162" s="2">
        <v>0</v>
      </c>
      <c r="IL162" s="2"/>
      <c r="IM162" s="2"/>
      <c r="IN162" s="2"/>
      <c r="IO162" s="2"/>
      <c r="IP162" s="2"/>
      <c r="IQ162" s="2"/>
      <c r="IR162" s="2"/>
      <c r="IS162" s="2"/>
      <c r="IT162" s="2"/>
      <c r="IU162" s="2"/>
    </row>
    <row r="163" spans="1:255" ht="13.05" customHeight="1" x14ac:dyDescent="0.25">
      <c r="A163" s="2">
        <v>17</v>
      </c>
      <c r="B163" s="2">
        <v>1</v>
      </c>
      <c r="C163" s="2">
        <f>ROW(SmtRes!A170)</f>
        <v>170</v>
      </c>
      <c r="D163" s="2">
        <f>ROW(EtalonRes!A178)</f>
        <v>178</v>
      </c>
      <c r="E163" s="2" t="s">
        <v>295</v>
      </c>
      <c r="F163" s="2" t="s">
        <v>296</v>
      </c>
      <c r="G163" s="2" t="s">
        <v>297</v>
      </c>
      <c r="H163" s="2" t="s">
        <v>205</v>
      </c>
      <c r="I163" s="2">
        <v>1.2</v>
      </c>
      <c r="J163" s="2">
        <v>0</v>
      </c>
      <c r="K163" s="2">
        <v>1.2</v>
      </c>
      <c r="L163" s="2"/>
      <c r="M163" s="2"/>
      <c r="N163" s="2"/>
      <c r="O163" s="2">
        <f>ROUND(CP163,2)</f>
        <v>10137.370000000001</v>
      </c>
      <c r="P163" s="2">
        <f>SUMIF(SmtRes!AQ160:'SmtRes'!AQ170,"=1",SmtRes!DF160:'SmtRes'!DF170)</f>
        <v>2143.71</v>
      </c>
      <c r="Q163" s="2">
        <f>SUMIF(SmtRes!AQ160:'SmtRes'!AQ170,"=1",SmtRes!DG160:'SmtRes'!DG170)</f>
        <v>477.81</v>
      </c>
      <c r="R163" s="2">
        <f>SUMIF(SmtRes!AQ160:'SmtRes'!AQ170,"=1",SmtRes!DH160:'SmtRes'!DH170)</f>
        <v>299.64</v>
      </c>
      <c r="S163" s="2">
        <f>SUMIF(SmtRes!AQ160:'SmtRes'!AQ170,"=1",SmtRes!DI160:'SmtRes'!DI170)</f>
        <v>7216.21</v>
      </c>
      <c r="T163" s="2">
        <f>ROUND(CU163*I163,2)</f>
        <v>0</v>
      </c>
      <c r="U163" s="2">
        <f>SUMIF(SmtRes!AQ160:'SmtRes'!AQ170,"=1",SmtRes!CV160:'SmtRes'!CV170)</f>
        <v>19.32</v>
      </c>
      <c r="V163" s="2">
        <f>SUMIF(SmtRes!AQ160:'SmtRes'!AQ170,"=1",SmtRes!CW160:'SmtRes'!CW170)</f>
        <v>0.81420000000000003</v>
      </c>
      <c r="W163" s="2">
        <f>ROUND(CX163*I163,2)</f>
        <v>0</v>
      </c>
      <c r="X163" s="2">
        <f t="shared" si="55"/>
        <v>7290.37</v>
      </c>
      <c r="Y163" s="2">
        <f t="shared" si="55"/>
        <v>4133.72</v>
      </c>
      <c r="Z163" s="2"/>
      <c r="AA163" s="2">
        <v>75604747</v>
      </c>
      <c r="AB163" s="2">
        <f>ROUND((AC163+AD163+AF163),6)</f>
        <v>8478.4156660000008</v>
      </c>
      <c r="AC163" s="2">
        <f>ROUND((SUM(SmtRes!BQ160:'SmtRes'!BQ170)),6)</f>
        <v>2075.2487860000001</v>
      </c>
      <c r="AD163" s="2">
        <f>ROUND((((SUM(SmtRes!BR160:'SmtRes'!BR170))-(SUM(SmtRes!BS160:'SmtRes'!BS170)))+AE163),6)</f>
        <v>389.65588000000002</v>
      </c>
      <c r="AE163" s="2">
        <f>ROUND((SUM(SmtRes!BS160:'SmtRes'!BS170)),6)</f>
        <v>249.70157</v>
      </c>
      <c r="AF163" s="2">
        <f>ROUND((SUM(SmtRes!BT160:'SmtRes'!BT170)),6)</f>
        <v>6013.5110000000004</v>
      </c>
      <c r="AG163" s="2">
        <f>ROUND((AP163),6)</f>
        <v>0</v>
      </c>
      <c r="AH163" s="2">
        <f>(SUM(SmtRes!BU160:'SmtRes'!BU170))</f>
        <v>16.099999999999998</v>
      </c>
      <c r="AI163" s="2">
        <f>(SUM(SmtRes!BV160:'SmtRes'!BV170))</f>
        <v>0.67849999999999988</v>
      </c>
      <c r="AJ163" s="2">
        <f>(AS163)</f>
        <v>0</v>
      </c>
      <c r="AK163" s="2">
        <v>7860.3517860000002</v>
      </c>
      <c r="AL163" s="2">
        <v>2075.2487860000001</v>
      </c>
      <c r="AM163" s="2">
        <v>338.83120000000002</v>
      </c>
      <c r="AN163" s="2">
        <v>217.13179999999997</v>
      </c>
      <c r="AO163" s="2">
        <v>5229.1399999999994</v>
      </c>
      <c r="AP163" s="2">
        <v>0</v>
      </c>
      <c r="AQ163" s="2">
        <v>14</v>
      </c>
      <c r="AR163" s="2">
        <v>0.59</v>
      </c>
      <c r="AS163" s="2">
        <v>0</v>
      </c>
      <c r="AT163" s="2">
        <v>97</v>
      </c>
      <c r="AU163" s="2">
        <v>55</v>
      </c>
      <c r="AV163" s="2">
        <v>1</v>
      </c>
      <c r="AW163" s="2">
        <v>1</v>
      </c>
      <c r="AX163" s="2"/>
      <c r="AY163" s="2"/>
      <c r="AZ163" s="2">
        <v>1</v>
      </c>
      <c r="BA163" s="2">
        <v>1</v>
      </c>
      <c r="BB163" s="2">
        <v>1</v>
      </c>
      <c r="BC163" s="2">
        <v>1</v>
      </c>
      <c r="BD163" s="2" t="s">
        <v>3</v>
      </c>
      <c r="BE163" s="2" t="s">
        <v>3</v>
      </c>
      <c r="BF163" s="2" t="s">
        <v>3</v>
      </c>
      <c r="BG163" s="2" t="s">
        <v>3</v>
      </c>
      <c r="BH163" s="2">
        <v>0</v>
      </c>
      <c r="BI163" s="2">
        <v>1</v>
      </c>
      <c r="BJ163" s="2" t="s">
        <v>298</v>
      </c>
      <c r="BK163" s="2"/>
      <c r="BL163" s="2"/>
      <c r="BM163" s="2">
        <v>26001</v>
      </c>
      <c r="BN163" s="2">
        <v>0</v>
      </c>
      <c r="BO163" s="2" t="s">
        <v>3</v>
      </c>
      <c r="BP163" s="2">
        <v>0</v>
      </c>
      <c r="BQ163" s="2">
        <v>2</v>
      </c>
      <c r="BR163" s="2">
        <v>0</v>
      </c>
      <c r="BS163" s="2">
        <v>1</v>
      </c>
      <c r="BT163" s="2">
        <v>1</v>
      </c>
      <c r="BU163" s="2">
        <v>1</v>
      </c>
      <c r="BV163" s="2">
        <v>1</v>
      </c>
      <c r="BW163" s="2">
        <v>1</v>
      </c>
      <c r="BX163" s="2">
        <v>1</v>
      </c>
      <c r="BY163" s="2" t="s">
        <v>3</v>
      </c>
      <c r="BZ163" s="2">
        <v>97</v>
      </c>
      <c r="CA163" s="2">
        <v>55</v>
      </c>
      <c r="CB163" s="2" t="s">
        <v>3</v>
      </c>
      <c r="CC163" s="2"/>
      <c r="CD163" s="2"/>
      <c r="CE163" s="2">
        <v>0</v>
      </c>
      <c r="CF163" s="2">
        <v>0</v>
      </c>
      <c r="CG163" s="2">
        <v>0</v>
      </c>
      <c r="CH163" s="2"/>
      <c r="CI163" s="2"/>
      <c r="CJ163" s="2"/>
      <c r="CK163" s="2"/>
      <c r="CL163" s="2"/>
      <c r="CM163" s="2">
        <v>0</v>
      </c>
      <c r="CN163" s="7" t="s">
        <v>802</v>
      </c>
      <c r="CO163" s="2">
        <v>0</v>
      </c>
      <c r="CP163" s="2">
        <f>(P163+Q163+S163+R163)</f>
        <v>10137.369999999999</v>
      </c>
      <c r="CQ163" s="2">
        <f>SUMIF(SmtRes!AQ160:'SmtRes'!AQ170,"=1",SmtRes!AA160:'SmtRes'!AA170)</f>
        <v>669409.38</v>
      </c>
      <c r="CR163" s="2">
        <f>SUMIF(SmtRes!AQ160:'SmtRes'!AQ170,"=1",SmtRes!AB160:'SmtRes'!AB170)</f>
        <v>584.6</v>
      </c>
      <c r="CS163" s="2">
        <f>SUMIF(SmtRes!AQ160:'SmtRes'!AQ170,"=1",SmtRes!AC160:'SmtRes'!AC170)</f>
        <v>368.02</v>
      </c>
      <c r="CT163" s="2">
        <f>SUMIF(SmtRes!AQ160:'SmtRes'!AQ170,"=1",SmtRes!AD160:'SmtRes'!AD170)</f>
        <v>373.51</v>
      </c>
      <c r="CU163" s="2">
        <f>AG163</f>
        <v>0</v>
      </c>
      <c r="CV163" s="2">
        <f>SUMIF(SmtRes!AQ160:'SmtRes'!AQ170,"=1",SmtRes!BU160:'SmtRes'!BU170)</f>
        <v>16.099999999999998</v>
      </c>
      <c r="CW163" s="2">
        <f>SUMIF(SmtRes!AQ160:'SmtRes'!AQ170,"=1",SmtRes!BV160:'SmtRes'!BV170)</f>
        <v>0.67849999999999988</v>
      </c>
      <c r="CX163" s="2">
        <f>AJ163</f>
        <v>0</v>
      </c>
      <c r="CY163" s="2">
        <f>(((S163+R163)*AT163)/100)</f>
        <v>7290.3745000000008</v>
      </c>
      <c r="CZ163" s="2">
        <f>(((S163+R163)*AU163)/100)</f>
        <v>4133.7174999999997</v>
      </c>
      <c r="DA163" s="2"/>
      <c r="DB163" s="2">
        <v>28</v>
      </c>
      <c r="DC163" s="2" t="s">
        <v>3</v>
      </c>
      <c r="DD163" s="2" t="s">
        <v>3</v>
      </c>
      <c r="DE163" s="2" t="s">
        <v>27</v>
      </c>
      <c r="DF163" s="2" t="s">
        <v>27</v>
      </c>
      <c r="DG163" s="2" t="s">
        <v>27</v>
      </c>
      <c r="DH163" s="2" t="s">
        <v>3</v>
      </c>
      <c r="DI163" s="2" t="s">
        <v>27</v>
      </c>
      <c r="DJ163" s="2" t="s">
        <v>27</v>
      </c>
      <c r="DK163" s="2" t="s">
        <v>3</v>
      </c>
      <c r="DL163" s="2" t="s">
        <v>3</v>
      </c>
      <c r="DM163" s="2" t="s">
        <v>3</v>
      </c>
      <c r="DN163" s="2">
        <v>0</v>
      </c>
      <c r="DO163" s="2">
        <v>0</v>
      </c>
      <c r="DP163" s="2">
        <v>1</v>
      </c>
      <c r="DQ163" s="2">
        <v>1</v>
      </c>
      <c r="DR163" s="2"/>
      <c r="DS163" s="2"/>
      <c r="DT163" s="2"/>
      <c r="DU163" s="2">
        <v>1007</v>
      </c>
      <c r="DV163" s="2" t="s">
        <v>205</v>
      </c>
      <c r="DW163" s="2" t="s">
        <v>205</v>
      </c>
      <c r="DX163" s="2">
        <v>1</v>
      </c>
      <c r="DY163" s="2"/>
      <c r="DZ163" s="2" t="s">
        <v>3</v>
      </c>
      <c r="EA163" s="2" t="s">
        <v>3</v>
      </c>
      <c r="EB163" s="2" t="s">
        <v>3</v>
      </c>
      <c r="EC163" s="2" t="s">
        <v>3</v>
      </c>
      <c r="ED163" s="2"/>
      <c r="EE163" s="2">
        <v>74004238</v>
      </c>
      <c r="EF163" s="2">
        <v>2</v>
      </c>
      <c r="EG163" s="2" t="s">
        <v>29</v>
      </c>
      <c r="EH163" s="2">
        <v>20</v>
      </c>
      <c r="EI163" s="2" t="s">
        <v>299</v>
      </c>
      <c r="EJ163" s="2">
        <v>1</v>
      </c>
      <c r="EK163" s="2">
        <v>26001</v>
      </c>
      <c r="EL163" s="2" t="s">
        <v>299</v>
      </c>
      <c r="EM163" s="2" t="s">
        <v>300</v>
      </c>
      <c r="EN163" s="2"/>
      <c r="EO163" s="2" t="s">
        <v>39</v>
      </c>
      <c r="EP163" s="2"/>
      <c r="EQ163" s="2">
        <v>1048579</v>
      </c>
      <c r="ER163" s="2">
        <v>0</v>
      </c>
      <c r="ES163" s="2">
        <v>0</v>
      </c>
      <c r="ET163" s="2">
        <v>0</v>
      </c>
      <c r="EU163" s="2">
        <v>0</v>
      </c>
      <c r="EV163" s="2">
        <v>0</v>
      </c>
      <c r="EW163" s="2">
        <v>14</v>
      </c>
      <c r="EX163" s="2">
        <v>0.59</v>
      </c>
      <c r="EY163" s="2">
        <v>0</v>
      </c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>
        <v>0</v>
      </c>
      <c r="FR163" s="2">
        <v>0</v>
      </c>
      <c r="FS163" s="2">
        <v>0</v>
      </c>
      <c r="FT163" s="2"/>
      <c r="FU163" s="2"/>
      <c r="FV163" s="2"/>
      <c r="FW163" s="2"/>
      <c r="FX163" s="2">
        <v>97</v>
      </c>
      <c r="FY163" s="2">
        <v>55</v>
      </c>
      <c r="FZ163" s="2"/>
      <c r="GA163" s="2" t="s">
        <v>3</v>
      </c>
      <c r="GB163" s="2"/>
      <c r="GC163" s="2"/>
      <c r="GD163" s="2">
        <v>1</v>
      </c>
      <c r="GE163" s="2"/>
      <c r="GF163" s="2">
        <v>-1688010795</v>
      </c>
      <c r="GG163" s="2">
        <v>2</v>
      </c>
      <c r="GH163" s="2">
        <v>1</v>
      </c>
      <c r="GI163" s="2">
        <v>-2</v>
      </c>
      <c r="GJ163" s="2">
        <v>0</v>
      </c>
      <c r="GK163" s="2">
        <v>0</v>
      </c>
      <c r="GL163" s="2">
        <f>ROUND(IF(AND(BH163=3,BI163=3,FS163&lt;&gt;0),P163,0),2)</f>
        <v>0</v>
      </c>
      <c r="GM163" s="2">
        <f>ROUND(O163+X163+Y163,2)+GX163</f>
        <v>21561.46</v>
      </c>
      <c r="GN163" s="2">
        <f>IF(OR(BI163=0,BI163=1),GM163-GX163,0)</f>
        <v>21561.46</v>
      </c>
      <c r="GO163" s="2">
        <f>IF(BI163=2,GM163-GX163,0)</f>
        <v>0</v>
      </c>
      <c r="GP163" s="2">
        <f>IF(BI163=4,GM163-GX163,0)</f>
        <v>0</v>
      </c>
      <c r="GQ163" s="2"/>
      <c r="GR163" s="2">
        <v>0</v>
      </c>
      <c r="GS163" s="2">
        <v>0</v>
      </c>
      <c r="GT163" s="2">
        <v>0</v>
      </c>
      <c r="GU163" s="2" t="s">
        <v>3</v>
      </c>
      <c r="GV163" s="2">
        <f>ROUND((GT163),6)</f>
        <v>0</v>
      </c>
      <c r="GW163" s="2">
        <v>1</v>
      </c>
      <c r="GX163" s="2">
        <f>ROUND(HC163*I163,2)</f>
        <v>0</v>
      </c>
      <c r="GY163" s="2"/>
      <c r="GZ163" s="2"/>
      <c r="HA163" s="2">
        <v>0</v>
      </c>
      <c r="HB163" s="2">
        <v>0</v>
      </c>
      <c r="HC163" s="2">
        <f>GV163*GW163</f>
        <v>0</v>
      </c>
      <c r="HD163" s="2"/>
      <c r="HE163" s="2" t="s">
        <v>3</v>
      </c>
      <c r="HF163" s="2" t="s">
        <v>3</v>
      </c>
      <c r="HG163" s="2"/>
      <c r="HH163" s="2"/>
      <c r="HI163" s="2"/>
      <c r="HJ163" s="2"/>
      <c r="HK163" s="2"/>
      <c r="HL163" s="2"/>
      <c r="HM163" s="2" t="s">
        <v>3</v>
      </c>
      <c r="HN163" s="2" t="s">
        <v>301</v>
      </c>
      <c r="HO163" s="2" t="s">
        <v>302</v>
      </c>
      <c r="HP163" s="2" t="s">
        <v>299</v>
      </c>
      <c r="HQ163" s="2" t="s">
        <v>299</v>
      </c>
      <c r="HR163" s="2"/>
      <c r="HS163" s="2">
        <v>0</v>
      </c>
      <c r="HT163" s="2"/>
      <c r="HU163" s="2"/>
      <c r="HV163" s="2"/>
      <c r="HW163" s="2"/>
      <c r="HX163" s="2"/>
      <c r="HY163" s="2"/>
      <c r="HZ163" s="2"/>
      <c r="IA163" s="2"/>
      <c r="IB163" s="2"/>
      <c r="IC163" s="2"/>
      <c r="ID163" s="2"/>
      <c r="IE163" s="2"/>
      <c r="IF163" s="2"/>
      <c r="IG163" s="2"/>
      <c r="IH163" s="2"/>
      <c r="II163" s="2"/>
      <c r="IJ163" s="2"/>
      <c r="IK163" s="2">
        <v>0</v>
      </c>
      <c r="IL163" s="2"/>
      <c r="IM163" s="2"/>
      <c r="IN163" s="2"/>
      <c r="IO163" s="2"/>
      <c r="IP163" s="2"/>
      <c r="IQ163" s="2"/>
      <c r="IR163" s="2"/>
      <c r="IS163" s="2"/>
      <c r="IT163" s="2"/>
      <c r="IU163" s="2"/>
    </row>
    <row r="164" spans="1:255" ht="13.05" customHeight="1" x14ac:dyDescent="0.25">
      <c r="A164" s="2">
        <v>18</v>
      </c>
      <c r="B164" s="2">
        <v>1</v>
      </c>
      <c r="C164" s="2">
        <v>170</v>
      </c>
      <c r="D164" s="2"/>
      <c r="E164" s="2" t="s">
        <v>303</v>
      </c>
      <c r="F164" s="2" t="s">
        <v>304</v>
      </c>
      <c r="G164" s="2" t="s">
        <v>305</v>
      </c>
      <c r="H164" s="2" t="s">
        <v>205</v>
      </c>
      <c r="I164" s="2">
        <f>I163*J164</f>
        <v>1.296</v>
      </c>
      <c r="J164" s="2">
        <v>1.08</v>
      </c>
      <c r="K164" s="2">
        <v>1.08</v>
      </c>
      <c r="L164" s="2"/>
      <c r="M164" s="2"/>
      <c r="N164" s="2"/>
      <c r="O164" s="2">
        <f>ROUND(CP164,2)</f>
        <v>5740.99</v>
      </c>
      <c r="P164" s="2">
        <f>ROUND(CQ164*I164,2)</f>
        <v>5740.99</v>
      </c>
      <c r="Q164" s="2">
        <f>ROUND(CR164*I164,2)</f>
        <v>0</v>
      </c>
      <c r="R164" s="2">
        <f>ROUND(CS164*I164,2)</f>
        <v>0</v>
      </c>
      <c r="S164" s="2">
        <f>ROUND(CT164*I164,2)</f>
        <v>0</v>
      </c>
      <c r="T164" s="2">
        <f>ROUND(CU164*I164,2)</f>
        <v>0</v>
      </c>
      <c r="U164" s="2">
        <f>ROUND(CV164*I164,7)</f>
        <v>0</v>
      </c>
      <c r="V164" s="2">
        <f>ROUND(CW164*I164,7)</f>
        <v>0</v>
      </c>
      <c r="W164" s="2">
        <f>ROUND(CX164*I164,2)</f>
        <v>0</v>
      </c>
      <c r="X164" s="2">
        <f t="shared" si="55"/>
        <v>0</v>
      </c>
      <c r="Y164" s="2">
        <f t="shared" si="55"/>
        <v>0</v>
      </c>
      <c r="Z164" s="2"/>
      <c r="AA164" s="2">
        <v>75604747</v>
      </c>
      <c r="AB164" s="2">
        <f>ROUND((AC164+AD164+AF164),6)</f>
        <v>3097.75</v>
      </c>
      <c r="AC164" s="2">
        <f>ROUND((ES164),6)</f>
        <v>3097.75</v>
      </c>
      <c r="AD164" s="2">
        <f>ROUND((((ET164)-(EU164))+AE164),6)</f>
        <v>0</v>
      </c>
      <c r="AE164" s="2">
        <f>ROUND((EU164),6)</f>
        <v>0</v>
      </c>
      <c r="AF164" s="2">
        <f>ROUND((EV164),6)</f>
        <v>0</v>
      </c>
      <c r="AG164" s="2">
        <f>ROUND((AP164),6)</f>
        <v>0</v>
      </c>
      <c r="AH164" s="2">
        <f>(EW164)</f>
        <v>0</v>
      </c>
      <c r="AI164" s="2">
        <f>(EX164)</f>
        <v>0</v>
      </c>
      <c r="AJ164" s="2">
        <f>(AS164)</f>
        <v>0</v>
      </c>
      <c r="AK164" s="2">
        <v>3097.75</v>
      </c>
      <c r="AL164" s="2">
        <v>3097.75</v>
      </c>
      <c r="AM164" s="2">
        <v>0</v>
      </c>
      <c r="AN164" s="2">
        <v>0</v>
      </c>
      <c r="AO164" s="2">
        <v>0</v>
      </c>
      <c r="AP164" s="2">
        <v>0</v>
      </c>
      <c r="AQ164" s="2">
        <v>0</v>
      </c>
      <c r="AR164" s="2">
        <v>0</v>
      </c>
      <c r="AS164" s="2">
        <v>0</v>
      </c>
      <c r="AT164" s="2">
        <v>97</v>
      </c>
      <c r="AU164" s="2">
        <v>55</v>
      </c>
      <c r="AV164" s="2">
        <v>1</v>
      </c>
      <c r="AW164" s="2">
        <v>1</v>
      </c>
      <c r="AX164" s="2"/>
      <c r="AY164" s="2"/>
      <c r="AZ164" s="2">
        <v>1</v>
      </c>
      <c r="BA164" s="2">
        <v>1</v>
      </c>
      <c r="BB164" s="2">
        <v>1</v>
      </c>
      <c r="BC164" s="2">
        <v>1.43</v>
      </c>
      <c r="BD164" s="2" t="s">
        <v>3</v>
      </c>
      <c r="BE164" s="2" t="s">
        <v>3</v>
      </c>
      <c r="BF164" s="2" t="s">
        <v>3</v>
      </c>
      <c r="BG164" s="2" t="s">
        <v>3</v>
      </c>
      <c r="BH164" s="2">
        <v>3</v>
      </c>
      <c r="BI164" s="2">
        <v>1</v>
      </c>
      <c r="BJ164" s="2" t="s">
        <v>306</v>
      </c>
      <c r="BK164" s="2"/>
      <c r="BL164" s="2"/>
      <c r="BM164" s="2">
        <v>26001</v>
      </c>
      <c r="BN164" s="2">
        <v>0</v>
      </c>
      <c r="BO164" s="2" t="s">
        <v>304</v>
      </c>
      <c r="BP164" s="2">
        <v>1</v>
      </c>
      <c r="BQ164" s="2">
        <v>2</v>
      </c>
      <c r="BR164" s="2">
        <v>0</v>
      </c>
      <c r="BS164" s="2">
        <v>1</v>
      </c>
      <c r="BT164" s="2">
        <v>1</v>
      </c>
      <c r="BU164" s="2">
        <v>1</v>
      </c>
      <c r="BV164" s="2">
        <v>1</v>
      </c>
      <c r="BW164" s="2">
        <v>1</v>
      </c>
      <c r="BX164" s="2">
        <v>1</v>
      </c>
      <c r="BY164" s="2" t="s">
        <v>3</v>
      </c>
      <c r="BZ164" s="2">
        <v>97</v>
      </c>
      <c r="CA164" s="2">
        <v>55</v>
      </c>
      <c r="CB164" s="2" t="s">
        <v>3</v>
      </c>
      <c r="CC164" s="2"/>
      <c r="CD164" s="2"/>
      <c r="CE164" s="2">
        <v>0</v>
      </c>
      <c r="CF164" s="2">
        <v>0</v>
      </c>
      <c r="CG164" s="2">
        <v>0</v>
      </c>
      <c r="CH164" s="2"/>
      <c r="CI164" s="2"/>
      <c r="CJ164" s="2"/>
      <c r="CK164" s="2"/>
      <c r="CL164" s="2"/>
      <c r="CM164" s="2">
        <v>0</v>
      </c>
      <c r="CN164" s="2" t="s">
        <v>3</v>
      </c>
      <c r="CO164" s="2">
        <v>0</v>
      </c>
      <c r="CP164" s="2">
        <f>(P164+Q164+S164+R164)</f>
        <v>5740.99</v>
      </c>
      <c r="CQ164" s="2">
        <f>ROUND(AL164*BC164,2)</f>
        <v>4429.78</v>
      </c>
      <c r="CR164" s="2">
        <f>ROUND(AM164*BB164,2)</f>
        <v>0</v>
      </c>
      <c r="CS164" s="2">
        <f>ROUND(AN164*BS164,2)</f>
        <v>0</v>
      </c>
      <c r="CT164" s="2">
        <f>ROUND(AO164*BA164,2)</f>
        <v>0</v>
      </c>
      <c r="CU164" s="2">
        <f>AG164</f>
        <v>0</v>
      </c>
      <c r="CV164" s="2">
        <f>AH164</f>
        <v>0</v>
      </c>
      <c r="CW164" s="2">
        <f>AI164</f>
        <v>0</v>
      </c>
      <c r="CX164" s="2">
        <f>AJ164</f>
        <v>0</v>
      </c>
      <c r="CY164" s="2">
        <f>(((S164+R164)*AT164)/100)</f>
        <v>0</v>
      </c>
      <c r="CZ164" s="2">
        <f>(((S164+R164)*AU164)/100)</f>
        <v>0</v>
      </c>
      <c r="DA164" s="2"/>
      <c r="DB164" s="2"/>
      <c r="DC164" s="2" t="s">
        <v>3</v>
      </c>
      <c r="DD164" s="2" t="s">
        <v>3</v>
      </c>
      <c r="DE164" s="2" t="s">
        <v>3</v>
      </c>
      <c r="DF164" s="2" t="s">
        <v>3</v>
      </c>
      <c r="DG164" s="2" t="s">
        <v>3</v>
      </c>
      <c r="DH164" s="2" t="s">
        <v>3</v>
      </c>
      <c r="DI164" s="2" t="s">
        <v>3</v>
      </c>
      <c r="DJ164" s="2" t="s">
        <v>3</v>
      </c>
      <c r="DK164" s="2" t="s">
        <v>3</v>
      </c>
      <c r="DL164" s="2" t="s">
        <v>3</v>
      </c>
      <c r="DM164" s="2" t="s">
        <v>3</v>
      </c>
      <c r="DN164" s="2">
        <v>0</v>
      </c>
      <c r="DO164" s="2">
        <v>0</v>
      </c>
      <c r="DP164" s="2">
        <v>1</v>
      </c>
      <c r="DQ164" s="2">
        <v>1</v>
      </c>
      <c r="DR164" s="2"/>
      <c r="DS164" s="2"/>
      <c r="DT164" s="2"/>
      <c r="DU164" s="2">
        <v>1007</v>
      </c>
      <c r="DV164" s="2" t="s">
        <v>205</v>
      </c>
      <c r="DW164" s="2" t="s">
        <v>205</v>
      </c>
      <c r="DX164" s="2">
        <v>1</v>
      </c>
      <c r="DY164" s="2"/>
      <c r="DZ164" s="2" t="s">
        <v>3</v>
      </c>
      <c r="EA164" s="2" t="s">
        <v>3</v>
      </c>
      <c r="EB164" s="2" t="s">
        <v>3</v>
      </c>
      <c r="EC164" s="2" t="s">
        <v>3</v>
      </c>
      <c r="ED164" s="2"/>
      <c r="EE164" s="2">
        <v>74004238</v>
      </c>
      <c r="EF164" s="2">
        <v>2</v>
      </c>
      <c r="EG164" s="2" t="s">
        <v>29</v>
      </c>
      <c r="EH164" s="2">
        <v>20</v>
      </c>
      <c r="EI164" s="2" t="s">
        <v>299</v>
      </c>
      <c r="EJ164" s="2">
        <v>1</v>
      </c>
      <c r="EK164" s="2">
        <v>26001</v>
      </c>
      <c r="EL164" s="2" t="s">
        <v>299</v>
      </c>
      <c r="EM164" s="2" t="s">
        <v>300</v>
      </c>
      <c r="EN164" s="2"/>
      <c r="EO164" s="2" t="s">
        <v>3</v>
      </c>
      <c r="EP164" s="2"/>
      <c r="EQ164" s="2">
        <v>1048576</v>
      </c>
      <c r="ER164" s="2">
        <v>3097.75</v>
      </c>
      <c r="ES164" s="2">
        <v>3097.75</v>
      </c>
      <c r="ET164" s="2">
        <v>0</v>
      </c>
      <c r="EU164" s="2">
        <v>0</v>
      </c>
      <c r="EV164" s="2">
        <v>0</v>
      </c>
      <c r="EW164" s="2">
        <v>0</v>
      </c>
      <c r="EX164" s="2">
        <v>0</v>
      </c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>
        <v>0</v>
      </c>
      <c r="FR164" s="2">
        <v>0</v>
      </c>
      <c r="FS164" s="2">
        <v>0</v>
      </c>
      <c r="FT164" s="2"/>
      <c r="FU164" s="2"/>
      <c r="FV164" s="2"/>
      <c r="FW164" s="2"/>
      <c r="FX164" s="2">
        <v>97</v>
      </c>
      <c r="FY164" s="2">
        <v>55</v>
      </c>
      <c r="FZ164" s="2"/>
      <c r="GA164" s="2" t="s">
        <v>3</v>
      </c>
      <c r="GB164" s="2"/>
      <c r="GC164" s="2"/>
      <c r="GD164" s="2">
        <v>1</v>
      </c>
      <c r="GE164" s="2"/>
      <c r="GF164" s="2">
        <v>1980577766</v>
      </c>
      <c r="GG164" s="2">
        <v>2</v>
      </c>
      <c r="GH164" s="2">
        <v>1</v>
      </c>
      <c r="GI164" s="2">
        <v>2</v>
      </c>
      <c r="GJ164" s="2">
        <v>0</v>
      </c>
      <c r="GK164" s="2">
        <v>0</v>
      </c>
      <c r="GL164" s="2">
        <f>ROUND(IF(AND(BH164=3,BI164=3,FS164&lt;&gt;0),P164,0),2)</f>
        <v>0</v>
      </c>
      <c r="GM164" s="2">
        <f>ROUND(O164+X164+Y164,2)+GX164</f>
        <v>5740.99</v>
      </c>
      <c r="GN164" s="2">
        <f>IF(OR(BI164=0,BI164=1),GM164-GX164,0)</f>
        <v>5740.99</v>
      </c>
      <c r="GO164" s="2">
        <f>IF(BI164=2,GM164-GX164,0)</f>
        <v>0</v>
      </c>
      <c r="GP164" s="2">
        <f>IF(BI164=4,GM164-GX164,0)</f>
        <v>0</v>
      </c>
      <c r="GQ164" s="2"/>
      <c r="GR164" s="2">
        <v>0</v>
      </c>
      <c r="GS164" s="2">
        <v>0</v>
      </c>
      <c r="GT164" s="2">
        <v>0</v>
      </c>
      <c r="GU164" s="2" t="s">
        <v>3</v>
      </c>
      <c r="GV164" s="2">
        <f>ROUND((GT164),6)</f>
        <v>0</v>
      </c>
      <c r="GW164" s="2">
        <v>1</v>
      </c>
      <c r="GX164" s="2">
        <f>ROUND(HC164*I164,2)</f>
        <v>0</v>
      </c>
      <c r="GY164" s="2"/>
      <c r="GZ164" s="2"/>
      <c r="HA164" s="2">
        <v>0</v>
      </c>
      <c r="HB164" s="2">
        <v>0</v>
      </c>
      <c r="HC164" s="2">
        <f>GV164*GW164</f>
        <v>0</v>
      </c>
      <c r="HD164" s="2"/>
      <c r="HE164" s="2" t="s">
        <v>3</v>
      </c>
      <c r="HF164" s="2" t="s">
        <v>3</v>
      </c>
      <c r="HG164" s="2"/>
      <c r="HH164" s="2"/>
      <c r="HI164" s="2"/>
      <c r="HJ164" s="2"/>
      <c r="HK164" s="2"/>
      <c r="HL164" s="2"/>
      <c r="HM164" s="2" t="s">
        <v>3</v>
      </c>
      <c r="HN164" s="2" t="s">
        <v>301</v>
      </c>
      <c r="HO164" s="2" t="s">
        <v>302</v>
      </c>
      <c r="HP164" s="2" t="s">
        <v>299</v>
      </c>
      <c r="HQ164" s="2" t="s">
        <v>299</v>
      </c>
      <c r="HR164" s="2"/>
      <c r="HS164" s="2">
        <v>0</v>
      </c>
      <c r="HT164" s="2"/>
      <c r="HU164" s="2"/>
      <c r="HV164" s="2"/>
      <c r="HW164" s="2"/>
      <c r="HX164" s="2"/>
      <c r="HY164" s="2"/>
      <c r="HZ164" s="2"/>
      <c r="IA164" s="2"/>
      <c r="IB164" s="2"/>
      <c r="IC164" s="2"/>
      <c r="ID164" s="2"/>
      <c r="IE164" s="2"/>
      <c r="IF164" s="2"/>
      <c r="IG164" s="2"/>
      <c r="IH164" s="2"/>
      <c r="II164" s="2"/>
      <c r="IJ164" s="2"/>
      <c r="IK164" s="2">
        <v>0</v>
      </c>
      <c r="IL164" s="2"/>
      <c r="IM164" s="2"/>
      <c r="IN164" s="2"/>
      <c r="IO164" s="2"/>
      <c r="IP164" s="2"/>
      <c r="IQ164" s="2"/>
      <c r="IR164" s="2"/>
      <c r="IS164" s="2"/>
      <c r="IT164" s="2"/>
      <c r="IU164" s="2"/>
    </row>
    <row r="165" spans="1:255" ht="13.05" customHeight="1" x14ac:dyDescent="0.25">
      <c r="A165" s="2">
        <v>17</v>
      </c>
      <c r="B165" s="2">
        <v>1</v>
      </c>
      <c r="C165" s="2">
        <f>ROW(SmtRes!A180)</f>
        <v>180</v>
      </c>
      <c r="D165" s="2">
        <f>ROW(EtalonRes!A188)</f>
        <v>188</v>
      </c>
      <c r="E165" s="2" t="s">
        <v>307</v>
      </c>
      <c r="F165" s="2" t="s">
        <v>308</v>
      </c>
      <c r="G165" s="2" t="s">
        <v>309</v>
      </c>
      <c r="H165" s="2" t="s">
        <v>185</v>
      </c>
      <c r="I165" s="2">
        <v>0.36</v>
      </c>
      <c r="J165" s="2">
        <v>0</v>
      </c>
      <c r="K165" s="2">
        <v>0.36</v>
      </c>
      <c r="L165" s="2"/>
      <c r="M165" s="2"/>
      <c r="N165" s="2"/>
      <c r="O165" s="2">
        <f>ROUND(CP165,2)</f>
        <v>6003.72</v>
      </c>
      <c r="P165" s="2">
        <f>SUMIF(SmtRes!AQ171:'SmtRes'!AQ180,"=1",SmtRes!DF171:'SmtRes'!DF180)</f>
        <v>1698.06</v>
      </c>
      <c r="Q165" s="2">
        <f>SUMIF(SmtRes!AQ171:'SmtRes'!AQ180,"=1",SmtRes!DG171:'SmtRes'!DG180)</f>
        <v>129.88</v>
      </c>
      <c r="R165" s="2">
        <f>SUMIF(SmtRes!AQ171:'SmtRes'!AQ180,"=1",SmtRes!DH171:'SmtRes'!DH180)</f>
        <v>65.510000000000005</v>
      </c>
      <c r="S165" s="2">
        <f>SUMIF(SmtRes!AQ171:'SmtRes'!AQ180,"=1",SmtRes!DI171:'SmtRes'!DI180)</f>
        <v>4110.2700000000004</v>
      </c>
      <c r="T165" s="2">
        <f>ROUND(CU165*I165,2)</f>
        <v>0</v>
      </c>
      <c r="U165" s="2">
        <f>SUMIF(SmtRes!AQ171:'SmtRes'!AQ180,"=1",SmtRes!CV171:'SmtRes'!CV180)</f>
        <v>12.42</v>
      </c>
      <c r="V165" s="2">
        <f>SUMIF(SmtRes!AQ171:'SmtRes'!AQ180,"=1",SmtRes!CW171:'SmtRes'!CW180)</f>
        <v>0.17802000000000001</v>
      </c>
      <c r="W165" s="2">
        <f>ROUND(CX165*I165,2)</f>
        <v>0</v>
      </c>
      <c r="X165" s="2">
        <f t="shared" si="55"/>
        <v>4050.51</v>
      </c>
      <c r="Y165" s="2">
        <f t="shared" si="55"/>
        <v>2296.6799999999998</v>
      </c>
      <c r="Z165" s="2"/>
      <c r="AA165" s="2">
        <v>75604747</v>
      </c>
      <c r="AB165" s="2">
        <f>ROUND((AC165+AD165+AF165),6)</f>
        <v>17233.468475000001</v>
      </c>
      <c r="AC165" s="2">
        <f>ROUND((SUM(SmtRes!BQ171:'SmtRes'!BQ180)),6)</f>
        <v>5487.1587149999996</v>
      </c>
      <c r="AD165" s="2">
        <f>ROUND((((SUM(SmtRes!BR171:'SmtRes'!BR180))-(SUM(SmtRes!BS171:'SmtRes'!BS180)))+AE165),6)</f>
        <v>328.87975999999998</v>
      </c>
      <c r="AE165" s="2">
        <f>ROUND((SUM(SmtRes!BS171:'SmtRes'!BS180)),6)</f>
        <v>181.98589000000001</v>
      </c>
      <c r="AF165" s="2">
        <f>ROUND((SUM(SmtRes!BT171:'SmtRes'!BT180)),6)</f>
        <v>11417.43</v>
      </c>
      <c r="AG165" s="2">
        <f>ROUND((AP165),6)</f>
        <v>0</v>
      </c>
      <c r="AH165" s="2">
        <f>(SUM(SmtRes!BU171:'SmtRes'!BU180))</f>
        <v>34.5</v>
      </c>
      <c r="AI165" s="2">
        <f>(SUM(SmtRes!BV171:'SmtRes'!BV180))</f>
        <v>0.49449999999999994</v>
      </c>
      <c r="AJ165" s="2">
        <f>(AS165)</f>
        <v>0</v>
      </c>
      <c r="AK165" s="2">
        <v>15859.589714800002</v>
      </c>
      <c r="AL165" s="2">
        <v>5487.1587147999999</v>
      </c>
      <c r="AM165" s="2">
        <v>285.98239999999998</v>
      </c>
      <c r="AN165" s="2">
        <v>158.24859999999998</v>
      </c>
      <c r="AO165" s="2">
        <v>9928.2000000000007</v>
      </c>
      <c r="AP165" s="2">
        <v>0</v>
      </c>
      <c r="AQ165" s="2">
        <v>30</v>
      </c>
      <c r="AR165" s="2">
        <v>0.43</v>
      </c>
      <c r="AS165" s="2">
        <v>0</v>
      </c>
      <c r="AT165" s="2">
        <v>97</v>
      </c>
      <c r="AU165" s="2">
        <v>55</v>
      </c>
      <c r="AV165" s="2">
        <v>1</v>
      </c>
      <c r="AW165" s="2">
        <v>1</v>
      </c>
      <c r="AX165" s="2"/>
      <c r="AY165" s="2"/>
      <c r="AZ165" s="2">
        <v>1</v>
      </c>
      <c r="BA165" s="2">
        <v>1</v>
      </c>
      <c r="BB165" s="2">
        <v>1</v>
      </c>
      <c r="BC165" s="2">
        <v>1</v>
      </c>
      <c r="BD165" s="2" t="s">
        <v>3</v>
      </c>
      <c r="BE165" s="2" t="s">
        <v>3</v>
      </c>
      <c r="BF165" s="2" t="s">
        <v>3</v>
      </c>
      <c r="BG165" s="2" t="s">
        <v>3</v>
      </c>
      <c r="BH165" s="2">
        <v>0</v>
      </c>
      <c r="BI165" s="2">
        <v>1</v>
      </c>
      <c r="BJ165" s="2" t="s">
        <v>310</v>
      </c>
      <c r="BK165" s="2"/>
      <c r="BL165" s="2"/>
      <c r="BM165" s="2">
        <v>26001</v>
      </c>
      <c r="BN165" s="2">
        <v>0</v>
      </c>
      <c r="BO165" s="2" t="s">
        <v>3</v>
      </c>
      <c r="BP165" s="2">
        <v>0</v>
      </c>
      <c r="BQ165" s="2">
        <v>2</v>
      </c>
      <c r="BR165" s="2">
        <v>0</v>
      </c>
      <c r="BS165" s="2">
        <v>1</v>
      </c>
      <c r="BT165" s="2">
        <v>1</v>
      </c>
      <c r="BU165" s="2">
        <v>1</v>
      </c>
      <c r="BV165" s="2">
        <v>1</v>
      </c>
      <c r="BW165" s="2">
        <v>1</v>
      </c>
      <c r="BX165" s="2">
        <v>1</v>
      </c>
      <c r="BY165" s="2" t="s">
        <v>3</v>
      </c>
      <c r="BZ165" s="2">
        <v>97</v>
      </c>
      <c r="CA165" s="2">
        <v>55</v>
      </c>
      <c r="CB165" s="2" t="s">
        <v>3</v>
      </c>
      <c r="CC165" s="2"/>
      <c r="CD165" s="2"/>
      <c r="CE165" s="2">
        <v>0</v>
      </c>
      <c r="CF165" s="2">
        <v>0</v>
      </c>
      <c r="CG165" s="2">
        <v>0</v>
      </c>
      <c r="CH165" s="2"/>
      <c r="CI165" s="2"/>
      <c r="CJ165" s="2"/>
      <c r="CK165" s="2"/>
      <c r="CL165" s="2"/>
      <c r="CM165" s="2">
        <v>0</v>
      </c>
      <c r="CN165" s="7" t="s">
        <v>802</v>
      </c>
      <c r="CO165" s="2">
        <v>0</v>
      </c>
      <c r="CP165" s="2">
        <f>(P165+Q165+S165+R165)</f>
        <v>6003.7200000000012</v>
      </c>
      <c r="CQ165" s="2">
        <f>SUMIF(SmtRes!AQ171:'SmtRes'!AQ180,"=1",SmtRes!AA171:'SmtRes'!AA180)</f>
        <v>232236.91999999998</v>
      </c>
      <c r="CR165" s="2">
        <f>SUMIF(SmtRes!AQ171:'SmtRes'!AQ180,"=1",SmtRes!AB171:'SmtRes'!AB180)</f>
        <v>736.05000000000007</v>
      </c>
      <c r="CS165" s="2">
        <f>SUMIF(SmtRes!AQ171:'SmtRes'!AQ180,"=1",SmtRes!AC171:'SmtRes'!AC180)</f>
        <v>368.02</v>
      </c>
      <c r="CT165" s="2">
        <f>SUMIF(SmtRes!AQ171:'SmtRes'!AQ180,"=1",SmtRes!AD171:'SmtRes'!AD180)</f>
        <v>330.94</v>
      </c>
      <c r="CU165" s="2">
        <f>AG165</f>
        <v>0</v>
      </c>
      <c r="CV165" s="2">
        <f>SUMIF(SmtRes!AQ171:'SmtRes'!AQ180,"=1",SmtRes!BU171:'SmtRes'!BU180)</f>
        <v>34.5</v>
      </c>
      <c r="CW165" s="2">
        <f>SUMIF(SmtRes!AQ171:'SmtRes'!AQ180,"=1",SmtRes!BV171:'SmtRes'!BV180)</f>
        <v>0.49449999999999994</v>
      </c>
      <c r="CX165" s="2">
        <f>AJ165</f>
        <v>0</v>
      </c>
      <c r="CY165" s="2">
        <f>(((S165+R165)*AT165)/100)</f>
        <v>4050.5066000000011</v>
      </c>
      <c r="CZ165" s="2">
        <f>(((S165+R165)*AU165)/100)</f>
        <v>2296.6790000000001</v>
      </c>
      <c r="DA165" s="2"/>
      <c r="DB165" s="2">
        <v>29</v>
      </c>
      <c r="DC165" s="2" t="s">
        <v>3</v>
      </c>
      <c r="DD165" s="2" t="s">
        <v>3</v>
      </c>
      <c r="DE165" s="2" t="s">
        <v>27</v>
      </c>
      <c r="DF165" s="2" t="s">
        <v>27</v>
      </c>
      <c r="DG165" s="2" t="s">
        <v>27</v>
      </c>
      <c r="DH165" s="2" t="s">
        <v>3</v>
      </c>
      <c r="DI165" s="2" t="s">
        <v>27</v>
      </c>
      <c r="DJ165" s="2" t="s">
        <v>27</v>
      </c>
      <c r="DK165" s="2" t="s">
        <v>3</v>
      </c>
      <c r="DL165" s="2" t="s">
        <v>3</v>
      </c>
      <c r="DM165" s="2" t="s">
        <v>3</v>
      </c>
      <c r="DN165" s="2">
        <v>0</v>
      </c>
      <c r="DO165" s="2">
        <v>0</v>
      </c>
      <c r="DP165" s="2">
        <v>1</v>
      </c>
      <c r="DQ165" s="2">
        <v>1</v>
      </c>
      <c r="DR165" s="2"/>
      <c r="DS165" s="2"/>
      <c r="DT165" s="2"/>
      <c r="DU165" s="2">
        <v>1005</v>
      </c>
      <c r="DV165" s="2" t="s">
        <v>185</v>
      </c>
      <c r="DW165" s="2" t="s">
        <v>185</v>
      </c>
      <c r="DX165" s="2">
        <v>100</v>
      </c>
      <c r="DY165" s="2"/>
      <c r="DZ165" s="2" t="s">
        <v>3</v>
      </c>
      <c r="EA165" s="2" t="s">
        <v>3</v>
      </c>
      <c r="EB165" s="2" t="s">
        <v>3</v>
      </c>
      <c r="EC165" s="2" t="s">
        <v>3</v>
      </c>
      <c r="ED165" s="2"/>
      <c r="EE165" s="2">
        <v>74004238</v>
      </c>
      <c r="EF165" s="2">
        <v>2</v>
      </c>
      <c r="EG165" s="2" t="s">
        <v>29</v>
      </c>
      <c r="EH165" s="2">
        <v>20</v>
      </c>
      <c r="EI165" s="2" t="s">
        <v>299</v>
      </c>
      <c r="EJ165" s="2">
        <v>1</v>
      </c>
      <c r="EK165" s="2">
        <v>26001</v>
      </c>
      <c r="EL165" s="2" t="s">
        <v>299</v>
      </c>
      <c r="EM165" s="2" t="s">
        <v>300</v>
      </c>
      <c r="EN165" s="2"/>
      <c r="EO165" s="2" t="s">
        <v>39</v>
      </c>
      <c r="EP165" s="2"/>
      <c r="EQ165" s="2">
        <v>1048579</v>
      </c>
      <c r="ER165" s="2">
        <v>0</v>
      </c>
      <c r="ES165" s="2">
        <v>0</v>
      </c>
      <c r="ET165" s="2">
        <v>0</v>
      </c>
      <c r="EU165" s="2">
        <v>0</v>
      </c>
      <c r="EV165" s="2">
        <v>0</v>
      </c>
      <c r="EW165" s="2">
        <v>30</v>
      </c>
      <c r="EX165" s="2">
        <v>0.43</v>
      </c>
      <c r="EY165" s="2">
        <v>0</v>
      </c>
      <c r="EZ165" s="2"/>
      <c r="FA165" s="2"/>
      <c r="FB165" s="2"/>
      <c r="FC165" s="2"/>
      <c r="FD165" s="2"/>
      <c r="FE165" s="2"/>
      <c r="FF165" s="2"/>
      <c r="FG165" s="2"/>
      <c r="FH165" s="2"/>
      <c r="FI165" s="2"/>
      <c r="FJ165" s="2"/>
      <c r="FK165" s="2"/>
      <c r="FL165" s="2"/>
      <c r="FM165" s="2"/>
      <c r="FN165" s="2"/>
      <c r="FO165" s="2"/>
      <c r="FP165" s="2"/>
      <c r="FQ165" s="2">
        <v>0</v>
      </c>
      <c r="FR165" s="2">
        <v>0</v>
      </c>
      <c r="FS165" s="2">
        <v>0</v>
      </c>
      <c r="FT165" s="2"/>
      <c r="FU165" s="2"/>
      <c r="FV165" s="2"/>
      <c r="FW165" s="2"/>
      <c r="FX165" s="2">
        <v>97</v>
      </c>
      <c r="FY165" s="2">
        <v>55</v>
      </c>
      <c r="FZ165" s="2"/>
      <c r="GA165" s="2" t="s">
        <v>3</v>
      </c>
      <c r="GB165" s="2"/>
      <c r="GC165" s="2"/>
      <c r="GD165" s="2">
        <v>1</v>
      </c>
      <c r="GE165" s="2"/>
      <c r="GF165" s="2">
        <v>-1191441299</v>
      </c>
      <c r="GG165" s="2">
        <v>2</v>
      </c>
      <c r="GH165" s="2">
        <v>1</v>
      </c>
      <c r="GI165" s="2">
        <v>-2</v>
      </c>
      <c r="GJ165" s="2">
        <v>0</v>
      </c>
      <c r="GK165" s="2">
        <v>0</v>
      </c>
      <c r="GL165" s="2">
        <f>ROUND(IF(AND(BH165=3,BI165=3,FS165&lt;&gt;0),P165,0),2)</f>
        <v>0</v>
      </c>
      <c r="GM165" s="2">
        <f>ROUND(O165+X165+Y165,2)+GX165</f>
        <v>12350.91</v>
      </c>
      <c r="GN165" s="2">
        <f>IF(OR(BI165=0,BI165=1),GM165-GX165,0)</f>
        <v>12350.91</v>
      </c>
      <c r="GO165" s="2">
        <f>IF(BI165=2,GM165-GX165,0)</f>
        <v>0</v>
      </c>
      <c r="GP165" s="2">
        <f>IF(BI165=4,GM165-GX165,0)</f>
        <v>0</v>
      </c>
      <c r="GQ165" s="2"/>
      <c r="GR165" s="2">
        <v>0</v>
      </c>
      <c r="GS165" s="2">
        <v>0</v>
      </c>
      <c r="GT165" s="2">
        <v>0</v>
      </c>
      <c r="GU165" s="2" t="s">
        <v>3</v>
      </c>
      <c r="GV165" s="2">
        <f>ROUND((GT165),6)</f>
        <v>0</v>
      </c>
      <c r="GW165" s="2">
        <v>1</v>
      </c>
      <c r="GX165" s="2">
        <f>ROUND(HC165*I165,2)</f>
        <v>0</v>
      </c>
      <c r="GY165" s="2"/>
      <c r="GZ165" s="2"/>
      <c r="HA165" s="2">
        <v>0</v>
      </c>
      <c r="HB165" s="2">
        <v>0</v>
      </c>
      <c r="HC165" s="2">
        <f>GV165*GW165</f>
        <v>0</v>
      </c>
      <c r="HD165" s="2"/>
      <c r="HE165" s="2" t="s">
        <v>3</v>
      </c>
      <c r="HF165" s="2" t="s">
        <v>3</v>
      </c>
      <c r="HG165" s="2"/>
      <c r="HH165" s="2"/>
      <c r="HI165" s="2"/>
      <c r="HJ165" s="2"/>
      <c r="HK165" s="2"/>
      <c r="HL165" s="2"/>
      <c r="HM165" s="2" t="s">
        <v>3</v>
      </c>
      <c r="HN165" s="2" t="s">
        <v>301</v>
      </c>
      <c r="HO165" s="2" t="s">
        <v>302</v>
      </c>
      <c r="HP165" s="2" t="s">
        <v>299</v>
      </c>
      <c r="HQ165" s="2" t="s">
        <v>299</v>
      </c>
      <c r="HR165" s="2"/>
      <c r="HS165" s="2">
        <v>0</v>
      </c>
      <c r="HT165" s="2"/>
      <c r="HU165" s="2"/>
      <c r="HV165" s="2"/>
      <c r="HW165" s="2"/>
      <c r="HX165" s="2"/>
      <c r="HY165" s="2"/>
      <c r="HZ165" s="2"/>
      <c r="IA165" s="2"/>
      <c r="IB165" s="2"/>
      <c r="IC165" s="2"/>
      <c r="ID165" s="2"/>
      <c r="IE165" s="2"/>
      <c r="IF165" s="2"/>
      <c r="IG165" s="2"/>
      <c r="IH165" s="2"/>
      <c r="II165" s="2"/>
      <c r="IJ165" s="2"/>
      <c r="IK165" s="2">
        <v>0</v>
      </c>
      <c r="IL165" s="2"/>
      <c r="IM165" s="2"/>
      <c r="IN165" s="2"/>
      <c r="IO165" s="2"/>
      <c r="IP165" s="2"/>
      <c r="IQ165" s="2"/>
      <c r="IR165" s="2"/>
      <c r="IS165" s="2"/>
      <c r="IT165" s="2"/>
      <c r="IU165" s="2"/>
    </row>
    <row r="166" spans="1:255" ht="13.05" customHeight="1" x14ac:dyDescent="0.25">
      <c r="A166" s="2">
        <v>18</v>
      </c>
      <c r="B166" s="2">
        <v>1</v>
      </c>
      <c r="C166" s="2">
        <v>179</v>
      </c>
      <c r="D166" s="2"/>
      <c r="E166" s="2" t="s">
        <v>311</v>
      </c>
      <c r="F166" s="2" t="s">
        <v>312</v>
      </c>
      <c r="G166" s="2" t="s">
        <v>313</v>
      </c>
      <c r="H166" s="2" t="s">
        <v>314</v>
      </c>
      <c r="I166" s="2">
        <f>I165*J166</f>
        <v>41.4</v>
      </c>
      <c r="J166" s="2">
        <v>115</v>
      </c>
      <c r="K166" s="2">
        <v>115</v>
      </c>
      <c r="L166" s="2"/>
      <c r="M166" s="2"/>
      <c r="N166" s="2"/>
      <c r="O166" s="2">
        <f>ROUND(CP166,2)</f>
        <v>4316.3599999999997</v>
      </c>
      <c r="P166" s="2">
        <f>ROUND(CQ166*I166,2)</f>
        <v>4316.3599999999997</v>
      </c>
      <c r="Q166" s="2">
        <f>ROUND(CR166*I166,2)</f>
        <v>0</v>
      </c>
      <c r="R166" s="2">
        <f>ROUND(CS166*I166,2)</f>
        <v>0</v>
      </c>
      <c r="S166" s="2">
        <f>ROUND(CT166*I166,2)</f>
        <v>0</v>
      </c>
      <c r="T166" s="2">
        <f>ROUND(CU166*I166,2)</f>
        <v>0</v>
      </c>
      <c r="U166" s="2">
        <f>ROUND(CV166*I166,7)</f>
        <v>0</v>
      </c>
      <c r="V166" s="2">
        <f>ROUND(CW166*I166,7)</f>
        <v>0</v>
      </c>
      <c r="W166" s="2">
        <f>ROUND(CX166*I166,2)</f>
        <v>0</v>
      </c>
      <c r="X166" s="2">
        <f t="shared" si="55"/>
        <v>0</v>
      </c>
      <c r="Y166" s="2">
        <f t="shared" si="55"/>
        <v>0</v>
      </c>
      <c r="Z166" s="2"/>
      <c r="AA166" s="2">
        <v>75604747</v>
      </c>
      <c r="AB166" s="2">
        <f>ROUND((AC166+AD166+AF166),6)</f>
        <v>115.84</v>
      </c>
      <c r="AC166" s="2">
        <f>ROUND((ES166),6)</f>
        <v>115.84</v>
      </c>
      <c r="AD166" s="2">
        <f>ROUND((((ET166)-(EU166))+AE166),6)</f>
        <v>0</v>
      </c>
      <c r="AE166" s="2">
        <f>ROUND((EU166),6)</f>
        <v>0</v>
      </c>
      <c r="AF166" s="2">
        <f>ROUND((EV166),6)</f>
        <v>0</v>
      </c>
      <c r="AG166" s="2">
        <f>ROUND((AP166),6)</f>
        <v>0</v>
      </c>
      <c r="AH166" s="2">
        <f>(EW166)</f>
        <v>0</v>
      </c>
      <c r="AI166" s="2">
        <f>(EX166)</f>
        <v>0</v>
      </c>
      <c r="AJ166" s="2">
        <f>(AS166)</f>
        <v>0</v>
      </c>
      <c r="AK166" s="2">
        <v>115.84</v>
      </c>
      <c r="AL166" s="2">
        <v>115.84</v>
      </c>
      <c r="AM166" s="2">
        <v>0</v>
      </c>
      <c r="AN166" s="2">
        <v>0</v>
      </c>
      <c r="AO166" s="2">
        <v>0</v>
      </c>
      <c r="AP166" s="2">
        <v>0</v>
      </c>
      <c r="AQ166" s="2">
        <v>0</v>
      </c>
      <c r="AR166" s="2">
        <v>0</v>
      </c>
      <c r="AS166" s="2">
        <v>0</v>
      </c>
      <c r="AT166" s="2">
        <v>97</v>
      </c>
      <c r="AU166" s="2">
        <v>55</v>
      </c>
      <c r="AV166" s="2">
        <v>1</v>
      </c>
      <c r="AW166" s="2">
        <v>1</v>
      </c>
      <c r="AX166" s="2"/>
      <c r="AY166" s="2"/>
      <c r="AZ166" s="2">
        <v>1</v>
      </c>
      <c r="BA166" s="2">
        <v>1</v>
      </c>
      <c r="BB166" s="2">
        <v>1</v>
      </c>
      <c r="BC166" s="2">
        <v>0.9</v>
      </c>
      <c r="BD166" s="2" t="s">
        <v>3</v>
      </c>
      <c r="BE166" s="2" t="s">
        <v>3</v>
      </c>
      <c r="BF166" s="2" t="s">
        <v>3</v>
      </c>
      <c r="BG166" s="2" t="s">
        <v>3</v>
      </c>
      <c r="BH166" s="2">
        <v>3</v>
      </c>
      <c r="BI166" s="2">
        <v>1</v>
      </c>
      <c r="BJ166" s="2" t="s">
        <v>315</v>
      </c>
      <c r="BK166" s="2"/>
      <c r="BL166" s="2"/>
      <c r="BM166" s="2">
        <v>26001</v>
      </c>
      <c r="BN166" s="2">
        <v>0</v>
      </c>
      <c r="BO166" s="2" t="s">
        <v>312</v>
      </c>
      <c r="BP166" s="2">
        <v>1</v>
      </c>
      <c r="BQ166" s="2">
        <v>2</v>
      </c>
      <c r="BR166" s="2">
        <v>0</v>
      </c>
      <c r="BS166" s="2">
        <v>1</v>
      </c>
      <c r="BT166" s="2">
        <v>1</v>
      </c>
      <c r="BU166" s="2">
        <v>1</v>
      </c>
      <c r="BV166" s="2">
        <v>1</v>
      </c>
      <c r="BW166" s="2">
        <v>1</v>
      </c>
      <c r="BX166" s="2">
        <v>1</v>
      </c>
      <c r="BY166" s="2" t="s">
        <v>3</v>
      </c>
      <c r="BZ166" s="2">
        <v>97</v>
      </c>
      <c r="CA166" s="2">
        <v>55</v>
      </c>
      <c r="CB166" s="2" t="s">
        <v>3</v>
      </c>
      <c r="CC166" s="2"/>
      <c r="CD166" s="2"/>
      <c r="CE166" s="2">
        <v>0</v>
      </c>
      <c r="CF166" s="2">
        <v>0</v>
      </c>
      <c r="CG166" s="2">
        <v>0</v>
      </c>
      <c r="CH166" s="2"/>
      <c r="CI166" s="2"/>
      <c r="CJ166" s="2"/>
      <c r="CK166" s="2"/>
      <c r="CL166" s="2"/>
      <c r="CM166" s="2">
        <v>0</v>
      </c>
      <c r="CN166" s="2" t="s">
        <v>3</v>
      </c>
      <c r="CO166" s="2">
        <v>0</v>
      </c>
      <c r="CP166" s="2">
        <f>(P166+Q166+S166+R166)</f>
        <v>4316.3599999999997</v>
      </c>
      <c r="CQ166" s="2">
        <f>ROUND(AL166*BC166,2)</f>
        <v>104.26</v>
      </c>
      <c r="CR166" s="2">
        <f>ROUND(AM166*BB166,2)</f>
        <v>0</v>
      </c>
      <c r="CS166" s="2">
        <f>ROUND(AN166*BS166,2)</f>
        <v>0</v>
      </c>
      <c r="CT166" s="2">
        <f>ROUND(AO166*BA166,2)</f>
        <v>0</v>
      </c>
      <c r="CU166" s="2">
        <f>AG166</f>
        <v>0</v>
      </c>
      <c r="CV166" s="2">
        <f>AH166</f>
        <v>0</v>
      </c>
      <c r="CW166" s="2">
        <f>AI166</f>
        <v>0</v>
      </c>
      <c r="CX166" s="2">
        <f>AJ166</f>
        <v>0</v>
      </c>
      <c r="CY166" s="2">
        <f>(((S166+R166)*AT166)/100)</f>
        <v>0</v>
      </c>
      <c r="CZ166" s="2">
        <f>(((S166+R166)*AU166)/100)</f>
        <v>0</v>
      </c>
      <c r="DA166" s="2"/>
      <c r="DB166" s="2"/>
      <c r="DC166" s="2" t="s">
        <v>3</v>
      </c>
      <c r="DD166" s="2" t="s">
        <v>3</v>
      </c>
      <c r="DE166" s="2" t="s">
        <v>3</v>
      </c>
      <c r="DF166" s="2" t="s">
        <v>3</v>
      </c>
      <c r="DG166" s="2" t="s">
        <v>3</v>
      </c>
      <c r="DH166" s="2" t="s">
        <v>3</v>
      </c>
      <c r="DI166" s="2" t="s">
        <v>3</v>
      </c>
      <c r="DJ166" s="2" t="s">
        <v>3</v>
      </c>
      <c r="DK166" s="2" t="s">
        <v>3</v>
      </c>
      <c r="DL166" s="2" t="s">
        <v>3</v>
      </c>
      <c r="DM166" s="2" t="s">
        <v>3</v>
      </c>
      <c r="DN166" s="2">
        <v>0</v>
      </c>
      <c r="DO166" s="2">
        <v>0</v>
      </c>
      <c r="DP166" s="2">
        <v>1</v>
      </c>
      <c r="DQ166" s="2">
        <v>1</v>
      </c>
      <c r="DR166" s="2"/>
      <c r="DS166" s="2"/>
      <c r="DT166" s="2"/>
      <c r="DU166" s="2">
        <v>1005</v>
      </c>
      <c r="DV166" s="2" t="s">
        <v>314</v>
      </c>
      <c r="DW166" s="2" t="s">
        <v>314</v>
      </c>
      <c r="DX166" s="2">
        <v>1</v>
      </c>
      <c r="DY166" s="2"/>
      <c r="DZ166" s="2" t="s">
        <v>3</v>
      </c>
      <c r="EA166" s="2" t="s">
        <v>3</v>
      </c>
      <c r="EB166" s="2" t="s">
        <v>3</v>
      </c>
      <c r="EC166" s="2" t="s">
        <v>3</v>
      </c>
      <c r="ED166" s="2"/>
      <c r="EE166" s="2">
        <v>74004238</v>
      </c>
      <c r="EF166" s="2">
        <v>2</v>
      </c>
      <c r="EG166" s="2" t="s">
        <v>29</v>
      </c>
      <c r="EH166" s="2">
        <v>20</v>
      </c>
      <c r="EI166" s="2" t="s">
        <v>299</v>
      </c>
      <c r="EJ166" s="2">
        <v>1</v>
      </c>
      <c r="EK166" s="2">
        <v>26001</v>
      </c>
      <c r="EL166" s="2" t="s">
        <v>299</v>
      </c>
      <c r="EM166" s="2" t="s">
        <v>300</v>
      </c>
      <c r="EN166" s="2"/>
      <c r="EO166" s="2" t="s">
        <v>3</v>
      </c>
      <c r="EP166" s="2"/>
      <c r="EQ166" s="2">
        <v>1048576</v>
      </c>
      <c r="ER166" s="2">
        <v>115.84</v>
      </c>
      <c r="ES166" s="2">
        <v>115.84</v>
      </c>
      <c r="ET166" s="2">
        <v>0</v>
      </c>
      <c r="EU166" s="2">
        <v>0</v>
      </c>
      <c r="EV166" s="2">
        <v>0</v>
      </c>
      <c r="EW166" s="2">
        <v>0</v>
      </c>
      <c r="EX166" s="2">
        <v>0</v>
      </c>
      <c r="EY166" s="2"/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>
        <v>0</v>
      </c>
      <c r="FR166" s="2">
        <v>0</v>
      </c>
      <c r="FS166" s="2">
        <v>0</v>
      </c>
      <c r="FT166" s="2"/>
      <c r="FU166" s="2"/>
      <c r="FV166" s="2"/>
      <c r="FW166" s="2"/>
      <c r="FX166" s="2">
        <v>97</v>
      </c>
      <c r="FY166" s="2">
        <v>55</v>
      </c>
      <c r="FZ166" s="2"/>
      <c r="GA166" s="2" t="s">
        <v>3</v>
      </c>
      <c r="GB166" s="2"/>
      <c r="GC166" s="2"/>
      <c r="GD166" s="2">
        <v>1</v>
      </c>
      <c r="GE166" s="2"/>
      <c r="GF166" s="2">
        <v>921560166</v>
      </c>
      <c r="GG166" s="2">
        <v>2</v>
      </c>
      <c r="GH166" s="2">
        <v>1</v>
      </c>
      <c r="GI166" s="2">
        <v>2</v>
      </c>
      <c r="GJ166" s="2">
        <v>0</v>
      </c>
      <c r="GK166" s="2">
        <v>0</v>
      </c>
      <c r="GL166" s="2">
        <f>ROUND(IF(AND(BH166=3,BI166=3,FS166&lt;&gt;0),P166,0),2)</f>
        <v>0</v>
      </c>
      <c r="GM166" s="2">
        <f>ROUND(O166+X166+Y166,2)+GX166</f>
        <v>4316.3599999999997</v>
      </c>
      <c r="GN166" s="2">
        <f>IF(OR(BI166=0,BI166=1),GM166-GX166,0)</f>
        <v>4316.3599999999997</v>
      </c>
      <c r="GO166" s="2">
        <f>IF(BI166=2,GM166-GX166,0)</f>
        <v>0</v>
      </c>
      <c r="GP166" s="2">
        <f>IF(BI166=4,GM166-GX166,0)</f>
        <v>0</v>
      </c>
      <c r="GQ166" s="2"/>
      <c r="GR166" s="2">
        <v>0</v>
      </c>
      <c r="GS166" s="2">
        <v>0</v>
      </c>
      <c r="GT166" s="2">
        <v>0</v>
      </c>
      <c r="GU166" s="2" t="s">
        <v>3</v>
      </c>
      <c r="GV166" s="2">
        <f>ROUND((GT166),6)</f>
        <v>0</v>
      </c>
      <c r="GW166" s="2">
        <v>1</v>
      </c>
      <c r="GX166" s="2">
        <f>ROUND(HC166*I166,2)</f>
        <v>0</v>
      </c>
      <c r="GY166" s="2"/>
      <c r="GZ166" s="2"/>
      <c r="HA166" s="2">
        <v>0</v>
      </c>
      <c r="HB166" s="2">
        <v>0</v>
      </c>
      <c r="HC166" s="2">
        <f>GV166*GW166</f>
        <v>0</v>
      </c>
      <c r="HD166" s="2"/>
      <c r="HE166" s="2" t="s">
        <v>3</v>
      </c>
      <c r="HF166" s="2" t="s">
        <v>3</v>
      </c>
      <c r="HG166" s="2"/>
      <c r="HH166" s="2"/>
      <c r="HI166" s="2"/>
      <c r="HJ166" s="2"/>
      <c r="HK166" s="2"/>
      <c r="HL166" s="2"/>
      <c r="HM166" s="2" t="s">
        <v>3</v>
      </c>
      <c r="HN166" s="2" t="s">
        <v>301</v>
      </c>
      <c r="HO166" s="2" t="s">
        <v>302</v>
      </c>
      <c r="HP166" s="2" t="s">
        <v>299</v>
      </c>
      <c r="HQ166" s="2" t="s">
        <v>299</v>
      </c>
      <c r="HR166" s="2"/>
      <c r="HS166" s="2">
        <v>0</v>
      </c>
      <c r="HT166" s="2"/>
      <c r="HU166" s="2"/>
      <c r="HV166" s="2"/>
      <c r="HW166" s="2"/>
      <c r="HX166" s="2"/>
      <c r="HY166" s="2"/>
      <c r="HZ166" s="2"/>
      <c r="IA166" s="2"/>
      <c r="IB166" s="2"/>
      <c r="IC166" s="2"/>
      <c r="ID166" s="2"/>
      <c r="IE166" s="2"/>
      <c r="IF166" s="2"/>
      <c r="IG166" s="2"/>
      <c r="IH166" s="2"/>
      <c r="II166" s="2"/>
      <c r="IJ166" s="2"/>
      <c r="IK166" s="2">
        <v>0</v>
      </c>
      <c r="IL166" s="2"/>
      <c r="IM166" s="2"/>
      <c r="IN166" s="2"/>
      <c r="IO166" s="2"/>
      <c r="IP166" s="2"/>
      <c r="IQ166" s="2"/>
      <c r="IR166" s="2"/>
      <c r="IS166" s="2"/>
      <c r="IT166" s="2"/>
      <c r="IU166" s="2"/>
    </row>
    <row r="167" spans="1:255" ht="13.05" customHeight="1" x14ac:dyDescent="0.25">
      <c r="A167">
        <v>19</v>
      </c>
      <c r="B167">
        <v>1</v>
      </c>
      <c r="F167" t="s">
        <v>3</v>
      </c>
      <c r="G167" t="s">
        <v>316</v>
      </c>
      <c r="H167" t="s">
        <v>3</v>
      </c>
      <c r="AA167">
        <v>1</v>
      </c>
      <c r="IK167">
        <v>0</v>
      </c>
    </row>
    <row r="168" spans="1:255" ht="13.05" customHeight="1" x14ac:dyDescent="0.25">
      <c r="A168" s="2">
        <v>17</v>
      </c>
      <c r="B168" s="2">
        <v>1</v>
      </c>
      <c r="C168" s="2">
        <f>ROW(SmtRes!A186)</f>
        <v>186</v>
      </c>
      <c r="D168" s="2">
        <f>ROW(EtalonRes!A195)</f>
        <v>195</v>
      </c>
      <c r="E168" s="2" t="s">
        <v>317</v>
      </c>
      <c r="F168" s="2" t="s">
        <v>318</v>
      </c>
      <c r="G168" s="2" t="s">
        <v>319</v>
      </c>
      <c r="H168" s="2" t="s">
        <v>222</v>
      </c>
      <c r="I168" s="2">
        <v>1</v>
      </c>
      <c r="J168" s="2">
        <v>0</v>
      </c>
      <c r="K168" s="2">
        <v>1</v>
      </c>
      <c r="L168" s="2"/>
      <c r="M168" s="2"/>
      <c r="N168" s="2"/>
      <c r="O168" s="2">
        <f>ROUND(CP168,2)</f>
        <v>3729.38</v>
      </c>
      <c r="P168" s="2">
        <f>SUMIF(SmtRes!AQ181:'SmtRes'!AQ186,"=1",SmtRes!DF181:'SmtRes'!DF186)</f>
        <v>125.24000000000001</v>
      </c>
      <c r="Q168" s="2">
        <f>SUMIF(SmtRes!AQ181:'SmtRes'!AQ186,"=1",SmtRes!DG181:'SmtRes'!DG186)</f>
        <v>16.23</v>
      </c>
      <c r="R168" s="2">
        <f>SUMIF(SmtRes!AQ181:'SmtRes'!AQ186,"=1",SmtRes!DH181:'SmtRes'!DH186)</f>
        <v>0</v>
      </c>
      <c r="S168" s="2">
        <f>SUMIF(SmtRes!AQ181:'SmtRes'!AQ186,"=1",SmtRes!DI181:'SmtRes'!DI186)</f>
        <v>3587.91</v>
      </c>
      <c r="T168" s="2">
        <f>ROUND(CU168*I168,2)</f>
        <v>0</v>
      </c>
      <c r="U168" s="2">
        <f>SUMIF(SmtRes!AQ181:'SmtRes'!AQ186,"=1",SmtRes!CV181:'SmtRes'!CV186)</f>
        <v>9.1999999999999993</v>
      </c>
      <c r="V168" s="2">
        <f>SUMIF(SmtRes!AQ181:'SmtRes'!AQ186,"=1",SmtRes!CW181:'SmtRes'!CW186)</f>
        <v>0</v>
      </c>
      <c r="W168" s="2">
        <f>ROUND(CX168*I168,2)</f>
        <v>0</v>
      </c>
      <c r="X168" s="2">
        <f>ROUND(CY168,2)</f>
        <v>3229.12</v>
      </c>
      <c r="Y168" s="2">
        <f>ROUND(CZ168,2)</f>
        <v>1650.44</v>
      </c>
      <c r="Z168" s="2"/>
      <c r="AA168" s="2">
        <v>75604747</v>
      </c>
      <c r="AB168" s="2">
        <f>ROUND((AC168+AD168+AF168),6)</f>
        <v>3717.4043799999999</v>
      </c>
      <c r="AC168" s="2">
        <f>ROUND((SUM(SmtRes!BQ181:'SmtRes'!BQ186)),6)</f>
        <v>113.26988</v>
      </c>
      <c r="AD168" s="2">
        <f>ROUND((((SUM(SmtRes!BR181:'SmtRes'!BR186))-(0))+AE168),6)</f>
        <v>16.226500000000001</v>
      </c>
      <c r="AE168" s="2">
        <f>ROUND((0),6)</f>
        <v>0</v>
      </c>
      <c r="AF168" s="2">
        <f>ROUND((SUM(SmtRes!BT181:'SmtRes'!BT186)),6)</f>
        <v>3587.9079999999999</v>
      </c>
      <c r="AG168" s="2">
        <f>ROUND((AP168),6)</f>
        <v>0</v>
      </c>
      <c r="AH168" s="2">
        <f>(SUM(SmtRes!BU181:'SmtRes'!BU186))</f>
        <v>9.1999999999999993</v>
      </c>
      <c r="AI168" s="2">
        <f>(0)</f>
        <v>0</v>
      </c>
      <c r="AJ168" s="2">
        <f>(AS168)</f>
        <v>0</v>
      </c>
      <c r="AK168" s="2">
        <v>3247.29988</v>
      </c>
      <c r="AL168" s="2">
        <v>113.26988</v>
      </c>
      <c r="AM168" s="2">
        <v>14.110000000000001</v>
      </c>
      <c r="AN168" s="2">
        <v>0</v>
      </c>
      <c r="AO168" s="2">
        <v>3119.92</v>
      </c>
      <c r="AP168" s="2">
        <v>0</v>
      </c>
      <c r="AQ168" s="2">
        <v>8</v>
      </c>
      <c r="AR168" s="2">
        <v>0</v>
      </c>
      <c r="AS168" s="2">
        <v>0</v>
      </c>
      <c r="AT168" s="2">
        <v>90</v>
      </c>
      <c r="AU168" s="2">
        <v>46</v>
      </c>
      <c r="AV168" s="2">
        <v>1</v>
      </c>
      <c r="AW168" s="2">
        <v>1</v>
      </c>
      <c r="AX168" s="2"/>
      <c r="AY168" s="2"/>
      <c r="AZ168" s="2">
        <v>1</v>
      </c>
      <c r="BA168" s="2">
        <v>1</v>
      </c>
      <c r="BB168" s="2">
        <v>1</v>
      </c>
      <c r="BC168" s="2">
        <v>1</v>
      </c>
      <c r="BD168" s="2" t="s">
        <v>3</v>
      </c>
      <c r="BE168" s="2" t="s">
        <v>3</v>
      </c>
      <c r="BF168" s="2" t="s">
        <v>3</v>
      </c>
      <c r="BG168" s="2" t="s">
        <v>3</v>
      </c>
      <c r="BH168" s="2">
        <v>0</v>
      </c>
      <c r="BI168" s="2">
        <v>2</v>
      </c>
      <c r="BJ168" s="2" t="s">
        <v>320</v>
      </c>
      <c r="BK168" s="2"/>
      <c r="BL168" s="2"/>
      <c r="BM168" s="2">
        <v>112001</v>
      </c>
      <c r="BN168" s="2">
        <v>0</v>
      </c>
      <c r="BO168" s="2" t="s">
        <v>3</v>
      </c>
      <c r="BP168" s="2">
        <v>0</v>
      </c>
      <c r="BQ168" s="2">
        <v>3</v>
      </c>
      <c r="BR168" s="2">
        <v>0</v>
      </c>
      <c r="BS168" s="2">
        <v>1</v>
      </c>
      <c r="BT168" s="2">
        <v>1</v>
      </c>
      <c r="BU168" s="2">
        <v>1</v>
      </c>
      <c r="BV168" s="2">
        <v>1</v>
      </c>
      <c r="BW168" s="2">
        <v>1</v>
      </c>
      <c r="BX168" s="2">
        <v>1</v>
      </c>
      <c r="BY168" s="2" t="s">
        <v>3</v>
      </c>
      <c r="BZ168" s="2">
        <v>90</v>
      </c>
      <c r="CA168" s="2">
        <v>46</v>
      </c>
      <c r="CB168" s="2" t="s">
        <v>3</v>
      </c>
      <c r="CC168" s="2"/>
      <c r="CD168" s="2"/>
      <c r="CE168" s="2">
        <v>0</v>
      </c>
      <c r="CF168" s="2">
        <v>0</v>
      </c>
      <c r="CG168" s="2">
        <v>0</v>
      </c>
      <c r="CH168" s="2"/>
      <c r="CI168" s="2"/>
      <c r="CJ168" s="2"/>
      <c r="CK168" s="2"/>
      <c r="CL168" s="2"/>
      <c r="CM168" s="2">
        <v>0</v>
      </c>
      <c r="CN168" s="7" t="s">
        <v>806</v>
      </c>
      <c r="CO168" s="2">
        <v>0</v>
      </c>
      <c r="CP168" s="2">
        <f>(P168+Q168+S168+R168)</f>
        <v>3729.3799999999997</v>
      </c>
      <c r="CQ168" s="2">
        <f>SUMIF(SmtRes!AQ181:'SmtRes'!AQ186,"=1",SmtRes!AA181:'SmtRes'!AA186)</f>
        <v>324.14999999999998</v>
      </c>
      <c r="CR168" s="2">
        <f>SUMIF(SmtRes!AQ181:'SmtRes'!AQ186,"=1",SmtRes!AB181:'SmtRes'!AB186)</f>
        <v>41.5</v>
      </c>
      <c r="CS168" s="2">
        <f>SUMIF(SmtRes!AQ181:'SmtRes'!AQ186,"=1",SmtRes!AC181:'SmtRes'!AC186)</f>
        <v>0</v>
      </c>
      <c r="CT168" s="2">
        <f>SUMIF(SmtRes!AQ181:'SmtRes'!AQ186,"=1",SmtRes!AD181:'SmtRes'!AD186)</f>
        <v>389.99</v>
      </c>
      <c r="CU168" s="2">
        <f>AG168</f>
        <v>0</v>
      </c>
      <c r="CV168" s="2">
        <f>SUMIF(SmtRes!AQ181:'SmtRes'!AQ186,"=1",SmtRes!BU181:'SmtRes'!BU186)</f>
        <v>9.1999999999999993</v>
      </c>
      <c r="CW168" s="2">
        <f>SUMIF(SmtRes!AQ181:'SmtRes'!AQ186,"=1",SmtRes!BV181:'SmtRes'!BV186)</f>
        <v>0</v>
      </c>
      <c r="CX168" s="2">
        <f>AJ168</f>
        <v>0</v>
      </c>
      <c r="CY168" s="2">
        <f>(((S168+R168)*AT168)/100)</f>
        <v>3229.1189999999997</v>
      </c>
      <c r="CZ168" s="2">
        <f>(((S168+R168)*AU168)/100)</f>
        <v>1650.4386</v>
      </c>
      <c r="DA168" s="2"/>
      <c r="DB168" s="2">
        <v>30</v>
      </c>
      <c r="DC168" s="2" t="s">
        <v>3</v>
      </c>
      <c r="DD168" s="2" t="s">
        <v>3</v>
      </c>
      <c r="DE168" s="2" t="s">
        <v>27</v>
      </c>
      <c r="DF168" s="2" t="s">
        <v>27</v>
      </c>
      <c r="DG168" s="2" t="s">
        <v>27</v>
      </c>
      <c r="DH168" s="2" t="s">
        <v>3</v>
      </c>
      <c r="DI168" s="2" t="s">
        <v>27</v>
      </c>
      <c r="DJ168" s="2" t="s">
        <v>27</v>
      </c>
      <c r="DK168" s="2" t="s">
        <v>3</v>
      </c>
      <c r="DL168" s="2" t="s">
        <v>3</v>
      </c>
      <c r="DM168" s="2" t="s">
        <v>3</v>
      </c>
      <c r="DN168" s="2">
        <v>0</v>
      </c>
      <c r="DO168" s="2">
        <v>0</v>
      </c>
      <c r="DP168" s="2">
        <v>1</v>
      </c>
      <c r="DQ168" s="2">
        <v>1</v>
      </c>
      <c r="DR168" s="2"/>
      <c r="DS168" s="2"/>
      <c r="DT168" s="2"/>
      <c r="DU168" s="2">
        <v>1013</v>
      </c>
      <c r="DV168" s="2" t="s">
        <v>222</v>
      </c>
      <c r="DW168" s="2" t="s">
        <v>222</v>
      </c>
      <c r="DX168" s="2">
        <v>1</v>
      </c>
      <c r="DY168" s="2"/>
      <c r="DZ168" s="2" t="s">
        <v>3</v>
      </c>
      <c r="EA168" s="2" t="s">
        <v>3</v>
      </c>
      <c r="EB168" s="2" t="s">
        <v>3</v>
      </c>
      <c r="EC168" s="2" t="s">
        <v>3</v>
      </c>
      <c r="ED168" s="2"/>
      <c r="EE168" s="2">
        <v>74004083</v>
      </c>
      <c r="EF168" s="2">
        <v>3</v>
      </c>
      <c r="EG168" s="2" t="s">
        <v>321</v>
      </c>
      <c r="EH168" s="2">
        <v>54</v>
      </c>
      <c r="EI168" s="2" t="s">
        <v>322</v>
      </c>
      <c r="EJ168" s="2">
        <v>2</v>
      </c>
      <c r="EK168" s="2">
        <v>112001</v>
      </c>
      <c r="EL168" s="2" t="s">
        <v>322</v>
      </c>
      <c r="EM168" s="2" t="s">
        <v>323</v>
      </c>
      <c r="EN168" s="2"/>
      <c r="EO168" s="2" t="s">
        <v>324</v>
      </c>
      <c r="EP168" s="2"/>
      <c r="EQ168" s="2">
        <v>262144</v>
      </c>
      <c r="ER168" s="2">
        <v>0</v>
      </c>
      <c r="ES168" s="2">
        <v>0</v>
      </c>
      <c r="ET168" s="2">
        <v>0</v>
      </c>
      <c r="EU168" s="2">
        <v>0</v>
      </c>
      <c r="EV168" s="2">
        <v>0</v>
      </c>
      <c r="EW168" s="2">
        <v>8</v>
      </c>
      <c r="EX168" s="2">
        <v>0</v>
      </c>
      <c r="EY168" s="2">
        <v>0</v>
      </c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>
        <v>0</v>
      </c>
      <c r="FR168" s="2">
        <v>0</v>
      </c>
      <c r="FS168" s="2">
        <v>0</v>
      </c>
      <c r="FT168" s="2"/>
      <c r="FU168" s="2"/>
      <c r="FV168" s="2"/>
      <c r="FW168" s="2"/>
      <c r="FX168" s="2">
        <v>90</v>
      </c>
      <c r="FY168" s="2">
        <v>46</v>
      </c>
      <c r="FZ168" s="2"/>
      <c r="GA168" s="2" t="s">
        <v>3</v>
      </c>
      <c r="GB168" s="2"/>
      <c r="GC168" s="2"/>
      <c r="GD168" s="2">
        <v>1</v>
      </c>
      <c r="GE168" s="2"/>
      <c r="GF168" s="2">
        <v>925912627</v>
      </c>
      <c r="GG168" s="2">
        <v>2</v>
      </c>
      <c r="GH168" s="2">
        <v>1</v>
      </c>
      <c r="GI168" s="2">
        <v>-2</v>
      </c>
      <c r="GJ168" s="2">
        <v>0</v>
      </c>
      <c r="GK168" s="2">
        <v>0</v>
      </c>
      <c r="GL168" s="2">
        <f>ROUND(IF(AND(BH168=3,BI168=3,FS168&lt;&gt;0),P168,0),2)</f>
        <v>0</v>
      </c>
      <c r="GM168" s="2">
        <f>ROUND(O168+X168+Y168,2)+GX168</f>
        <v>8608.94</v>
      </c>
      <c r="GN168" s="2">
        <f>IF(OR(BI168=0,BI168=1),GM168-GX168,0)</f>
        <v>0</v>
      </c>
      <c r="GO168" s="2">
        <f>IF(BI168=2,GM168-GX168,0)</f>
        <v>8608.94</v>
      </c>
      <c r="GP168" s="2">
        <f>IF(BI168=4,GM168-GX168,0)</f>
        <v>0</v>
      </c>
      <c r="GQ168" s="2"/>
      <c r="GR168" s="2">
        <v>0</v>
      </c>
      <c r="GS168" s="2">
        <v>3</v>
      </c>
      <c r="GT168" s="2">
        <v>0</v>
      </c>
      <c r="GU168" s="2" t="s">
        <v>3</v>
      </c>
      <c r="GV168" s="2">
        <f>ROUND((GT168),6)</f>
        <v>0</v>
      </c>
      <c r="GW168" s="2">
        <v>1</v>
      </c>
      <c r="GX168" s="2">
        <f>ROUND(HC168*I168,2)</f>
        <v>0</v>
      </c>
      <c r="GY168" s="2"/>
      <c r="GZ168" s="2"/>
      <c r="HA168" s="2">
        <v>0</v>
      </c>
      <c r="HB168" s="2">
        <v>0</v>
      </c>
      <c r="HC168" s="2">
        <f>GV168*GW168</f>
        <v>0</v>
      </c>
      <c r="HD168" s="2"/>
      <c r="HE168" s="2" t="s">
        <v>3</v>
      </c>
      <c r="HF168" s="2" t="s">
        <v>3</v>
      </c>
      <c r="HG168" s="2"/>
      <c r="HH168" s="2"/>
      <c r="HI168" s="2"/>
      <c r="HJ168" s="2"/>
      <c r="HK168" s="2"/>
      <c r="HL168" s="2"/>
      <c r="HM168" s="2" t="s">
        <v>3</v>
      </c>
      <c r="HN168" s="2" t="s">
        <v>325</v>
      </c>
      <c r="HO168" s="2" t="s">
        <v>326</v>
      </c>
      <c r="HP168" s="2" t="s">
        <v>322</v>
      </c>
      <c r="HQ168" s="2" t="s">
        <v>322</v>
      </c>
      <c r="HR168" s="2"/>
      <c r="HS168" s="2">
        <v>0</v>
      </c>
      <c r="HT168" s="2"/>
      <c r="HU168" s="2"/>
      <c r="HV168" s="2"/>
      <c r="HW168" s="2"/>
      <c r="HX168" s="2"/>
      <c r="HY168" s="2"/>
      <c r="HZ168" s="2"/>
      <c r="IA168" s="2"/>
      <c r="IB168" s="2"/>
      <c r="IC168" s="2"/>
      <c r="ID168" s="2"/>
      <c r="IE168" s="2"/>
      <c r="IF168" s="2"/>
      <c r="IG168" s="2"/>
      <c r="IH168" s="2"/>
      <c r="II168" s="2"/>
      <c r="IJ168" s="2"/>
      <c r="IK168" s="2">
        <v>0</v>
      </c>
      <c r="IL168" s="2"/>
      <c r="IM168" s="2"/>
      <c r="IN168" s="2"/>
      <c r="IO168" s="2"/>
      <c r="IP168" s="2"/>
      <c r="IQ168" s="2"/>
      <c r="IR168" s="2"/>
      <c r="IS168" s="2"/>
      <c r="IT168" s="2"/>
      <c r="IU168" s="2"/>
    </row>
    <row r="169" spans="1:255" ht="13.05" customHeight="1" x14ac:dyDescent="0.25">
      <c r="A169" s="2">
        <v>17</v>
      </c>
      <c r="B169" s="2">
        <v>1</v>
      </c>
      <c r="C169" s="2">
        <f>ROW(SmtRes!A192)</f>
        <v>192</v>
      </c>
      <c r="D169" s="2">
        <f>ROW(EtalonRes!A202)</f>
        <v>202</v>
      </c>
      <c r="E169" s="2" t="s">
        <v>327</v>
      </c>
      <c r="F169" s="2" t="s">
        <v>328</v>
      </c>
      <c r="G169" s="2" t="s">
        <v>329</v>
      </c>
      <c r="H169" s="2" t="s">
        <v>222</v>
      </c>
      <c r="I169" s="2">
        <v>3</v>
      </c>
      <c r="J169" s="2">
        <v>0</v>
      </c>
      <c r="K169" s="2">
        <v>3</v>
      </c>
      <c r="L169" s="2"/>
      <c r="M169" s="2"/>
      <c r="N169" s="2"/>
      <c r="O169" s="2">
        <f>ROUND(CP169,2)</f>
        <v>12609.25</v>
      </c>
      <c r="P169" s="2">
        <f>SUMIF(SmtRes!AQ187:'SmtRes'!AQ192,"=1",SmtRes!DF187:'SmtRes'!DF192)</f>
        <v>438.49</v>
      </c>
      <c r="Q169" s="2">
        <f>SUMIF(SmtRes!AQ187:'SmtRes'!AQ192,"=1",SmtRes!DG187:'SmtRes'!DG192)</f>
        <v>61.57</v>
      </c>
      <c r="R169" s="2">
        <f>SUMIF(SmtRes!AQ187:'SmtRes'!AQ192,"=1",SmtRes!DH187:'SmtRes'!DH192)</f>
        <v>0</v>
      </c>
      <c r="S169" s="2">
        <f>SUMIF(SmtRes!AQ187:'SmtRes'!AQ192,"=1",SmtRes!DI187:'SmtRes'!DI192)</f>
        <v>12109.19</v>
      </c>
      <c r="T169" s="2">
        <f>ROUND(CU169*I169,2)</f>
        <v>0</v>
      </c>
      <c r="U169" s="2">
        <f>SUMIF(SmtRes!AQ187:'SmtRes'!AQ192,"=1",SmtRes!CV187:'SmtRes'!CV192)</f>
        <v>31.05</v>
      </c>
      <c r="V169" s="2">
        <f>SUMIF(SmtRes!AQ187:'SmtRes'!AQ192,"=1",SmtRes!CW187:'SmtRes'!CW192)</f>
        <v>0</v>
      </c>
      <c r="W169" s="2">
        <f>ROUND(CX169*I169,2)</f>
        <v>0</v>
      </c>
      <c r="X169" s="2">
        <f>ROUND(CY169,2)</f>
        <v>10898.27</v>
      </c>
      <c r="Y169" s="2">
        <f>ROUND(CZ169,2)</f>
        <v>5570.23</v>
      </c>
      <c r="Z169" s="2"/>
      <c r="AA169" s="2">
        <v>75604747</v>
      </c>
      <c r="AB169" s="2">
        <f>ROUND((AC169+AD169+AF169),6)</f>
        <v>4189.8009899999997</v>
      </c>
      <c r="AC169" s="2">
        <f>ROUND((SUM(SmtRes!BQ187:'SmtRes'!BQ192)),6)</f>
        <v>132.88274000000001</v>
      </c>
      <c r="AD169" s="2">
        <f>ROUND((((SUM(SmtRes!BR187:'SmtRes'!BR192))-(0))+AE169),6)</f>
        <v>20.521750000000001</v>
      </c>
      <c r="AE169" s="2">
        <f>ROUND((0),6)</f>
        <v>0</v>
      </c>
      <c r="AF169" s="2">
        <f>ROUND((SUM(SmtRes!BT187:'SmtRes'!BT192)),6)</f>
        <v>4036.3964999999998</v>
      </c>
      <c r="AG169" s="2">
        <f>ROUND((AP169),6)</f>
        <v>0</v>
      </c>
      <c r="AH169" s="2">
        <f>(SUM(SmtRes!BU187:'SmtRes'!BU192))</f>
        <v>10.35</v>
      </c>
      <c r="AI169" s="2">
        <f>(0)</f>
        <v>0</v>
      </c>
      <c r="AJ169" s="2">
        <f>(AS169)</f>
        <v>0</v>
      </c>
      <c r="AK169" s="2">
        <v>3660.6377399999997</v>
      </c>
      <c r="AL169" s="2">
        <v>132.88274000000001</v>
      </c>
      <c r="AM169" s="2">
        <v>17.844999999999999</v>
      </c>
      <c r="AN169" s="2">
        <v>0</v>
      </c>
      <c r="AO169" s="2">
        <v>3509.91</v>
      </c>
      <c r="AP169" s="2">
        <v>0</v>
      </c>
      <c r="AQ169" s="2">
        <v>9</v>
      </c>
      <c r="AR169" s="2">
        <v>0</v>
      </c>
      <c r="AS169" s="2">
        <v>0</v>
      </c>
      <c r="AT169" s="2">
        <v>90</v>
      </c>
      <c r="AU169" s="2">
        <v>46</v>
      </c>
      <c r="AV169" s="2">
        <v>1</v>
      </c>
      <c r="AW169" s="2">
        <v>1</v>
      </c>
      <c r="AX169" s="2"/>
      <c r="AY169" s="2"/>
      <c r="AZ169" s="2">
        <v>1</v>
      </c>
      <c r="BA169" s="2">
        <v>1</v>
      </c>
      <c r="BB169" s="2">
        <v>1</v>
      </c>
      <c r="BC169" s="2">
        <v>1</v>
      </c>
      <c r="BD169" s="2" t="s">
        <v>3</v>
      </c>
      <c r="BE169" s="2" t="s">
        <v>3</v>
      </c>
      <c r="BF169" s="2" t="s">
        <v>3</v>
      </c>
      <c r="BG169" s="2" t="s">
        <v>3</v>
      </c>
      <c r="BH169" s="2">
        <v>0</v>
      </c>
      <c r="BI169" s="2">
        <v>2</v>
      </c>
      <c r="BJ169" s="2" t="s">
        <v>330</v>
      </c>
      <c r="BK169" s="2"/>
      <c r="BL169" s="2"/>
      <c r="BM169" s="2">
        <v>112001</v>
      </c>
      <c r="BN169" s="2">
        <v>0</v>
      </c>
      <c r="BO169" s="2" t="s">
        <v>3</v>
      </c>
      <c r="BP169" s="2">
        <v>0</v>
      </c>
      <c r="BQ169" s="2">
        <v>3</v>
      </c>
      <c r="BR169" s="2">
        <v>0</v>
      </c>
      <c r="BS169" s="2">
        <v>1</v>
      </c>
      <c r="BT169" s="2">
        <v>1</v>
      </c>
      <c r="BU169" s="2">
        <v>1</v>
      </c>
      <c r="BV169" s="2">
        <v>1</v>
      </c>
      <c r="BW169" s="2">
        <v>1</v>
      </c>
      <c r="BX169" s="2">
        <v>1</v>
      </c>
      <c r="BY169" s="2" t="s">
        <v>3</v>
      </c>
      <c r="BZ169" s="2">
        <v>90</v>
      </c>
      <c r="CA169" s="2">
        <v>46</v>
      </c>
      <c r="CB169" s="2" t="s">
        <v>3</v>
      </c>
      <c r="CC169" s="2"/>
      <c r="CD169" s="2"/>
      <c r="CE169" s="2">
        <v>0</v>
      </c>
      <c r="CF169" s="2">
        <v>0</v>
      </c>
      <c r="CG169" s="2">
        <v>0</v>
      </c>
      <c r="CH169" s="2"/>
      <c r="CI169" s="2"/>
      <c r="CJ169" s="2"/>
      <c r="CK169" s="2"/>
      <c r="CL169" s="2"/>
      <c r="CM169" s="2">
        <v>0</v>
      </c>
      <c r="CN169" s="7" t="s">
        <v>806</v>
      </c>
      <c r="CO169" s="2">
        <v>0</v>
      </c>
      <c r="CP169" s="2">
        <f>(P169+Q169+S169+R169)</f>
        <v>12609.25</v>
      </c>
      <c r="CQ169" s="2">
        <f>SUMIF(SmtRes!AQ187:'SmtRes'!AQ192,"=1",SmtRes!AA187:'SmtRes'!AA192)</f>
        <v>324.14999999999998</v>
      </c>
      <c r="CR169" s="2">
        <f>SUMIF(SmtRes!AQ187:'SmtRes'!AQ192,"=1",SmtRes!AB187:'SmtRes'!AB192)</f>
        <v>41.5</v>
      </c>
      <c r="CS169" s="2">
        <f>SUMIF(SmtRes!AQ187:'SmtRes'!AQ192,"=1",SmtRes!AC187:'SmtRes'!AC192)</f>
        <v>0</v>
      </c>
      <c r="CT169" s="2">
        <f>SUMIF(SmtRes!AQ187:'SmtRes'!AQ192,"=1",SmtRes!AD187:'SmtRes'!AD192)</f>
        <v>389.99</v>
      </c>
      <c r="CU169" s="2">
        <f>AG169</f>
        <v>0</v>
      </c>
      <c r="CV169" s="2">
        <f>SUMIF(SmtRes!AQ187:'SmtRes'!AQ192,"=1",SmtRes!BU187:'SmtRes'!BU192)</f>
        <v>10.35</v>
      </c>
      <c r="CW169" s="2">
        <f>SUMIF(SmtRes!AQ187:'SmtRes'!AQ192,"=1",SmtRes!BV187:'SmtRes'!BV192)</f>
        <v>0</v>
      </c>
      <c r="CX169" s="2">
        <f>AJ169</f>
        <v>0</v>
      </c>
      <c r="CY169" s="2">
        <f>(((S169+R169)*AT169)/100)</f>
        <v>10898.271000000001</v>
      </c>
      <c r="CZ169" s="2">
        <f>(((S169+R169)*AU169)/100)</f>
        <v>5570.2273999999998</v>
      </c>
      <c r="DA169" s="2"/>
      <c r="DB169" s="2">
        <v>31</v>
      </c>
      <c r="DC169" s="2" t="s">
        <v>3</v>
      </c>
      <c r="DD169" s="2" t="s">
        <v>3</v>
      </c>
      <c r="DE169" s="2" t="s">
        <v>27</v>
      </c>
      <c r="DF169" s="2" t="s">
        <v>27</v>
      </c>
      <c r="DG169" s="2" t="s">
        <v>27</v>
      </c>
      <c r="DH169" s="2" t="s">
        <v>3</v>
      </c>
      <c r="DI169" s="2" t="s">
        <v>27</v>
      </c>
      <c r="DJ169" s="2" t="s">
        <v>27</v>
      </c>
      <c r="DK169" s="2" t="s">
        <v>3</v>
      </c>
      <c r="DL169" s="2" t="s">
        <v>3</v>
      </c>
      <c r="DM169" s="2" t="s">
        <v>3</v>
      </c>
      <c r="DN169" s="2">
        <v>0</v>
      </c>
      <c r="DO169" s="2">
        <v>0</v>
      </c>
      <c r="DP169" s="2">
        <v>1</v>
      </c>
      <c r="DQ169" s="2">
        <v>1</v>
      </c>
      <c r="DR169" s="2"/>
      <c r="DS169" s="2"/>
      <c r="DT169" s="2"/>
      <c r="DU169" s="2">
        <v>1013</v>
      </c>
      <c r="DV169" s="2" t="s">
        <v>222</v>
      </c>
      <c r="DW169" s="2" t="s">
        <v>222</v>
      </c>
      <c r="DX169" s="2">
        <v>1</v>
      </c>
      <c r="DY169" s="2"/>
      <c r="DZ169" s="2" t="s">
        <v>3</v>
      </c>
      <c r="EA169" s="2" t="s">
        <v>3</v>
      </c>
      <c r="EB169" s="2" t="s">
        <v>3</v>
      </c>
      <c r="EC169" s="2" t="s">
        <v>3</v>
      </c>
      <c r="ED169" s="2"/>
      <c r="EE169" s="2">
        <v>74004083</v>
      </c>
      <c r="EF169" s="2">
        <v>3</v>
      </c>
      <c r="EG169" s="2" t="s">
        <v>321</v>
      </c>
      <c r="EH169" s="2">
        <v>54</v>
      </c>
      <c r="EI169" s="2" t="s">
        <v>322</v>
      </c>
      <c r="EJ169" s="2">
        <v>2</v>
      </c>
      <c r="EK169" s="2">
        <v>112001</v>
      </c>
      <c r="EL169" s="2" t="s">
        <v>322</v>
      </c>
      <c r="EM169" s="2" t="s">
        <v>323</v>
      </c>
      <c r="EN169" s="2"/>
      <c r="EO169" s="2" t="s">
        <v>324</v>
      </c>
      <c r="EP169" s="2"/>
      <c r="EQ169" s="2">
        <v>262144</v>
      </c>
      <c r="ER169" s="2">
        <v>0</v>
      </c>
      <c r="ES169" s="2">
        <v>0</v>
      </c>
      <c r="ET169" s="2">
        <v>0</v>
      </c>
      <c r="EU169" s="2">
        <v>0</v>
      </c>
      <c r="EV169" s="2">
        <v>0</v>
      </c>
      <c r="EW169" s="2">
        <v>9</v>
      </c>
      <c r="EX169" s="2">
        <v>0</v>
      </c>
      <c r="EY169" s="2">
        <v>0</v>
      </c>
      <c r="EZ169" s="2"/>
      <c r="FA169" s="2"/>
      <c r="FB169" s="2"/>
      <c r="FC169" s="2"/>
      <c r="FD169" s="2"/>
      <c r="FE169" s="2"/>
      <c r="FF169" s="2"/>
      <c r="FG169" s="2"/>
      <c r="FH169" s="2"/>
      <c r="FI169" s="2"/>
      <c r="FJ169" s="2"/>
      <c r="FK169" s="2"/>
      <c r="FL169" s="2"/>
      <c r="FM169" s="2"/>
      <c r="FN169" s="2"/>
      <c r="FO169" s="2"/>
      <c r="FP169" s="2"/>
      <c r="FQ169" s="2">
        <v>0</v>
      </c>
      <c r="FR169" s="2">
        <v>0</v>
      </c>
      <c r="FS169" s="2">
        <v>0</v>
      </c>
      <c r="FT169" s="2"/>
      <c r="FU169" s="2"/>
      <c r="FV169" s="2"/>
      <c r="FW169" s="2"/>
      <c r="FX169" s="2">
        <v>90</v>
      </c>
      <c r="FY169" s="2">
        <v>46</v>
      </c>
      <c r="FZ169" s="2"/>
      <c r="GA169" s="2" t="s">
        <v>3</v>
      </c>
      <c r="GB169" s="2"/>
      <c r="GC169" s="2"/>
      <c r="GD169" s="2">
        <v>1</v>
      </c>
      <c r="GE169" s="2"/>
      <c r="GF169" s="2">
        <v>170173287</v>
      </c>
      <c r="GG169" s="2">
        <v>2</v>
      </c>
      <c r="GH169" s="2">
        <v>1</v>
      </c>
      <c r="GI169" s="2">
        <v>-2</v>
      </c>
      <c r="GJ169" s="2">
        <v>0</v>
      </c>
      <c r="GK169" s="2">
        <v>0</v>
      </c>
      <c r="GL169" s="2">
        <f>ROUND(IF(AND(BH169=3,BI169=3,FS169&lt;&gt;0),P169,0),2)</f>
        <v>0</v>
      </c>
      <c r="GM169" s="2">
        <f>ROUND(O169+X169+Y169,2)+GX169</f>
        <v>29077.75</v>
      </c>
      <c r="GN169" s="2">
        <f>IF(OR(BI169=0,BI169=1),GM169-GX169,0)</f>
        <v>0</v>
      </c>
      <c r="GO169" s="2">
        <f>IF(BI169=2,GM169-GX169,0)</f>
        <v>29077.75</v>
      </c>
      <c r="GP169" s="2">
        <f>IF(BI169=4,GM169-GX169,0)</f>
        <v>0</v>
      </c>
      <c r="GQ169" s="2"/>
      <c r="GR169" s="2">
        <v>0</v>
      </c>
      <c r="GS169" s="2">
        <v>3</v>
      </c>
      <c r="GT169" s="2">
        <v>0</v>
      </c>
      <c r="GU169" s="2" t="s">
        <v>3</v>
      </c>
      <c r="GV169" s="2">
        <f>ROUND((GT169),6)</f>
        <v>0</v>
      </c>
      <c r="GW169" s="2">
        <v>1</v>
      </c>
      <c r="GX169" s="2">
        <f>ROUND(HC169*I169,2)</f>
        <v>0</v>
      </c>
      <c r="GY169" s="2"/>
      <c r="GZ169" s="2"/>
      <c r="HA169" s="2">
        <v>0</v>
      </c>
      <c r="HB169" s="2">
        <v>0</v>
      </c>
      <c r="HC169" s="2">
        <f>GV169*GW169</f>
        <v>0</v>
      </c>
      <c r="HD169" s="2"/>
      <c r="HE169" s="2" t="s">
        <v>3</v>
      </c>
      <c r="HF169" s="2" t="s">
        <v>3</v>
      </c>
      <c r="HG169" s="2"/>
      <c r="HH169" s="2"/>
      <c r="HI169" s="2"/>
      <c r="HJ169" s="2"/>
      <c r="HK169" s="2"/>
      <c r="HL169" s="2"/>
      <c r="HM169" s="2" t="s">
        <v>3</v>
      </c>
      <c r="HN169" s="2" t="s">
        <v>325</v>
      </c>
      <c r="HO169" s="2" t="s">
        <v>326</v>
      </c>
      <c r="HP169" s="2" t="s">
        <v>322</v>
      </c>
      <c r="HQ169" s="2" t="s">
        <v>322</v>
      </c>
      <c r="HR169" s="2"/>
      <c r="HS169" s="2">
        <v>0</v>
      </c>
      <c r="HT169" s="2"/>
      <c r="HU169" s="2"/>
      <c r="HV169" s="2"/>
      <c r="HW169" s="2"/>
      <c r="HX169" s="2"/>
      <c r="HY169" s="2"/>
      <c r="HZ169" s="2"/>
      <c r="IA169" s="2"/>
      <c r="IB169" s="2"/>
      <c r="IC169" s="2"/>
      <c r="ID169" s="2"/>
      <c r="IE169" s="2"/>
      <c r="IF169" s="2"/>
      <c r="IG169" s="2"/>
      <c r="IH169" s="2"/>
      <c r="II169" s="2"/>
      <c r="IJ169" s="2"/>
      <c r="IK169" s="2">
        <v>0</v>
      </c>
      <c r="IL169" s="2"/>
      <c r="IM169" s="2"/>
      <c r="IN169" s="2"/>
      <c r="IO169" s="2"/>
      <c r="IP169" s="2"/>
      <c r="IQ169" s="2"/>
      <c r="IR169" s="2"/>
      <c r="IS169" s="2"/>
      <c r="IT169" s="2"/>
      <c r="IU169" s="2"/>
    </row>
    <row r="170" spans="1:255" ht="13.05" customHeight="1" x14ac:dyDescent="0.25">
      <c r="A170">
        <v>19</v>
      </c>
      <c r="B170">
        <v>1</v>
      </c>
      <c r="F170" t="s">
        <v>3</v>
      </c>
      <c r="G170" t="s">
        <v>331</v>
      </c>
      <c r="H170" t="s">
        <v>3</v>
      </c>
      <c r="AA170">
        <v>1</v>
      </c>
      <c r="IK170">
        <v>0</v>
      </c>
    </row>
    <row r="171" spans="1:255" ht="13.05" customHeight="1" x14ac:dyDescent="0.25">
      <c r="A171" s="2">
        <v>17</v>
      </c>
      <c r="B171" s="2">
        <v>1</v>
      </c>
      <c r="C171" s="2">
        <f>ROW(SmtRes!A205)</f>
        <v>205</v>
      </c>
      <c r="D171" s="2">
        <f>ROW(EtalonRes!A216)</f>
        <v>216</v>
      </c>
      <c r="E171" s="2" t="s">
        <v>332</v>
      </c>
      <c r="F171" s="2" t="s">
        <v>333</v>
      </c>
      <c r="G171" s="2" t="s">
        <v>334</v>
      </c>
      <c r="H171" s="2" t="s">
        <v>335</v>
      </c>
      <c r="I171" s="2">
        <v>0.4</v>
      </c>
      <c r="J171" s="2">
        <v>0</v>
      </c>
      <c r="K171" s="2">
        <v>0.4</v>
      </c>
      <c r="L171" s="2"/>
      <c r="M171" s="2"/>
      <c r="N171" s="2"/>
      <c r="O171" s="2">
        <f>ROUND(CP171,2)</f>
        <v>5415.93</v>
      </c>
      <c r="P171" s="2">
        <f>SUMIF(SmtRes!AQ193:'SmtRes'!AQ205,"=1",SmtRes!DF193:'SmtRes'!DF205)</f>
        <v>117.21</v>
      </c>
      <c r="Q171" s="2">
        <f>SUMIF(SmtRes!AQ193:'SmtRes'!AQ205,"=1",SmtRes!DG193:'SmtRes'!DG205)</f>
        <v>226.84</v>
      </c>
      <c r="R171" s="2">
        <f>SUMIF(SmtRes!AQ193:'SmtRes'!AQ205,"=1",SmtRes!DH193:'SmtRes'!DH205)</f>
        <v>59.25</v>
      </c>
      <c r="S171" s="2">
        <f>SUMIF(SmtRes!AQ193:'SmtRes'!AQ205,"=1",SmtRes!DI193:'SmtRes'!DI205)</f>
        <v>5012.63</v>
      </c>
      <c r="T171" s="2">
        <f>ROUND(CU171*I171,2)</f>
        <v>0</v>
      </c>
      <c r="U171" s="2">
        <f>SUMIF(SmtRes!AQ193:'SmtRes'!AQ205,"=1",SmtRes!CV193:'SmtRes'!CV205)</f>
        <v>13.3538</v>
      </c>
      <c r="V171" s="2">
        <f>SUMIF(SmtRes!AQ193:'SmtRes'!AQ205,"=1",SmtRes!CW193:'SmtRes'!CW205)</f>
        <v>0.161</v>
      </c>
      <c r="W171" s="2">
        <f>ROUND(CX171*I171,2)</f>
        <v>0</v>
      </c>
      <c r="X171" s="2">
        <f>ROUND(CY171,2)</f>
        <v>5934.1</v>
      </c>
      <c r="Y171" s="2">
        <f>ROUND(CZ171,2)</f>
        <v>3753.19</v>
      </c>
      <c r="Z171" s="2"/>
      <c r="AA171" s="2">
        <v>75604747</v>
      </c>
      <c r="AB171" s="2">
        <f>ROUND((AC171+AD171+AF171),6)</f>
        <v>13398.47768</v>
      </c>
      <c r="AC171" s="2">
        <f>ROUND((SUM(SmtRes!BQ193:'SmtRes'!BQ205)),6)</f>
        <v>301.87126999999998</v>
      </c>
      <c r="AD171" s="2">
        <f>ROUND((((SUM(SmtRes!BR193:'SmtRes'!BR205))-(SUM(SmtRes!BS193:'SmtRes'!BS205)))+AE171),6)</f>
        <v>565.03812500000004</v>
      </c>
      <c r="AE171" s="2">
        <f>ROUND((SUM(SmtRes!BS193:'SmtRes'!BS205)),6)</f>
        <v>148.12805</v>
      </c>
      <c r="AF171" s="2">
        <f>ROUND((SUM(SmtRes!BT193:'SmtRes'!BT205)),6)</f>
        <v>12531.568284999999</v>
      </c>
      <c r="AG171" s="2">
        <f>ROUND((AP171),6)</f>
        <v>0</v>
      </c>
      <c r="AH171" s="2">
        <f>(SUM(SmtRes!BU193:'SmtRes'!BU205))</f>
        <v>33.384500000000003</v>
      </c>
      <c r="AI171" s="2">
        <f>(SUM(SmtRes!BV193:'SmtRes'!BV205))</f>
        <v>0.40249999999999997</v>
      </c>
      <c r="AJ171" s="2">
        <f>(AS171)</f>
        <v>0</v>
      </c>
      <c r="AK171" s="2">
        <v>11819.03167</v>
      </c>
      <c r="AL171" s="2">
        <v>301.87126999999998</v>
      </c>
      <c r="AM171" s="2">
        <v>491.33749999999998</v>
      </c>
      <c r="AN171" s="2">
        <v>128.80699999999999</v>
      </c>
      <c r="AO171" s="2">
        <v>10897.0159</v>
      </c>
      <c r="AP171" s="2">
        <v>0</v>
      </c>
      <c r="AQ171" s="2">
        <v>29.03</v>
      </c>
      <c r="AR171" s="2">
        <v>0.35</v>
      </c>
      <c r="AS171" s="2">
        <v>0</v>
      </c>
      <c r="AT171" s="2">
        <v>117</v>
      </c>
      <c r="AU171" s="2">
        <v>74</v>
      </c>
      <c r="AV171" s="2">
        <v>1</v>
      </c>
      <c r="AW171" s="2">
        <v>1</v>
      </c>
      <c r="AX171" s="2"/>
      <c r="AY171" s="2"/>
      <c r="AZ171" s="2">
        <v>1</v>
      </c>
      <c r="BA171" s="2">
        <v>1</v>
      </c>
      <c r="BB171" s="2">
        <v>1</v>
      </c>
      <c r="BC171" s="2">
        <v>1</v>
      </c>
      <c r="BD171" s="2" t="s">
        <v>3</v>
      </c>
      <c r="BE171" s="2" t="s">
        <v>3</v>
      </c>
      <c r="BF171" s="2" t="s">
        <v>3</v>
      </c>
      <c r="BG171" s="2" t="s">
        <v>3</v>
      </c>
      <c r="BH171" s="2">
        <v>0</v>
      </c>
      <c r="BI171" s="2">
        <v>1</v>
      </c>
      <c r="BJ171" s="2" t="s">
        <v>336</v>
      </c>
      <c r="BK171" s="2"/>
      <c r="BL171" s="2"/>
      <c r="BM171" s="2">
        <v>24001</v>
      </c>
      <c r="BN171" s="2">
        <v>0</v>
      </c>
      <c r="BO171" s="2" t="s">
        <v>3</v>
      </c>
      <c r="BP171" s="2">
        <v>0</v>
      </c>
      <c r="BQ171" s="2">
        <v>2</v>
      </c>
      <c r="BR171" s="2">
        <v>0</v>
      </c>
      <c r="BS171" s="2">
        <v>1</v>
      </c>
      <c r="BT171" s="2">
        <v>1</v>
      </c>
      <c r="BU171" s="2">
        <v>1</v>
      </c>
      <c r="BV171" s="2">
        <v>1</v>
      </c>
      <c r="BW171" s="2">
        <v>1</v>
      </c>
      <c r="BX171" s="2">
        <v>1</v>
      </c>
      <c r="BY171" s="2" t="s">
        <v>3</v>
      </c>
      <c r="BZ171" s="2">
        <v>117</v>
      </c>
      <c r="CA171" s="2">
        <v>74</v>
      </c>
      <c r="CB171" s="2" t="s">
        <v>3</v>
      </c>
      <c r="CC171" s="2"/>
      <c r="CD171" s="2"/>
      <c r="CE171" s="2">
        <v>0</v>
      </c>
      <c r="CF171" s="2">
        <v>0</v>
      </c>
      <c r="CG171" s="2">
        <v>0</v>
      </c>
      <c r="CH171" s="2"/>
      <c r="CI171" s="2"/>
      <c r="CJ171" s="2"/>
      <c r="CK171" s="2"/>
      <c r="CL171" s="2"/>
      <c r="CM171" s="2">
        <v>0</v>
      </c>
      <c r="CN171" s="7" t="s">
        <v>802</v>
      </c>
      <c r="CO171" s="2">
        <v>0</v>
      </c>
      <c r="CP171" s="2">
        <f>(P171+Q171+S171+R171)</f>
        <v>5415.93</v>
      </c>
      <c r="CQ171" s="2">
        <f>SUMIF(SmtRes!AQ193:'SmtRes'!AQ205,"=1",SmtRes!AA193:'SmtRes'!AA205)</f>
        <v>966.96999999999991</v>
      </c>
      <c r="CR171" s="2">
        <f>SUMIF(SmtRes!AQ193:'SmtRes'!AQ205,"=1",SmtRes!AB193:'SmtRes'!AB205)</f>
        <v>598.30000000000007</v>
      </c>
      <c r="CS171" s="2">
        <f>SUMIF(SmtRes!AQ193:'SmtRes'!AQ205,"=1",SmtRes!AC193:'SmtRes'!AC205)</f>
        <v>368.02</v>
      </c>
      <c r="CT171" s="2">
        <f>SUMIF(SmtRes!AQ193:'SmtRes'!AQ205,"=1",SmtRes!AD193:'SmtRes'!AD205)</f>
        <v>1417.15</v>
      </c>
      <c r="CU171" s="2">
        <f>AG171</f>
        <v>0</v>
      </c>
      <c r="CV171" s="2">
        <f>SUMIF(SmtRes!AQ193:'SmtRes'!AQ205,"=1",SmtRes!BU193:'SmtRes'!BU205)</f>
        <v>33.384500000000003</v>
      </c>
      <c r="CW171" s="2">
        <f>SUMIF(SmtRes!AQ193:'SmtRes'!AQ205,"=1",SmtRes!BV193:'SmtRes'!BV205)</f>
        <v>0.40249999999999997</v>
      </c>
      <c r="CX171" s="2">
        <f>AJ171</f>
        <v>0</v>
      </c>
      <c r="CY171" s="2">
        <f>(((S171+R171)*AT171)/100)</f>
        <v>5934.0995999999996</v>
      </c>
      <c r="CZ171" s="2">
        <f>(((S171+R171)*AU171)/100)</f>
        <v>3753.1911999999998</v>
      </c>
      <c r="DA171" s="2"/>
      <c r="DB171" s="2">
        <v>32</v>
      </c>
      <c r="DC171" s="2" t="s">
        <v>3</v>
      </c>
      <c r="DD171" s="2" t="s">
        <v>3</v>
      </c>
      <c r="DE171" s="2" t="s">
        <v>27</v>
      </c>
      <c r="DF171" s="2" t="s">
        <v>27</v>
      </c>
      <c r="DG171" s="2" t="s">
        <v>27</v>
      </c>
      <c r="DH171" s="2" t="s">
        <v>3</v>
      </c>
      <c r="DI171" s="2" t="s">
        <v>27</v>
      </c>
      <c r="DJ171" s="2" t="s">
        <v>27</v>
      </c>
      <c r="DK171" s="2" t="s">
        <v>3</v>
      </c>
      <c r="DL171" s="2" t="s">
        <v>3</v>
      </c>
      <c r="DM171" s="2" t="s">
        <v>3</v>
      </c>
      <c r="DN171" s="2">
        <v>0</v>
      </c>
      <c r="DO171" s="2">
        <v>0</v>
      </c>
      <c r="DP171" s="2">
        <v>1</v>
      </c>
      <c r="DQ171" s="2">
        <v>1</v>
      </c>
      <c r="DR171" s="2"/>
      <c r="DS171" s="2"/>
      <c r="DT171" s="2"/>
      <c r="DU171" s="2">
        <v>1013</v>
      </c>
      <c r="DV171" s="2" t="s">
        <v>335</v>
      </c>
      <c r="DW171" s="2" t="s">
        <v>335</v>
      </c>
      <c r="DX171" s="2">
        <v>10</v>
      </c>
      <c r="DY171" s="2"/>
      <c r="DZ171" s="2" t="s">
        <v>3</v>
      </c>
      <c r="EA171" s="2" t="s">
        <v>3</v>
      </c>
      <c r="EB171" s="2" t="s">
        <v>3</v>
      </c>
      <c r="EC171" s="2" t="s">
        <v>3</v>
      </c>
      <c r="ED171" s="2"/>
      <c r="EE171" s="2">
        <v>74004233</v>
      </c>
      <c r="EF171" s="2">
        <v>2</v>
      </c>
      <c r="EG171" s="2" t="s">
        <v>29</v>
      </c>
      <c r="EH171" s="2">
        <v>18</v>
      </c>
      <c r="EI171" s="2" t="s">
        <v>100</v>
      </c>
      <c r="EJ171" s="2">
        <v>1</v>
      </c>
      <c r="EK171" s="2">
        <v>24001</v>
      </c>
      <c r="EL171" s="2" t="s">
        <v>100</v>
      </c>
      <c r="EM171" s="2" t="s">
        <v>236</v>
      </c>
      <c r="EN171" s="2"/>
      <c r="EO171" s="2" t="s">
        <v>39</v>
      </c>
      <c r="EP171" s="2"/>
      <c r="EQ171" s="2">
        <v>262144</v>
      </c>
      <c r="ER171" s="2">
        <v>0</v>
      </c>
      <c r="ES171" s="2">
        <v>0</v>
      </c>
      <c r="ET171" s="2">
        <v>0</v>
      </c>
      <c r="EU171" s="2">
        <v>0</v>
      </c>
      <c r="EV171" s="2">
        <v>0</v>
      </c>
      <c r="EW171" s="2">
        <v>29.03</v>
      </c>
      <c r="EX171" s="2">
        <v>0.35</v>
      </c>
      <c r="EY171" s="2">
        <v>0</v>
      </c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>
        <v>0</v>
      </c>
      <c r="FR171" s="2">
        <v>0</v>
      </c>
      <c r="FS171" s="2">
        <v>0</v>
      </c>
      <c r="FT171" s="2"/>
      <c r="FU171" s="2"/>
      <c r="FV171" s="2"/>
      <c r="FW171" s="2"/>
      <c r="FX171" s="2">
        <v>117</v>
      </c>
      <c r="FY171" s="2">
        <v>74</v>
      </c>
      <c r="FZ171" s="2"/>
      <c r="GA171" s="2" t="s">
        <v>3</v>
      </c>
      <c r="GB171" s="2"/>
      <c r="GC171" s="2"/>
      <c r="GD171" s="2">
        <v>1</v>
      </c>
      <c r="GE171" s="2"/>
      <c r="GF171" s="2">
        <v>-1274173233</v>
      </c>
      <c r="GG171" s="2">
        <v>2</v>
      </c>
      <c r="GH171" s="2">
        <v>1</v>
      </c>
      <c r="GI171" s="2">
        <v>-2</v>
      </c>
      <c r="GJ171" s="2">
        <v>0</v>
      </c>
      <c r="GK171" s="2">
        <v>0</v>
      </c>
      <c r="GL171" s="2">
        <f>ROUND(IF(AND(BH171=3,BI171=3,FS171&lt;&gt;0),P171,0),2)</f>
        <v>0</v>
      </c>
      <c r="GM171" s="2">
        <f>ROUND(O171+X171+Y171,2)+GX171</f>
        <v>15103.22</v>
      </c>
      <c r="GN171" s="2">
        <f>IF(OR(BI171=0,BI171=1),GM171-GX171,0)</f>
        <v>15103.22</v>
      </c>
      <c r="GO171" s="2">
        <f>IF(BI171=2,GM171-GX171,0)</f>
        <v>0</v>
      </c>
      <c r="GP171" s="2">
        <f>IF(BI171=4,GM171-GX171,0)</f>
        <v>0</v>
      </c>
      <c r="GQ171" s="2"/>
      <c r="GR171" s="2">
        <v>0</v>
      </c>
      <c r="GS171" s="2">
        <v>3</v>
      </c>
      <c r="GT171" s="2">
        <v>0</v>
      </c>
      <c r="GU171" s="2" t="s">
        <v>3</v>
      </c>
      <c r="GV171" s="2">
        <f>ROUND((GT171),6)</f>
        <v>0</v>
      </c>
      <c r="GW171" s="2">
        <v>1</v>
      </c>
      <c r="GX171" s="2">
        <f>ROUND(HC171*I171,2)</f>
        <v>0</v>
      </c>
      <c r="GY171" s="2"/>
      <c r="GZ171" s="2"/>
      <c r="HA171" s="2">
        <v>0</v>
      </c>
      <c r="HB171" s="2">
        <v>0</v>
      </c>
      <c r="HC171" s="2">
        <f>GV171*GW171</f>
        <v>0</v>
      </c>
      <c r="HD171" s="2"/>
      <c r="HE171" s="2" t="s">
        <v>3</v>
      </c>
      <c r="HF171" s="2" t="s">
        <v>3</v>
      </c>
      <c r="HG171" s="2"/>
      <c r="HH171" s="2"/>
      <c r="HI171" s="2"/>
      <c r="HJ171" s="2"/>
      <c r="HK171" s="2"/>
      <c r="HL171" s="2"/>
      <c r="HM171" s="2" t="s">
        <v>3</v>
      </c>
      <c r="HN171" s="2" t="s">
        <v>102</v>
      </c>
      <c r="HO171" s="2" t="s">
        <v>103</v>
      </c>
      <c r="HP171" s="2" t="s">
        <v>100</v>
      </c>
      <c r="HQ171" s="2" t="s">
        <v>100</v>
      </c>
      <c r="HR171" s="2"/>
      <c r="HS171" s="2">
        <v>0</v>
      </c>
      <c r="HT171" s="2"/>
      <c r="HU171" s="2"/>
      <c r="HV171" s="2"/>
      <c r="HW171" s="2"/>
      <c r="HX171" s="2"/>
      <c r="HY171" s="2"/>
      <c r="HZ171" s="2"/>
      <c r="IA171" s="2"/>
      <c r="IB171" s="2"/>
      <c r="IC171" s="2"/>
      <c r="ID171" s="2"/>
      <c r="IE171" s="2"/>
      <c r="IF171" s="2"/>
      <c r="IG171" s="2"/>
      <c r="IH171" s="2"/>
      <c r="II171" s="2"/>
      <c r="IJ171" s="2"/>
      <c r="IK171" s="2">
        <v>0</v>
      </c>
      <c r="IL171" s="2"/>
      <c r="IM171" s="2"/>
      <c r="IN171" s="2"/>
      <c r="IO171" s="2"/>
      <c r="IP171" s="2"/>
      <c r="IQ171" s="2"/>
      <c r="IR171" s="2"/>
      <c r="IS171" s="2"/>
      <c r="IT171" s="2"/>
      <c r="IU171" s="2"/>
    </row>
    <row r="172" spans="1:255" ht="13.05" customHeight="1" x14ac:dyDescent="0.25">
      <c r="A172">
        <v>19</v>
      </c>
      <c r="B172">
        <v>1</v>
      </c>
      <c r="F172" t="s">
        <v>3</v>
      </c>
      <c r="G172" t="s">
        <v>337</v>
      </c>
      <c r="H172" t="s">
        <v>3</v>
      </c>
      <c r="AA172">
        <v>1</v>
      </c>
      <c r="IK172">
        <v>0</v>
      </c>
    </row>
    <row r="173" spans="1:255" ht="13.05" customHeight="1" x14ac:dyDescent="0.25">
      <c r="A173" s="2">
        <v>17</v>
      </c>
      <c r="B173" s="2">
        <v>1</v>
      </c>
      <c r="C173" s="2">
        <f>ROW(SmtRes!A212)</f>
        <v>212</v>
      </c>
      <c r="D173" s="2">
        <f>ROW(EtalonRes!A223)</f>
        <v>223</v>
      </c>
      <c r="E173" s="2" t="s">
        <v>338</v>
      </c>
      <c r="F173" s="2" t="s">
        <v>339</v>
      </c>
      <c r="G173" s="2" t="s">
        <v>340</v>
      </c>
      <c r="H173" s="2" t="s">
        <v>205</v>
      </c>
      <c r="I173" s="2">
        <v>0.3</v>
      </c>
      <c r="J173" s="2">
        <v>0</v>
      </c>
      <c r="K173" s="2">
        <v>0.3</v>
      </c>
      <c r="L173" s="2"/>
      <c r="M173" s="2"/>
      <c r="N173" s="2"/>
      <c r="O173" s="2">
        <f t="shared" ref="O173:O186" si="56">ROUND(CP173,2)</f>
        <v>900.86</v>
      </c>
      <c r="P173" s="2">
        <f>SUMIF(SmtRes!AQ206:'SmtRes'!AQ212,"=1",SmtRes!DF206:'SmtRes'!DF212)</f>
        <v>54.870000000000005</v>
      </c>
      <c r="Q173" s="2">
        <f>SUMIF(SmtRes!AQ206:'SmtRes'!AQ212,"=1",SmtRes!DG206:'SmtRes'!DG212)</f>
        <v>130.62</v>
      </c>
      <c r="R173" s="2">
        <f>SUMIF(SmtRes!AQ206:'SmtRes'!AQ212,"=1",SmtRes!DH206:'SmtRes'!DH212)</f>
        <v>61.4</v>
      </c>
      <c r="S173" s="2">
        <f>SUMIF(SmtRes!AQ206:'SmtRes'!AQ212,"=1",SmtRes!DI206:'SmtRes'!DI212)</f>
        <v>653.97</v>
      </c>
      <c r="T173" s="2">
        <f t="shared" ref="T173:T186" si="57">ROUND(CU173*I173,2)</f>
        <v>0</v>
      </c>
      <c r="U173" s="2">
        <f>SUMIF(SmtRes!AQ206:'SmtRes'!AQ212,"=1",SmtRes!CV206:'SmtRes'!CV212)</f>
        <v>2.0527500000000001</v>
      </c>
      <c r="V173" s="2">
        <f>SUMIF(SmtRes!AQ206:'SmtRes'!AQ212,"=1",SmtRes!CW206:'SmtRes'!CW212)</f>
        <v>0.1242</v>
      </c>
      <c r="W173" s="2">
        <f t="shared" ref="W173:W186" si="58">ROUND(CX173*I173,2)</f>
        <v>0</v>
      </c>
      <c r="X173" s="2">
        <f t="shared" ref="X173:X186" si="59">ROUND(CY173,2)</f>
        <v>786.91</v>
      </c>
      <c r="Y173" s="2">
        <f t="shared" ref="Y173:Y186" si="60">ROUND(CZ173,2)</f>
        <v>493.61</v>
      </c>
      <c r="Z173" s="2"/>
      <c r="AA173" s="2">
        <v>75604747</v>
      </c>
      <c r="AB173" s="2">
        <f t="shared" ref="AB173:AB186" si="61">ROUND((AC173+AD173+AF173),6)</f>
        <v>2760.2881440000001</v>
      </c>
      <c r="AC173" s="2">
        <f>ROUND((SUM(SmtRes!BQ206:'SmtRes'!BQ212)),6)</f>
        <v>144.992414</v>
      </c>
      <c r="AD173" s="2">
        <f>ROUND((((SUM(SmtRes!BR206:'SmtRes'!BR212))-(SUM(SmtRes!BS206:'SmtRes'!BS212)))+AE173),6)</f>
        <v>435.41208</v>
      </c>
      <c r="AE173" s="2">
        <f>ROUND((SUM(SmtRes!BS206:'SmtRes'!BS212)),6)</f>
        <v>204.6609</v>
      </c>
      <c r="AF173" s="2">
        <f>ROUND((SUM(SmtRes!BT206:'SmtRes'!BT212)),6)</f>
        <v>2179.8836500000002</v>
      </c>
      <c r="AG173" s="2">
        <f t="shared" ref="AG173:AG186" si="62">ROUND((AP173),6)</f>
        <v>0</v>
      </c>
      <c r="AH173" s="2">
        <f>(SUM(SmtRes!BU206:'SmtRes'!BU212))</f>
        <v>6.8424999999999994</v>
      </c>
      <c r="AI173" s="2">
        <f>(SUM(SmtRes!BV206:'SmtRes'!BV212))</f>
        <v>0.41399999999999998</v>
      </c>
      <c r="AJ173" s="2">
        <f t="shared" ref="AJ173:AJ186" si="63">(AS173)</f>
        <v>0</v>
      </c>
      <c r="AK173" s="2">
        <v>2597.1286139999997</v>
      </c>
      <c r="AL173" s="2">
        <v>144.992414</v>
      </c>
      <c r="AM173" s="2">
        <v>378.61919999999998</v>
      </c>
      <c r="AN173" s="2">
        <v>177.96600000000001</v>
      </c>
      <c r="AO173" s="2">
        <v>1895.5509999999999</v>
      </c>
      <c r="AP173" s="2">
        <v>0</v>
      </c>
      <c r="AQ173" s="2">
        <v>5.95</v>
      </c>
      <c r="AR173" s="2">
        <v>0.36</v>
      </c>
      <c r="AS173" s="2">
        <v>0</v>
      </c>
      <c r="AT173" s="2">
        <v>110</v>
      </c>
      <c r="AU173" s="2">
        <v>69</v>
      </c>
      <c r="AV173" s="2">
        <v>1</v>
      </c>
      <c r="AW173" s="2">
        <v>1</v>
      </c>
      <c r="AX173" s="2"/>
      <c r="AY173" s="2"/>
      <c r="AZ173" s="2">
        <v>1</v>
      </c>
      <c r="BA173" s="2">
        <v>1</v>
      </c>
      <c r="BB173" s="2">
        <v>1</v>
      </c>
      <c r="BC173" s="2">
        <v>1</v>
      </c>
      <c r="BD173" s="2" t="s">
        <v>3</v>
      </c>
      <c r="BE173" s="2" t="s">
        <v>3</v>
      </c>
      <c r="BF173" s="2" t="s">
        <v>3</v>
      </c>
      <c r="BG173" s="2" t="s">
        <v>3</v>
      </c>
      <c r="BH173" s="2">
        <v>0</v>
      </c>
      <c r="BI173" s="2">
        <v>1</v>
      </c>
      <c r="BJ173" s="2" t="s">
        <v>341</v>
      </c>
      <c r="BK173" s="2"/>
      <c r="BL173" s="2"/>
      <c r="BM173" s="2">
        <v>8001</v>
      </c>
      <c r="BN173" s="2">
        <v>0</v>
      </c>
      <c r="BO173" s="2" t="s">
        <v>3</v>
      </c>
      <c r="BP173" s="2">
        <v>0</v>
      </c>
      <c r="BQ173" s="2">
        <v>2</v>
      </c>
      <c r="BR173" s="2">
        <v>0</v>
      </c>
      <c r="BS173" s="2">
        <v>1</v>
      </c>
      <c r="BT173" s="2">
        <v>1</v>
      </c>
      <c r="BU173" s="2">
        <v>1</v>
      </c>
      <c r="BV173" s="2">
        <v>1</v>
      </c>
      <c r="BW173" s="2">
        <v>1</v>
      </c>
      <c r="BX173" s="2">
        <v>1</v>
      </c>
      <c r="BY173" s="2" t="s">
        <v>3</v>
      </c>
      <c r="BZ173" s="2">
        <v>110</v>
      </c>
      <c r="CA173" s="2">
        <v>69</v>
      </c>
      <c r="CB173" s="2" t="s">
        <v>3</v>
      </c>
      <c r="CC173" s="2"/>
      <c r="CD173" s="2"/>
      <c r="CE173" s="2">
        <v>0</v>
      </c>
      <c r="CF173" s="2">
        <v>0</v>
      </c>
      <c r="CG173" s="2">
        <v>0</v>
      </c>
      <c r="CH173" s="2"/>
      <c r="CI173" s="2"/>
      <c r="CJ173" s="2"/>
      <c r="CK173" s="2"/>
      <c r="CL173" s="2"/>
      <c r="CM173" s="2">
        <v>0</v>
      </c>
      <c r="CN173" s="7" t="s">
        <v>802</v>
      </c>
      <c r="CO173" s="2">
        <v>0</v>
      </c>
      <c r="CP173" s="2">
        <f t="shared" ref="CP173:CP186" si="64">(P173+Q173+S173+R173)</f>
        <v>900.86</v>
      </c>
      <c r="CQ173" s="2">
        <f>SUMIF(SmtRes!AQ206:'SmtRes'!AQ212,"=1",SmtRes!AA206:'SmtRes'!AA212)</f>
        <v>73258.039999999994</v>
      </c>
      <c r="CR173" s="2">
        <f>SUMIF(SmtRes!AQ206:'SmtRes'!AQ212,"=1",SmtRes!AB206:'SmtRes'!AB212)</f>
        <v>1051.72</v>
      </c>
      <c r="CS173" s="2">
        <f>SUMIF(SmtRes!AQ206:'SmtRes'!AQ212,"=1",SmtRes!AC206:'SmtRes'!AC212)</f>
        <v>494.35</v>
      </c>
      <c r="CT173" s="2">
        <f>SUMIF(SmtRes!AQ206:'SmtRes'!AQ212,"=1",SmtRes!AD206:'SmtRes'!AD212)</f>
        <v>318.58</v>
      </c>
      <c r="CU173" s="2">
        <f t="shared" ref="CU173:CU186" si="65">AG173</f>
        <v>0</v>
      </c>
      <c r="CV173" s="2">
        <f>SUMIF(SmtRes!AQ206:'SmtRes'!AQ212,"=1",SmtRes!BU206:'SmtRes'!BU212)</f>
        <v>6.8424999999999994</v>
      </c>
      <c r="CW173" s="2">
        <f>SUMIF(SmtRes!AQ206:'SmtRes'!AQ212,"=1",SmtRes!BV206:'SmtRes'!BV212)</f>
        <v>0.41399999999999998</v>
      </c>
      <c r="CX173" s="2">
        <f t="shared" ref="CX173:CX186" si="66">AJ173</f>
        <v>0</v>
      </c>
      <c r="CY173" s="2">
        <f t="shared" ref="CY173:CY186" si="67">(((S173+R173)*AT173)/100)</f>
        <v>786.90699999999993</v>
      </c>
      <c r="CZ173" s="2">
        <f t="shared" ref="CZ173:CZ186" si="68">(((S173+R173)*AU173)/100)</f>
        <v>493.6053</v>
      </c>
      <c r="DA173" s="2"/>
      <c r="DB173" s="2">
        <v>33</v>
      </c>
      <c r="DC173" s="2" t="s">
        <v>3</v>
      </c>
      <c r="DD173" s="2" t="s">
        <v>3</v>
      </c>
      <c r="DE173" s="2" t="s">
        <v>27</v>
      </c>
      <c r="DF173" s="2" t="s">
        <v>27</v>
      </c>
      <c r="DG173" s="2" t="s">
        <v>27</v>
      </c>
      <c r="DH173" s="2" t="s">
        <v>3</v>
      </c>
      <c r="DI173" s="2" t="s">
        <v>27</v>
      </c>
      <c r="DJ173" s="2" t="s">
        <v>27</v>
      </c>
      <c r="DK173" s="2" t="s">
        <v>3</v>
      </c>
      <c r="DL173" s="2" t="s">
        <v>3</v>
      </c>
      <c r="DM173" s="2" t="s">
        <v>3</v>
      </c>
      <c r="DN173" s="2">
        <v>0</v>
      </c>
      <c r="DO173" s="2">
        <v>0</v>
      </c>
      <c r="DP173" s="2">
        <v>1</v>
      </c>
      <c r="DQ173" s="2">
        <v>1</v>
      </c>
      <c r="DR173" s="2"/>
      <c r="DS173" s="2"/>
      <c r="DT173" s="2"/>
      <c r="DU173" s="2">
        <v>1007</v>
      </c>
      <c r="DV173" s="2" t="s">
        <v>205</v>
      </c>
      <c r="DW173" s="2" t="s">
        <v>205</v>
      </c>
      <c r="DX173" s="2">
        <v>1</v>
      </c>
      <c r="DY173" s="2"/>
      <c r="DZ173" s="2" t="s">
        <v>3</v>
      </c>
      <c r="EA173" s="2" t="s">
        <v>3</v>
      </c>
      <c r="EB173" s="2" t="s">
        <v>3</v>
      </c>
      <c r="EC173" s="2" t="s">
        <v>3</v>
      </c>
      <c r="ED173" s="2"/>
      <c r="EE173" s="2">
        <v>74004196</v>
      </c>
      <c r="EF173" s="2">
        <v>2</v>
      </c>
      <c r="EG173" s="2" t="s">
        <v>29</v>
      </c>
      <c r="EH173" s="2">
        <v>8</v>
      </c>
      <c r="EI173" s="2" t="s">
        <v>342</v>
      </c>
      <c r="EJ173" s="2">
        <v>1</v>
      </c>
      <c r="EK173" s="2">
        <v>8001</v>
      </c>
      <c r="EL173" s="2" t="s">
        <v>342</v>
      </c>
      <c r="EM173" s="2" t="s">
        <v>343</v>
      </c>
      <c r="EN173" s="2"/>
      <c r="EO173" s="2" t="s">
        <v>39</v>
      </c>
      <c r="EP173" s="2"/>
      <c r="EQ173" s="2">
        <v>262144</v>
      </c>
      <c r="ER173" s="2">
        <v>0</v>
      </c>
      <c r="ES173" s="2">
        <v>0</v>
      </c>
      <c r="ET173" s="2">
        <v>0</v>
      </c>
      <c r="EU173" s="2">
        <v>0</v>
      </c>
      <c r="EV173" s="2">
        <v>0</v>
      </c>
      <c r="EW173" s="2">
        <v>5.95</v>
      </c>
      <c r="EX173" s="2">
        <v>0.36</v>
      </c>
      <c r="EY173" s="2">
        <v>0</v>
      </c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>
        <v>0</v>
      </c>
      <c r="FR173" s="2">
        <v>0</v>
      </c>
      <c r="FS173" s="2">
        <v>0</v>
      </c>
      <c r="FT173" s="2"/>
      <c r="FU173" s="2"/>
      <c r="FV173" s="2"/>
      <c r="FW173" s="2"/>
      <c r="FX173" s="2">
        <v>110</v>
      </c>
      <c r="FY173" s="2">
        <v>69</v>
      </c>
      <c r="FZ173" s="2"/>
      <c r="GA173" s="2" t="s">
        <v>3</v>
      </c>
      <c r="GB173" s="2"/>
      <c r="GC173" s="2"/>
      <c r="GD173" s="2">
        <v>1</v>
      </c>
      <c r="GE173" s="2"/>
      <c r="GF173" s="2">
        <v>-1818812638</v>
      </c>
      <c r="GG173" s="2">
        <v>2</v>
      </c>
      <c r="GH173" s="2">
        <v>1</v>
      </c>
      <c r="GI173" s="2">
        <v>-2</v>
      </c>
      <c r="GJ173" s="2">
        <v>0</v>
      </c>
      <c r="GK173" s="2">
        <v>0</v>
      </c>
      <c r="GL173" s="2">
        <f t="shared" ref="GL173:GL186" si="69">ROUND(IF(AND(BH173=3,BI173=3,FS173&lt;&gt;0),P173,0),2)</f>
        <v>0</v>
      </c>
      <c r="GM173" s="2">
        <f t="shared" ref="GM173:GM186" si="70">ROUND(O173+X173+Y173,2)+GX173</f>
        <v>2181.38</v>
      </c>
      <c r="GN173" s="2">
        <f t="shared" ref="GN173:GN186" si="71">IF(OR(BI173=0,BI173=1),GM173-GX173,0)</f>
        <v>2181.38</v>
      </c>
      <c r="GO173" s="2">
        <f t="shared" ref="GO173:GO186" si="72">IF(BI173=2,GM173-GX173,0)</f>
        <v>0</v>
      </c>
      <c r="GP173" s="2">
        <f t="shared" ref="GP173:GP186" si="73">IF(BI173=4,GM173-GX173,0)</f>
        <v>0</v>
      </c>
      <c r="GQ173" s="2"/>
      <c r="GR173" s="2">
        <v>0</v>
      </c>
      <c r="GS173" s="2">
        <v>3</v>
      </c>
      <c r="GT173" s="2">
        <v>0</v>
      </c>
      <c r="GU173" s="2" t="s">
        <v>3</v>
      </c>
      <c r="GV173" s="2">
        <f t="shared" ref="GV173:GV186" si="74">ROUND((GT173),6)</f>
        <v>0</v>
      </c>
      <c r="GW173" s="2">
        <v>1</v>
      </c>
      <c r="GX173" s="2">
        <f t="shared" ref="GX173:GX186" si="75">ROUND(HC173*I173,2)</f>
        <v>0</v>
      </c>
      <c r="GY173" s="2"/>
      <c r="GZ173" s="2"/>
      <c r="HA173" s="2">
        <v>0</v>
      </c>
      <c r="HB173" s="2">
        <v>0</v>
      </c>
      <c r="HC173" s="2">
        <f t="shared" ref="HC173:HC186" si="76">GV173*GW173</f>
        <v>0</v>
      </c>
      <c r="HD173" s="2"/>
      <c r="HE173" s="2" t="s">
        <v>3</v>
      </c>
      <c r="HF173" s="2" t="s">
        <v>3</v>
      </c>
      <c r="HG173" s="2"/>
      <c r="HH173" s="2"/>
      <c r="HI173" s="2"/>
      <c r="HJ173" s="2"/>
      <c r="HK173" s="2"/>
      <c r="HL173" s="2"/>
      <c r="HM173" s="2" t="s">
        <v>3</v>
      </c>
      <c r="HN173" s="2" t="s">
        <v>344</v>
      </c>
      <c r="HO173" s="2" t="s">
        <v>345</v>
      </c>
      <c r="HP173" s="2" t="s">
        <v>342</v>
      </c>
      <c r="HQ173" s="2" t="s">
        <v>342</v>
      </c>
      <c r="HR173" s="2"/>
      <c r="HS173" s="2">
        <v>0</v>
      </c>
      <c r="HT173" s="2"/>
      <c r="HU173" s="2"/>
      <c r="HV173" s="2"/>
      <c r="HW173" s="2"/>
      <c r="HX173" s="2"/>
      <c r="HY173" s="2"/>
      <c r="HZ173" s="2"/>
      <c r="IA173" s="2"/>
      <c r="IB173" s="2"/>
      <c r="IC173" s="2"/>
      <c r="ID173" s="2"/>
      <c r="IE173" s="2"/>
      <c r="IF173" s="2"/>
      <c r="IG173" s="2"/>
      <c r="IH173" s="2"/>
      <c r="II173" s="2"/>
      <c r="IJ173" s="2"/>
      <c r="IK173" s="2">
        <v>0</v>
      </c>
      <c r="IL173" s="2"/>
      <c r="IM173" s="2"/>
      <c r="IN173" s="2"/>
      <c r="IO173" s="2"/>
      <c r="IP173" s="2"/>
      <c r="IQ173" s="2"/>
      <c r="IR173" s="2"/>
      <c r="IS173" s="2"/>
      <c r="IT173" s="2"/>
      <c r="IU173" s="2"/>
    </row>
    <row r="174" spans="1:255" ht="13.05" customHeight="1" x14ac:dyDescent="0.25">
      <c r="A174" s="2">
        <v>18</v>
      </c>
      <c r="B174" s="2">
        <v>1</v>
      </c>
      <c r="C174" s="2">
        <v>210</v>
      </c>
      <c r="D174" s="2"/>
      <c r="E174" s="2" t="s">
        <v>346</v>
      </c>
      <c r="F174" s="2" t="s">
        <v>347</v>
      </c>
      <c r="G174" s="2" t="s">
        <v>348</v>
      </c>
      <c r="H174" s="2" t="s">
        <v>205</v>
      </c>
      <c r="I174" s="2">
        <f>I173*J174</f>
        <v>6.6299999999999998E-2</v>
      </c>
      <c r="J174" s="2">
        <v>0.221</v>
      </c>
      <c r="K174" s="2">
        <v>0.221</v>
      </c>
      <c r="L174" s="2"/>
      <c r="M174" s="2"/>
      <c r="N174" s="2"/>
      <c r="O174" s="2">
        <f t="shared" si="56"/>
        <v>330.72</v>
      </c>
      <c r="P174" s="2">
        <f>ROUND(CQ174*I174,2)</f>
        <v>330.72</v>
      </c>
      <c r="Q174" s="2">
        <f>ROUND(CR174*I174,2)</f>
        <v>0</v>
      </c>
      <c r="R174" s="2">
        <f>ROUND(CS174*I174,2)</f>
        <v>0</v>
      </c>
      <c r="S174" s="2">
        <f>ROUND(CT174*I174,2)</f>
        <v>0</v>
      </c>
      <c r="T174" s="2">
        <f t="shared" si="57"/>
        <v>0</v>
      </c>
      <c r="U174" s="2">
        <f>ROUND(CV174*I174,7)</f>
        <v>0</v>
      </c>
      <c r="V174" s="2">
        <f>ROUND(CW174*I174,7)</f>
        <v>0</v>
      </c>
      <c r="W174" s="2">
        <f t="shared" si="58"/>
        <v>0</v>
      </c>
      <c r="X174" s="2">
        <f t="shared" si="59"/>
        <v>0</v>
      </c>
      <c r="Y174" s="2">
        <f t="shared" si="60"/>
        <v>0</v>
      </c>
      <c r="Z174" s="2"/>
      <c r="AA174" s="2">
        <v>75604747</v>
      </c>
      <c r="AB174" s="2">
        <f t="shared" si="61"/>
        <v>4988.2</v>
      </c>
      <c r="AC174" s="2">
        <f>ROUND((ES174),6)</f>
        <v>4988.2</v>
      </c>
      <c r="AD174" s="2">
        <f>ROUND((((ET174)-(EU174))+AE174),6)</f>
        <v>0</v>
      </c>
      <c r="AE174" s="2">
        <f>ROUND((EU174),6)</f>
        <v>0</v>
      </c>
      <c r="AF174" s="2">
        <f>ROUND((EV174),6)</f>
        <v>0</v>
      </c>
      <c r="AG174" s="2">
        <f t="shared" si="62"/>
        <v>0</v>
      </c>
      <c r="AH174" s="2">
        <f>(EW174)</f>
        <v>0</v>
      </c>
      <c r="AI174" s="2">
        <f>(EX174)</f>
        <v>0</v>
      </c>
      <c r="AJ174" s="2">
        <f t="shared" si="63"/>
        <v>0</v>
      </c>
      <c r="AK174" s="2">
        <v>4988.2</v>
      </c>
      <c r="AL174" s="2">
        <v>4988.2</v>
      </c>
      <c r="AM174" s="2">
        <v>0</v>
      </c>
      <c r="AN174" s="2">
        <v>0</v>
      </c>
      <c r="AO174" s="2">
        <v>0</v>
      </c>
      <c r="AP174" s="2">
        <v>0</v>
      </c>
      <c r="AQ174" s="2">
        <v>0</v>
      </c>
      <c r="AR174" s="2">
        <v>0</v>
      </c>
      <c r="AS174" s="2">
        <v>0</v>
      </c>
      <c r="AT174" s="2">
        <v>110</v>
      </c>
      <c r="AU174" s="2">
        <v>69</v>
      </c>
      <c r="AV174" s="2">
        <v>1</v>
      </c>
      <c r="AW174" s="2">
        <v>1</v>
      </c>
      <c r="AX174" s="2"/>
      <c r="AY174" s="2"/>
      <c r="AZ174" s="2">
        <v>1</v>
      </c>
      <c r="BA174" s="2">
        <v>1</v>
      </c>
      <c r="BB174" s="2">
        <v>1</v>
      </c>
      <c r="BC174" s="2">
        <v>1</v>
      </c>
      <c r="BD174" s="2" t="s">
        <v>3</v>
      </c>
      <c r="BE174" s="2" t="s">
        <v>3</v>
      </c>
      <c r="BF174" s="2" t="s">
        <v>3</v>
      </c>
      <c r="BG174" s="2" t="s">
        <v>3</v>
      </c>
      <c r="BH174" s="2">
        <v>3</v>
      </c>
      <c r="BI174" s="2">
        <v>1</v>
      </c>
      <c r="BJ174" s="2" t="s">
        <v>349</v>
      </c>
      <c r="BK174" s="2"/>
      <c r="BL174" s="2"/>
      <c r="BM174" s="2">
        <v>8001</v>
      </c>
      <c r="BN174" s="2">
        <v>0</v>
      </c>
      <c r="BO174" s="2" t="s">
        <v>3</v>
      </c>
      <c r="BP174" s="2">
        <v>0</v>
      </c>
      <c r="BQ174" s="2">
        <v>2</v>
      </c>
      <c r="BR174" s="2">
        <v>0</v>
      </c>
      <c r="BS174" s="2">
        <v>1</v>
      </c>
      <c r="BT174" s="2">
        <v>1</v>
      </c>
      <c r="BU174" s="2">
        <v>1</v>
      </c>
      <c r="BV174" s="2">
        <v>1</v>
      </c>
      <c r="BW174" s="2">
        <v>1</v>
      </c>
      <c r="BX174" s="2">
        <v>1</v>
      </c>
      <c r="BY174" s="2" t="s">
        <v>3</v>
      </c>
      <c r="BZ174" s="2">
        <v>110</v>
      </c>
      <c r="CA174" s="2">
        <v>69</v>
      </c>
      <c r="CB174" s="2" t="s">
        <v>3</v>
      </c>
      <c r="CC174" s="2"/>
      <c r="CD174" s="2"/>
      <c r="CE174" s="2">
        <v>0</v>
      </c>
      <c r="CF174" s="2">
        <v>0</v>
      </c>
      <c r="CG174" s="2">
        <v>0</v>
      </c>
      <c r="CH174" s="2"/>
      <c r="CI174" s="2"/>
      <c r="CJ174" s="2"/>
      <c r="CK174" s="2"/>
      <c r="CL174" s="2"/>
      <c r="CM174" s="2">
        <v>0</v>
      </c>
      <c r="CN174" s="2" t="s">
        <v>3</v>
      </c>
      <c r="CO174" s="2">
        <v>0</v>
      </c>
      <c r="CP174" s="2">
        <f t="shared" si="64"/>
        <v>330.72</v>
      </c>
      <c r="CQ174" s="2">
        <f>ROUND(AL174*BC174,2)</f>
        <v>4988.2</v>
      </c>
      <c r="CR174" s="2">
        <f>ROUND(AM174*BB174,2)</f>
        <v>0</v>
      </c>
      <c r="CS174" s="2">
        <f>ROUND(AN174*BS174,2)</f>
        <v>0</v>
      </c>
      <c r="CT174" s="2">
        <f>ROUND(AO174*BA174,2)</f>
        <v>0</v>
      </c>
      <c r="CU174" s="2">
        <f t="shared" si="65"/>
        <v>0</v>
      </c>
      <c r="CV174" s="2">
        <f>AH174</f>
        <v>0</v>
      </c>
      <c r="CW174" s="2">
        <f>AI174</f>
        <v>0</v>
      </c>
      <c r="CX174" s="2">
        <f t="shared" si="66"/>
        <v>0</v>
      </c>
      <c r="CY174" s="2">
        <f t="shared" si="67"/>
        <v>0</v>
      </c>
      <c r="CZ174" s="2">
        <f t="shared" si="68"/>
        <v>0</v>
      </c>
      <c r="DA174" s="2"/>
      <c r="DB174" s="2"/>
      <c r="DC174" s="2" t="s">
        <v>3</v>
      </c>
      <c r="DD174" s="2" t="s">
        <v>3</v>
      </c>
      <c r="DE174" s="2" t="s">
        <v>3</v>
      </c>
      <c r="DF174" s="2" t="s">
        <v>3</v>
      </c>
      <c r="DG174" s="2" t="s">
        <v>3</v>
      </c>
      <c r="DH174" s="2" t="s">
        <v>3</v>
      </c>
      <c r="DI174" s="2" t="s">
        <v>3</v>
      </c>
      <c r="DJ174" s="2" t="s">
        <v>3</v>
      </c>
      <c r="DK174" s="2" t="s">
        <v>3</v>
      </c>
      <c r="DL174" s="2" t="s">
        <v>3</v>
      </c>
      <c r="DM174" s="2" t="s">
        <v>3</v>
      </c>
      <c r="DN174" s="2">
        <v>0</v>
      </c>
      <c r="DO174" s="2">
        <v>0</v>
      </c>
      <c r="DP174" s="2">
        <v>1</v>
      </c>
      <c r="DQ174" s="2">
        <v>1</v>
      </c>
      <c r="DR174" s="2"/>
      <c r="DS174" s="2"/>
      <c r="DT174" s="2"/>
      <c r="DU174" s="2">
        <v>1007</v>
      </c>
      <c r="DV174" s="2" t="s">
        <v>205</v>
      </c>
      <c r="DW174" s="2" t="s">
        <v>205</v>
      </c>
      <c r="DX174" s="2">
        <v>1</v>
      </c>
      <c r="DY174" s="2"/>
      <c r="DZ174" s="2" t="s">
        <v>3</v>
      </c>
      <c r="EA174" s="2" t="s">
        <v>3</v>
      </c>
      <c r="EB174" s="2" t="s">
        <v>3</v>
      </c>
      <c r="EC174" s="2" t="s">
        <v>3</v>
      </c>
      <c r="ED174" s="2"/>
      <c r="EE174" s="2">
        <v>74004196</v>
      </c>
      <c r="EF174" s="2">
        <v>2</v>
      </c>
      <c r="EG174" s="2" t="s">
        <v>29</v>
      </c>
      <c r="EH174" s="2">
        <v>8</v>
      </c>
      <c r="EI174" s="2" t="s">
        <v>342</v>
      </c>
      <c r="EJ174" s="2">
        <v>1</v>
      </c>
      <c r="EK174" s="2">
        <v>8001</v>
      </c>
      <c r="EL174" s="2" t="s">
        <v>342</v>
      </c>
      <c r="EM174" s="2" t="s">
        <v>343</v>
      </c>
      <c r="EN174" s="2"/>
      <c r="EO174" s="2" t="s">
        <v>3</v>
      </c>
      <c r="EP174" s="2"/>
      <c r="EQ174" s="2">
        <v>262144</v>
      </c>
      <c r="ER174" s="2">
        <v>4988.2</v>
      </c>
      <c r="ES174" s="2">
        <v>4988.2</v>
      </c>
      <c r="ET174" s="2">
        <v>0</v>
      </c>
      <c r="EU174" s="2">
        <v>0</v>
      </c>
      <c r="EV174" s="2">
        <v>0</v>
      </c>
      <c r="EW174" s="2">
        <v>0</v>
      </c>
      <c r="EX174" s="2">
        <v>0</v>
      </c>
      <c r="EY174" s="2"/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>
        <v>0</v>
      </c>
      <c r="FR174" s="2">
        <v>0</v>
      </c>
      <c r="FS174" s="2">
        <v>0</v>
      </c>
      <c r="FT174" s="2"/>
      <c r="FU174" s="2"/>
      <c r="FV174" s="2"/>
      <c r="FW174" s="2"/>
      <c r="FX174" s="2">
        <v>110</v>
      </c>
      <c r="FY174" s="2">
        <v>69</v>
      </c>
      <c r="FZ174" s="2"/>
      <c r="GA174" s="2" t="s">
        <v>3</v>
      </c>
      <c r="GB174" s="2"/>
      <c r="GC174" s="2"/>
      <c r="GD174" s="2">
        <v>1</v>
      </c>
      <c r="GE174" s="2">
        <v>3778.62</v>
      </c>
      <c r="GF174" s="2">
        <v>-614215973</v>
      </c>
      <c r="GG174" s="2">
        <v>2</v>
      </c>
      <c r="GH174" s="2">
        <v>1</v>
      </c>
      <c r="GI174" s="2">
        <v>-2</v>
      </c>
      <c r="GJ174" s="2">
        <v>0</v>
      </c>
      <c r="GK174" s="2">
        <v>0</v>
      </c>
      <c r="GL174" s="2">
        <f t="shared" si="69"/>
        <v>0</v>
      </c>
      <c r="GM174" s="2">
        <f t="shared" si="70"/>
        <v>330.72</v>
      </c>
      <c r="GN174" s="2">
        <f t="shared" si="71"/>
        <v>330.72</v>
      </c>
      <c r="GO174" s="2">
        <f t="shared" si="72"/>
        <v>0</v>
      </c>
      <c r="GP174" s="2">
        <f t="shared" si="73"/>
        <v>0</v>
      </c>
      <c r="GQ174" s="2"/>
      <c r="GR174" s="2">
        <v>3</v>
      </c>
      <c r="GS174" s="2">
        <v>3</v>
      </c>
      <c r="GT174" s="2">
        <v>0</v>
      </c>
      <c r="GU174" s="2" t="s">
        <v>3</v>
      </c>
      <c r="GV174" s="2">
        <f t="shared" si="74"/>
        <v>0</v>
      </c>
      <c r="GW174" s="2">
        <v>1</v>
      </c>
      <c r="GX174" s="2">
        <f t="shared" si="75"/>
        <v>0</v>
      </c>
      <c r="GY174" s="2"/>
      <c r="GZ174" s="2"/>
      <c r="HA174" s="2">
        <v>0</v>
      </c>
      <c r="HB174" s="2">
        <v>0</v>
      </c>
      <c r="HC174" s="2">
        <f t="shared" si="76"/>
        <v>0</v>
      </c>
      <c r="HD174" s="2"/>
      <c r="HE174" s="2" t="s">
        <v>3</v>
      </c>
      <c r="HF174" s="2" t="s">
        <v>3</v>
      </c>
      <c r="HG174" s="2"/>
      <c r="HH174" s="2"/>
      <c r="HI174" s="2"/>
      <c r="HJ174" s="2"/>
      <c r="HK174" s="2"/>
      <c r="HL174" s="2"/>
      <c r="HM174" s="2" t="s">
        <v>3</v>
      </c>
      <c r="HN174" s="2" t="s">
        <v>344</v>
      </c>
      <c r="HO174" s="2" t="s">
        <v>345</v>
      </c>
      <c r="HP174" s="2" t="s">
        <v>342</v>
      </c>
      <c r="HQ174" s="2" t="s">
        <v>342</v>
      </c>
      <c r="HR174" s="2"/>
      <c r="HS174" s="2">
        <v>0</v>
      </c>
      <c r="HT174" s="2"/>
      <c r="HU174" s="2"/>
      <c r="HV174" s="2"/>
      <c r="HW174" s="2"/>
      <c r="HX174" s="2"/>
      <c r="HY174" s="2"/>
      <c r="HZ174" s="2"/>
      <c r="IA174" s="2"/>
      <c r="IB174" s="2"/>
      <c r="IC174" s="2"/>
      <c r="ID174" s="2"/>
      <c r="IE174" s="2"/>
      <c r="IF174" s="2"/>
      <c r="IG174" s="2"/>
      <c r="IH174" s="2"/>
      <c r="II174" s="2"/>
      <c r="IJ174" s="2"/>
      <c r="IK174" s="2">
        <v>0</v>
      </c>
      <c r="IL174" s="2"/>
      <c r="IM174" s="2"/>
      <c r="IN174" s="2"/>
      <c r="IO174" s="2"/>
      <c r="IP174" s="2"/>
      <c r="IQ174" s="2"/>
      <c r="IR174" s="2"/>
      <c r="IS174" s="2"/>
      <c r="IT174" s="2"/>
      <c r="IU174" s="2"/>
    </row>
    <row r="175" spans="1:255" ht="13.05" customHeight="1" x14ac:dyDescent="0.25">
      <c r="A175" s="2">
        <v>18</v>
      </c>
      <c r="B175" s="2">
        <v>1</v>
      </c>
      <c r="C175" s="2">
        <v>211</v>
      </c>
      <c r="D175" s="2"/>
      <c r="E175" s="2" t="s">
        <v>350</v>
      </c>
      <c r="F175" s="2" t="s">
        <v>351</v>
      </c>
      <c r="G175" s="2" t="s">
        <v>352</v>
      </c>
      <c r="H175" s="2" t="s">
        <v>353</v>
      </c>
      <c r="I175" s="2">
        <f>I173*J175</f>
        <v>0.12</v>
      </c>
      <c r="J175" s="2">
        <v>0.4</v>
      </c>
      <c r="K175" s="2">
        <v>0.4</v>
      </c>
      <c r="L175" s="2"/>
      <c r="M175" s="2"/>
      <c r="N175" s="2"/>
      <c r="O175" s="2">
        <f t="shared" si="56"/>
        <v>2279.02</v>
      </c>
      <c r="P175" s="2">
        <f>ROUND(CQ175*I175,2)</f>
        <v>2279.02</v>
      </c>
      <c r="Q175" s="2">
        <f>ROUND(CR175*I175,2)</f>
        <v>0</v>
      </c>
      <c r="R175" s="2">
        <f>ROUND(CS175*I175,2)</f>
        <v>0</v>
      </c>
      <c r="S175" s="2">
        <f>ROUND(CT175*I175,2)</f>
        <v>0</v>
      </c>
      <c r="T175" s="2">
        <f t="shared" si="57"/>
        <v>0</v>
      </c>
      <c r="U175" s="2">
        <f>ROUND(CV175*I175,7)</f>
        <v>0</v>
      </c>
      <c r="V175" s="2">
        <f>ROUND(CW175*I175,7)</f>
        <v>0</v>
      </c>
      <c r="W175" s="2">
        <f t="shared" si="58"/>
        <v>0</v>
      </c>
      <c r="X175" s="2">
        <f t="shared" si="59"/>
        <v>0</v>
      </c>
      <c r="Y175" s="2">
        <f t="shared" si="60"/>
        <v>0</v>
      </c>
      <c r="Z175" s="2"/>
      <c r="AA175" s="2">
        <v>75604747</v>
      </c>
      <c r="AB175" s="2">
        <f t="shared" si="61"/>
        <v>18991.84</v>
      </c>
      <c r="AC175" s="2">
        <f>ROUND((ES175),6)</f>
        <v>18991.84</v>
      </c>
      <c r="AD175" s="2">
        <f>ROUND((((ET175)-(EU175))+AE175),6)</f>
        <v>0</v>
      </c>
      <c r="AE175" s="2">
        <f>ROUND((EU175),6)</f>
        <v>0</v>
      </c>
      <c r="AF175" s="2">
        <f>ROUND((EV175),6)</f>
        <v>0</v>
      </c>
      <c r="AG175" s="2">
        <f t="shared" si="62"/>
        <v>0</v>
      </c>
      <c r="AH175" s="2">
        <f>(EW175)</f>
        <v>0</v>
      </c>
      <c r="AI175" s="2">
        <f>(EX175)</f>
        <v>0</v>
      </c>
      <c r="AJ175" s="2">
        <f t="shared" si="63"/>
        <v>0</v>
      </c>
      <c r="AK175" s="2">
        <v>18991.84</v>
      </c>
      <c r="AL175" s="2">
        <v>18991.84</v>
      </c>
      <c r="AM175" s="2">
        <v>0</v>
      </c>
      <c r="AN175" s="2">
        <v>0</v>
      </c>
      <c r="AO175" s="2">
        <v>0</v>
      </c>
      <c r="AP175" s="2">
        <v>0</v>
      </c>
      <c r="AQ175" s="2">
        <v>0</v>
      </c>
      <c r="AR175" s="2">
        <v>0</v>
      </c>
      <c r="AS175" s="2">
        <v>0</v>
      </c>
      <c r="AT175" s="2">
        <v>110</v>
      </c>
      <c r="AU175" s="2">
        <v>69</v>
      </c>
      <c r="AV175" s="2">
        <v>1</v>
      </c>
      <c r="AW175" s="2">
        <v>1</v>
      </c>
      <c r="AX175" s="2"/>
      <c r="AY175" s="2"/>
      <c r="AZ175" s="2">
        <v>1</v>
      </c>
      <c r="BA175" s="2">
        <v>1</v>
      </c>
      <c r="BB175" s="2">
        <v>1</v>
      </c>
      <c r="BC175" s="2">
        <v>1</v>
      </c>
      <c r="BD175" s="2" t="s">
        <v>3</v>
      </c>
      <c r="BE175" s="2" t="s">
        <v>3</v>
      </c>
      <c r="BF175" s="2" t="s">
        <v>3</v>
      </c>
      <c r="BG175" s="2" t="s">
        <v>3</v>
      </c>
      <c r="BH175" s="2">
        <v>3</v>
      </c>
      <c r="BI175" s="2">
        <v>1</v>
      </c>
      <c r="BJ175" s="2" t="s">
        <v>354</v>
      </c>
      <c r="BK175" s="2"/>
      <c r="BL175" s="2"/>
      <c r="BM175" s="2">
        <v>8001</v>
      </c>
      <c r="BN175" s="2">
        <v>0</v>
      </c>
      <c r="BO175" s="2" t="s">
        <v>3</v>
      </c>
      <c r="BP175" s="2">
        <v>0</v>
      </c>
      <c r="BQ175" s="2">
        <v>2</v>
      </c>
      <c r="BR175" s="2">
        <v>0</v>
      </c>
      <c r="BS175" s="2">
        <v>1</v>
      </c>
      <c r="BT175" s="2">
        <v>1</v>
      </c>
      <c r="BU175" s="2">
        <v>1</v>
      </c>
      <c r="BV175" s="2">
        <v>1</v>
      </c>
      <c r="BW175" s="2">
        <v>1</v>
      </c>
      <c r="BX175" s="2">
        <v>1</v>
      </c>
      <c r="BY175" s="2" t="s">
        <v>3</v>
      </c>
      <c r="BZ175" s="2">
        <v>110</v>
      </c>
      <c r="CA175" s="2">
        <v>69</v>
      </c>
      <c r="CB175" s="2" t="s">
        <v>3</v>
      </c>
      <c r="CC175" s="2"/>
      <c r="CD175" s="2"/>
      <c r="CE175" s="2">
        <v>0</v>
      </c>
      <c r="CF175" s="2">
        <v>0</v>
      </c>
      <c r="CG175" s="2">
        <v>0</v>
      </c>
      <c r="CH175" s="2"/>
      <c r="CI175" s="2"/>
      <c r="CJ175" s="2"/>
      <c r="CK175" s="2"/>
      <c r="CL175" s="2"/>
      <c r="CM175" s="2">
        <v>0</v>
      </c>
      <c r="CN175" s="2" t="s">
        <v>3</v>
      </c>
      <c r="CO175" s="2">
        <v>0</v>
      </c>
      <c r="CP175" s="2">
        <f t="shared" si="64"/>
        <v>2279.02</v>
      </c>
      <c r="CQ175" s="2">
        <f>ROUND(AL175*BC175,2)</f>
        <v>18991.84</v>
      </c>
      <c r="CR175" s="2">
        <f>ROUND(AM175*BB175,2)</f>
        <v>0</v>
      </c>
      <c r="CS175" s="2">
        <f>ROUND(AN175*BS175,2)</f>
        <v>0</v>
      </c>
      <c r="CT175" s="2">
        <f>ROUND(AO175*BA175,2)</f>
        <v>0</v>
      </c>
      <c r="CU175" s="2">
        <f t="shared" si="65"/>
        <v>0</v>
      </c>
      <c r="CV175" s="2">
        <f>AH175</f>
        <v>0</v>
      </c>
      <c r="CW175" s="2">
        <f>AI175</f>
        <v>0</v>
      </c>
      <c r="CX175" s="2">
        <f t="shared" si="66"/>
        <v>0</v>
      </c>
      <c r="CY175" s="2">
        <f t="shared" si="67"/>
        <v>0</v>
      </c>
      <c r="CZ175" s="2">
        <f t="shared" si="68"/>
        <v>0</v>
      </c>
      <c r="DA175" s="2"/>
      <c r="DB175" s="2"/>
      <c r="DC175" s="2" t="s">
        <v>3</v>
      </c>
      <c r="DD175" s="2" t="s">
        <v>3</v>
      </c>
      <c r="DE175" s="2" t="s">
        <v>3</v>
      </c>
      <c r="DF175" s="2" t="s">
        <v>3</v>
      </c>
      <c r="DG175" s="2" t="s">
        <v>3</v>
      </c>
      <c r="DH175" s="2" t="s">
        <v>3</v>
      </c>
      <c r="DI175" s="2" t="s">
        <v>3</v>
      </c>
      <c r="DJ175" s="2" t="s">
        <v>3</v>
      </c>
      <c r="DK175" s="2" t="s">
        <v>3</v>
      </c>
      <c r="DL175" s="2" t="s">
        <v>3</v>
      </c>
      <c r="DM175" s="2" t="s">
        <v>3</v>
      </c>
      <c r="DN175" s="2">
        <v>0</v>
      </c>
      <c r="DO175" s="2">
        <v>0</v>
      </c>
      <c r="DP175" s="2">
        <v>1</v>
      </c>
      <c r="DQ175" s="2">
        <v>1</v>
      </c>
      <c r="DR175" s="2"/>
      <c r="DS175" s="2"/>
      <c r="DT175" s="2"/>
      <c r="DU175" s="2">
        <v>1013</v>
      </c>
      <c r="DV175" s="2" t="s">
        <v>353</v>
      </c>
      <c r="DW175" s="2" t="s">
        <v>353</v>
      </c>
      <c r="DX175" s="2">
        <v>1000</v>
      </c>
      <c r="DY175" s="2"/>
      <c r="DZ175" s="2" t="s">
        <v>3</v>
      </c>
      <c r="EA175" s="2" t="s">
        <v>3</v>
      </c>
      <c r="EB175" s="2" t="s">
        <v>3</v>
      </c>
      <c r="EC175" s="2" t="s">
        <v>3</v>
      </c>
      <c r="ED175" s="2"/>
      <c r="EE175" s="2">
        <v>74004196</v>
      </c>
      <c r="EF175" s="2">
        <v>2</v>
      </c>
      <c r="EG175" s="2" t="s">
        <v>29</v>
      </c>
      <c r="EH175" s="2">
        <v>8</v>
      </c>
      <c r="EI175" s="2" t="s">
        <v>342</v>
      </c>
      <c r="EJ175" s="2">
        <v>1</v>
      </c>
      <c r="EK175" s="2">
        <v>8001</v>
      </c>
      <c r="EL175" s="2" t="s">
        <v>342</v>
      </c>
      <c r="EM175" s="2" t="s">
        <v>343</v>
      </c>
      <c r="EN175" s="2"/>
      <c r="EO175" s="2" t="s">
        <v>3</v>
      </c>
      <c r="EP175" s="2"/>
      <c r="EQ175" s="2">
        <v>262144</v>
      </c>
      <c r="ER175" s="2">
        <v>18991.84</v>
      </c>
      <c r="ES175" s="2">
        <v>18991.84</v>
      </c>
      <c r="ET175" s="2">
        <v>0</v>
      </c>
      <c r="EU175" s="2">
        <v>0</v>
      </c>
      <c r="EV175" s="2">
        <v>0</v>
      </c>
      <c r="EW175" s="2">
        <v>0</v>
      </c>
      <c r="EX175" s="2">
        <v>0</v>
      </c>
      <c r="EY175" s="2"/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>
        <v>0</v>
      </c>
      <c r="FR175" s="2">
        <v>0</v>
      </c>
      <c r="FS175" s="2">
        <v>0</v>
      </c>
      <c r="FT175" s="2"/>
      <c r="FU175" s="2"/>
      <c r="FV175" s="2"/>
      <c r="FW175" s="2"/>
      <c r="FX175" s="2">
        <v>110</v>
      </c>
      <c r="FY175" s="2">
        <v>69</v>
      </c>
      <c r="FZ175" s="2"/>
      <c r="GA175" s="2" t="s">
        <v>3</v>
      </c>
      <c r="GB175" s="2"/>
      <c r="GC175" s="2"/>
      <c r="GD175" s="2">
        <v>1</v>
      </c>
      <c r="GE175" s="2">
        <v>17018.560000000001</v>
      </c>
      <c r="GF175" s="2">
        <v>-826401075</v>
      </c>
      <c r="GG175" s="2">
        <v>2</v>
      </c>
      <c r="GH175" s="2">
        <v>1</v>
      </c>
      <c r="GI175" s="2">
        <v>-2</v>
      </c>
      <c r="GJ175" s="2">
        <v>0</v>
      </c>
      <c r="GK175" s="2">
        <v>0</v>
      </c>
      <c r="GL175" s="2">
        <f t="shared" si="69"/>
        <v>0</v>
      </c>
      <c r="GM175" s="2">
        <f t="shared" si="70"/>
        <v>2279.02</v>
      </c>
      <c r="GN175" s="2">
        <f t="shared" si="71"/>
        <v>2279.02</v>
      </c>
      <c r="GO175" s="2">
        <f t="shared" si="72"/>
        <v>0</v>
      </c>
      <c r="GP175" s="2">
        <f t="shared" si="73"/>
        <v>0</v>
      </c>
      <c r="GQ175" s="2"/>
      <c r="GR175" s="2">
        <v>3</v>
      </c>
      <c r="GS175" s="2">
        <v>3</v>
      </c>
      <c r="GT175" s="2">
        <v>0</v>
      </c>
      <c r="GU175" s="2" t="s">
        <v>3</v>
      </c>
      <c r="GV175" s="2">
        <f t="shared" si="74"/>
        <v>0</v>
      </c>
      <c r="GW175" s="2">
        <v>1</v>
      </c>
      <c r="GX175" s="2">
        <f t="shared" si="75"/>
        <v>0</v>
      </c>
      <c r="GY175" s="2"/>
      <c r="GZ175" s="2"/>
      <c r="HA175" s="2">
        <v>0</v>
      </c>
      <c r="HB175" s="2">
        <v>0</v>
      </c>
      <c r="HC175" s="2">
        <f t="shared" si="76"/>
        <v>0</v>
      </c>
      <c r="HD175" s="2"/>
      <c r="HE175" s="2" t="s">
        <v>3</v>
      </c>
      <c r="HF175" s="2" t="s">
        <v>3</v>
      </c>
      <c r="HG175" s="2"/>
      <c r="HH175" s="2"/>
      <c r="HI175" s="2"/>
      <c r="HJ175" s="2"/>
      <c r="HK175" s="2"/>
      <c r="HL175" s="2"/>
      <c r="HM175" s="2" t="s">
        <v>3</v>
      </c>
      <c r="HN175" s="2" t="s">
        <v>344</v>
      </c>
      <c r="HO175" s="2" t="s">
        <v>345</v>
      </c>
      <c r="HP175" s="2" t="s">
        <v>342</v>
      </c>
      <c r="HQ175" s="2" t="s">
        <v>342</v>
      </c>
      <c r="HR175" s="2"/>
      <c r="HS175" s="2">
        <v>0</v>
      </c>
      <c r="HT175" s="2"/>
      <c r="HU175" s="2"/>
      <c r="HV175" s="2"/>
      <c r="HW175" s="2"/>
      <c r="HX175" s="2"/>
      <c r="HY175" s="2"/>
      <c r="HZ175" s="2"/>
      <c r="IA175" s="2"/>
      <c r="IB175" s="2"/>
      <c r="IC175" s="2"/>
      <c r="ID175" s="2"/>
      <c r="IE175" s="2"/>
      <c r="IF175" s="2"/>
      <c r="IG175" s="2"/>
      <c r="IH175" s="2"/>
      <c r="II175" s="2"/>
      <c r="IJ175" s="2"/>
      <c r="IK175" s="2">
        <v>0</v>
      </c>
      <c r="IL175" s="2"/>
      <c r="IM175" s="2"/>
      <c r="IN175" s="2"/>
      <c r="IO175" s="2"/>
      <c r="IP175" s="2"/>
      <c r="IQ175" s="2"/>
      <c r="IR175" s="2"/>
      <c r="IS175" s="2"/>
      <c r="IT175" s="2"/>
      <c r="IU175" s="2"/>
    </row>
    <row r="176" spans="1:255" ht="13.05" customHeight="1" x14ac:dyDescent="0.25">
      <c r="A176" s="2">
        <v>17</v>
      </c>
      <c r="B176" s="2">
        <v>1</v>
      </c>
      <c r="C176" s="2">
        <f>ROW(SmtRes!A233)</f>
        <v>233</v>
      </c>
      <c r="D176" s="2">
        <f>ROW(EtalonRes!A243)</f>
        <v>243</v>
      </c>
      <c r="E176" s="2" t="s">
        <v>355</v>
      </c>
      <c r="F176" s="2" t="s">
        <v>356</v>
      </c>
      <c r="G176" s="2" t="s">
        <v>357</v>
      </c>
      <c r="H176" s="2" t="s">
        <v>174</v>
      </c>
      <c r="I176" s="2">
        <v>0.05</v>
      </c>
      <c r="J176" s="2">
        <v>0</v>
      </c>
      <c r="K176" s="2">
        <v>0.05</v>
      </c>
      <c r="L176" s="2"/>
      <c r="M176" s="2"/>
      <c r="N176" s="2"/>
      <c r="O176" s="2">
        <f t="shared" si="56"/>
        <v>991.68</v>
      </c>
      <c r="P176" s="2">
        <f>SUMIF(SmtRes!AQ213:'SmtRes'!AQ233,"=1",SmtRes!DF213:'SmtRes'!DF233)</f>
        <v>71.160000000000011</v>
      </c>
      <c r="Q176" s="2">
        <f>SUMIF(SmtRes!AQ213:'SmtRes'!AQ233,"=1",SmtRes!DG213:'SmtRes'!DG233)</f>
        <v>37.379999999999995</v>
      </c>
      <c r="R176" s="2">
        <f>SUMIF(SmtRes!AQ213:'SmtRes'!AQ233,"=1",SmtRes!DH213:'SmtRes'!DH233)</f>
        <v>7.43</v>
      </c>
      <c r="S176" s="2">
        <f>SUMIF(SmtRes!AQ213:'SmtRes'!AQ233,"=1",SmtRes!DI213:'SmtRes'!DI233)</f>
        <v>875.71</v>
      </c>
      <c r="T176" s="2">
        <f t="shared" si="57"/>
        <v>0</v>
      </c>
      <c r="U176" s="2">
        <f>SUMIF(SmtRes!AQ213:'SmtRes'!AQ233,"=1",SmtRes!CV213:'SmtRes'!CV233)</f>
        <v>2.6795</v>
      </c>
      <c r="V176" s="2">
        <f>SUMIF(SmtRes!AQ213:'SmtRes'!AQ233,"=1",SmtRes!CW213:'SmtRes'!CW233)</f>
        <v>1.7825000000000001E-2</v>
      </c>
      <c r="W176" s="2">
        <f t="shared" si="58"/>
        <v>0</v>
      </c>
      <c r="X176" s="2">
        <f t="shared" si="59"/>
        <v>821.32</v>
      </c>
      <c r="Y176" s="2">
        <f t="shared" si="60"/>
        <v>547.54999999999995</v>
      </c>
      <c r="Z176" s="2"/>
      <c r="AA176" s="2">
        <v>75604747</v>
      </c>
      <c r="AB176" s="2">
        <f t="shared" si="61"/>
        <v>19540.647002999998</v>
      </c>
      <c r="AC176" s="2">
        <f>ROUND((SUM(SmtRes!BQ213:'SmtRes'!BQ233)),6)</f>
        <v>1353.721648</v>
      </c>
      <c r="AD176" s="2">
        <f>ROUND((((SUM(SmtRes!BR213:'SmtRes'!BR233))-(SUM(SmtRes!BS213:'SmtRes'!BS233)))+AE176),6)</f>
        <v>672.64155500000004</v>
      </c>
      <c r="AE176" s="2">
        <f>ROUND((SUM(SmtRes!BS213:'SmtRes'!BS233)),6)</f>
        <v>148.63266999999999</v>
      </c>
      <c r="AF176" s="2">
        <f>ROUND((SUM(SmtRes!BT213:'SmtRes'!BT233)),6)</f>
        <v>17514.283800000001</v>
      </c>
      <c r="AG176" s="2">
        <f t="shared" si="62"/>
        <v>0</v>
      </c>
      <c r="AH176" s="2">
        <f>(SUM(SmtRes!BU213:'SmtRes'!BU233))</f>
        <v>53.589999999999996</v>
      </c>
      <c r="AI176" s="2">
        <f>(SUM(SmtRes!BV213:'SmtRes'!BV233))</f>
        <v>0.35649999999999993</v>
      </c>
      <c r="AJ176" s="2">
        <f t="shared" si="63"/>
        <v>0</v>
      </c>
      <c r="AK176" s="2">
        <v>17297.6851475</v>
      </c>
      <c r="AL176" s="2">
        <v>1353.7216475</v>
      </c>
      <c r="AM176" s="2">
        <v>584.90570000000002</v>
      </c>
      <c r="AN176" s="2">
        <v>129.2458</v>
      </c>
      <c r="AO176" s="2">
        <v>15229.812</v>
      </c>
      <c r="AP176" s="2">
        <v>0</v>
      </c>
      <c r="AQ176" s="2">
        <v>46.6</v>
      </c>
      <c r="AR176" s="2">
        <v>0.31</v>
      </c>
      <c r="AS176" s="2">
        <v>0</v>
      </c>
      <c r="AT176" s="2">
        <v>93</v>
      </c>
      <c r="AU176" s="2">
        <v>62</v>
      </c>
      <c r="AV176" s="2">
        <v>1</v>
      </c>
      <c r="AW176" s="2">
        <v>1</v>
      </c>
      <c r="AX176" s="2"/>
      <c r="AY176" s="2"/>
      <c r="AZ176" s="2">
        <v>1</v>
      </c>
      <c r="BA176" s="2">
        <v>1</v>
      </c>
      <c r="BB176" s="2">
        <v>1</v>
      </c>
      <c r="BC176" s="2">
        <v>1</v>
      </c>
      <c r="BD176" s="2" t="s">
        <v>3</v>
      </c>
      <c r="BE176" s="2" t="s">
        <v>3</v>
      </c>
      <c r="BF176" s="2" t="s">
        <v>3</v>
      </c>
      <c r="BG176" s="2" t="s">
        <v>3</v>
      </c>
      <c r="BH176" s="2">
        <v>0</v>
      </c>
      <c r="BI176" s="2">
        <v>1</v>
      </c>
      <c r="BJ176" s="2" t="s">
        <v>358</v>
      </c>
      <c r="BK176" s="2"/>
      <c r="BL176" s="2"/>
      <c r="BM176" s="2">
        <v>9001</v>
      </c>
      <c r="BN176" s="2">
        <v>0</v>
      </c>
      <c r="BO176" s="2" t="s">
        <v>3</v>
      </c>
      <c r="BP176" s="2">
        <v>0</v>
      </c>
      <c r="BQ176" s="2">
        <v>2</v>
      </c>
      <c r="BR176" s="2">
        <v>0</v>
      </c>
      <c r="BS176" s="2">
        <v>1</v>
      </c>
      <c r="BT176" s="2">
        <v>1</v>
      </c>
      <c r="BU176" s="2">
        <v>1</v>
      </c>
      <c r="BV176" s="2">
        <v>1</v>
      </c>
      <c r="BW176" s="2">
        <v>1</v>
      </c>
      <c r="BX176" s="2">
        <v>1</v>
      </c>
      <c r="BY176" s="2" t="s">
        <v>3</v>
      </c>
      <c r="BZ176" s="2">
        <v>93</v>
      </c>
      <c r="CA176" s="2">
        <v>62</v>
      </c>
      <c r="CB176" s="2" t="s">
        <v>3</v>
      </c>
      <c r="CC176" s="2"/>
      <c r="CD176" s="2"/>
      <c r="CE176" s="2">
        <v>0</v>
      </c>
      <c r="CF176" s="2">
        <v>0</v>
      </c>
      <c r="CG176" s="2">
        <v>0</v>
      </c>
      <c r="CH176" s="2"/>
      <c r="CI176" s="2"/>
      <c r="CJ176" s="2"/>
      <c r="CK176" s="2"/>
      <c r="CL176" s="2"/>
      <c r="CM176" s="2">
        <v>0</v>
      </c>
      <c r="CN176" s="7" t="s">
        <v>802</v>
      </c>
      <c r="CO176" s="2">
        <v>0</v>
      </c>
      <c r="CP176" s="2">
        <f t="shared" si="64"/>
        <v>991.68</v>
      </c>
      <c r="CQ176" s="2">
        <f>SUMIF(SmtRes!AQ213:'SmtRes'!AQ233,"=1",SmtRes!AA213:'SmtRes'!AA233)</f>
        <v>867278.41</v>
      </c>
      <c r="CR176" s="2">
        <f>SUMIF(SmtRes!AQ213:'SmtRes'!AQ233,"=1",SmtRes!AB213:'SmtRes'!AB233)</f>
        <v>2266.54</v>
      </c>
      <c r="CS176" s="2">
        <f>SUMIF(SmtRes!AQ213:'SmtRes'!AQ233,"=1",SmtRes!AC213:'SmtRes'!AC233)</f>
        <v>862.37</v>
      </c>
      <c r="CT176" s="2">
        <f>SUMIF(SmtRes!AQ213:'SmtRes'!AQ233,"=1",SmtRes!AD213:'SmtRes'!AD233)</f>
        <v>326.82</v>
      </c>
      <c r="CU176" s="2">
        <f t="shared" si="65"/>
        <v>0</v>
      </c>
      <c r="CV176" s="2">
        <f>SUMIF(SmtRes!AQ213:'SmtRes'!AQ233,"=1",SmtRes!BU213:'SmtRes'!BU233)</f>
        <v>53.589999999999996</v>
      </c>
      <c r="CW176" s="2">
        <f>SUMIF(SmtRes!AQ213:'SmtRes'!AQ233,"=1",SmtRes!BV213:'SmtRes'!BV233)</f>
        <v>0.35649999999999993</v>
      </c>
      <c r="CX176" s="2">
        <f t="shared" si="66"/>
        <v>0</v>
      </c>
      <c r="CY176" s="2">
        <f t="shared" si="67"/>
        <v>821.3202</v>
      </c>
      <c r="CZ176" s="2">
        <f t="shared" si="68"/>
        <v>547.54679999999996</v>
      </c>
      <c r="DA176" s="2"/>
      <c r="DB176" s="2">
        <v>34</v>
      </c>
      <c r="DC176" s="2" t="s">
        <v>3</v>
      </c>
      <c r="DD176" s="2" t="s">
        <v>3</v>
      </c>
      <c r="DE176" s="2" t="s">
        <v>27</v>
      </c>
      <c r="DF176" s="2" t="s">
        <v>27</v>
      </c>
      <c r="DG176" s="2" t="s">
        <v>27</v>
      </c>
      <c r="DH176" s="2" t="s">
        <v>3</v>
      </c>
      <c r="DI176" s="2" t="s">
        <v>27</v>
      </c>
      <c r="DJ176" s="2" t="s">
        <v>27</v>
      </c>
      <c r="DK176" s="2" t="s">
        <v>3</v>
      </c>
      <c r="DL176" s="2" t="s">
        <v>3</v>
      </c>
      <c r="DM176" s="2" t="s">
        <v>3</v>
      </c>
      <c r="DN176" s="2">
        <v>0</v>
      </c>
      <c r="DO176" s="2">
        <v>0</v>
      </c>
      <c r="DP176" s="2">
        <v>1</v>
      </c>
      <c r="DQ176" s="2">
        <v>1</v>
      </c>
      <c r="DR176" s="2"/>
      <c r="DS176" s="2"/>
      <c r="DT176" s="2"/>
      <c r="DU176" s="2">
        <v>1009</v>
      </c>
      <c r="DV176" s="2" t="s">
        <v>174</v>
      </c>
      <c r="DW176" s="2" t="s">
        <v>174</v>
      </c>
      <c r="DX176" s="2">
        <v>1000</v>
      </c>
      <c r="DY176" s="2"/>
      <c r="DZ176" s="2" t="s">
        <v>3</v>
      </c>
      <c r="EA176" s="2" t="s">
        <v>3</v>
      </c>
      <c r="EB176" s="2" t="s">
        <v>3</v>
      </c>
      <c r="EC176" s="2" t="s">
        <v>3</v>
      </c>
      <c r="ED176" s="2"/>
      <c r="EE176" s="2">
        <v>74004197</v>
      </c>
      <c r="EF176" s="2">
        <v>2</v>
      </c>
      <c r="EG176" s="2" t="s">
        <v>29</v>
      </c>
      <c r="EH176" s="2">
        <v>9</v>
      </c>
      <c r="EI176" s="2" t="s">
        <v>255</v>
      </c>
      <c r="EJ176" s="2">
        <v>1</v>
      </c>
      <c r="EK176" s="2">
        <v>9001</v>
      </c>
      <c r="EL176" s="2" t="s">
        <v>255</v>
      </c>
      <c r="EM176" s="2" t="s">
        <v>256</v>
      </c>
      <c r="EN176" s="2"/>
      <c r="EO176" s="2" t="s">
        <v>39</v>
      </c>
      <c r="EP176" s="2"/>
      <c r="EQ176" s="2">
        <v>262144</v>
      </c>
      <c r="ER176" s="2">
        <v>0</v>
      </c>
      <c r="ES176" s="2">
        <v>0</v>
      </c>
      <c r="ET176" s="2">
        <v>0</v>
      </c>
      <c r="EU176" s="2">
        <v>0</v>
      </c>
      <c r="EV176" s="2">
        <v>0</v>
      </c>
      <c r="EW176" s="2">
        <v>46.6</v>
      </c>
      <c r="EX176" s="2">
        <v>0.31</v>
      </c>
      <c r="EY176" s="2">
        <v>0</v>
      </c>
      <c r="EZ176" s="2"/>
      <c r="FA176" s="2"/>
      <c r="FB176" s="2"/>
      <c r="FC176" s="2"/>
      <c r="FD176" s="2"/>
      <c r="FE176" s="2"/>
      <c r="FF176" s="2"/>
      <c r="FG176" s="2"/>
      <c r="FH176" s="2"/>
      <c r="FI176" s="2"/>
      <c r="FJ176" s="2"/>
      <c r="FK176" s="2"/>
      <c r="FL176" s="2"/>
      <c r="FM176" s="2"/>
      <c r="FN176" s="2"/>
      <c r="FO176" s="2"/>
      <c r="FP176" s="2"/>
      <c r="FQ176" s="2">
        <v>0</v>
      </c>
      <c r="FR176" s="2">
        <v>0</v>
      </c>
      <c r="FS176" s="2">
        <v>0</v>
      </c>
      <c r="FT176" s="2"/>
      <c r="FU176" s="2"/>
      <c r="FV176" s="2"/>
      <c r="FW176" s="2"/>
      <c r="FX176" s="2">
        <v>93</v>
      </c>
      <c r="FY176" s="2">
        <v>62</v>
      </c>
      <c r="FZ176" s="2"/>
      <c r="GA176" s="2" t="s">
        <v>3</v>
      </c>
      <c r="GB176" s="2"/>
      <c r="GC176" s="2"/>
      <c r="GD176" s="2">
        <v>1</v>
      </c>
      <c r="GE176" s="2"/>
      <c r="GF176" s="2">
        <v>2057966838</v>
      </c>
      <c r="GG176" s="2">
        <v>2</v>
      </c>
      <c r="GH176" s="2">
        <v>1</v>
      </c>
      <c r="GI176" s="2">
        <v>-2</v>
      </c>
      <c r="GJ176" s="2">
        <v>0</v>
      </c>
      <c r="GK176" s="2">
        <v>0</v>
      </c>
      <c r="GL176" s="2">
        <f t="shared" si="69"/>
        <v>0</v>
      </c>
      <c r="GM176" s="2">
        <f t="shared" si="70"/>
        <v>2360.5500000000002</v>
      </c>
      <c r="GN176" s="2">
        <f t="shared" si="71"/>
        <v>2360.5500000000002</v>
      </c>
      <c r="GO176" s="2">
        <f t="shared" si="72"/>
        <v>0</v>
      </c>
      <c r="GP176" s="2">
        <f t="shared" si="73"/>
        <v>0</v>
      </c>
      <c r="GQ176" s="2"/>
      <c r="GR176" s="2">
        <v>0</v>
      </c>
      <c r="GS176" s="2">
        <v>3</v>
      </c>
      <c r="GT176" s="2">
        <v>0</v>
      </c>
      <c r="GU176" s="2" t="s">
        <v>3</v>
      </c>
      <c r="GV176" s="2">
        <f t="shared" si="74"/>
        <v>0</v>
      </c>
      <c r="GW176" s="2">
        <v>1</v>
      </c>
      <c r="GX176" s="2">
        <f t="shared" si="75"/>
        <v>0</v>
      </c>
      <c r="GY176" s="2"/>
      <c r="GZ176" s="2"/>
      <c r="HA176" s="2">
        <v>0</v>
      </c>
      <c r="HB176" s="2">
        <v>0</v>
      </c>
      <c r="HC176" s="2">
        <f t="shared" si="76"/>
        <v>0</v>
      </c>
      <c r="HD176" s="2"/>
      <c r="HE176" s="2" t="s">
        <v>3</v>
      </c>
      <c r="HF176" s="2" t="s">
        <v>3</v>
      </c>
      <c r="HG176" s="2"/>
      <c r="HH176" s="2"/>
      <c r="HI176" s="2"/>
      <c r="HJ176" s="2"/>
      <c r="HK176" s="2"/>
      <c r="HL176" s="2"/>
      <c r="HM176" s="2" t="s">
        <v>3</v>
      </c>
      <c r="HN176" s="2" t="s">
        <v>257</v>
      </c>
      <c r="HO176" s="2" t="s">
        <v>258</v>
      </c>
      <c r="HP176" s="2" t="s">
        <v>255</v>
      </c>
      <c r="HQ176" s="2" t="s">
        <v>255</v>
      </c>
      <c r="HR176" s="2"/>
      <c r="HS176" s="2">
        <v>0</v>
      </c>
      <c r="HT176" s="2"/>
      <c r="HU176" s="2"/>
      <c r="HV176" s="2"/>
      <c r="HW176" s="2"/>
      <c r="HX176" s="2"/>
      <c r="HY176" s="2"/>
      <c r="HZ176" s="2"/>
      <c r="IA176" s="2"/>
      <c r="IB176" s="2"/>
      <c r="IC176" s="2"/>
      <c r="ID176" s="2"/>
      <c r="IE176" s="2"/>
      <c r="IF176" s="2"/>
      <c r="IG176" s="2"/>
      <c r="IH176" s="2"/>
      <c r="II176" s="2"/>
      <c r="IJ176" s="2"/>
      <c r="IK176" s="2">
        <v>0</v>
      </c>
      <c r="IL176" s="2"/>
      <c r="IM176" s="2"/>
      <c r="IN176" s="2"/>
      <c r="IO176" s="2"/>
      <c r="IP176" s="2"/>
      <c r="IQ176" s="2"/>
      <c r="IR176" s="2"/>
      <c r="IS176" s="2"/>
      <c r="IT176" s="2"/>
      <c r="IU176" s="2"/>
    </row>
    <row r="177" spans="1:255" ht="13.05" customHeight="1" x14ac:dyDescent="0.25">
      <c r="A177" s="2">
        <v>18</v>
      </c>
      <c r="B177" s="2">
        <v>1</v>
      </c>
      <c r="C177" s="2">
        <v>230</v>
      </c>
      <c r="D177" s="2"/>
      <c r="E177" s="2" t="s">
        <v>359</v>
      </c>
      <c r="F177" s="2" t="s">
        <v>360</v>
      </c>
      <c r="G177" s="2" t="s">
        <v>361</v>
      </c>
      <c r="H177" s="2" t="s">
        <v>174</v>
      </c>
      <c r="I177" s="2">
        <f>I176*J177</f>
        <v>1.2200000000000001E-2</v>
      </c>
      <c r="J177" s="2">
        <v>0.24399999999999999</v>
      </c>
      <c r="K177" s="2">
        <v>0.24399999999999999</v>
      </c>
      <c r="L177" s="2"/>
      <c r="M177" s="2"/>
      <c r="N177" s="2"/>
      <c r="O177" s="2">
        <f t="shared" si="56"/>
        <v>515.4</v>
      </c>
      <c r="P177" s="2">
        <f>ROUND(CQ177*I177,2)</f>
        <v>515.4</v>
      </c>
      <c r="Q177" s="2">
        <f>ROUND(CR177*I177,2)</f>
        <v>0</v>
      </c>
      <c r="R177" s="2">
        <f>ROUND(CS177*I177,2)</f>
        <v>0</v>
      </c>
      <c r="S177" s="2">
        <f>ROUND(CT177*I177,2)</f>
        <v>0</v>
      </c>
      <c r="T177" s="2">
        <f t="shared" si="57"/>
        <v>0</v>
      </c>
      <c r="U177" s="2">
        <f>ROUND(CV177*I177,7)</f>
        <v>0</v>
      </c>
      <c r="V177" s="2">
        <f>ROUND(CW177*I177,7)</f>
        <v>0</v>
      </c>
      <c r="W177" s="2">
        <f t="shared" si="58"/>
        <v>0</v>
      </c>
      <c r="X177" s="2">
        <f t="shared" si="59"/>
        <v>0</v>
      </c>
      <c r="Y177" s="2">
        <f t="shared" si="60"/>
        <v>0</v>
      </c>
      <c r="Z177" s="2"/>
      <c r="AA177" s="2">
        <v>75604747</v>
      </c>
      <c r="AB177" s="2">
        <f t="shared" si="61"/>
        <v>42246.27</v>
      </c>
      <c r="AC177" s="2">
        <f>ROUND((ES177),6)</f>
        <v>42246.27</v>
      </c>
      <c r="AD177" s="2">
        <f>ROUND((((ET177)-(EU177))+AE177),6)</f>
        <v>0</v>
      </c>
      <c r="AE177" s="2">
        <f>ROUND((EU177),6)</f>
        <v>0</v>
      </c>
      <c r="AF177" s="2">
        <f>ROUND((EV177),6)</f>
        <v>0</v>
      </c>
      <c r="AG177" s="2">
        <f t="shared" si="62"/>
        <v>0</v>
      </c>
      <c r="AH177" s="2">
        <f>(EW177)</f>
        <v>0</v>
      </c>
      <c r="AI177" s="2">
        <f>(EX177)</f>
        <v>0</v>
      </c>
      <c r="AJ177" s="2">
        <f t="shared" si="63"/>
        <v>0</v>
      </c>
      <c r="AK177" s="2">
        <v>42246.27</v>
      </c>
      <c r="AL177" s="2">
        <v>42246.27</v>
      </c>
      <c r="AM177" s="2">
        <v>0</v>
      </c>
      <c r="AN177" s="2">
        <v>0</v>
      </c>
      <c r="AO177" s="2">
        <v>0</v>
      </c>
      <c r="AP177" s="2">
        <v>0</v>
      </c>
      <c r="AQ177" s="2">
        <v>0</v>
      </c>
      <c r="AR177" s="2">
        <v>0</v>
      </c>
      <c r="AS177" s="2">
        <v>0</v>
      </c>
      <c r="AT177" s="2">
        <v>93</v>
      </c>
      <c r="AU177" s="2">
        <v>62</v>
      </c>
      <c r="AV177" s="2">
        <v>1</v>
      </c>
      <c r="AW177" s="2">
        <v>1</v>
      </c>
      <c r="AX177" s="2"/>
      <c r="AY177" s="2"/>
      <c r="AZ177" s="2">
        <v>1</v>
      </c>
      <c r="BA177" s="2">
        <v>1</v>
      </c>
      <c r="BB177" s="2">
        <v>1</v>
      </c>
      <c r="BC177" s="2">
        <v>1</v>
      </c>
      <c r="BD177" s="2" t="s">
        <v>3</v>
      </c>
      <c r="BE177" s="2" t="s">
        <v>3</v>
      </c>
      <c r="BF177" s="2" t="s">
        <v>3</v>
      </c>
      <c r="BG177" s="2" t="s">
        <v>3</v>
      </c>
      <c r="BH177" s="2">
        <v>3</v>
      </c>
      <c r="BI177" s="2">
        <v>1</v>
      </c>
      <c r="BJ177" s="2" t="s">
        <v>362</v>
      </c>
      <c r="BK177" s="2"/>
      <c r="BL177" s="2"/>
      <c r="BM177" s="2">
        <v>9001</v>
      </c>
      <c r="BN177" s="2">
        <v>0</v>
      </c>
      <c r="BO177" s="2" t="s">
        <v>3</v>
      </c>
      <c r="BP177" s="2">
        <v>0</v>
      </c>
      <c r="BQ177" s="2">
        <v>2</v>
      </c>
      <c r="BR177" s="2">
        <v>0</v>
      </c>
      <c r="BS177" s="2">
        <v>1</v>
      </c>
      <c r="BT177" s="2">
        <v>1</v>
      </c>
      <c r="BU177" s="2">
        <v>1</v>
      </c>
      <c r="BV177" s="2">
        <v>1</v>
      </c>
      <c r="BW177" s="2">
        <v>1</v>
      </c>
      <c r="BX177" s="2">
        <v>1</v>
      </c>
      <c r="BY177" s="2" t="s">
        <v>3</v>
      </c>
      <c r="BZ177" s="2">
        <v>93</v>
      </c>
      <c r="CA177" s="2">
        <v>62</v>
      </c>
      <c r="CB177" s="2" t="s">
        <v>3</v>
      </c>
      <c r="CC177" s="2"/>
      <c r="CD177" s="2"/>
      <c r="CE177" s="2">
        <v>0</v>
      </c>
      <c r="CF177" s="2">
        <v>0</v>
      </c>
      <c r="CG177" s="2">
        <v>0</v>
      </c>
      <c r="CH177" s="2"/>
      <c r="CI177" s="2"/>
      <c r="CJ177" s="2"/>
      <c r="CK177" s="2"/>
      <c r="CL177" s="2"/>
      <c r="CM177" s="2">
        <v>0</v>
      </c>
      <c r="CN177" s="2" t="s">
        <v>3</v>
      </c>
      <c r="CO177" s="2">
        <v>0</v>
      </c>
      <c r="CP177" s="2">
        <f t="shared" si="64"/>
        <v>515.4</v>
      </c>
      <c r="CQ177" s="2">
        <f>ROUND(AL177*BC177,2)</f>
        <v>42246.27</v>
      </c>
      <c r="CR177" s="2">
        <f>ROUND(AM177*BB177,2)</f>
        <v>0</v>
      </c>
      <c r="CS177" s="2">
        <f>ROUND(AN177*BS177,2)</f>
        <v>0</v>
      </c>
      <c r="CT177" s="2">
        <f>ROUND(AO177*BA177,2)</f>
        <v>0</v>
      </c>
      <c r="CU177" s="2">
        <f t="shared" si="65"/>
        <v>0</v>
      </c>
      <c r="CV177" s="2">
        <f>AH177</f>
        <v>0</v>
      </c>
      <c r="CW177" s="2">
        <f>AI177</f>
        <v>0</v>
      </c>
      <c r="CX177" s="2">
        <f t="shared" si="66"/>
        <v>0</v>
      </c>
      <c r="CY177" s="2">
        <f t="shared" si="67"/>
        <v>0</v>
      </c>
      <c r="CZ177" s="2">
        <f t="shared" si="68"/>
        <v>0</v>
      </c>
      <c r="DA177" s="2"/>
      <c r="DB177" s="2"/>
      <c r="DC177" s="2" t="s">
        <v>3</v>
      </c>
      <c r="DD177" s="2" t="s">
        <v>3</v>
      </c>
      <c r="DE177" s="2" t="s">
        <v>3</v>
      </c>
      <c r="DF177" s="2" t="s">
        <v>3</v>
      </c>
      <c r="DG177" s="2" t="s">
        <v>3</v>
      </c>
      <c r="DH177" s="2" t="s">
        <v>3</v>
      </c>
      <c r="DI177" s="2" t="s">
        <v>3</v>
      </c>
      <c r="DJ177" s="2" t="s">
        <v>3</v>
      </c>
      <c r="DK177" s="2" t="s">
        <v>3</v>
      </c>
      <c r="DL177" s="2" t="s">
        <v>3</v>
      </c>
      <c r="DM177" s="2" t="s">
        <v>3</v>
      </c>
      <c r="DN177" s="2">
        <v>0</v>
      </c>
      <c r="DO177" s="2">
        <v>0</v>
      </c>
      <c r="DP177" s="2">
        <v>1</v>
      </c>
      <c r="DQ177" s="2">
        <v>1</v>
      </c>
      <c r="DR177" s="2"/>
      <c r="DS177" s="2"/>
      <c r="DT177" s="2"/>
      <c r="DU177" s="2">
        <v>1009</v>
      </c>
      <c r="DV177" s="2" t="s">
        <v>174</v>
      </c>
      <c r="DW177" s="2" t="s">
        <v>174</v>
      </c>
      <c r="DX177" s="2">
        <v>1000</v>
      </c>
      <c r="DY177" s="2"/>
      <c r="DZ177" s="2" t="s">
        <v>3</v>
      </c>
      <c r="EA177" s="2" t="s">
        <v>3</v>
      </c>
      <c r="EB177" s="2" t="s">
        <v>3</v>
      </c>
      <c r="EC177" s="2" t="s">
        <v>3</v>
      </c>
      <c r="ED177" s="2"/>
      <c r="EE177" s="2">
        <v>74004197</v>
      </c>
      <c r="EF177" s="2">
        <v>2</v>
      </c>
      <c r="EG177" s="2" t="s">
        <v>29</v>
      </c>
      <c r="EH177" s="2">
        <v>9</v>
      </c>
      <c r="EI177" s="2" t="s">
        <v>255</v>
      </c>
      <c r="EJ177" s="2">
        <v>1</v>
      </c>
      <c r="EK177" s="2">
        <v>9001</v>
      </c>
      <c r="EL177" s="2" t="s">
        <v>255</v>
      </c>
      <c r="EM177" s="2" t="s">
        <v>256</v>
      </c>
      <c r="EN177" s="2"/>
      <c r="EO177" s="2" t="s">
        <v>3</v>
      </c>
      <c r="EP177" s="2"/>
      <c r="EQ177" s="2">
        <v>262144</v>
      </c>
      <c r="ER177" s="2">
        <v>42246.27</v>
      </c>
      <c r="ES177" s="2">
        <v>42246.27</v>
      </c>
      <c r="ET177" s="2">
        <v>0</v>
      </c>
      <c r="EU177" s="2">
        <v>0</v>
      </c>
      <c r="EV177" s="2">
        <v>0</v>
      </c>
      <c r="EW177" s="2">
        <v>0</v>
      </c>
      <c r="EX177" s="2">
        <v>0</v>
      </c>
      <c r="EY177" s="2"/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  <c r="FO177" s="2"/>
      <c r="FP177" s="2"/>
      <c r="FQ177" s="2">
        <v>0</v>
      </c>
      <c r="FR177" s="2">
        <v>0</v>
      </c>
      <c r="FS177" s="2">
        <v>0</v>
      </c>
      <c r="FT177" s="2"/>
      <c r="FU177" s="2"/>
      <c r="FV177" s="2"/>
      <c r="FW177" s="2"/>
      <c r="FX177" s="2">
        <v>93</v>
      </c>
      <c r="FY177" s="2">
        <v>62</v>
      </c>
      <c r="FZ177" s="2"/>
      <c r="GA177" s="2" t="s">
        <v>3</v>
      </c>
      <c r="GB177" s="2"/>
      <c r="GC177" s="2"/>
      <c r="GD177" s="2">
        <v>1</v>
      </c>
      <c r="GE177" s="2">
        <v>70842.5</v>
      </c>
      <c r="GF177" s="2">
        <v>985670142</v>
      </c>
      <c r="GG177" s="2">
        <v>2</v>
      </c>
      <c r="GH177" s="2">
        <v>1</v>
      </c>
      <c r="GI177" s="2">
        <v>-2</v>
      </c>
      <c r="GJ177" s="2">
        <v>0</v>
      </c>
      <c r="GK177" s="2">
        <v>0</v>
      </c>
      <c r="GL177" s="2">
        <f t="shared" si="69"/>
        <v>0</v>
      </c>
      <c r="GM177" s="2">
        <f t="shared" si="70"/>
        <v>515.4</v>
      </c>
      <c r="GN177" s="2">
        <f t="shared" si="71"/>
        <v>515.4</v>
      </c>
      <c r="GO177" s="2">
        <f t="shared" si="72"/>
        <v>0</v>
      </c>
      <c r="GP177" s="2">
        <f t="shared" si="73"/>
        <v>0</v>
      </c>
      <c r="GQ177" s="2"/>
      <c r="GR177" s="2">
        <v>3</v>
      </c>
      <c r="GS177" s="2">
        <v>3</v>
      </c>
      <c r="GT177" s="2">
        <v>0</v>
      </c>
      <c r="GU177" s="2" t="s">
        <v>3</v>
      </c>
      <c r="GV177" s="2">
        <f t="shared" si="74"/>
        <v>0</v>
      </c>
      <c r="GW177" s="2">
        <v>1</v>
      </c>
      <c r="GX177" s="2">
        <f t="shared" si="75"/>
        <v>0</v>
      </c>
      <c r="GY177" s="2"/>
      <c r="GZ177" s="2"/>
      <c r="HA177" s="2">
        <v>0</v>
      </c>
      <c r="HB177" s="2">
        <v>0</v>
      </c>
      <c r="HC177" s="2">
        <f t="shared" si="76"/>
        <v>0</v>
      </c>
      <c r="HD177" s="2"/>
      <c r="HE177" s="2" t="s">
        <v>3</v>
      </c>
      <c r="HF177" s="2" t="s">
        <v>3</v>
      </c>
      <c r="HG177" s="2"/>
      <c r="HH177" s="2"/>
      <c r="HI177" s="2"/>
      <c r="HJ177" s="2"/>
      <c r="HK177" s="2"/>
      <c r="HL177" s="2"/>
      <c r="HM177" s="2" t="s">
        <v>3</v>
      </c>
      <c r="HN177" s="2" t="s">
        <v>257</v>
      </c>
      <c r="HO177" s="2" t="s">
        <v>258</v>
      </c>
      <c r="HP177" s="2" t="s">
        <v>255</v>
      </c>
      <c r="HQ177" s="2" t="s">
        <v>255</v>
      </c>
      <c r="HR177" s="2"/>
      <c r="HS177" s="2">
        <v>0</v>
      </c>
      <c r="HT177" s="2"/>
      <c r="HU177" s="2"/>
      <c r="HV177" s="2"/>
      <c r="HW177" s="2"/>
      <c r="HX177" s="2"/>
      <c r="HY177" s="2"/>
      <c r="HZ177" s="2"/>
      <c r="IA177" s="2"/>
      <c r="IB177" s="2"/>
      <c r="IC177" s="2"/>
      <c r="ID177" s="2"/>
      <c r="IE177" s="2"/>
      <c r="IF177" s="2"/>
      <c r="IG177" s="2"/>
      <c r="IH177" s="2"/>
      <c r="II177" s="2"/>
      <c r="IJ177" s="2"/>
      <c r="IK177" s="2">
        <v>0</v>
      </c>
      <c r="IL177" s="2"/>
      <c r="IM177" s="2"/>
      <c r="IN177" s="2"/>
      <c r="IO177" s="2"/>
      <c r="IP177" s="2"/>
      <c r="IQ177" s="2"/>
      <c r="IR177" s="2"/>
      <c r="IS177" s="2"/>
      <c r="IT177" s="2"/>
      <c r="IU177" s="2"/>
    </row>
    <row r="178" spans="1:255" ht="13.05" customHeight="1" x14ac:dyDescent="0.25">
      <c r="A178" s="2">
        <v>18</v>
      </c>
      <c r="B178" s="2">
        <v>1</v>
      </c>
      <c r="C178" s="2">
        <v>229</v>
      </c>
      <c r="D178" s="2"/>
      <c r="E178" s="2" t="s">
        <v>363</v>
      </c>
      <c r="F178" s="2" t="s">
        <v>364</v>
      </c>
      <c r="G178" s="2" t="s">
        <v>365</v>
      </c>
      <c r="H178" s="2" t="s">
        <v>174</v>
      </c>
      <c r="I178" s="2">
        <f>I176*J178</f>
        <v>3.78E-2</v>
      </c>
      <c r="J178" s="2">
        <v>0.75600000000000001</v>
      </c>
      <c r="K178" s="2">
        <v>0.75600000000000001</v>
      </c>
      <c r="L178" s="2"/>
      <c r="M178" s="2"/>
      <c r="N178" s="2"/>
      <c r="O178" s="2">
        <f t="shared" si="56"/>
        <v>1752.9</v>
      </c>
      <c r="P178" s="2">
        <f>ROUND(CQ178*I178,2)</f>
        <v>1752.9</v>
      </c>
      <c r="Q178" s="2">
        <f>ROUND(CR178*I178,2)</f>
        <v>0</v>
      </c>
      <c r="R178" s="2">
        <f>ROUND(CS178*I178,2)</f>
        <v>0</v>
      </c>
      <c r="S178" s="2">
        <f>ROUND(CT178*I178,2)</f>
        <v>0</v>
      </c>
      <c r="T178" s="2">
        <f t="shared" si="57"/>
        <v>0</v>
      </c>
      <c r="U178" s="2">
        <f>ROUND(CV178*I178,7)</f>
        <v>0</v>
      </c>
      <c r="V178" s="2">
        <f>ROUND(CW178*I178,7)</f>
        <v>0</v>
      </c>
      <c r="W178" s="2">
        <f t="shared" si="58"/>
        <v>0</v>
      </c>
      <c r="X178" s="2">
        <f t="shared" si="59"/>
        <v>0</v>
      </c>
      <c r="Y178" s="2">
        <f t="shared" si="60"/>
        <v>0</v>
      </c>
      <c r="Z178" s="2"/>
      <c r="AA178" s="2">
        <v>75604747</v>
      </c>
      <c r="AB178" s="2">
        <f t="shared" si="61"/>
        <v>46372.91</v>
      </c>
      <c r="AC178" s="2">
        <f>ROUND((ES178),6)</f>
        <v>46372.91</v>
      </c>
      <c r="AD178" s="2">
        <f>ROUND((((ET178)-(EU178))+AE178),6)</f>
        <v>0</v>
      </c>
      <c r="AE178" s="2">
        <f>ROUND((EU178),6)</f>
        <v>0</v>
      </c>
      <c r="AF178" s="2">
        <f>ROUND((EV178),6)</f>
        <v>0</v>
      </c>
      <c r="AG178" s="2">
        <f t="shared" si="62"/>
        <v>0</v>
      </c>
      <c r="AH178" s="2">
        <f>(EW178)</f>
        <v>0</v>
      </c>
      <c r="AI178" s="2">
        <f>(EX178)</f>
        <v>0</v>
      </c>
      <c r="AJ178" s="2">
        <f t="shared" si="63"/>
        <v>0</v>
      </c>
      <c r="AK178" s="2">
        <v>46372.91</v>
      </c>
      <c r="AL178" s="2">
        <v>46372.91</v>
      </c>
      <c r="AM178" s="2">
        <v>0</v>
      </c>
      <c r="AN178" s="2">
        <v>0</v>
      </c>
      <c r="AO178" s="2">
        <v>0</v>
      </c>
      <c r="AP178" s="2">
        <v>0</v>
      </c>
      <c r="AQ178" s="2">
        <v>0</v>
      </c>
      <c r="AR178" s="2">
        <v>0</v>
      </c>
      <c r="AS178" s="2">
        <v>0</v>
      </c>
      <c r="AT178" s="2">
        <v>93</v>
      </c>
      <c r="AU178" s="2">
        <v>62</v>
      </c>
      <c r="AV178" s="2">
        <v>1</v>
      </c>
      <c r="AW178" s="2">
        <v>1</v>
      </c>
      <c r="AX178" s="2"/>
      <c r="AY178" s="2"/>
      <c r="AZ178" s="2">
        <v>1</v>
      </c>
      <c r="BA178" s="2">
        <v>1</v>
      </c>
      <c r="BB178" s="2">
        <v>1</v>
      </c>
      <c r="BC178" s="2">
        <v>1</v>
      </c>
      <c r="BD178" s="2" t="s">
        <v>3</v>
      </c>
      <c r="BE178" s="2" t="s">
        <v>3</v>
      </c>
      <c r="BF178" s="2" t="s">
        <v>3</v>
      </c>
      <c r="BG178" s="2" t="s">
        <v>3</v>
      </c>
      <c r="BH178" s="2">
        <v>3</v>
      </c>
      <c r="BI178" s="2">
        <v>1</v>
      </c>
      <c r="BJ178" s="2" t="s">
        <v>366</v>
      </c>
      <c r="BK178" s="2"/>
      <c r="BL178" s="2"/>
      <c r="BM178" s="2">
        <v>9001</v>
      </c>
      <c r="BN178" s="2">
        <v>0</v>
      </c>
      <c r="BO178" s="2" t="s">
        <v>3</v>
      </c>
      <c r="BP178" s="2">
        <v>0</v>
      </c>
      <c r="BQ178" s="2">
        <v>2</v>
      </c>
      <c r="BR178" s="2">
        <v>0</v>
      </c>
      <c r="BS178" s="2">
        <v>1</v>
      </c>
      <c r="BT178" s="2">
        <v>1</v>
      </c>
      <c r="BU178" s="2">
        <v>1</v>
      </c>
      <c r="BV178" s="2">
        <v>1</v>
      </c>
      <c r="BW178" s="2">
        <v>1</v>
      </c>
      <c r="BX178" s="2">
        <v>1</v>
      </c>
      <c r="BY178" s="2" t="s">
        <v>3</v>
      </c>
      <c r="BZ178" s="2">
        <v>93</v>
      </c>
      <c r="CA178" s="2">
        <v>62</v>
      </c>
      <c r="CB178" s="2" t="s">
        <v>3</v>
      </c>
      <c r="CC178" s="2"/>
      <c r="CD178" s="2"/>
      <c r="CE178" s="2">
        <v>0</v>
      </c>
      <c r="CF178" s="2">
        <v>0</v>
      </c>
      <c r="CG178" s="2">
        <v>0</v>
      </c>
      <c r="CH178" s="2"/>
      <c r="CI178" s="2"/>
      <c r="CJ178" s="2"/>
      <c r="CK178" s="2"/>
      <c r="CL178" s="2"/>
      <c r="CM178" s="2">
        <v>0</v>
      </c>
      <c r="CN178" s="2" t="s">
        <v>3</v>
      </c>
      <c r="CO178" s="2">
        <v>0</v>
      </c>
      <c r="CP178" s="2">
        <f t="shared" si="64"/>
        <v>1752.9</v>
      </c>
      <c r="CQ178" s="2">
        <f>ROUND(AL178*BC178,2)</f>
        <v>46372.91</v>
      </c>
      <c r="CR178" s="2">
        <f>ROUND(AM178*BB178,2)</f>
        <v>0</v>
      </c>
      <c r="CS178" s="2">
        <f>ROUND(AN178*BS178,2)</f>
        <v>0</v>
      </c>
      <c r="CT178" s="2">
        <f>ROUND(AO178*BA178,2)</f>
        <v>0</v>
      </c>
      <c r="CU178" s="2">
        <f t="shared" si="65"/>
        <v>0</v>
      </c>
      <c r="CV178" s="2">
        <f>AH178</f>
        <v>0</v>
      </c>
      <c r="CW178" s="2">
        <f>AI178</f>
        <v>0</v>
      </c>
      <c r="CX178" s="2">
        <f t="shared" si="66"/>
        <v>0</v>
      </c>
      <c r="CY178" s="2">
        <f t="shared" si="67"/>
        <v>0</v>
      </c>
      <c r="CZ178" s="2">
        <f t="shared" si="68"/>
        <v>0</v>
      </c>
      <c r="DA178" s="2"/>
      <c r="DB178" s="2"/>
      <c r="DC178" s="2" t="s">
        <v>3</v>
      </c>
      <c r="DD178" s="2" t="s">
        <v>3</v>
      </c>
      <c r="DE178" s="2" t="s">
        <v>3</v>
      </c>
      <c r="DF178" s="2" t="s">
        <v>3</v>
      </c>
      <c r="DG178" s="2" t="s">
        <v>3</v>
      </c>
      <c r="DH178" s="2" t="s">
        <v>3</v>
      </c>
      <c r="DI178" s="2" t="s">
        <v>3</v>
      </c>
      <c r="DJ178" s="2" t="s">
        <v>3</v>
      </c>
      <c r="DK178" s="2" t="s">
        <v>3</v>
      </c>
      <c r="DL178" s="2" t="s">
        <v>3</v>
      </c>
      <c r="DM178" s="2" t="s">
        <v>3</v>
      </c>
      <c r="DN178" s="2">
        <v>0</v>
      </c>
      <c r="DO178" s="2">
        <v>0</v>
      </c>
      <c r="DP178" s="2">
        <v>1</v>
      </c>
      <c r="DQ178" s="2">
        <v>1</v>
      </c>
      <c r="DR178" s="2"/>
      <c r="DS178" s="2"/>
      <c r="DT178" s="2"/>
      <c r="DU178" s="2">
        <v>1009</v>
      </c>
      <c r="DV178" s="2" t="s">
        <v>174</v>
      </c>
      <c r="DW178" s="2" t="s">
        <v>174</v>
      </c>
      <c r="DX178" s="2">
        <v>1000</v>
      </c>
      <c r="DY178" s="2"/>
      <c r="DZ178" s="2" t="s">
        <v>3</v>
      </c>
      <c r="EA178" s="2" t="s">
        <v>3</v>
      </c>
      <c r="EB178" s="2" t="s">
        <v>3</v>
      </c>
      <c r="EC178" s="2" t="s">
        <v>3</v>
      </c>
      <c r="ED178" s="2"/>
      <c r="EE178" s="2">
        <v>74004197</v>
      </c>
      <c r="EF178" s="2">
        <v>2</v>
      </c>
      <c r="EG178" s="2" t="s">
        <v>29</v>
      </c>
      <c r="EH178" s="2">
        <v>9</v>
      </c>
      <c r="EI178" s="2" t="s">
        <v>255</v>
      </c>
      <c r="EJ178" s="2">
        <v>1</v>
      </c>
      <c r="EK178" s="2">
        <v>9001</v>
      </c>
      <c r="EL178" s="2" t="s">
        <v>255</v>
      </c>
      <c r="EM178" s="2" t="s">
        <v>256</v>
      </c>
      <c r="EN178" s="2"/>
      <c r="EO178" s="2" t="s">
        <v>3</v>
      </c>
      <c r="EP178" s="2"/>
      <c r="EQ178" s="2">
        <v>262144</v>
      </c>
      <c r="ER178" s="2">
        <v>46372.91</v>
      </c>
      <c r="ES178" s="2">
        <v>46372.91</v>
      </c>
      <c r="ET178" s="2">
        <v>0</v>
      </c>
      <c r="EU178" s="2">
        <v>0</v>
      </c>
      <c r="EV178" s="2">
        <v>0</v>
      </c>
      <c r="EW178" s="2">
        <v>0</v>
      </c>
      <c r="EX178" s="2">
        <v>0</v>
      </c>
      <c r="EY178" s="2"/>
      <c r="EZ178" s="2"/>
      <c r="FA178" s="2"/>
      <c r="FB178" s="2"/>
      <c r="FC178" s="2"/>
      <c r="FD178" s="2"/>
      <c r="FE178" s="2"/>
      <c r="FF178" s="2"/>
      <c r="FG178" s="2"/>
      <c r="FH178" s="2"/>
      <c r="FI178" s="2"/>
      <c r="FJ178" s="2"/>
      <c r="FK178" s="2"/>
      <c r="FL178" s="2"/>
      <c r="FM178" s="2"/>
      <c r="FN178" s="2"/>
      <c r="FO178" s="2"/>
      <c r="FP178" s="2"/>
      <c r="FQ178" s="2">
        <v>0</v>
      </c>
      <c r="FR178" s="2">
        <v>0</v>
      </c>
      <c r="FS178" s="2">
        <v>0</v>
      </c>
      <c r="FT178" s="2"/>
      <c r="FU178" s="2"/>
      <c r="FV178" s="2"/>
      <c r="FW178" s="2"/>
      <c r="FX178" s="2">
        <v>93</v>
      </c>
      <c r="FY178" s="2">
        <v>62</v>
      </c>
      <c r="FZ178" s="2"/>
      <c r="GA178" s="2" t="s">
        <v>3</v>
      </c>
      <c r="GB178" s="2"/>
      <c r="GC178" s="2"/>
      <c r="GD178" s="2">
        <v>1</v>
      </c>
      <c r="GE178" s="2">
        <v>71131.5</v>
      </c>
      <c r="GF178" s="2">
        <v>1472636897</v>
      </c>
      <c r="GG178" s="2">
        <v>2</v>
      </c>
      <c r="GH178" s="2">
        <v>1</v>
      </c>
      <c r="GI178" s="2">
        <v>-2</v>
      </c>
      <c r="GJ178" s="2">
        <v>0</v>
      </c>
      <c r="GK178" s="2">
        <v>0</v>
      </c>
      <c r="GL178" s="2">
        <f t="shared" si="69"/>
        <v>0</v>
      </c>
      <c r="GM178" s="2">
        <f t="shared" si="70"/>
        <v>1752.9</v>
      </c>
      <c r="GN178" s="2">
        <f t="shared" si="71"/>
        <v>1752.9</v>
      </c>
      <c r="GO178" s="2">
        <f t="shared" si="72"/>
        <v>0</v>
      </c>
      <c r="GP178" s="2">
        <f t="shared" si="73"/>
        <v>0</v>
      </c>
      <c r="GQ178" s="2"/>
      <c r="GR178" s="2">
        <v>3</v>
      </c>
      <c r="GS178" s="2">
        <v>3</v>
      </c>
      <c r="GT178" s="2">
        <v>0</v>
      </c>
      <c r="GU178" s="2" t="s">
        <v>3</v>
      </c>
      <c r="GV178" s="2">
        <f t="shared" si="74"/>
        <v>0</v>
      </c>
      <c r="GW178" s="2">
        <v>1</v>
      </c>
      <c r="GX178" s="2">
        <f t="shared" si="75"/>
        <v>0</v>
      </c>
      <c r="GY178" s="2"/>
      <c r="GZ178" s="2"/>
      <c r="HA178" s="2">
        <v>0</v>
      </c>
      <c r="HB178" s="2">
        <v>0</v>
      </c>
      <c r="HC178" s="2">
        <f t="shared" si="76"/>
        <v>0</v>
      </c>
      <c r="HD178" s="2"/>
      <c r="HE178" s="2" t="s">
        <v>3</v>
      </c>
      <c r="HF178" s="2" t="s">
        <v>3</v>
      </c>
      <c r="HG178" s="2"/>
      <c r="HH178" s="2"/>
      <c r="HI178" s="2"/>
      <c r="HJ178" s="2"/>
      <c r="HK178" s="2"/>
      <c r="HL178" s="2"/>
      <c r="HM178" s="2" t="s">
        <v>3</v>
      </c>
      <c r="HN178" s="2" t="s">
        <v>257</v>
      </c>
      <c r="HO178" s="2" t="s">
        <v>258</v>
      </c>
      <c r="HP178" s="2" t="s">
        <v>255</v>
      </c>
      <c r="HQ178" s="2" t="s">
        <v>255</v>
      </c>
      <c r="HR178" s="2"/>
      <c r="HS178" s="2">
        <v>0</v>
      </c>
      <c r="HT178" s="2"/>
      <c r="HU178" s="2"/>
      <c r="HV178" s="2"/>
      <c r="HW178" s="2"/>
      <c r="HX178" s="2"/>
      <c r="HY178" s="2"/>
      <c r="HZ178" s="2"/>
      <c r="IA178" s="2"/>
      <c r="IB178" s="2"/>
      <c r="IC178" s="2"/>
      <c r="ID178" s="2"/>
      <c r="IE178" s="2"/>
      <c r="IF178" s="2"/>
      <c r="IG178" s="2"/>
      <c r="IH178" s="2"/>
      <c r="II178" s="2"/>
      <c r="IJ178" s="2"/>
      <c r="IK178" s="2">
        <v>0</v>
      </c>
      <c r="IL178" s="2"/>
      <c r="IM178" s="2"/>
      <c r="IN178" s="2"/>
      <c r="IO178" s="2"/>
      <c r="IP178" s="2"/>
      <c r="IQ178" s="2"/>
      <c r="IR178" s="2"/>
      <c r="IS178" s="2"/>
      <c r="IT178" s="2"/>
      <c r="IU178" s="2"/>
    </row>
    <row r="179" spans="1:255" ht="13.05" customHeight="1" x14ac:dyDescent="0.25">
      <c r="A179" s="2">
        <v>17</v>
      </c>
      <c r="B179" s="2">
        <v>1</v>
      </c>
      <c r="C179" s="2">
        <f>ROW(SmtRes!A241)</f>
        <v>241</v>
      </c>
      <c r="D179" s="2">
        <f>ROW(EtalonRes!A251)</f>
        <v>251</v>
      </c>
      <c r="E179" s="2" t="s">
        <v>367</v>
      </c>
      <c r="F179" s="2" t="s">
        <v>368</v>
      </c>
      <c r="G179" s="2" t="s">
        <v>369</v>
      </c>
      <c r="H179" s="2" t="s">
        <v>185</v>
      </c>
      <c r="I179" s="2">
        <v>0.04</v>
      </c>
      <c r="J179" s="2">
        <v>0</v>
      </c>
      <c r="K179" s="2">
        <v>0.04</v>
      </c>
      <c r="L179" s="2"/>
      <c r="M179" s="2"/>
      <c r="N179" s="2"/>
      <c r="O179" s="2">
        <f t="shared" si="56"/>
        <v>86.22</v>
      </c>
      <c r="P179" s="2">
        <f>SUMIF(SmtRes!AQ234:'SmtRes'!AQ241,"=1",SmtRes!DF234:'SmtRes'!DF241)</f>
        <v>0</v>
      </c>
      <c r="Q179" s="2">
        <f>SUMIF(SmtRes!AQ234:'SmtRes'!AQ241,"=1",SmtRes!DG234:'SmtRes'!DG241)</f>
        <v>3.6199999999999997</v>
      </c>
      <c r="R179" s="2">
        <f>SUMIF(SmtRes!AQ234:'SmtRes'!AQ241,"=1",SmtRes!DH234:'SmtRes'!DH241)</f>
        <v>1.4100000000000001</v>
      </c>
      <c r="S179" s="2">
        <f>SUMIF(SmtRes!AQ234:'SmtRes'!AQ241,"=1",SmtRes!DI234:'SmtRes'!DI241)</f>
        <v>81.19</v>
      </c>
      <c r="T179" s="2">
        <f t="shared" si="57"/>
        <v>0</v>
      </c>
      <c r="U179" s="2">
        <f>SUMIF(SmtRes!AQ234:'SmtRes'!AQ241,"=1",SmtRes!CV234:'SmtRes'!CV241)</f>
        <v>0.23368</v>
      </c>
      <c r="V179" s="2">
        <f>SUMIF(SmtRes!AQ234:'SmtRes'!AQ241,"=1",SmtRes!CW234:'SmtRes'!CW241)</f>
        <v>3.6800000000000001E-3</v>
      </c>
      <c r="W179" s="2">
        <f t="shared" si="58"/>
        <v>0</v>
      </c>
      <c r="X179" s="2">
        <f t="shared" si="59"/>
        <v>77.64</v>
      </c>
      <c r="Y179" s="2">
        <f t="shared" si="60"/>
        <v>42.13</v>
      </c>
      <c r="Z179" s="2"/>
      <c r="AA179" s="2">
        <v>75604747</v>
      </c>
      <c r="AB179" s="2">
        <f t="shared" si="61"/>
        <v>2115.5650700000001</v>
      </c>
      <c r="AC179" s="2">
        <f>ROUND((0),6)</f>
        <v>0</v>
      </c>
      <c r="AD179" s="2">
        <f>ROUND((((SUM(SmtRes!BR234:'SmtRes'!BR241))-(SUM(SmtRes!BS234:'SmtRes'!BS241)))+AE179),6)</f>
        <v>85.937430000000006</v>
      </c>
      <c r="AE179" s="2">
        <f>ROUND((SUM(SmtRes!BS234:'SmtRes'!BS241)),6)</f>
        <v>35.121229999999997</v>
      </c>
      <c r="AF179" s="2">
        <f>ROUND((SUM(SmtRes!BT234:'SmtRes'!BT241)),6)</f>
        <v>2029.6276399999999</v>
      </c>
      <c r="AG179" s="2">
        <f t="shared" si="62"/>
        <v>0</v>
      </c>
      <c r="AH179" s="2">
        <f>(SUM(SmtRes!BU234:'SmtRes'!BU241))</f>
        <v>5.8419999999999996</v>
      </c>
      <c r="AI179" s="2">
        <f>(SUM(SmtRes!BV234:'SmtRes'!BV241))</f>
        <v>9.1999999999999998E-2</v>
      </c>
      <c r="AJ179" s="2">
        <f t="shared" si="63"/>
        <v>0</v>
      </c>
      <c r="AK179" s="2">
        <v>935.08100000000002</v>
      </c>
      <c r="AL179" s="2">
        <v>0</v>
      </c>
      <c r="AM179" s="2">
        <v>37.364100000000008</v>
      </c>
      <c r="AN179" s="2">
        <v>15.270099999999999</v>
      </c>
      <c r="AO179" s="2">
        <v>882.44680000000005</v>
      </c>
      <c r="AP179" s="2">
        <v>0</v>
      </c>
      <c r="AQ179" s="2">
        <v>2.54</v>
      </c>
      <c r="AR179" s="2">
        <v>0.04</v>
      </c>
      <c r="AS179" s="2">
        <v>0</v>
      </c>
      <c r="AT179" s="2">
        <v>94</v>
      </c>
      <c r="AU179" s="2">
        <v>51</v>
      </c>
      <c r="AV179" s="2">
        <v>1</v>
      </c>
      <c r="AW179" s="2">
        <v>1</v>
      </c>
      <c r="AX179" s="2"/>
      <c r="AY179" s="2"/>
      <c r="AZ179" s="2">
        <v>1</v>
      </c>
      <c r="BA179" s="2">
        <v>1</v>
      </c>
      <c r="BB179" s="2">
        <v>1</v>
      </c>
      <c r="BC179" s="2">
        <v>1</v>
      </c>
      <c r="BD179" s="2" t="s">
        <v>3</v>
      </c>
      <c r="BE179" s="2" t="s">
        <v>3</v>
      </c>
      <c r="BF179" s="2" t="s">
        <v>3</v>
      </c>
      <c r="BG179" s="2" t="s">
        <v>3</v>
      </c>
      <c r="BH179" s="2">
        <v>0</v>
      </c>
      <c r="BI179" s="2">
        <v>1</v>
      </c>
      <c r="BJ179" s="2" t="s">
        <v>370</v>
      </c>
      <c r="BK179" s="2"/>
      <c r="BL179" s="2"/>
      <c r="BM179" s="2">
        <v>13001</v>
      </c>
      <c r="BN179" s="2">
        <v>0</v>
      </c>
      <c r="BO179" s="2" t="s">
        <v>3</v>
      </c>
      <c r="BP179" s="2">
        <v>0</v>
      </c>
      <c r="BQ179" s="2">
        <v>2</v>
      </c>
      <c r="BR179" s="2">
        <v>0</v>
      </c>
      <c r="BS179" s="2">
        <v>1</v>
      </c>
      <c r="BT179" s="2">
        <v>1</v>
      </c>
      <c r="BU179" s="2">
        <v>1</v>
      </c>
      <c r="BV179" s="2">
        <v>1</v>
      </c>
      <c r="BW179" s="2">
        <v>1</v>
      </c>
      <c r="BX179" s="2">
        <v>1</v>
      </c>
      <c r="BY179" s="2" t="s">
        <v>3</v>
      </c>
      <c r="BZ179" s="2">
        <v>94</v>
      </c>
      <c r="CA179" s="2">
        <v>51</v>
      </c>
      <c r="CB179" s="2" t="s">
        <v>3</v>
      </c>
      <c r="CC179" s="2"/>
      <c r="CD179" s="2"/>
      <c r="CE179" s="2">
        <v>0</v>
      </c>
      <c r="CF179" s="2">
        <v>0</v>
      </c>
      <c r="CG179" s="2">
        <v>0</v>
      </c>
      <c r="CH179" s="2"/>
      <c r="CI179" s="2"/>
      <c r="CJ179" s="2"/>
      <c r="CK179" s="2"/>
      <c r="CL179" s="2"/>
      <c r="CM179" s="2">
        <v>0</v>
      </c>
      <c r="CN179" s="7" t="s">
        <v>802</v>
      </c>
      <c r="CO179" s="2">
        <v>0</v>
      </c>
      <c r="CP179" s="2">
        <f t="shared" si="64"/>
        <v>86.22</v>
      </c>
      <c r="CQ179" s="2">
        <f>SUMIF(SmtRes!AQ234:'SmtRes'!AQ241,"=1",SmtRes!AA234:'SmtRes'!AA241)</f>
        <v>0</v>
      </c>
      <c r="CR179" s="2">
        <f>SUMIF(SmtRes!AQ234:'SmtRes'!AQ241,"=1",SmtRes!AB234:'SmtRes'!AB241)</f>
        <v>2137.04</v>
      </c>
      <c r="CS179" s="2">
        <f>SUMIF(SmtRes!AQ234:'SmtRes'!AQ241,"=1",SmtRes!AC234:'SmtRes'!AC241)</f>
        <v>790.97</v>
      </c>
      <c r="CT179" s="2">
        <f>SUMIF(SmtRes!AQ234:'SmtRes'!AQ241,"=1",SmtRes!AD234:'SmtRes'!AD241)</f>
        <v>347.42</v>
      </c>
      <c r="CU179" s="2">
        <f t="shared" si="65"/>
        <v>0</v>
      </c>
      <c r="CV179" s="2">
        <f>SUMIF(SmtRes!AQ234:'SmtRes'!AQ241,"=1",SmtRes!BU234:'SmtRes'!BU241)</f>
        <v>5.8419999999999996</v>
      </c>
      <c r="CW179" s="2">
        <f>SUMIF(SmtRes!AQ234:'SmtRes'!AQ241,"=1",SmtRes!BV234:'SmtRes'!BV241)</f>
        <v>9.1999999999999998E-2</v>
      </c>
      <c r="CX179" s="2">
        <f t="shared" si="66"/>
        <v>0</v>
      </c>
      <c r="CY179" s="2">
        <f t="shared" si="67"/>
        <v>77.643999999999991</v>
      </c>
      <c r="CZ179" s="2">
        <f t="shared" si="68"/>
        <v>42.125999999999998</v>
      </c>
      <c r="DA179" s="2"/>
      <c r="DB179" s="2"/>
      <c r="DC179" s="2" t="s">
        <v>3</v>
      </c>
      <c r="DD179" s="2" t="s">
        <v>288</v>
      </c>
      <c r="DE179" s="2" t="s">
        <v>289</v>
      </c>
      <c r="DF179" s="2" t="s">
        <v>289</v>
      </c>
      <c r="DG179" s="2" t="s">
        <v>289</v>
      </c>
      <c r="DH179" s="2" t="s">
        <v>3</v>
      </c>
      <c r="DI179" s="2" t="s">
        <v>289</v>
      </c>
      <c r="DJ179" s="2" t="s">
        <v>289</v>
      </c>
      <c r="DK179" s="2" t="s">
        <v>3</v>
      </c>
      <c r="DL179" s="2" t="s">
        <v>3</v>
      </c>
      <c r="DM179" s="2" t="s">
        <v>3</v>
      </c>
      <c r="DN179" s="2">
        <v>0</v>
      </c>
      <c r="DO179" s="2">
        <v>0</v>
      </c>
      <c r="DP179" s="2">
        <v>1</v>
      </c>
      <c r="DQ179" s="2">
        <v>1</v>
      </c>
      <c r="DR179" s="2"/>
      <c r="DS179" s="2"/>
      <c r="DT179" s="2"/>
      <c r="DU179" s="2">
        <v>1005</v>
      </c>
      <c r="DV179" s="2" t="s">
        <v>185</v>
      </c>
      <c r="DW179" s="2" t="s">
        <v>185</v>
      </c>
      <c r="DX179" s="2">
        <v>100</v>
      </c>
      <c r="DY179" s="2"/>
      <c r="DZ179" s="2" t="s">
        <v>3</v>
      </c>
      <c r="EA179" s="2" t="s">
        <v>3</v>
      </c>
      <c r="EB179" s="2" t="s">
        <v>3</v>
      </c>
      <c r="EC179" s="2" t="s">
        <v>3</v>
      </c>
      <c r="ED179" s="2"/>
      <c r="EE179" s="2">
        <v>74004201</v>
      </c>
      <c r="EF179" s="2">
        <v>2</v>
      </c>
      <c r="EG179" s="2" t="s">
        <v>29</v>
      </c>
      <c r="EH179" s="2">
        <v>13</v>
      </c>
      <c r="EI179" s="2" t="s">
        <v>290</v>
      </c>
      <c r="EJ179" s="2">
        <v>1</v>
      </c>
      <c r="EK179" s="2">
        <v>13001</v>
      </c>
      <c r="EL179" s="2" t="s">
        <v>291</v>
      </c>
      <c r="EM179" s="2" t="s">
        <v>292</v>
      </c>
      <c r="EN179" s="2"/>
      <c r="EO179" s="2" t="s">
        <v>39</v>
      </c>
      <c r="EP179" s="2"/>
      <c r="EQ179" s="2">
        <v>262144</v>
      </c>
      <c r="ER179" s="2">
        <v>0</v>
      </c>
      <c r="ES179" s="2">
        <v>0</v>
      </c>
      <c r="ET179" s="2">
        <v>0</v>
      </c>
      <c r="EU179" s="2">
        <v>0</v>
      </c>
      <c r="EV179" s="2">
        <v>0</v>
      </c>
      <c r="EW179" s="2">
        <v>2.54</v>
      </c>
      <c r="EX179" s="2">
        <v>0.04</v>
      </c>
      <c r="EY179" s="2">
        <v>0</v>
      </c>
      <c r="EZ179" s="2"/>
      <c r="FA179" s="2"/>
      <c r="FB179" s="2"/>
      <c r="FC179" s="2"/>
      <c r="FD179" s="2"/>
      <c r="FE179" s="2"/>
      <c r="FF179" s="2"/>
      <c r="FG179" s="2"/>
      <c r="FH179" s="2"/>
      <c r="FI179" s="2"/>
      <c r="FJ179" s="2"/>
      <c r="FK179" s="2"/>
      <c r="FL179" s="2"/>
      <c r="FM179" s="2"/>
      <c r="FN179" s="2"/>
      <c r="FO179" s="2"/>
      <c r="FP179" s="2"/>
      <c r="FQ179" s="2">
        <v>0</v>
      </c>
      <c r="FR179" s="2">
        <v>0</v>
      </c>
      <c r="FS179" s="2">
        <v>0</v>
      </c>
      <c r="FT179" s="2"/>
      <c r="FU179" s="2"/>
      <c r="FV179" s="2"/>
      <c r="FW179" s="2"/>
      <c r="FX179" s="2">
        <v>94</v>
      </c>
      <c r="FY179" s="2">
        <v>51</v>
      </c>
      <c r="FZ179" s="2"/>
      <c r="GA179" s="2" t="s">
        <v>3</v>
      </c>
      <c r="GB179" s="2"/>
      <c r="GC179" s="2"/>
      <c r="GD179" s="2">
        <v>1</v>
      </c>
      <c r="GE179" s="2"/>
      <c r="GF179" s="2">
        <v>1796839014</v>
      </c>
      <c r="GG179" s="2">
        <v>2</v>
      </c>
      <c r="GH179" s="2">
        <v>1</v>
      </c>
      <c r="GI179" s="2">
        <v>-2</v>
      </c>
      <c r="GJ179" s="2">
        <v>0</v>
      </c>
      <c r="GK179" s="2">
        <v>0</v>
      </c>
      <c r="GL179" s="2">
        <f t="shared" si="69"/>
        <v>0</v>
      </c>
      <c r="GM179" s="2">
        <f t="shared" si="70"/>
        <v>205.99</v>
      </c>
      <c r="GN179" s="2">
        <f t="shared" si="71"/>
        <v>205.99</v>
      </c>
      <c r="GO179" s="2">
        <f t="shared" si="72"/>
        <v>0</v>
      </c>
      <c r="GP179" s="2">
        <f t="shared" si="73"/>
        <v>0</v>
      </c>
      <c r="GQ179" s="2"/>
      <c r="GR179" s="2">
        <v>0</v>
      </c>
      <c r="GS179" s="2">
        <v>3</v>
      </c>
      <c r="GT179" s="2">
        <v>0</v>
      </c>
      <c r="GU179" s="2" t="s">
        <v>3</v>
      </c>
      <c r="GV179" s="2">
        <f t="shared" si="74"/>
        <v>0</v>
      </c>
      <c r="GW179" s="2">
        <v>1</v>
      </c>
      <c r="GX179" s="2">
        <f t="shared" si="75"/>
        <v>0</v>
      </c>
      <c r="GY179" s="2"/>
      <c r="GZ179" s="2"/>
      <c r="HA179" s="2">
        <v>0</v>
      </c>
      <c r="HB179" s="2">
        <v>0</v>
      </c>
      <c r="HC179" s="2">
        <f t="shared" si="76"/>
        <v>0</v>
      </c>
      <c r="HD179" s="2"/>
      <c r="HE179" s="2" t="s">
        <v>3</v>
      </c>
      <c r="HF179" s="2" t="s">
        <v>3</v>
      </c>
      <c r="HG179" s="2"/>
      <c r="HH179" s="2"/>
      <c r="HI179" s="2"/>
      <c r="HJ179" s="2"/>
      <c r="HK179" s="2"/>
      <c r="HL179" s="2"/>
      <c r="HM179" s="2" t="s">
        <v>3</v>
      </c>
      <c r="HN179" s="2" t="s">
        <v>293</v>
      </c>
      <c r="HO179" s="2" t="s">
        <v>294</v>
      </c>
      <c r="HP179" s="2" t="s">
        <v>290</v>
      </c>
      <c r="HQ179" s="2" t="s">
        <v>290</v>
      </c>
      <c r="HR179" s="2"/>
      <c r="HS179" s="2">
        <v>0</v>
      </c>
      <c r="HT179" s="2"/>
      <c r="HU179" s="2"/>
      <c r="HV179" s="2"/>
      <c r="HW179" s="2"/>
      <c r="HX179" s="2"/>
      <c r="HY179" s="2"/>
      <c r="HZ179" s="2"/>
      <c r="IA179" s="2"/>
      <c r="IB179" s="2"/>
      <c r="IC179" s="2"/>
      <c r="ID179" s="2"/>
      <c r="IE179" s="2"/>
      <c r="IF179" s="2"/>
      <c r="IG179" s="2"/>
      <c r="IH179" s="2"/>
      <c r="II179" s="2"/>
      <c r="IJ179" s="2"/>
      <c r="IK179" s="2">
        <v>0</v>
      </c>
      <c r="IL179" s="2"/>
      <c r="IM179" s="2"/>
      <c r="IN179" s="2"/>
      <c r="IO179" s="2"/>
      <c r="IP179" s="2"/>
      <c r="IQ179" s="2"/>
      <c r="IR179" s="2"/>
      <c r="IS179" s="2"/>
      <c r="IT179" s="2"/>
      <c r="IU179" s="2"/>
    </row>
    <row r="180" spans="1:255" ht="13.05" customHeight="1" x14ac:dyDescent="0.25">
      <c r="A180" s="2">
        <v>18</v>
      </c>
      <c r="B180" s="2">
        <v>1</v>
      </c>
      <c r="C180" s="2">
        <v>240</v>
      </c>
      <c r="D180" s="2"/>
      <c r="E180" s="2" t="s">
        <v>371</v>
      </c>
      <c r="F180" s="2" t="s">
        <v>372</v>
      </c>
      <c r="G180" s="2" t="s">
        <v>373</v>
      </c>
      <c r="H180" s="2" t="s">
        <v>174</v>
      </c>
      <c r="I180" s="2">
        <f>I179*J180</f>
        <v>7.2000000000000005E-4</v>
      </c>
      <c r="J180" s="2">
        <v>1.8000000000000002E-2</v>
      </c>
      <c r="K180" s="2">
        <v>1.7999999999999999E-2</v>
      </c>
      <c r="L180" s="2"/>
      <c r="M180" s="2"/>
      <c r="N180" s="2"/>
      <c r="O180" s="2">
        <f t="shared" si="56"/>
        <v>179.43</v>
      </c>
      <c r="P180" s="2">
        <f>ROUND(CQ180*I180,2)</f>
        <v>179.43</v>
      </c>
      <c r="Q180" s="2">
        <f>ROUND(CR180*I180,2)</f>
        <v>0</v>
      </c>
      <c r="R180" s="2">
        <f>ROUND(CS180*I180,2)</f>
        <v>0</v>
      </c>
      <c r="S180" s="2">
        <f>ROUND(CT180*I180,2)</f>
        <v>0</v>
      </c>
      <c r="T180" s="2">
        <f t="shared" si="57"/>
        <v>0</v>
      </c>
      <c r="U180" s="2">
        <f>ROUND(CV180*I180,7)</f>
        <v>0</v>
      </c>
      <c r="V180" s="2">
        <f>ROUND(CW180*I180,7)</f>
        <v>0</v>
      </c>
      <c r="W180" s="2">
        <f t="shared" si="58"/>
        <v>0</v>
      </c>
      <c r="X180" s="2">
        <f t="shared" si="59"/>
        <v>0</v>
      </c>
      <c r="Y180" s="2">
        <f t="shared" si="60"/>
        <v>0</v>
      </c>
      <c r="Z180" s="2"/>
      <c r="AA180" s="2">
        <v>75604747</v>
      </c>
      <c r="AB180" s="2">
        <f t="shared" si="61"/>
        <v>130472.1</v>
      </c>
      <c r="AC180" s="2">
        <f>ROUND((ES180),6)</f>
        <v>130472.1</v>
      </c>
      <c r="AD180" s="2">
        <f>ROUND((((ET180)-(EU180))+AE180),6)</f>
        <v>0</v>
      </c>
      <c r="AE180" s="2">
        <f>ROUND((EU180),6)</f>
        <v>0</v>
      </c>
      <c r="AF180" s="2">
        <f>ROUND((EV180),6)</f>
        <v>0</v>
      </c>
      <c r="AG180" s="2">
        <f t="shared" si="62"/>
        <v>0</v>
      </c>
      <c r="AH180" s="2">
        <f>(EW180)</f>
        <v>0</v>
      </c>
      <c r="AI180" s="2">
        <f>(EX180)</f>
        <v>0</v>
      </c>
      <c r="AJ180" s="2">
        <f t="shared" si="63"/>
        <v>0</v>
      </c>
      <c r="AK180" s="2">
        <v>130472.1</v>
      </c>
      <c r="AL180" s="2">
        <v>130472.1</v>
      </c>
      <c r="AM180" s="2">
        <v>0</v>
      </c>
      <c r="AN180" s="2">
        <v>0</v>
      </c>
      <c r="AO180" s="2">
        <v>0</v>
      </c>
      <c r="AP180" s="2">
        <v>0</v>
      </c>
      <c r="AQ180" s="2">
        <v>0</v>
      </c>
      <c r="AR180" s="2">
        <v>0</v>
      </c>
      <c r="AS180" s="2">
        <v>0</v>
      </c>
      <c r="AT180" s="2">
        <v>94</v>
      </c>
      <c r="AU180" s="2">
        <v>51</v>
      </c>
      <c r="AV180" s="2">
        <v>1</v>
      </c>
      <c r="AW180" s="2">
        <v>1</v>
      </c>
      <c r="AX180" s="2"/>
      <c r="AY180" s="2"/>
      <c r="AZ180" s="2">
        <v>1</v>
      </c>
      <c r="BA180" s="2">
        <v>1</v>
      </c>
      <c r="BB180" s="2">
        <v>1</v>
      </c>
      <c r="BC180" s="2">
        <v>1.91</v>
      </c>
      <c r="BD180" s="2" t="s">
        <v>3</v>
      </c>
      <c r="BE180" s="2" t="s">
        <v>3</v>
      </c>
      <c r="BF180" s="2" t="s">
        <v>3</v>
      </c>
      <c r="BG180" s="2" t="s">
        <v>3</v>
      </c>
      <c r="BH180" s="2">
        <v>3</v>
      </c>
      <c r="BI180" s="2">
        <v>1</v>
      </c>
      <c r="BJ180" s="2" t="s">
        <v>374</v>
      </c>
      <c r="BK180" s="2"/>
      <c r="BL180" s="2"/>
      <c r="BM180" s="2">
        <v>13001</v>
      </c>
      <c r="BN180" s="2">
        <v>0</v>
      </c>
      <c r="BO180" s="2" t="s">
        <v>372</v>
      </c>
      <c r="BP180" s="2">
        <v>1</v>
      </c>
      <c r="BQ180" s="2">
        <v>2</v>
      </c>
      <c r="BR180" s="2">
        <v>0</v>
      </c>
      <c r="BS180" s="2">
        <v>1</v>
      </c>
      <c r="BT180" s="2">
        <v>1</v>
      </c>
      <c r="BU180" s="2">
        <v>1</v>
      </c>
      <c r="BV180" s="2">
        <v>1</v>
      </c>
      <c r="BW180" s="2">
        <v>1</v>
      </c>
      <c r="BX180" s="2">
        <v>1</v>
      </c>
      <c r="BY180" s="2" t="s">
        <v>3</v>
      </c>
      <c r="BZ180" s="2">
        <v>94</v>
      </c>
      <c r="CA180" s="2">
        <v>51</v>
      </c>
      <c r="CB180" s="2" t="s">
        <v>3</v>
      </c>
      <c r="CC180" s="2"/>
      <c r="CD180" s="2"/>
      <c r="CE180" s="2">
        <v>0</v>
      </c>
      <c r="CF180" s="2">
        <v>0</v>
      </c>
      <c r="CG180" s="2">
        <v>0</v>
      </c>
      <c r="CH180" s="2"/>
      <c r="CI180" s="2"/>
      <c r="CJ180" s="2"/>
      <c r="CK180" s="2"/>
      <c r="CL180" s="2"/>
      <c r="CM180" s="2">
        <v>0</v>
      </c>
      <c r="CN180" s="2" t="s">
        <v>3</v>
      </c>
      <c r="CO180" s="2">
        <v>0</v>
      </c>
      <c r="CP180" s="2">
        <f t="shared" si="64"/>
        <v>179.43</v>
      </c>
      <c r="CQ180" s="2">
        <f>ROUND(AL180*BC180,2)</f>
        <v>249201.71</v>
      </c>
      <c r="CR180" s="2">
        <f>ROUND(AM180*BB180,2)</f>
        <v>0</v>
      </c>
      <c r="CS180" s="2">
        <f>ROUND(AN180*BS180,2)</f>
        <v>0</v>
      </c>
      <c r="CT180" s="2">
        <f>ROUND(AO180*BA180,2)</f>
        <v>0</v>
      </c>
      <c r="CU180" s="2">
        <f t="shared" si="65"/>
        <v>0</v>
      </c>
      <c r="CV180" s="2">
        <f>AH180</f>
        <v>0</v>
      </c>
      <c r="CW180" s="2">
        <f>AI180</f>
        <v>0</v>
      </c>
      <c r="CX180" s="2">
        <f t="shared" si="66"/>
        <v>0</v>
      </c>
      <c r="CY180" s="2">
        <f t="shared" si="67"/>
        <v>0</v>
      </c>
      <c r="CZ180" s="2">
        <f t="shared" si="68"/>
        <v>0</v>
      </c>
      <c r="DA180" s="2"/>
      <c r="DB180" s="2"/>
      <c r="DC180" s="2" t="s">
        <v>3</v>
      </c>
      <c r="DD180" s="2" t="s">
        <v>3</v>
      </c>
      <c r="DE180" s="2" t="s">
        <v>3</v>
      </c>
      <c r="DF180" s="2" t="s">
        <v>3</v>
      </c>
      <c r="DG180" s="2" t="s">
        <v>3</v>
      </c>
      <c r="DH180" s="2" t="s">
        <v>3</v>
      </c>
      <c r="DI180" s="2" t="s">
        <v>3</v>
      </c>
      <c r="DJ180" s="2" t="s">
        <v>3</v>
      </c>
      <c r="DK180" s="2" t="s">
        <v>3</v>
      </c>
      <c r="DL180" s="2" t="s">
        <v>3</v>
      </c>
      <c r="DM180" s="2" t="s">
        <v>3</v>
      </c>
      <c r="DN180" s="2">
        <v>0</v>
      </c>
      <c r="DO180" s="2">
        <v>0</v>
      </c>
      <c r="DP180" s="2">
        <v>1</v>
      </c>
      <c r="DQ180" s="2">
        <v>1</v>
      </c>
      <c r="DR180" s="2"/>
      <c r="DS180" s="2"/>
      <c r="DT180" s="2"/>
      <c r="DU180" s="2">
        <v>1009</v>
      </c>
      <c r="DV180" s="2" t="s">
        <v>174</v>
      </c>
      <c r="DW180" s="2" t="s">
        <v>174</v>
      </c>
      <c r="DX180" s="2">
        <v>1000</v>
      </c>
      <c r="DY180" s="2"/>
      <c r="DZ180" s="2" t="s">
        <v>3</v>
      </c>
      <c r="EA180" s="2" t="s">
        <v>3</v>
      </c>
      <c r="EB180" s="2" t="s">
        <v>3</v>
      </c>
      <c r="EC180" s="2" t="s">
        <v>3</v>
      </c>
      <c r="ED180" s="2"/>
      <c r="EE180" s="2">
        <v>74004201</v>
      </c>
      <c r="EF180" s="2">
        <v>2</v>
      </c>
      <c r="EG180" s="2" t="s">
        <v>29</v>
      </c>
      <c r="EH180" s="2">
        <v>13</v>
      </c>
      <c r="EI180" s="2" t="s">
        <v>290</v>
      </c>
      <c r="EJ180" s="2">
        <v>1</v>
      </c>
      <c r="EK180" s="2">
        <v>13001</v>
      </c>
      <c r="EL180" s="2" t="s">
        <v>291</v>
      </c>
      <c r="EM180" s="2" t="s">
        <v>292</v>
      </c>
      <c r="EN180" s="2"/>
      <c r="EO180" s="2" t="s">
        <v>3</v>
      </c>
      <c r="EP180" s="2"/>
      <c r="EQ180" s="2">
        <v>262144</v>
      </c>
      <c r="ER180" s="2">
        <v>130472.1</v>
      </c>
      <c r="ES180" s="2">
        <v>130472.1</v>
      </c>
      <c r="ET180" s="2">
        <v>0</v>
      </c>
      <c r="EU180" s="2">
        <v>0</v>
      </c>
      <c r="EV180" s="2">
        <v>0</v>
      </c>
      <c r="EW180" s="2">
        <v>0</v>
      </c>
      <c r="EX180" s="2">
        <v>0</v>
      </c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  <c r="FN180" s="2"/>
      <c r="FO180" s="2"/>
      <c r="FP180" s="2"/>
      <c r="FQ180" s="2">
        <v>0</v>
      </c>
      <c r="FR180" s="2">
        <v>0</v>
      </c>
      <c r="FS180" s="2">
        <v>0</v>
      </c>
      <c r="FT180" s="2"/>
      <c r="FU180" s="2"/>
      <c r="FV180" s="2"/>
      <c r="FW180" s="2"/>
      <c r="FX180" s="2">
        <v>94</v>
      </c>
      <c r="FY180" s="2">
        <v>51</v>
      </c>
      <c r="FZ180" s="2"/>
      <c r="GA180" s="2" t="s">
        <v>3</v>
      </c>
      <c r="GB180" s="2"/>
      <c r="GC180" s="2"/>
      <c r="GD180" s="2">
        <v>1</v>
      </c>
      <c r="GE180" s="2"/>
      <c r="GF180" s="2">
        <v>284279185</v>
      </c>
      <c r="GG180" s="2">
        <v>2</v>
      </c>
      <c r="GH180" s="2">
        <v>1</v>
      </c>
      <c r="GI180" s="2">
        <v>2</v>
      </c>
      <c r="GJ180" s="2">
        <v>0</v>
      </c>
      <c r="GK180" s="2">
        <v>0</v>
      </c>
      <c r="GL180" s="2">
        <f t="shared" si="69"/>
        <v>0</v>
      </c>
      <c r="GM180" s="2">
        <f t="shared" si="70"/>
        <v>179.43</v>
      </c>
      <c r="GN180" s="2">
        <f t="shared" si="71"/>
        <v>179.43</v>
      </c>
      <c r="GO180" s="2">
        <f t="shared" si="72"/>
        <v>0</v>
      </c>
      <c r="GP180" s="2">
        <f t="shared" si="73"/>
        <v>0</v>
      </c>
      <c r="GQ180" s="2"/>
      <c r="GR180" s="2">
        <v>0</v>
      </c>
      <c r="GS180" s="2">
        <v>3</v>
      </c>
      <c r="GT180" s="2">
        <v>0</v>
      </c>
      <c r="GU180" s="2" t="s">
        <v>3</v>
      </c>
      <c r="GV180" s="2">
        <f t="shared" si="74"/>
        <v>0</v>
      </c>
      <c r="GW180" s="2">
        <v>1</v>
      </c>
      <c r="GX180" s="2">
        <f t="shared" si="75"/>
        <v>0</v>
      </c>
      <c r="GY180" s="2"/>
      <c r="GZ180" s="2"/>
      <c r="HA180" s="2">
        <v>0</v>
      </c>
      <c r="HB180" s="2">
        <v>0</v>
      </c>
      <c r="HC180" s="2">
        <f t="shared" si="76"/>
        <v>0</v>
      </c>
      <c r="HD180" s="2"/>
      <c r="HE180" s="2" t="s">
        <v>3</v>
      </c>
      <c r="HF180" s="2" t="s">
        <v>3</v>
      </c>
      <c r="HG180" s="2"/>
      <c r="HH180" s="2"/>
      <c r="HI180" s="2"/>
      <c r="HJ180" s="2"/>
      <c r="HK180" s="2"/>
      <c r="HL180" s="2"/>
      <c r="HM180" s="2" t="s">
        <v>3</v>
      </c>
      <c r="HN180" s="2" t="s">
        <v>293</v>
      </c>
      <c r="HO180" s="2" t="s">
        <v>294</v>
      </c>
      <c r="HP180" s="2" t="s">
        <v>290</v>
      </c>
      <c r="HQ180" s="2" t="s">
        <v>290</v>
      </c>
      <c r="HR180" s="2"/>
      <c r="HS180" s="2">
        <v>0</v>
      </c>
      <c r="HT180" s="2"/>
      <c r="HU180" s="2"/>
      <c r="HV180" s="2"/>
      <c r="HW180" s="2"/>
      <c r="HX180" s="2"/>
      <c r="HY180" s="2"/>
      <c r="HZ180" s="2"/>
      <c r="IA180" s="2"/>
      <c r="IB180" s="2"/>
      <c r="IC180" s="2"/>
      <c r="ID180" s="2"/>
      <c r="IE180" s="2"/>
      <c r="IF180" s="2"/>
      <c r="IG180" s="2"/>
      <c r="IH180" s="2"/>
      <c r="II180" s="2"/>
      <c r="IJ180" s="2"/>
      <c r="IK180" s="2">
        <v>0</v>
      </c>
      <c r="IL180" s="2"/>
      <c r="IM180" s="2"/>
      <c r="IN180" s="2"/>
      <c r="IO180" s="2"/>
      <c r="IP180" s="2"/>
      <c r="IQ180" s="2"/>
      <c r="IR180" s="2"/>
      <c r="IS180" s="2"/>
      <c r="IT180" s="2"/>
      <c r="IU180" s="2"/>
    </row>
    <row r="181" spans="1:255" ht="13.05" customHeight="1" x14ac:dyDescent="0.25">
      <c r="A181" s="2">
        <v>18</v>
      </c>
      <c r="B181" s="2">
        <v>1</v>
      </c>
      <c r="C181" s="2">
        <v>241</v>
      </c>
      <c r="D181" s="2"/>
      <c r="E181" s="2" t="s">
        <v>375</v>
      </c>
      <c r="F181" s="2" t="s">
        <v>376</v>
      </c>
      <c r="G181" s="2" t="s">
        <v>377</v>
      </c>
      <c r="H181" s="2" t="s">
        <v>174</v>
      </c>
      <c r="I181" s="2">
        <f>I179*J181</f>
        <v>8.0000000000000007E-5</v>
      </c>
      <c r="J181" s="2">
        <v>2E-3</v>
      </c>
      <c r="K181" s="2">
        <v>2E-3</v>
      </c>
      <c r="L181" s="2"/>
      <c r="M181" s="2"/>
      <c r="N181" s="2"/>
      <c r="O181" s="2">
        <f t="shared" si="56"/>
        <v>8.84</v>
      </c>
      <c r="P181" s="2">
        <f>ROUND(CQ181*I181,2)</f>
        <v>8.84</v>
      </c>
      <c r="Q181" s="2">
        <f>ROUND(CR181*I181,2)</f>
        <v>0</v>
      </c>
      <c r="R181" s="2">
        <f>ROUND(CS181*I181,2)</f>
        <v>0</v>
      </c>
      <c r="S181" s="2">
        <f>ROUND(CT181*I181,2)</f>
        <v>0</v>
      </c>
      <c r="T181" s="2">
        <f t="shared" si="57"/>
        <v>0</v>
      </c>
      <c r="U181" s="2">
        <f>ROUND(CV181*I181,7)</f>
        <v>0</v>
      </c>
      <c r="V181" s="2">
        <f>ROUND(CW181*I181,7)</f>
        <v>0</v>
      </c>
      <c r="W181" s="2">
        <f t="shared" si="58"/>
        <v>0</v>
      </c>
      <c r="X181" s="2">
        <f t="shared" si="59"/>
        <v>0</v>
      </c>
      <c r="Y181" s="2">
        <f t="shared" si="60"/>
        <v>0</v>
      </c>
      <c r="Z181" s="2"/>
      <c r="AA181" s="2">
        <v>75604747</v>
      </c>
      <c r="AB181" s="2">
        <f t="shared" si="61"/>
        <v>74165.73</v>
      </c>
      <c r="AC181" s="2">
        <f>ROUND((ES181),6)</f>
        <v>74165.73</v>
      </c>
      <c r="AD181" s="2">
        <f>ROUND((((ET181)-(EU181))+AE181),6)</f>
        <v>0</v>
      </c>
      <c r="AE181" s="2">
        <f>ROUND((EU181),6)</f>
        <v>0</v>
      </c>
      <c r="AF181" s="2">
        <f>ROUND((EV181),6)</f>
        <v>0</v>
      </c>
      <c r="AG181" s="2">
        <f t="shared" si="62"/>
        <v>0</v>
      </c>
      <c r="AH181" s="2">
        <f>(EW181)</f>
        <v>0</v>
      </c>
      <c r="AI181" s="2">
        <f>(EX181)</f>
        <v>0</v>
      </c>
      <c r="AJ181" s="2">
        <f t="shared" si="63"/>
        <v>0</v>
      </c>
      <c r="AK181" s="2">
        <v>74165.73</v>
      </c>
      <c r="AL181" s="2">
        <v>74165.73</v>
      </c>
      <c r="AM181" s="2">
        <v>0</v>
      </c>
      <c r="AN181" s="2">
        <v>0</v>
      </c>
      <c r="AO181" s="2">
        <v>0</v>
      </c>
      <c r="AP181" s="2">
        <v>0</v>
      </c>
      <c r="AQ181" s="2">
        <v>0</v>
      </c>
      <c r="AR181" s="2">
        <v>0</v>
      </c>
      <c r="AS181" s="2">
        <v>0</v>
      </c>
      <c r="AT181" s="2">
        <v>94</v>
      </c>
      <c r="AU181" s="2">
        <v>51</v>
      </c>
      <c r="AV181" s="2">
        <v>1</v>
      </c>
      <c r="AW181" s="2">
        <v>1</v>
      </c>
      <c r="AX181" s="2"/>
      <c r="AY181" s="2"/>
      <c r="AZ181" s="2">
        <v>1</v>
      </c>
      <c r="BA181" s="2">
        <v>1</v>
      </c>
      <c r="BB181" s="2">
        <v>1</v>
      </c>
      <c r="BC181" s="2">
        <v>1.49</v>
      </c>
      <c r="BD181" s="2" t="s">
        <v>3</v>
      </c>
      <c r="BE181" s="2" t="s">
        <v>3</v>
      </c>
      <c r="BF181" s="2" t="s">
        <v>3</v>
      </c>
      <c r="BG181" s="2" t="s">
        <v>3</v>
      </c>
      <c r="BH181" s="2">
        <v>3</v>
      </c>
      <c r="BI181" s="2">
        <v>1</v>
      </c>
      <c r="BJ181" s="2" t="s">
        <v>378</v>
      </c>
      <c r="BK181" s="2"/>
      <c r="BL181" s="2"/>
      <c r="BM181" s="2">
        <v>13001</v>
      </c>
      <c r="BN181" s="2">
        <v>0</v>
      </c>
      <c r="BO181" s="2" t="s">
        <v>376</v>
      </c>
      <c r="BP181" s="2">
        <v>1</v>
      </c>
      <c r="BQ181" s="2">
        <v>2</v>
      </c>
      <c r="BR181" s="2">
        <v>0</v>
      </c>
      <c r="BS181" s="2">
        <v>1</v>
      </c>
      <c r="BT181" s="2">
        <v>1</v>
      </c>
      <c r="BU181" s="2">
        <v>1</v>
      </c>
      <c r="BV181" s="2">
        <v>1</v>
      </c>
      <c r="BW181" s="2">
        <v>1</v>
      </c>
      <c r="BX181" s="2">
        <v>1</v>
      </c>
      <c r="BY181" s="2" t="s">
        <v>3</v>
      </c>
      <c r="BZ181" s="2">
        <v>94</v>
      </c>
      <c r="CA181" s="2">
        <v>51</v>
      </c>
      <c r="CB181" s="2" t="s">
        <v>3</v>
      </c>
      <c r="CC181" s="2"/>
      <c r="CD181" s="2"/>
      <c r="CE181" s="2">
        <v>0</v>
      </c>
      <c r="CF181" s="2">
        <v>0</v>
      </c>
      <c r="CG181" s="2">
        <v>0</v>
      </c>
      <c r="CH181" s="2"/>
      <c r="CI181" s="2"/>
      <c r="CJ181" s="2"/>
      <c r="CK181" s="2"/>
      <c r="CL181" s="2"/>
      <c r="CM181" s="2">
        <v>0</v>
      </c>
      <c r="CN181" s="2" t="s">
        <v>3</v>
      </c>
      <c r="CO181" s="2">
        <v>0</v>
      </c>
      <c r="CP181" s="2">
        <f t="shared" si="64"/>
        <v>8.84</v>
      </c>
      <c r="CQ181" s="2">
        <f>ROUND(AL181*BC181,2)</f>
        <v>110506.94</v>
      </c>
      <c r="CR181" s="2">
        <f>ROUND(AM181*BB181,2)</f>
        <v>0</v>
      </c>
      <c r="CS181" s="2">
        <f>ROUND(AN181*BS181,2)</f>
        <v>0</v>
      </c>
      <c r="CT181" s="2">
        <f>ROUND(AO181*BA181,2)</f>
        <v>0</v>
      </c>
      <c r="CU181" s="2">
        <f t="shared" si="65"/>
        <v>0</v>
      </c>
      <c r="CV181" s="2">
        <f>AH181</f>
        <v>0</v>
      </c>
      <c r="CW181" s="2">
        <f>AI181</f>
        <v>0</v>
      </c>
      <c r="CX181" s="2">
        <f t="shared" si="66"/>
        <v>0</v>
      </c>
      <c r="CY181" s="2">
        <f t="shared" si="67"/>
        <v>0</v>
      </c>
      <c r="CZ181" s="2">
        <f t="shared" si="68"/>
        <v>0</v>
      </c>
      <c r="DA181" s="2"/>
      <c r="DB181" s="2"/>
      <c r="DC181" s="2" t="s">
        <v>3</v>
      </c>
      <c r="DD181" s="2" t="s">
        <v>3</v>
      </c>
      <c r="DE181" s="2" t="s">
        <v>3</v>
      </c>
      <c r="DF181" s="2" t="s">
        <v>3</v>
      </c>
      <c r="DG181" s="2" t="s">
        <v>3</v>
      </c>
      <c r="DH181" s="2" t="s">
        <v>3</v>
      </c>
      <c r="DI181" s="2" t="s">
        <v>3</v>
      </c>
      <c r="DJ181" s="2" t="s">
        <v>3</v>
      </c>
      <c r="DK181" s="2" t="s">
        <v>3</v>
      </c>
      <c r="DL181" s="2" t="s">
        <v>3</v>
      </c>
      <c r="DM181" s="2" t="s">
        <v>3</v>
      </c>
      <c r="DN181" s="2">
        <v>0</v>
      </c>
      <c r="DO181" s="2">
        <v>0</v>
      </c>
      <c r="DP181" s="2">
        <v>1</v>
      </c>
      <c r="DQ181" s="2">
        <v>1</v>
      </c>
      <c r="DR181" s="2"/>
      <c r="DS181" s="2"/>
      <c r="DT181" s="2"/>
      <c r="DU181" s="2">
        <v>1009</v>
      </c>
      <c r="DV181" s="2" t="s">
        <v>174</v>
      </c>
      <c r="DW181" s="2" t="s">
        <v>174</v>
      </c>
      <c r="DX181" s="2">
        <v>1000</v>
      </c>
      <c r="DY181" s="2"/>
      <c r="DZ181" s="2" t="s">
        <v>3</v>
      </c>
      <c r="EA181" s="2" t="s">
        <v>3</v>
      </c>
      <c r="EB181" s="2" t="s">
        <v>3</v>
      </c>
      <c r="EC181" s="2" t="s">
        <v>3</v>
      </c>
      <c r="ED181" s="2"/>
      <c r="EE181" s="2">
        <v>74004201</v>
      </c>
      <c r="EF181" s="2">
        <v>2</v>
      </c>
      <c r="EG181" s="2" t="s">
        <v>29</v>
      </c>
      <c r="EH181" s="2">
        <v>13</v>
      </c>
      <c r="EI181" s="2" t="s">
        <v>290</v>
      </c>
      <c r="EJ181" s="2">
        <v>1</v>
      </c>
      <c r="EK181" s="2">
        <v>13001</v>
      </c>
      <c r="EL181" s="2" t="s">
        <v>291</v>
      </c>
      <c r="EM181" s="2" t="s">
        <v>292</v>
      </c>
      <c r="EN181" s="2"/>
      <c r="EO181" s="2" t="s">
        <v>3</v>
      </c>
      <c r="EP181" s="2"/>
      <c r="EQ181" s="2">
        <v>262144</v>
      </c>
      <c r="ER181" s="2">
        <v>74165.73</v>
      </c>
      <c r="ES181" s="2">
        <v>74165.73</v>
      </c>
      <c r="ET181" s="2">
        <v>0</v>
      </c>
      <c r="EU181" s="2">
        <v>0</v>
      </c>
      <c r="EV181" s="2">
        <v>0</v>
      </c>
      <c r="EW181" s="2">
        <v>0</v>
      </c>
      <c r="EX181" s="2">
        <v>0</v>
      </c>
      <c r="EY181" s="2"/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>
        <v>0</v>
      </c>
      <c r="FR181" s="2">
        <v>0</v>
      </c>
      <c r="FS181" s="2">
        <v>0</v>
      </c>
      <c r="FT181" s="2"/>
      <c r="FU181" s="2"/>
      <c r="FV181" s="2"/>
      <c r="FW181" s="2"/>
      <c r="FX181" s="2">
        <v>94</v>
      </c>
      <c r="FY181" s="2">
        <v>51</v>
      </c>
      <c r="FZ181" s="2"/>
      <c r="GA181" s="2" t="s">
        <v>3</v>
      </c>
      <c r="GB181" s="2"/>
      <c r="GC181" s="2"/>
      <c r="GD181" s="2">
        <v>1</v>
      </c>
      <c r="GE181" s="2"/>
      <c r="GF181" s="2">
        <v>-1034340975</v>
      </c>
      <c r="GG181" s="2">
        <v>2</v>
      </c>
      <c r="GH181" s="2">
        <v>1</v>
      </c>
      <c r="GI181" s="2">
        <v>2</v>
      </c>
      <c r="GJ181" s="2">
        <v>0</v>
      </c>
      <c r="GK181" s="2">
        <v>0</v>
      </c>
      <c r="GL181" s="2">
        <f t="shared" si="69"/>
        <v>0</v>
      </c>
      <c r="GM181" s="2">
        <f t="shared" si="70"/>
        <v>8.84</v>
      </c>
      <c r="GN181" s="2">
        <f t="shared" si="71"/>
        <v>8.84</v>
      </c>
      <c r="GO181" s="2">
        <f t="shared" si="72"/>
        <v>0</v>
      </c>
      <c r="GP181" s="2">
        <f t="shared" si="73"/>
        <v>0</v>
      </c>
      <c r="GQ181" s="2"/>
      <c r="GR181" s="2">
        <v>0</v>
      </c>
      <c r="GS181" s="2">
        <v>3</v>
      </c>
      <c r="GT181" s="2">
        <v>0</v>
      </c>
      <c r="GU181" s="2" t="s">
        <v>3</v>
      </c>
      <c r="GV181" s="2">
        <f t="shared" si="74"/>
        <v>0</v>
      </c>
      <c r="GW181" s="2">
        <v>1</v>
      </c>
      <c r="GX181" s="2">
        <f t="shared" si="75"/>
        <v>0</v>
      </c>
      <c r="GY181" s="2"/>
      <c r="GZ181" s="2"/>
      <c r="HA181" s="2">
        <v>0</v>
      </c>
      <c r="HB181" s="2">
        <v>0</v>
      </c>
      <c r="HC181" s="2">
        <f t="shared" si="76"/>
        <v>0</v>
      </c>
      <c r="HD181" s="2"/>
      <c r="HE181" s="2" t="s">
        <v>3</v>
      </c>
      <c r="HF181" s="2" t="s">
        <v>3</v>
      </c>
      <c r="HG181" s="2"/>
      <c r="HH181" s="2"/>
      <c r="HI181" s="2"/>
      <c r="HJ181" s="2"/>
      <c r="HK181" s="2"/>
      <c r="HL181" s="2"/>
      <c r="HM181" s="2" t="s">
        <v>3</v>
      </c>
      <c r="HN181" s="2" t="s">
        <v>293</v>
      </c>
      <c r="HO181" s="2" t="s">
        <v>294</v>
      </c>
      <c r="HP181" s="2" t="s">
        <v>290</v>
      </c>
      <c r="HQ181" s="2" t="s">
        <v>290</v>
      </c>
      <c r="HR181" s="2"/>
      <c r="HS181" s="2">
        <v>0</v>
      </c>
      <c r="HT181" s="2"/>
      <c r="HU181" s="2"/>
      <c r="HV181" s="2"/>
      <c r="HW181" s="2"/>
      <c r="HX181" s="2"/>
      <c r="HY181" s="2"/>
      <c r="HZ181" s="2"/>
      <c r="IA181" s="2"/>
      <c r="IB181" s="2"/>
      <c r="IC181" s="2"/>
      <c r="ID181" s="2"/>
      <c r="IE181" s="2"/>
      <c r="IF181" s="2"/>
      <c r="IG181" s="2"/>
      <c r="IH181" s="2"/>
      <c r="II181" s="2"/>
      <c r="IJ181" s="2"/>
      <c r="IK181" s="2">
        <v>0</v>
      </c>
      <c r="IL181" s="2"/>
      <c r="IM181" s="2"/>
      <c r="IN181" s="2"/>
      <c r="IO181" s="2"/>
      <c r="IP181" s="2"/>
      <c r="IQ181" s="2"/>
      <c r="IR181" s="2"/>
      <c r="IS181" s="2"/>
      <c r="IT181" s="2"/>
      <c r="IU181" s="2"/>
    </row>
    <row r="182" spans="1:255" ht="13.05" customHeight="1" x14ac:dyDescent="0.25">
      <c r="A182" s="2">
        <v>17</v>
      </c>
      <c r="B182" s="2">
        <v>1</v>
      </c>
      <c r="C182" s="2">
        <f>ROW(SmtRes!A246)</f>
        <v>246</v>
      </c>
      <c r="D182" s="2">
        <f>ROW(EtalonRes!A256)</f>
        <v>256</v>
      </c>
      <c r="E182" s="2" t="s">
        <v>379</v>
      </c>
      <c r="F182" s="2" t="s">
        <v>380</v>
      </c>
      <c r="G182" s="2" t="s">
        <v>381</v>
      </c>
      <c r="H182" s="2" t="s">
        <v>185</v>
      </c>
      <c r="I182" s="2">
        <v>0.02</v>
      </c>
      <c r="J182" s="2">
        <v>0</v>
      </c>
      <c r="K182" s="2">
        <v>0.02</v>
      </c>
      <c r="L182" s="2"/>
      <c r="M182" s="2"/>
      <c r="N182" s="2"/>
      <c r="O182" s="2">
        <f t="shared" si="56"/>
        <v>519.02</v>
      </c>
      <c r="P182" s="2">
        <f>SUMIF(SmtRes!AQ242:'SmtRes'!AQ246,"=1",SmtRes!DF242:'SmtRes'!DF246)</f>
        <v>0.22</v>
      </c>
      <c r="Q182" s="2">
        <f>SUMIF(SmtRes!AQ242:'SmtRes'!AQ246,"=1",SmtRes!DG242:'SmtRes'!DG246)</f>
        <v>1.62</v>
      </c>
      <c r="R182" s="2">
        <f>SUMIF(SmtRes!AQ242:'SmtRes'!AQ246,"=1",SmtRes!DH242:'SmtRes'!DH246)</f>
        <v>0</v>
      </c>
      <c r="S182" s="2">
        <f>SUMIF(SmtRes!AQ242:'SmtRes'!AQ246,"=1",SmtRes!DI242:'SmtRes'!DI246)</f>
        <v>517.17999999999995</v>
      </c>
      <c r="T182" s="2">
        <f t="shared" si="57"/>
        <v>0</v>
      </c>
      <c r="U182" s="2">
        <f>SUMIF(SmtRes!AQ242:'SmtRes'!AQ246,"=1",SmtRes!CV242:'SmtRes'!CV246)</f>
        <v>1.4053</v>
      </c>
      <c r="V182" s="2">
        <f>SUMIF(SmtRes!AQ242:'SmtRes'!AQ246,"=1",SmtRes!CW242:'SmtRes'!CW246)</f>
        <v>0</v>
      </c>
      <c r="W182" s="2">
        <f t="shared" si="58"/>
        <v>0</v>
      </c>
      <c r="X182" s="2">
        <f t="shared" si="59"/>
        <v>517.17999999999995</v>
      </c>
      <c r="Y182" s="2">
        <f t="shared" si="60"/>
        <v>253.42</v>
      </c>
      <c r="Z182" s="2"/>
      <c r="AA182" s="2">
        <v>75604747</v>
      </c>
      <c r="AB182" s="2">
        <f t="shared" si="61"/>
        <v>25947.337599999999</v>
      </c>
      <c r="AC182" s="2">
        <f>ROUND((SUM(SmtRes!BQ242:'SmtRes'!BQ246)),6)</f>
        <v>12.4985</v>
      </c>
      <c r="AD182" s="2">
        <f>ROUND((((SUM(SmtRes!BR242:'SmtRes'!BR246))-(0))+AE182),6)</f>
        <v>75.913799999999995</v>
      </c>
      <c r="AE182" s="2">
        <f>ROUND((0),6)</f>
        <v>0</v>
      </c>
      <c r="AF182" s="2">
        <f>ROUND((SUM(SmtRes!BT242:'SmtRes'!BT246)),6)</f>
        <v>25858.925299999999</v>
      </c>
      <c r="AG182" s="2">
        <f t="shared" si="62"/>
        <v>0</v>
      </c>
      <c r="AH182" s="2">
        <f>(SUM(SmtRes!BU242:'SmtRes'!BU246))</f>
        <v>70.265000000000001</v>
      </c>
      <c r="AI182" s="2">
        <f>(0)</f>
        <v>0</v>
      </c>
      <c r="AJ182" s="2">
        <f t="shared" si="63"/>
        <v>0</v>
      </c>
      <c r="AK182" s="2">
        <v>22564.532500000001</v>
      </c>
      <c r="AL182" s="2">
        <v>12.4985</v>
      </c>
      <c r="AM182" s="2">
        <v>66.012</v>
      </c>
      <c r="AN182" s="2">
        <v>0</v>
      </c>
      <c r="AO182" s="2">
        <v>22486.022000000001</v>
      </c>
      <c r="AP182" s="2">
        <v>0</v>
      </c>
      <c r="AQ182" s="2">
        <v>61.1</v>
      </c>
      <c r="AR182" s="2">
        <v>0</v>
      </c>
      <c r="AS182" s="2">
        <v>0</v>
      </c>
      <c r="AT182" s="2">
        <v>100</v>
      </c>
      <c r="AU182" s="2">
        <v>49</v>
      </c>
      <c r="AV182" s="2">
        <v>1</v>
      </c>
      <c r="AW182" s="2">
        <v>1</v>
      </c>
      <c r="AX182" s="2"/>
      <c r="AY182" s="2"/>
      <c r="AZ182" s="2">
        <v>1</v>
      </c>
      <c r="BA182" s="2">
        <v>1</v>
      </c>
      <c r="BB182" s="2">
        <v>1</v>
      </c>
      <c r="BC182" s="2">
        <v>1</v>
      </c>
      <c r="BD182" s="2" t="s">
        <v>3</v>
      </c>
      <c r="BE182" s="2" t="s">
        <v>3</v>
      </c>
      <c r="BF182" s="2" t="s">
        <v>3</v>
      </c>
      <c r="BG182" s="2" t="s">
        <v>3</v>
      </c>
      <c r="BH182" s="2">
        <v>0</v>
      </c>
      <c r="BI182" s="2">
        <v>1</v>
      </c>
      <c r="BJ182" s="2" t="s">
        <v>382</v>
      </c>
      <c r="BK182" s="2"/>
      <c r="BL182" s="2"/>
      <c r="BM182" s="2">
        <v>15001</v>
      </c>
      <c r="BN182" s="2">
        <v>0</v>
      </c>
      <c r="BO182" s="2" t="s">
        <v>3</v>
      </c>
      <c r="BP182" s="2">
        <v>0</v>
      </c>
      <c r="BQ182" s="2">
        <v>2</v>
      </c>
      <c r="BR182" s="2">
        <v>0</v>
      </c>
      <c r="BS182" s="2">
        <v>1</v>
      </c>
      <c r="BT182" s="2">
        <v>1</v>
      </c>
      <c r="BU182" s="2">
        <v>1</v>
      </c>
      <c r="BV182" s="2">
        <v>1</v>
      </c>
      <c r="BW182" s="2">
        <v>1</v>
      </c>
      <c r="BX182" s="2">
        <v>1</v>
      </c>
      <c r="BY182" s="2" t="s">
        <v>3</v>
      </c>
      <c r="BZ182" s="2">
        <v>100</v>
      </c>
      <c r="CA182" s="2">
        <v>49</v>
      </c>
      <c r="CB182" s="2" t="s">
        <v>3</v>
      </c>
      <c r="CC182" s="2"/>
      <c r="CD182" s="2"/>
      <c r="CE182" s="2">
        <v>0</v>
      </c>
      <c r="CF182" s="2">
        <v>0</v>
      </c>
      <c r="CG182" s="2">
        <v>0</v>
      </c>
      <c r="CH182" s="2"/>
      <c r="CI182" s="2"/>
      <c r="CJ182" s="2"/>
      <c r="CK182" s="2"/>
      <c r="CL182" s="2"/>
      <c r="CM182" s="2">
        <v>0</v>
      </c>
      <c r="CN182" s="7" t="s">
        <v>802</v>
      </c>
      <c r="CO182" s="2">
        <v>0</v>
      </c>
      <c r="CP182" s="2">
        <f t="shared" si="64"/>
        <v>519.02</v>
      </c>
      <c r="CQ182" s="2">
        <f>SUMIF(SmtRes!AQ242:'SmtRes'!AQ246,"=1",SmtRes!AA242:'SmtRes'!AA246)</f>
        <v>31.42</v>
      </c>
      <c r="CR182" s="2">
        <f>SUMIF(SmtRes!AQ242:'SmtRes'!AQ246,"=1",SmtRes!AB242:'SmtRes'!AB246)</f>
        <v>37.630000000000003</v>
      </c>
      <c r="CS182" s="2">
        <f>SUMIF(SmtRes!AQ242:'SmtRes'!AQ246,"=1",SmtRes!AC242:'SmtRes'!AC246)</f>
        <v>0</v>
      </c>
      <c r="CT182" s="2">
        <f>SUMIF(SmtRes!AQ242:'SmtRes'!AQ246,"=1",SmtRes!AD242:'SmtRes'!AD246)</f>
        <v>368.02</v>
      </c>
      <c r="CU182" s="2">
        <f t="shared" si="65"/>
        <v>0</v>
      </c>
      <c r="CV182" s="2">
        <f>SUMIF(SmtRes!AQ242:'SmtRes'!AQ246,"=1",SmtRes!BU242:'SmtRes'!BU246)</f>
        <v>70.265000000000001</v>
      </c>
      <c r="CW182" s="2">
        <f>SUMIF(SmtRes!AQ242:'SmtRes'!AQ246,"=1",SmtRes!BV242:'SmtRes'!BV246)</f>
        <v>0</v>
      </c>
      <c r="CX182" s="2">
        <f t="shared" si="66"/>
        <v>0</v>
      </c>
      <c r="CY182" s="2">
        <f t="shared" si="67"/>
        <v>517.17999999999995</v>
      </c>
      <c r="CZ182" s="2">
        <f t="shared" si="68"/>
        <v>253.41819999999996</v>
      </c>
      <c r="DA182" s="2"/>
      <c r="DB182" s="2">
        <v>35</v>
      </c>
      <c r="DC182" s="2" t="s">
        <v>3</v>
      </c>
      <c r="DD182" s="2" t="s">
        <v>3</v>
      </c>
      <c r="DE182" s="2" t="s">
        <v>27</v>
      </c>
      <c r="DF182" s="2" t="s">
        <v>27</v>
      </c>
      <c r="DG182" s="2" t="s">
        <v>27</v>
      </c>
      <c r="DH182" s="2" t="s">
        <v>3</v>
      </c>
      <c r="DI182" s="2" t="s">
        <v>27</v>
      </c>
      <c r="DJ182" s="2" t="s">
        <v>27</v>
      </c>
      <c r="DK182" s="2" t="s">
        <v>3</v>
      </c>
      <c r="DL182" s="2" t="s">
        <v>3</v>
      </c>
      <c r="DM182" s="2" t="s">
        <v>3</v>
      </c>
      <c r="DN182" s="2">
        <v>0</v>
      </c>
      <c r="DO182" s="2">
        <v>0</v>
      </c>
      <c r="DP182" s="2">
        <v>1</v>
      </c>
      <c r="DQ182" s="2">
        <v>1</v>
      </c>
      <c r="DR182" s="2"/>
      <c r="DS182" s="2"/>
      <c r="DT182" s="2"/>
      <c r="DU182" s="2">
        <v>1005</v>
      </c>
      <c r="DV182" s="2" t="s">
        <v>185</v>
      </c>
      <c r="DW182" s="2" t="s">
        <v>185</v>
      </c>
      <c r="DX182" s="2">
        <v>100</v>
      </c>
      <c r="DY182" s="2"/>
      <c r="DZ182" s="2" t="s">
        <v>3</v>
      </c>
      <c r="EA182" s="2" t="s">
        <v>3</v>
      </c>
      <c r="EB182" s="2" t="s">
        <v>3</v>
      </c>
      <c r="EC182" s="2" t="s">
        <v>3</v>
      </c>
      <c r="ED182" s="2"/>
      <c r="EE182" s="2">
        <v>74004224</v>
      </c>
      <c r="EF182" s="2">
        <v>2</v>
      </c>
      <c r="EG182" s="2" t="s">
        <v>29</v>
      </c>
      <c r="EH182" s="2">
        <v>15</v>
      </c>
      <c r="EI182" s="2" t="s">
        <v>383</v>
      </c>
      <c r="EJ182" s="2">
        <v>1</v>
      </c>
      <c r="EK182" s="2">
        <v>15001</v>
      </c>
      <c r="EL182" s="2" t="s">
        <v>383</v>
      </c>
      <c r="EM182" s="2" t="s">
        <v>384</v>
      </c>
      <c r="EN182" s="2"/>
      <c r="EO182" s="2" t="s">
        <v>39</v>
      </c>
      <c r="EP182" s="2"/>
      <c r="EQ182" s="2">
        <v>262144</v>
      </c>
      <c r="ER182" s="2">
        <v>0</v>
      </c>
      <c r="ES182" s="2">
        <v>0</v>
      </c>
      <c r="ET182" s="2">
        <v>0</v>
      </c>
      <c r="EU182" s="2">
        <v>0</v>
      </c>
      <c r="EV182" s="2">
        <v>0</v>
      </c>
      <c r="EW182" s="2">
        <v>61.1</v>
      </c>
      <c r="EX182" s="2">
        <v>0</v>
      </c>
      <c r="EY182" s="2">
        <v>0</v>
      </c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>
        <v>0</v>
      </c>
      <c r="FR182" s="2">
        <v>0</v>
      </c>
      <c r="FS182" s="2">
        <v>0</v>
      </c>
      <c r="FT182" s="2"/>
      <c r="FU182" s="2"/>
      <c r="FV182" s="2"/>
      <c r="FW182" s="2"/>
      <c r="FX182" s="2">
        <v>100</v>
      </c>
      <c r="FY182" s="2">
        <v>49</v>
      </c>
      <c r="FZ182" s="2"/>
      <c r="GA182" s="2" t="s">
        <v>3</v>
      </c>
      <c r="GB182" s="2"/>
      <c r="GC182" s="2"/>
      <c r="GD182" s="2">
        <v>1</v>
      </c>
      <c r="GE182" s="2"/>
      <c r="GF182" s="2">
        <v>-1923435980</v>
      </c>
      <c r="GG182" s="2">
        <v>2</v>
      </c>
      <c r="GH182" s="2">
        <v>1</v>
      </c>
      <c r="GI182" s="2">
        <v>-2</v>
      </c>
      <c r="GJ182" s="2">
        <v>0</v>
      </c>
      <c r="GK182" s="2">
        <v>0</v>
      </c>
      <c r="GL182" s="2">
        <f t="shared" si="69"/>
        <v>0</v>
      </c>
      <c r="GM182" s="2">
        <f t="shared" si="70"/>
        <v>1289.6199999999999</v>
      </c>
      <c r="GN182" s="2">
        <f t="shared" si="71"/>
        <v>1289.6199999999999</v>
      </c>
      <c r="GO182" s="2">
        <f t="shared" si="72"/>
        <v>0</v>
      </c>
      <c r="GP182" s="2">
        <f t="shared" si="73"/>
        <v>0</v>
      </c>
      <c r="GQ182" s="2"/>
      <c r="GR182" s="2">
        <v>0</v>
      </c>
      <c r="GS182" s="2">
        <v>3</v>
      </c>
      <c r="GT182" s="2">
        <v>0</v>
      </c>
      <c r="GU182" s="2" t="s">
        <v>3</v>
      </c>
      <c r="GV182" s="2">
        <f t="shared" si="74"/>
        <v>0</v>
      </c>
      <c r="GW182" s="2">
        <v>1</v>
      </c>
      <c r="GX182" s="2">
        <f t="shared" si="75"/>
        <v>0</v>
      </c>
      <c r="GY182" s="2"/>
      <c r="GZ182" s="2"/>
      <c r="HA182" s="2">
        <v>0</v>
      </c>
      <c r="HB182" s="2">
        <v>0</v>
      </c>
      <c r="HC182" s="2">
        <f t="shared" si="76"/>
        <v>0</v>
      </c>
      <c r="HD182" s="2"/>
      <c r="HE182" s="2" t="s">
        <v>3</v>
      </c>
      <c r="HF182" s="2" t="s">
        <v>3</v>
      </c>
      <c r="HG182" s="2"/>
      <c r="HH182" s="2"/>
      <c r="HI182" s="2"/>
      <c r="HJ182" s="2"/>
      <c r="HK182" s="2"/>
      <c r="HL182" s="2"/>
      <c r="HM182" s="2" t="s">
        <v>3</v>
      </c>
      <c r="HN182" s="2" t="s">
        <v>385</v>
      </c>
      <c r="HO182" s="2" t="s">
        <v>386</v>
      </c>
      <c r="HP182" s="2" t="s">
        <v>383</v>
      </c>
      <c r="HQ182" s="2" t="s">
        <v>383</v>
      </c>
      <c r="HR182" s="2"/>
      <c r="HS182" s="2">
        <v>0</v>
      </c>
      <c r="HT182" s="2"/>
      <c r="HU182" s="2"/>
      <c r="HV182" s="2"/>
      <c r="HW182" s="2"/>
      <c r="HX182" s="2"/>
      <c r="HY182" s="2"/>
      <c r="HZ182" s="2"/>
      <c r="IA182" s="2"/>
      <c r="IB182" s="2"/>
      <c r="IC182" s="2"/>
      <c r="ID182" s="2"/>
      <c r="IE182" s="2"/>
      <c r="IF182" s="2"/>
      <c r="IG182" s="2"/>
      <c r="IH182" s="2"/>
      <c r="II182" s="2"/>
      <c r="IJ182" s="2"/>
      <c r="IK182" s="2">
        <v>0</v>
      </c>
      <c r="IL182" s="2"/>
      <c r="IM182" s="2"/>
      <c r="IN182" s="2"/>
      <c r="IO182" s="2"/>
      <c r="IP182" s="2"/>
      <c r="IQ182" s="2"/>
      <c r="IR182" s="2"/>
      <c r="IS182" s="2"/>
      <c r="IT182" s="2"/>
      <c r="IU182" s="2"/>
    </row>
    <row r="183" spans="1:255" ht="13.05" customHeight="1" x14ac:dyDescent="0.25">
      <c r="A183" s="2">
        <v>18</v>
      </c>
      <c r="B183" s="2">
        <v>1</v>
      </c>
      <c r="C183" s="2">
        <v>246</v>
      </c>
      <c r="D183" s="2"/>
      <c r="E183" s="2" t="s">
        <v>387</v>
      </c>
      <c r="F183" s="2" t="s">
        <v>388</v>
      </c>
      <c r="G183" s="2" t="s">
        <v>389</v>
      </c>
      <c r="H183" s="2" t="s">
        <v>205</v>
      </c>
      <c r="I183" s="2">
        <f>I182*J183</f>
        <v>3.78E-2</v>
      </c>
      <c r="J183" s="2">
        <v>1.89</v>
      </c>
      <c r="K183" s="2">
        <v>1.89</v>
      </c>
      <c r="L183" s="2"/>
      <c r="M183" s="2"/>
      <c r="N183" s="2"/>
      <c r="O183" s="2">
        <f t="shared" si="56"/>
        <v>228.54</v>
      </c>
      <c r="P183" s="2">
        <f>ROUND(CQ183*I183,2)</f>
        <v>228.54</v>
      </c>
      <c r="Q183" s="2">
        <f>ROUND(CR183*I183,2)</f>
        <v>0</v>
      </c>
      <c r="R183" s="2">
        <f>ROUND(CS183*I183,2)</f>
        <v>0</v>
      </c>
      <c r="S183" s="2">
        <f>ROUND(CT183*I183,2)</f>
        <v>0</v>
      </c>
      <c r="T183" s="2">
        <f t="shared" si="57"/>
        <v>0</v>
      </c>
      <c r="U183" s="2">
        <f>ROUND(CV183*I183,7)</f>
        <v>0</v>
      </c>
      <c r="V183" s="2">
        <f>ROUND(CW183*I183,7)</f>
        <v>0</v>
      </c>
      <c r="W183" s="2">
        <f t="shared" si="58"/>
        <v>0</v>
      </c>
      <c r="X183" s="2">
        <f t="shared" si="59"/>
        <v>0</v>
      </c>
      <c r="Y183" s="2">
        <f t="shared" si="60"/>
        <v>0</v>
      </c>
      <c r="Z183" s="2"/>
      <c r="AA183" s="2">
        <v>75604747</v>
      </c>
      <c r="AB183" s="2">
        <f t="shared" si="61"/>
        <v>3925.97</v>
      </c>
      <c r="AC183" s="2">
        <f>ROUND((ES183),6)</f>
        <v>3925.97</v>
      </c>
      <c r="AD183" s="2">
        <f>ROUND((((ET183)-(EU183))+AE183),6)</f>
        <v>0</v>
      </c>
      <c r="AE183" s="2">
        <f>ROUND((EU183),6)</f>
        <v>0</v>
      </c>
      <c r="AF183" s="2">
        <f>ROUND((EV183),6)</f>
        <v>0</v>
      </c>
      <c r="AG183" s="2">
        <f t="shared" si="62"/>
        <v>0</v>
      </c>
      <c r="AH183" s="2">
        <f>(EW183)</f>
        <v>0</v>
      </c>
      <c r="AI183" s="2">
        <f>(EX183)</f>
        <v>0</v>
      </c>
      <c r="AJ183" s="2">
        <f t="shared" si="63"/>
        <v>0</v>
      </c>
      <c r="AK183" s="2">
        <v>3925.97</v>
      </c>
      <c r="AL183" s="2">
        <v>3925.97</v>
      </c>
      <c r="AM183" s="2">
        <v>0</v>
      </c>
      <c r="AN183" s="2">
        <v>0</v>
      </c>
      <c r="AO183" s="2">
        <v>0</v>
      </c>
      <c r="AP183" s="2">
        <v>0</v>
      </c>
      <c r="AQ183" s="2">
        <v>0</v>
      </c>
      <c r="AR183" s="2">
        <v>0</v>
      </c>
      <c r="AS183" s="2">
        <v>0</v>
      </c>
      <c r="AT183" s="2">
        <v>100</v>
      </c>
      <c r="AU183" s="2">
        <v>49</v>
      </c>
      <c r="AV183" s="2">
        <v>1</v>
      </c>
      <c r="AW183" s="2">
        <v>1</v>
      </c>
      <c r="AX183" s="2"/>
      <c r="AY183" s="2"/>
      <c r="AZ183" s="2">
        <v>1</v>
      </c>
      <c r="BA183" s="2">
        <v>1</v>
      </c>
      <c r="BB183" s="2">
        <v>1</v>
      </c>
      <c r="BC183" s="2">
        <v>1.54</v>
      </c>
      <c r="BD183" s="2" t="s">
        <v>3</v>
      </c>
      <c r="BE183" s="2" t="s">
        <v>3</v>
      </c>
      <c r="BF183" s="2" t="s">
        <v>3</v>
      </c>
      <c r="BG183" s="2" t="s">
        <v>3</v>
      </c>
      <c r="BH183" s="2">
        <v>3</v>
      </c>
      <c r="BI183" s="2">
        <v>1</v>
      </c>
      <c r="BJ183" s="2" t="s">
        <v>390</v>
      </c>
      <c r="BK183" s="2"/>
      <c r="BL183" s="2"/>
      <c r="BM183" s="2">
        <v>15001</v>
      </c>
      <c r="BN183" s="2">
        <v>0</v>
      </c>
      <c r="BO183" s="2" t="s">
        <v>388</v>
      </c>
      <c r="BP183" s="2">
        <v>1</v>
      </c>
      <c r="BQ183" s="2">
        <v>2</v>
      </c>
      <c r="BR183" s="2">
        <v>0</v>
      </c>
      <c r="BS183" s="2">
        <v>1</v>
      </c>
      <c r="BT183" s="2">
        <v>1</v>
      </c>
      <c r="BU183" s="2">
        <v>1</v>
      </c>
      <c r="BV183" s="2">
        <v>1</v>
      </c>
      <c r="BW183" s="2">
        <v>1</v>
      </c>
      <c r="BX183" s="2">
        <v>1</v>
      </c>
      <c r="BY183" s="2" t="s">
        <v>3</v>
      </c>
      <c r="BZ183" s="2">
        <v>100</v>
      </c>
      <c r="CA183" s="2">
        <v>49</v>
      </c>
      <c r="CB183" s="2" t="s">
        <v>3</v>
      </c>
      <c r="CC183" s="2"/>
      <c r="CD183" s="2"/>
      <c r="CE183" s="2">
        <v>0</v>
      </c>
      <c r="CF183" s="2">
        <v>0</v>
      </c>
      <c r="CG183" s="2">
        <v>0</v>
      </c>
      <c r="CH183" s="2"/>
      <c r="CI183" s="2"/>
      <c r="CJ183" s="2"/>
      <c r="CK183" s="2"/>
      <c r="CL183" s="2"/>
      <c r="CM183" s="2">
        <v>0</v>
      </c>
      <c r="CN183" s="2" t="s">
        <v>3</v>
      </c>
      <c r="CO183" s="2">
        <v>0</v>
      </c>
      <c r="CP183" s="2">
        <f t="shared" si="64"/>
        <v>228.54</v>
      </c>
      <c r="CQ183" s="2">
        <f>ROUND(AL183*BC183,2)</f>
        <v>6045.99</v>
      </c>
      <c r="CR183" s="2">
        <f>ROUND(AM183*BB183,2)</f>
        <v>0</v>
      </c>
      <c r="CS183" s="2">
        <f>ROUND(AN183*BS183,2)</f>
        <v>0</v>
      </c>
      <c r="CT183" s="2">
        <f>ROUND(AO183*BA183,2)</f>
        <v>0</v>
      </c>
      <c r="CU183" s="2">
        <f t="shared" si="65"/>
        <v>0</v>
      </c>
      <c r="CV183" s="2">
        <f>AH183</f>
        <v>0</v>
      </c>
      <c r="CW183" s="2">
        <f>AI183</f>
        <v>0</v>
      </c>
      <c r="CX183" s="2">
        <f t="shared" si="66"/>
        <v>0</v>
      </c>
      <c r="CY183" s="2">
        <f t="shared" si="67"/>
        <v>0</v>
      </c>
      <c r="CZ183" s="2">
        <f t="shared" si="68"/>
        <v>0</v>
      </c>
      <c r="DA183" s="2"/>
      <c r="DB183" s="2"/>
      <c r="DC183" s="2" t="s">
        <v>3</v>
      </c>
      <c r="DD183" s="2" t="s">
        <v>3</v>
      </c>
      <c r="DE183" s="2" t="s">
        <v>3</v>
      </c>
      <c r="DF183" s="2" t="s">
        <v>3</v>
      </c>
      <c r="DG183" s="2" t="s">
        <v>3</v>
      </c>
      <c r="DH183" s="2" t="s">
        <v>3</v>
      </c>
      <c r="DI183" s="2" t="s">
        <v>3</v>
      </c>
      <c r="DJ183" s="2" t="s">
        <v>3</v>
      </c>
      <c r="DK183" s="2" t="s">
        <v>3</v>
      </c>
      <c r="DL183" s="2" t="s">
        <v>3</v>
      </c>
      <c r="DM183" s="2" t="s">
        <v>3</v>
      </c>
      <c r="DN183" s="2">
        <v>0</v>
      </c>
      <c r="DO183" s="2">
        <v>0</v>
      </c>
      <c r="DP183" s="2">
        <v>1</v>
      </c>
      <c r="DQ183" s="2">
        <v>1</v>
      </c>
      <c r="DR183" s="2"/>
      <c r="DS183" s="2"/>
      <c r="DT183" s="2"/>
      <c r="DU183" s="2">
        <v>1007</v>
      </c>
      <c r="DV183" s="2" t="s">
        <v>205</v>
      </c>
      <c r="DW183" s="2" t="s">
        <v>205</v>
      </c>
      <c r="DX183" s="2">
        <v>1</v>
      </c>
      <c r="DY183" s="2"/>
      <c r="DZ183" s="2" t="s">
        <v>3</v>
      </c>
      <c r="EA183" s="2" t="s">
        <v>3</v>
      </c>
      <c r="EB183" s="2" t="s">
        <v>3</v>
      </c>
      <c r="EC183" s="2" t="s">
        <v>3</v>
      </c>
      <c r="ED183" s="2"/>
      <c r="EE183" s="2">
        <v>74004224</v>
      </c>
      <c r="EF183" s="2">
        <v>2</v>
      </c>
      <c r="EG183" s="2" t="s">
        <v>29</v>
      </c>
      <c r="EH183" s="2">
        <v>15</v>
      </c>
      <c r="EI183" s="2" t="s">
        <v>383</v>
      </c>
      <c r="EJ183" s="2">
        <v>1</v>
      </c>
      <c r="EK183" s="2">
        <v>15001</v>
      </c>
      <c r="EL183" s="2" t="s">
        <v>383</v>
      </c>
      <c r="EM183" s="2" t="s">
        <v>384</v>
      </c>
      <c r="EN183" s="2"/>
      <c r="EO183" s="2" t="s">
        <v>3</v>
      </c>
      <c r="EP183" s="2"/>
      <c r="EQ183" s="2">
        <v>262144</v>
      </c>
      <c r="ER183" s="2">
        <v>3925.97</v>
      </c>
      <c r="ES183" s="2">
        <v>3925.97</v>
      </c>
      <c r="ET183" s="2">
        <v>0</v>
      </c>
      <c r="EU183" s="2">
        <v>0</v>
      </c>
      <c r="EV183" s="2">
        <v>0</v>
      </c>
      <c r="EW183" s="2">
        <v>0</v>
      </c>
      <c r="EX183" s="2">
        <v>0</v>
      </c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>
        <v>0</v>
      </c>
      <c r="FR183" s="2">
        <v>0</v>
      </c>
      <c r="FS183" s="2">
        <v>0</v>
      </c>
      <c r="FT183" s="2"/>
      <c r="FU183" s="2"/>
      <c r="FV183" s="2"/>
      <c r="FW183" s="2"/>
      <c r="FX183" s="2">
        <v>100</v>
      </c>
      <c r="FY183" s="2">
        <v>49</v>
      </c>
      <c r="FZ183" s="2"/>
      <c r="GA183" s="2" t="s">
        <v>3</v>
      </c>
      <c r="GB183" s="2"/>
      <c r="GC183" s="2"/>
      <c r="GD183" s="2">
        <v>1</v>
      </c>
      <c r="GE183" s="2"/>
      <c r="GF183" s="2">
        <v>2020741444</v>
      </c>
      <c r="GG183" s="2">
        <v>2</v>
      </c>
      <c r="GH183" s="2">
        <v>1</v>
      </c>
      <c r="GI183" s="2">
        <v>2</v>
      </c>
      <c r="GJ183" s="2">
        <v>0</v>
      </c>
      <c r="GK183" s="2">
        <v>0</v>
      </c>
      <c r="GL183" s="2">
        <f t="shared" si="69"/>
        <v>0</v>
      </c>
      <c r="GM183" s="2">
        <f t="shared" si="70"/>
        <v>228.54</v>
      </c>
      <c r="GN183" s="2">
        <f t="shared" si="71"/>
        <v>228.54</v>
      </c>
      <c r="GO183" s="2">
        <f t="shared" si="72"/>
        <v>0</v>
      </c>
      <c r="GP183" s="2">
        <f t="shared" si="73"/>
        <v>0</v>
      </c>
      <c r="GQ183" s="2"/>
      <c r="GR183" s="2">
        <v>0</v>
      </c>
      <c r="GS183" s="2">
        <v>3</v>
      </c>
      <c r="GT183" s="2">
        <v>0</v>
      </c>
      <c r="GU183" s="2" t="s">
        <v>3</v>
      </c>
      <c r="GV183" s="2">
        <f t="shared" si="74"/>
        <v>0</v>
      </c>
      <c r="GW183" s="2">
        <v>1</v>
      </c>
      <c r="GX183" s="2">
        <f t="shared" si="75"/>
        <v>0</v>
      </c>
      <c r="GY183" s="2"/>
      <c r="GZ183" s="2"/>
      <c r="HA183" s="2">
        <v>0</v>
      </c>
      <c r="HB183" s="2">
        <v>0</v>
      </c>
      <c r="HC183" s="2">
        <f t="shared" si="76"/>
        <v>0</v>
      </c>
      <c r="HD183" s="2"/>
      <c r="HE183" s="2" t="s">
        <v>3</v>
      </c>
      <c r="HF183" s="2" t="s">
        <v>3</v>
      </c>
      <c r="HG183" s="2"/>
      <c r="HH183" s="2"/>
      <c r="HI183" s="2"/>
      <c r="HJ183" s="2"/>
      <c r="HK183" s="2"/>
      <c r="HL183" s="2"/>
      <c r="HM183" s="2" t="s">
        <v>3</v>
      </c>
      <c r="HN183" s="2" t="s">
        <v>385</v>
      </c>
      <c r="HO183" s="2" t="s">
        <v>386</v>
      </c>
      <c r="HP183" s="2" t="s">
        <v>383</v>
      </c>
      <c r="HQ183" s="2" t="s">
        <v>383</v>
      </c>
      <c r="HR183" s="2"/>
      <c r="HS183" s="2">
        <v>0</v>
      </c>
      <c r="HT183" s="2"/>
      <c r="HU183" s="2"/>
      <c r="HV183" s="2"/>
      <c r="HW183" s="2"/>
      <c r="HX183" s="2"/>
      <c r="HY183" s="2"/>
      <c r="HZ183" s="2"/>
      <c r="IA183" s="2"/>
      <c r="IB183" s="2"/>
      <c r="IC183" s="2"/>
      <c r="ID183" s="2"/>
      <c r="IE183" s="2"/>
      <c r="IF183" s="2"/>
      <c r="IG183" s="2"/>
      <c r="IH183" s="2"/>
      <c r="II183" s="2"/>
      <c r="IJ183" s="2"/>
      <c r="IK183" s="2">
        <v>0</v>
      </c>
      <c r="IL183" s="2"/>
      <c r="IM183" s="2"/>
      <c r="IN183" s="2"/>
      <c r="IO183" s="2"/>
      <c r="IP183" s="2"/>
      <c r="IQ183" s="2"/>
      <c r="IR183" s="2"/>
      <c r="IS183" s="2"/>
      <c r="IT183" s="2"/>
      <c r="IU183" s="2"/>
    </row>
    <row r="184" spans="1:255" ht="13.05" customHeight="1" x14ac:dyDescent="0.25">
      <c r="A184" s="2">
        <v>17</v>
      </c>
      <c r="B184" s="2">
        <v>1</v>
      </c>
      <c r="C184" s="2">
        <f>ROW(SmtRes!A254)</f>
        <v>254</v>
      </c>
      <c r="D184" s="2">
        <f>ROW(EtalonRes!A264)</f>
        <v>264</v>
      </c>
      <c r="E184" s="2" t="s">
        <v>391</v>
      </c>
      <c r="F184" s="2" t="s">
        <v>392</v>
      </c>
      <c r="G184" s="2" t="s">
        <v>393</v>
      </c>
      <c r="H184" s="2" t="s">
        <v>185</v>
      </c>
      <c r="I184" s="2">
        <v>0.02</v>
      </c>
      <c r="J184" s="2">
        <v>0</v>
      </c>
      <c r="K184" s="2">
        <v>0.02</v>
      </c>
      <c r="L184" s="2"/>
      <c r="M184" s="2"/>
      <c r="N184" s="2"/>
      <c r="O184" s="2">
        <f t="shared" si="56"/>
        <v>222.07</v>
      </c>
      <c r="P184" s="2">
        <f>SUMIF(SmtRes!AQ247:'SmtRes'!AQ254,"=1",SmtRes!DF247:'SmtRes'!DF254)</f>
        <v>33.61</v>
      </c>
      <c r="Q184" s="2">
        <f>SUMIF(SmtRes!AQ247:'SmtRes'!AQ254,"=1",SmtRes!DG247:'SmtRes'!DG254)</f>
        <v>9.33</v>
      </c>
      <c r="R184" s="2">
        <f>SUMIF(SmtRes!AQ247:'SmtRes'!AQ254,"=1",SmtRes!DH247:'SmtRes'!DH254)</f>
        <v>1.69</v>
      </c>
      <c r="S184" s="2">
        <f>SUMIF(SmtRes!AQ247:'SmtRes'!AQ254,"=1",SmtRes!DI247:'SmtRes'!DI254)</f>
        <v>177.44</v>
      </c>
      <c r="T184" s="2">
        <f t="shared" si="57"/>
        <v>0</v>
      </c>
      <c r="U184" s="2">
        <f>SUMIF(SmtRes!AQ247:'SmtRes'!AQ254,"=1",SmtRes!CV247:'SmtRes'!CV254)</f>
        <v>0.48759999999999998</v>
      </c>
      <c r="V184" s="2">
        <f>SUMIF(SmtRes!AQ247:'SmtRes'!AQ254,"=1",SmtRes!CW247:'SmtRes'!CW254)</f>
        <v>4.5999999999999999E-3</v>
      </c>
      <c r="W184" s="2">
        <f t="shared" si="58"/>
        <v>0</v>
      </c>
      <c r="X184" s="2">
        <f t="shared" si="59"/>
        <v>197.04</v>
      </c>
      <c r="Y184" s="2">
        <f t="shared" si="60"/>
        <v>123.6</v>
      </c>
      <c r="Z184" s="2"/>
      <c r="AA184" s="2">
        <v>75604747</v>
      </c>
      <c r="AB184" s="2">
        <f t="shared" si="61"/>
        <v>10710.406625</v>
      </c>
      <c r="AC184" s="2">
        <f>ROUND((SUM(SmtRes!BQ247:'SmtRes'!BQ254)),6)</f>
        <v>1498.0930000000001</v>
      </c>
      <c r="AD184" s="2">
        <f>ROUND((((SUM(SmtRes!BR247:'SmtRes'!BR254))-(SUM(SmtRes!BS247:'SmtRes'!BS254)))+AE184),6)</f>
        <v>340.431625</v>
      </c>
      <c r="AE184" s="2">
        <f>ROUND((SUM(SmtRes!BS247:'SmtRes'!BS254)),6)</f>
        <v>84.644599999999997</v>
      </c>
      <c r="AF184" s="2">
        <f>ROUND((SUM(SmtRes!BT247:'SmtRes'!BT254)),6)</f>
        <v>8871.8819999999996</v>
      </c>
      <c r="AG184" s="2">
        <f t="shared" si="62"/>
        <v>0</v>
      </c>
      <c r="AH184" s="2">
        <f>(SUM(SmtRes!BU247:'SmtRes'!BU254))</f>
        <v>24.38</v>
      </c>
      <c r="AI184" s="2">
        <f>(SUM(SmtRes!BV247:'SmtRes'!BV254))</f>
        <v>0.22999999999999998</v>
      </c>
      <c r="AJ184" s="2">
        <f t="shared" si="63"/>
        <v>0</v>
      </c>
      <c r="AK184" s="2">
        <v>9582.4044999999987</v>
      </c>
      <c r="AL184" s="2">
        <v>1498.0930000000001</v>
      </c>
      <c r="AM184" s="2">
        <v>296.02750000000003</v>
      </c>
      <c r="AN184" s="2">
        <v>73.603999999999999</v>
      </c>
      <c r="AO184" s="2">
        <v>7714.6799999999994</v>
      </c>
      <c r="AP184" s="2">
        <v>0</v>
      </c>
      <c r="AQ184" s="2">
        <v>21.2</v>
      </c>
      <c r="AR184" s="2">
        <v>0.2</v>
      </c>
      <c r="AS184" s="2">
        <v>0</v>
      </c>
      <c r="AT184" s="2">
        <v>110</v>
      </c>
      <c r="AU184" s="2">
        <v>69</v>
      </c>
      <c r="AV184" s="2">
        <v>1</v>
      </c>
      <c r="AW184" s="2">
        <v>1</v>
      </c>
      <c r="AX184" s="2"/>
      <c r="AY184" s="2"/>
      <c r="AZ184" s="2">
        <v>1</v>
      </c>
      <c r="BA184" s="2">
        <v>1</v>
      </c>
      <c r="BB184" s="2">
        <v>1</v>
      </c>
      <c r="BC184" s="2">
        <v>1</v>
      </c>
      <c r="BD184" s="2" t="s">
        <v>3</v>
      </c>
      <c r="BE184" s="2" t="s">
        <v>3</v>
      </c>
      <c r="BF184" s="2" t="s">
        <v>3</v>
      </c>
      <c r="BG184" s="2" t="s">
        <v>3</v>
      </c>
      <c r="BH184" s="2">
        <v>0</v>
      </c>
      <c r="BI184" s="2">
        <v>1</v>
      </c>
      <c r="BJ184" s="2" t="s">
        <v>394</v>
      </c>
      <c r="BK184" s="2"/>
      <c r="BL184" s="2"/>
      <c r="BM184" s="2">
        <v>8001</v>
      </c>
      <c r="BN184" s="2">
        <v>0</v>
      </c>
      <c r="BO184" s="2" t="s">
        <v>3</v>
      </c>
      <c r="BP184" s="2">
        <v>0</v>
      </c>
      <c r="BQ184" s="2">
        <v>2</v>
      </c>
      <c r="BR184" s="2">
        <v>0</v>
      </c>
      <c r="BS184" s="2">
        <v>1</v>
      </c>
      <c r="BT184" s="2">
        <v>1</v>
      </c>
      <c r="BU184" s="2">
        <v>1</v>
      </c>
      <c r="BV184" s="2">
        <v>1</v>
      </c>
      <c r="BW184" s="2">
        <v>1</v>
      </c>
      <c r="BX184" s="2">
        <v>1</v>
      </c>
      <c r="BY184" s="2" t="s">
        <v>3</v>
      </c>
      <c r="BZ184" s="2">
        <v>110</v>
      </c>
      <c r="CA184" s="2">
        <v>69</v>
      </c>
      <c r="CB184" s="2" t="s">
        <v>3</v>
      </c>
      <c r="CC184" s="2"/>
      <c r="CD184" s="2"/>
      <c r="CE184" s="2">
        <v>0</v>
      </c>
      <c r="CF184" s="2">
        <v>0</v>
      </c>
      <c r="CG184" s="2">
        <v>0</v>
      </c>
      <c r="CH184" s="2"/>
      <c r="CI184" s="2"/>
      <c r="CJ184" s="2"/>
      <c r="CK184" s="2"/>
      <c r="CL184" s="2"/>
      <c r="CM184" s="2">
        <v>0</v>
      </c>
      <c r="CN184" s="7" t="s">
        <v>802</v>
      </c>
      <c r="CO184" s="2">
        <v>0</v>
      </c>
      <c r="CP184" s="2">
        <f t="shared" si="64"/>
        <v>222.07</v>
      </c>
      <c r="CQ184" s="2">
        <f>SUMIF(SmtRes!AQ247:'SmtRes'!AQ254,"=1",SmtRes!AA247:'SmtRes'!AA254)</f>
        <v>69738.37000000001</v>
      </c>
      <c r="CR184" s="2">
        <f>SUMIF(SmtRes!AQ247:'SmtRes'!AQ254,"=1",SmtRes!AB247:'SmtRes'!AB254)</f>
        <v>702.90000000000009</v>
      </c>
      <c r="CS184" s="2">
        <f>SUMIF(SmtRes!AQ247:'SmtRes'!AQ254,"=1",SmtRes!AC247:'SmtRes'!AC254)</f>
        <v>368.02</v>
      </c>
      <c r="CT184" s="2">
        <f>SUMIF(SmtRes!AQ247:'SmtRes'!AQ254,"=1",SmtRes!AD247:'SmtRes'!AD254)</f>
        <v>363.9</v>
      </c>
      <c r="CU184" s="2">
        <f t="shared" si="65"/>
        <v>0</v>
      </c>
      <c r="CV184" s="2">
        <f>SUMIF(SmtRes!AQ247:'SmtRes'!AQ254,"=1",SmtRes!BU247:'SmtRes'!BU254)</f>
        <v>24.38</v>
      </c>
      <c r="CW184" s="2">
        <f>SUMIF(SmtRes!AQ247:'SmtRes'!AQ254,"=1",SmtRes!BV247:'SmtRes'!BV254)</f>
        <v>0.22999999999999998</v>
      </c>
      <c r="CX184" s="2">
        <f t="shared" si="66"/>
        <v>0</v>
      </c>
      <c r="CY184" s="2">
        <f t="shared" si="67"/>
        <v>197.04300000000001</v>
      </c>
      <c r="CZ184" s="2">
        <f t="shared" si="68"/>
        <v>123.5997</v>
      </c>
      <c r="DA184" s="2"/>
      <c r="DB184" s="2">
        <v>36</v>
      </c>
      <c r="DC184" s="2" t="s">
        <v>3</v>
      </c>
      <c r="DD184" s="2" t="s">
        <v>3</v>
      </c>
      <c r="DE184" s="2" t="s">
        <v>27</v>
      </c>
      <c r="DF184" s="2" t="s">
        <v>27</v>
      </c>
      <c r="DG184" s="2" t="s">
        <v>27</v>
      </c>
      <c r="DH184" s="2" t="s">
        <v>3</v>
      </c>
      <c r="DI184" s="2" t="s">
        <v>27</v>
      </c>
      <c r="DJ184" s="2" t="s">
        <v>27</v>
      </c>
      <c r="DK184" s="2" t="s">
        <v>3</v>
      </c>
      <c r="DL184" s="2" t="s">
        <v>3</v>
      </c>
      <c r="DM184" s="2" t="s">
        <v>3</v>
      </c>
      <c r="DN184" s="2">
        <v>0</v>
      </c>
      <c r="DO184" s="2">
        <v>0</v>
      </c>
      <c r="DP184" s="2">
        <v>1</v>
      </c>
      <c r="DQ184" s="2">
        <v>1</v>
      </c>
      <c r="DR184" s="2"/>
      <c r="DS184" s="2"/>
      <c r="DT184" s="2"/>
      <c r="DU184" s="2">
        <v>1005</v>
      </c>
      <c r="DV184" s="2" t="s">
        <v>185</v>
      </c>
      <c r="DW184" s="2" t="s">
        <v>185</v>
      </c>
      <c r="DX184" s="2">
        <v>100</v>
      </c>
      <c r="DY184" s="2"/>
      <c r="DZ184" s="2" t="s">
        <v>3</v>
      </c>
      <c r="EA184" s="2" t="s">
        <v>3</v>
      </c>
      <c r="EB184" s="2" t="s">
        <v>3</v>
      </c>
      <c r="EC184" s="2" t="s">
        <v>3</v>
      </c>
      <c r="ED184" s="2"/>
      <c r="EE184" s="2">
        <v>74004196</v>
      </c>
      <c r="EF184" s="2">
        <v>2</v>
      </c>
      <c r="EG184" s="2" t="s">
        <v>29</v>
      </c>
      <c r="EH184" s="2">
        <v>8</v>
      </c>
      <c r="EI184" s="2" t="s">
        <v>342</v>
      </c>
      <c r="EJ184" s="2">
        <v>1</v>
      </c>
      <c r="EK184" s="2">
        <v>8001</v>
      </c>
      <c r="EL184" s="2" t="s">
        <v>342</v>
      </c>
      <c r="EM184" s="2" t="s">
        <v>343</v>
      </c>
      <c r="EN184" s="2"/>
      <c r="EO184" s="2" t="s">
        <v>39</v>
      </c>
      <c r="EP184" s="2"/>
      <c r="EQ184" s="2">
        <v>262144</v>
      </c>
      <c r="ER184" s="2">
        <v>0</v>
      </c>
      <c r="ES184" s="2">
        <v>0</v>
      </c>
      <c r="ET184" s="2">
        <v>0</v>
      </c>
      <c r="EU184" s="2">
        <v>0</v>
      </c>
      <c r="EV184" s="2">
        <v>0</v>
      </c>
      <c r="EW184" s="2">
        <v>21.2</v>
      </c>
      <c r="EX184" s="2">
        <v>0.2</v>
      </c>
      <c r="EY184" s="2">
        <v>0</v>
      </c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>
        <v>0</v>
      </c>
      <c r="FR184" s="2">
        <v>0</v>
      </c>
      <c r="FS184" s="2">
        <v>0</v>
      </c>
      <c r="FT184" s="2"/>
      <c r="FU184" s="2"/>
      <c r="FV184" s="2"/>
      <c r="FW184" s="2"/>
      <c r="FX184" s="2">
        <v>110</v>
      </c>
      <c r="FY184" s="2">
        <v>69</v>
      </c>
      <c r="FZ184" s="2"/>
      <c r="GA184" s="2" t="s">
        <v>3</v>
      </c>
      <c r="GB184" s="2"/>
      <c r="GC184" s="2"/>
      <c r="GD184" s="2">
        <v>1</v>
      </c>
      <c r="GE184" s="2"/>
      <c r="GF184" s="2">
        <v>1407549938</v>
      </c>
      <c r="GG184" s="2">
        <v>2</v>
      </c>
      <c r="GH184" s="2">
        <v>1</v>
      </c>
      <c r="GI184" s="2">
        <v>-2</v>
      </c>
      <c r="GJ184" s="2">
        <v>0</v>
      </c>
      <c r="GK184" s="2">
        <v>0</v>
      </c>
      <c r="GL184" s="2">
        <f t="shared" si="69"/>
        <v>0</v>
      </c>
      <c r="GM184" s="2">
        <f t="shared" si="70"/>
        <v>542.71</v>
      </c>
      <c r="GN184" s="2">
        <f t="shared" si="71"/>
        <v>542.71</v>
      </c>
      <c r="GO184" s="2">
        <f t="shared" si="72"/>
        <v>0</v>
      </c>
      <c r="GP184" s="2">
        <f t="shared" si="73"/>
        <v>0</v>
      </c>
      <c r="GQ184" s="2"/>
      <c r="GR184" s="2">
        <v>0</v>
      </c>
      <c r="GS184" s="2">
        <v>3</v>
      </c>
      <c r="GT184" s="2">
        <v>0</v>
      </c>
      <c r="GU184" s="2" t="s">
        <v>3</v>
      </c>
      <c r="GV184" s="2">
        <f t="shared" si="74"/>
        <v>0</v>
      </c>
      <c r="GW184" s="2">
        <v>1</v>
      </c>
      <c r="GX184" s="2">
        <f t="shared" si="75"/>
        <v>0</v>
      </c>
      <c r="GY184" s="2"/>
      <c r="GZ184" s="2"/>
      <c r="HA184" s="2">
        <v>0</v>
      </c>
      <c r="HB184" s="2">
        <v>0</v>
      </c>
      <c r="HC184" s="2">
        <f t="shared" si="76"/>
        <v>0</v>
      </c>
      <c r="HD184" s="2"/>
      <c r="HE184" s="2" t="s">
        <v>3</v>
      </c>
      <c r="HF184" s="2" t="s">
        <v>3</v>
      </c>
      <c r="HG184" s="2"/>
      <c r="HH184" s="2"/>
      <c r="HI184" s="2"/>
      <c r="HJ184" s="2"/>
      <c r="HK184" s="2"/>
      <c r="HL184" s="2"/>
      <c r="HM184" s="2" t="s">
        <v>3</v>
      </c>
      <c r="HN184" s="2" t="s">
        <v>344</v>
      </c>
      <c r="HO184" s="2" t="s">
        <v>345</v>
      </c>
      <c r="HP184" s="2" t="s">
        <v>342</v>
      </c>
      <c r="HQ184" s="2" t="s">
        <v>342</v>
      </c>
      <c r="HR184" s="2"/>
      <c r="HS184" s="2">
        <v>0</v>
      </c>
      <c r="HT184" s="2"/>
      <c r="HU184" s="2"/>
      <c r="HV184" s="2"/>
      <c r="HW184" s="2"/>
      <c r="HX184" s="2"/>
      <c r="HY184" s="2"/>
      <c r="HZ184" s="2"/>
      <c r="IA184" s="2"/>
      <c r="IB184" s="2"/>
      <c r="IC184" s="2"/>
      <c r="ID184" s="2"/>
      <c r="IE184" s="2"/>
      <c r="IF184" s="2"/>
      <c r="IG184" s="2"/>
      <c r="IH184" s="2"/>
      <c r="II184" s="2"/>
      <c r="IJ184" s="2"/>
      <c r="IK184" s="2">
        <v>0</v>
      </c>
      <c r="IL184" s="2"/>
      <c r="IM184" s="2"/>
      <c r="IN184" s="2"/>
      <c r="IO184" s="2"/>
      <c r="IP184" s="2"/>
      <c r="IQ184" s="2"/>
      <c r="IR184" s="2"/>
      <c r="IS184" s="2"/>
      <c r="IT184" s="2"/>
      <c r="IU184" s="2"/>
    </row>
    <row r="185" spans="1:255" ht="13.05" customHeight="1" x14ac:dyDescent="0.25">
      <c r="A185" s="2">
        <v>18</v>
      </c>
      <c r="B185" s="2">
        <v>1</v>
      </c>
      <c r="C185" s="2">
        <v>251</v>
      </c>
      <c r="D185" s="2"/>
      <c r="E185" s="2" t="s">
        <v>395</v>
      </c>
      <c r="F185" s="2" t="s">
        <v>396</v>
      </c>
      <c r="G185" s="2" t="s">
        <v>397</v>
      </c>
      <c r="H185" s="2" t="s">
        <v>174</v>
      </c>
      <c r="I185" s="2">
        <f>I184*J185</f>
        <v>3.2000000000000003E-4</v>
      </c>
      <c r="J185" s="2">
        <v>1.6E-2</v>
      </c>
      <c r="K185" s="2">
        <v>1.6E-2</v>
      </c>
      <c r="L185" s="2"/>
      <c r="M185" s="2"/>
      <c r="N185" s="2"/>
      <c r="O185" s="2">
        <f t="shared" si="56"/>
        <v>5.75</v>
      </c>
      <c r="P185" s="2">
        <f>ROUND(CQ185*I185,2)</f>
        <v>5.75</v>
      </c>
      <c r="Q185" s="2">
        <f>ROUND(CR185*I185,2)</f>
        <v>0</v>
      </c>
      <c r="R185" s="2">
        <f>ROUND(CS185*I185,2)</f>
        <v>0</v>
      </c>
      <c r="S185" s="2">
        <f>ROUND(CT185*I185,2)</f>
        <v>0</v>
      </c>
      <c r="T185" s="2">
        <f t="shared" si="57"/>
        <v>0</v>
      </c>
      <c r="U185" s="2">
        <f>ROUND(CV185*I185,7)</f>
        <v>0</v>
      </c>
      <c r="V185" s="2">
        <f>ROUND(CW185*I185,7)</f>
        <v>0</v>
      </c>
      <c r="W185" s="2">
        <f t="shared" si="58"/>
        <v>0</v>
      </c>
      <c r="X185" s="2">
        <f t="shared" si="59"/>
        <v>0</v>
      </c>
      <c r="Y185" s="2">
        <f t="shared" si="60"/>
        <v>0</v>
      </c>
      <c r="Z185" s="2"/>
      <c r="AA185" s="2">
        <v>75604747</v>
      </c>
      <c r="AB185" s="2">
        <f t="shared" si="61"/>
        <v>23356.13</v>
      </c>
      <c r="AC185" s="2">
        <f>ROUND((ES185),6)</f>
        <v>23356.13</v>
      </c>
      <c r="AD185" s="2">
        <f>ROUND((((ET185)-(EU185))+AE185),6)</f>
        <v>0</v>
      </c>
      <c r="AE185" s="2">
        <f>ROUND((EU185),6)</f>
        <v>0</v>
      </c>
      <c r="AF185" s="2">
        <f>ROUND((EV185),6)</f>
        <v>0</v>
      </c>
      <c r="AG185" s="2">
        <f t="shared" si="62"/>
        <v>0</v>
      </c>
      <c r="AH185" s="2">
        <f>(EW185)</f>
        <v>0</v>
      </c>
      <c r="AI185" s="2">
        <f>(EX185)</f>
        <v>0</v>
      </c>
      <c r="AJ185" s="2">
        <f t="shared" si="63"/>
        <v>0</v>
      </c>
      <c r="AK185" s="2">
        <v>23356.13</v>
      </c>
      <c r="AL185" s="2">
        <v>23356.13</v>
      </c>
      <c r="AM185" s="2">
        <v>0</v>
      </c>
      <c r="AN185" s="2">
        <v>0</v>
      </c>
      <c r="AO185" s="2">
        <v>0</v>
      </c>
      <c r="AP185" s="2">
        <v>0</v>
      </c>
      <c r="AQ185" s="2">
        <v>0</v>
      </c>
      <c r="AR185" s="2">
        <v>0</v>
      </c>
      <c r="AS185" s="2">
        <v>0</v>
      </c>
      <c r="AT185" s="2">
        <v>110</v>
      </c>
      <c r="AU185" s="2">
        <v>69</v>
      </c>
      <c r="AV185" s="2">
        <v>1</v>
      </c>
      <c r="AW185" s="2">
        <v>1</v>
      </c>
      <c r="AX185" s="2"/>
      <c r="AY185" s="2"/>
      <c r="AZ185" s="2">
        <v>1</v>
      </c>
      <c r="BA185" s="2">
        <v>1</v>
      </c>
      <c r="BB185" s="2">
        <v>1</v>
      </c>
      <c r="BC185" s="2">
        <v>0.77</v>
      </c>
      <c r="BD185" s="2" t="s">
        <v>3</v>
      </c>
      <c r="BE185" s="2" t="s">
        <v>3</v>
      </c>
      <c r="BF185" s="2" t="s">
        <v>3</v>
      </c>
      <c r="BG185" s="2" t="s">
        <v>3</v>
      </c>
      <c r="BH185" s="2">
        <v>3</v>
      </c>
      <c r="BI185" s="2">
        <v>1</v>
      </c>
      <c r="BJ185" s="2" t="s">
        <v>398</v>
      </c>
      <c r="BK185" s="2"/>
      <c r="BL185" s="2"/>
      <c r="BM185" s="2">
        <v>8001</v>
      </c>
      <c r="BN185" s="2">
        <v>0</v>
      </c>
      <c r="BO185" s="2" t="s">
        <v>396</v>
      </c>
      <c r="BP185" s="2">
        <v>1</v>
      </c>
      <c r="BQ185" s="2">
        <v>2</v>
      </c>
      <c r="BR185" s="2">
        <v>0</v>
      </c>
      <c r="BS185" s="2">
        <v>1</v>
      </c>
      <c r="BT185" s="2">
        <v>1</v>
      </c>
      <c r="BU185" s="2">
        <v>1</v>
      </c>
      <c r="BV185" s="2">
        <v>1</v>
      </c>
      <c r="BW185" s="2">
        <v>1</v>
      </c>
      <c r="BX185" s="2">
        <v>1</v>
      </c>
      <c r="BY185" s="2" t="s">
        <v>3</v>
      </c>
      <c r="BZ185" s="2">
        <v>110</v>
      </c>
      <c r="CA185" s="2">
        <v>69</v>
      </c>
      <c r="CB185" s="2" t="s">
        <v>3</v>
      </c>
      <c r="CC185" s="2"/>
      <c r="CD185" s="2"/>
      <c r="CE185" s="2">
        <v>0</v>
      </c>
      <c r="CF185" s="2">
        <v>0</v>
      </c>
      <c r="CG185" s="2">
        <v>0</v>
      </c>
      <c r="CH185" s="2"/>
      <c r="CI185" s="2"/>
      <c r="CJ185" s="2"/>
      <c r="CK185" s="2"/>
      <c r="CL185" s="2"/>
      <c r="CM185" s="2">
        <v>0</v>
      </c>
      <c r="CN185" s="2" t="s">
        <v>3</v>
      </c>
      <c r="CO185" s="2">
        <v>0</v>
      </c>
      <c r="CP185" s="2">
        <f t="shared" si="64"/>
        <v>5.75</v>
      </c>
      <c r="CQ185" s="2">
        <f>ROUND(AL185*BC185,2)</f>
        <v>17984.22</v>
      </c>
      <c r="CR185" s="2">
        <f>ROUND(AM185*BB185,2)</f>
        <v>0</v>
      </c>
      <c r="CS185" s="2">
        <f>ROUND(AN185*BS185,2)</f>
        <v>0</v>
      </c>
      <c r="CT185" s="2">
        <f>ROUND(AO185*BA185,2)</f>
        <v>0</v>
      </c>
      <c r="CU185" s="2">
        <f t="shared" si="65"/>
        <v>0</v>
      </c>
      <c r="CV185" s="2">
        <f>AH185</f>
        <v>0</v>
      </c>
      <c r="CW185" s="2">
        <f>AI185</f>
        <v>0</v>
      </c>
      <c r="CX185" s="2">
        <f t="shared" si="66"/>
        <v>0</v>
      </c>
      <c r="CY185" s="2">
        <f t="shared" si="67"/>
        <v>0</v>
      </c>
      <c r="CZ185" s="2">
        <f t="shared" si="68"/>
        <v>0</v>
      </c>
      <c r="DA185" s="2"/>
      <c r="DB185" s="2"/>
      <c r="DC185" s="2" t="s">
        <v>3</v>
      </c>
      <c r="DD185" s="2" t="s">
        <v>3</v>
      </c>
      <c r="DE185" s="2" t="s">
        <v>3</v>
      </c>
      <c r="DF185" s="2" t="s">
        <v>3</v>
      </c>
      <c r="DG185" s="2" t="s">
        <v>3</v>
      </c>
      <c r="DH185" s="2" t="s">
        <v>3</v>
      </c>
      <c r="DI185" s="2" t="s">
        <v>3</v>
      </c>
      <c r="DJ185" s="2" t="s">
        <v>3</v>
      </c>
      <c r="DK185" s="2" t="s">
        <v>3</v>
      </c>
      <c r="DL185" s="2" t="s">
        <v>3</v>
      </c>
      <c r="DM185" s="2" t="s">
        <v>3</v>
      </c>
      <c r="DN185" s="2">
        <v>0</v>
      </c>
      <c r="DO185" s="2">
        <v>0</v>
      </c>
      <c r="DP185" s="2">
        <v>1</v>
      </c>
      <c r="DQ185" s="2">
        <v>1</v>
      </c>
      <c r="DR185" s="2"/>
      <c r="DS185" s="2"/>
      <c r="DT185" s="2"/>
      <c r="DU185" s="2">
        <v>1009</v>
      </c>
      <c r="DV185" s="2" t="s">
        <v>174</v>
      </c>
      <c r="DW185" s="2" t="s">
        <v>174</v>
      </c>
      <c r="DX185" s="2">
        <v>1000</v>
      </c>
      <c r="DY185" s="2"/>
      <c r="DZ185" s="2" t="s">
        <v>3</v>
      </c>
      <c r="EA185" s="2" t="s">
        <v>3</v>
      </c>
      <c r="EB185" s="2" t="s">
        <v>3</v>
      </c>
      <c r="EC185" s="2" t="s">
        <v>3</v>
      </c>
      <c r="ED185" s="2"/>
      <c r="EE185" s="2">
        <v>74004196</v>
      </c>
      <c r="EF185" s="2">
        <v>2</v>
      </c>
      <c r="EG185" s="2" t="s">
        <v>29</v>
      </c>
      <c r="EH185" s="2">
        <v>8</v>
      </c>
      <c r="EI185" s="2" t="s">
        <v>342</v>
      </c>
      <c r="EJ185" s="2">
        <v>1</v>
      </c>
      <c r="EK185" s="2">
        <v>8001</v>
      </c>
      <c r="EL185" s="2" t="s">
        <v>342</v>
      </c>
      <c r="EM185" s="2" t="s">
        <v>343</v>
      </c>
      <c r="EN185" s="2"/>
      <c r="EO185" s="2" t="s">
        <v>3</v>
      </c>
      <c r="EP185" s="2"/>
      <c r="EQ185" s="2">
        <v>262144</v>
      </c>
      <c r="ER185" s="2">
        <v>23356.13</v>
      </c>
      <c r="ES185" s="2">
        <v>23356.13</v>
      </c>
      <c r="ET185" s="2">
        <v>0</v>
      </c>
      <c r="EU185" s="2">
        <v>0</v>
      </c>
      <c r="EV185" s="2">
        <v>0</v>
      </c>
      <c r="EW185" s="2">
        <v>0</v>
      </c>
      <c r="EX185" s="2">
        <v>0</v>
      </c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>
        <v>0</v>
      </c>
      <c r="FR185" s="2">
        <v>0</v>
      </c>
      <c r="FS185" s="2">
        <v>0</v>
      </c>
      <c r="FT185" s="2"/>
      <c r="FU185" s="2"/>
      <c r="FV185" s="2"/>
      <c r="FW185" s="2"/>
      <c r="FX185" s="2">
        <v>110</v>
      </c>
      <c r="FY185" s="2">
        <v>69</v>
      </c>
      <c r="FZ185" s="2"/>
      <c r="GA185" s="2" t="s">
        <v>3</v>
      </c>
      <c r="GB185" s="2"/>
      <c r="GC185" s="2"/>
      <c r="GD185" s="2">
        <v>1</v>
      </c>
      <c r="GE185" s="2"/>
      <c r="GF185" s="2">
        <v>2072643849</v>
      </c>
      <c r="GG185" s="2">
        <v>2</v>
      </c>
      <c r="GH185" s="2">
        <v>1</v>
      </c>
      <c r="GI185" s="2">
        <v>2</v>
      </c>
      <c r="GJ185" s="2">
        <v>0</v>
      </c>
      <c r="GK185" s="2">
        <v>0</v>
      </c>
      <c r="GL185" s="2">
        <f t="shared" si="69"/>
        <v>0</v>
      </c>
      <c r="GM185" s="2">
        <f t="shared" si="70"/>
        <v>5.75</v>
      </c>
      <c r="GN185" s="2">
        <f t="shared" si="71"/>
        <v>5.75</v>
      </c>
      <c r="GO185" s="2">
        <f t="shared" si="72"/>
        <v>0</v>
      </c>
      <c r="GP185" s="2">
        <f t="shared" si="73"/>
        <v>0</v>
      </c>
      <c r="GQ185" s="2"/>
      <c r="GR185" s="2">
        <v>0</v>
      </c>
      <c r="GS185" s="2">
        <v>3</v>
      </c>
      <c r="GT185" s="2">
        <v>0</v>
      </c>
      <c r="GU185" s="2" t="s">
        <v>3</v>
      </c>
      <c r="GV185" s="2">
        <f t="shared" si="74"/>
        <v>0</v>
      </c>
      <c r="GW185" s="2">
        <v>1</v>
      </c>
      <c r="GX185" s="2">
        <f t="shared" si="75"/>
        <v>0</v>
      </c>
      <c r="GY185" s="2"/>
      <c r="GZ185" s="2"/>
      <c r="HA185" s="2">
        <v>0</v>
      </c>
      <c r="HB185" s="2">
        <v>0</v>
      </c>
      <c r="HC185" s="2">
        <f t="shared" si="76"/>
        <v>0</v>
      </c>
      <c r="HD185" s="2"/>
      <c r="HE185" s="2" t="s">
        <v>3</v>
      </c>
      <c r="HF185" s="2" t="s">
        <v>3</v>
      </c>
      <c r="HG185" s="2"/>
      <c r="HH185" s="2"/>
      <c r="HI185" s="2"/>
      <c r="HJ185" s="2"/>
      <c r="HK185" s="2"/>
      <c r="HL185" s="2"/>
      <c r="HM185" s="2" t="s">
        <v>3</v>
      </c>
      <c r="HN185" s="2" t="s">
        <v>344</v>
      </c>
      <c r="HO185" s="2" t="s">
        <v>345</v>
      </c>
      <c r="HP185" s="2" t="s">
        <v>342</v>
      </c>
      <c r="HQ185" s="2" t="s">
        <v>342</v>
      </c>
      <c r="HR185" s="2"/>
      <c r="HS185" s="2">
        <v>0</v>
      </c>
      <c r="HT185" s="2"/>
      <c r="HU185" s="2"/>
      <c r="HV185" s="2"/>
      <c r="HW185" s="2"/>
      <c r="HX185" s="2"/>
      <c r="HY185" s="2"/>
      <c r="HZ185" s="2"/>
      <c r="IA185" s="2"/>
      <c r="IB185" s="2"/>
      <c r="IC185" s="2"/>
      <c r="ID185" s="2"/>
      <c r="IE185" s="2"/>
      <c r="IF185" s="2"/>
      <c r="IG185" s="2"/>
      <c r="IH185" s="2"/>
      <c r="II185" s="2"/>
      <c r="IJ185" s="2"/>
      <c r="IK185" s="2">
        <v>0</v>
      </c>
      <c r="IL185" s="2"/>
      <c r="IM185" s="2"/>
      <c r="IN185" s="2"/>
      <c r="IO185" s="2"/>
      <c r="IP185" s="2"/>
      <c r="IQ185" s="2"/>
      <c r="IR185" s="2"/>
      <c r="IS185" s="2"/>
      <c r="IT185" s="2"/>
      <c r="IU185" s="2"/>
    </row>
    <row r="186" spans="1:255" ht="13.05" customHeight="1" x14ac:dyDescent="0.25">
      <c r="A186" s="2">
        <v>18</v>
      </c>
      <c r="B186" s="2">
        <v>1</v>
      </c>
      <c r="C186" s="2">
        <v>252</v>
      </c>
      <c r="D186" s="2"/>
      <c r="E186" s="2" t="s">
        <v>399</v>
      </c>
      <c r="F186" s="2" t="s">
        <v>400</v>
      </c>
      <c r="G186" s="2" t="s">
        <v>401</v>
      </c>
      <c r="H186" s="2" t="s">
        <v>174</v>
      </c>
      <c r="I186" s="2">
        <f>I184*J186</f>
        <v>4.7999999999999996E-3</v>
      </c>
      <c r="J186" s="2">
        <v>0.23999999999999996</v>
      </c>
      <c r="K186" s="2">
        <v>0.24</v>
      </c>
      <c r="L186" s="2"/>
      <c r="M186" s="2"/>
      <c r="N186" s="2"/>
      <c r="O186" s="2">
        <f t="shared" si="56"/>
        <v>181.89</v>
      </c>
      <c r="P186" s="2">
        <f>ROUND(CQ186*I186,2)</f>
        <v>181.89</v>
      </c>
      <c r="Q186" s="2">
        <f>ROUND(CR186*I186,2)</f>
        <v>0</v>
      </c>
      <c r="R186" s="2">
        <f>ROUND(CS186*I186,2)</f>
        <v>0</v>
      </c>
      <c r="S186" s="2">
        <f>ROUND(CT186*I186,2)</f>
        <v>0</v>
      </c>
      <c r="T186" s="2">
        <f t="shared" si="57"/>
        <v>0</v>
      </c>
      <c r="U186" s="2">
        <f>ROUND(CV186*I186,7)</f>
        <v>0</v>
      </c>
      <c r="V186" s="2">
        <f>ROUND(CW186*I186,7)</f>
        <v>0</v>
      </c>
      <c r="W186" s="2">
        <f t="shared" si="58"/>
        <v>0</v>
      </c>
      <c r="X186" s="2">
        <f t="shared" si="59"/>
        <v>0</v>
      </c>
      <c r="Y186" s="2">
        <f t="shared" si="60"/>
        <v>0</v>
      </c>
      <c r="Z186" s="2"/>
      <c r="AA186" s="2">
        <v>75604747</v>
      </c>
      <c r="AB186" s="2">
        <f t="shared" si="61"/>
        <v>24767.25</v>
      </c>
      <c r="AC186" s="2">
        <f>ROUND((ES186),6)</f>
        <v>24767.25</v>
      </c>
      <c r="AD186" s="2">
        <f>ROUND((((ET186)-(EU186))+AE186),6)</f>
        <v>0</v>
      </c>
      <c r="AE186" s="2">
        <f>ROUND((EU186),6)</f>
        <v>0</v>
      </c>
      <c r="AF186" s="2">
        <f>ROUND((EV186),6)</f>
        <v>0</v>
      </c>
      <c r="AG186" s="2">
        <f t="shared" si="62"/>
        <v>0</v>
      </c>
      <c r="AH186" s="2">
        <f>(EW186)</f>
        <v>0</v>
      </c>
      <c r="AI186" s="2">
        <f>(EX186)</f>
        <v>0</v>
      </c>
      <c r="AJ186" s="2">
        <f t="shared" si="63"/>
        <v>0</v>
      </c>
      <c r="AK186" s="2">
        <v>24767.25</v>
      </c>
      <c r="AL186" s="2">
        <v>24767.25</v>
      </c>
      <c r="AM186" s="2">
        <v>0</v>
      </c>
      <c r="AN186" s="2">
        <v>0</v>
      </c>
      <c r="AO186" s="2">
        <v>0</v>
      </c>
      <c r="AP186" s="2">
        <v>0</v>
      </c>
      <c r="AQ186" s="2">
        <v>0</v>
      </c>
      <c r="AR186" s="2">
        <v>0</v>
      </c>
      <c r="AS186" s="2">
        <v>0</v>
      </c>
      <c r="AT186" s="2">
        <v>110</v>
      </c>
      <c r="AU186" s="2">
        <v>69</v>
      </c>
      <c r="AV186" s="2">
        <v>1</v>
      </c>
      <c r="AW186" s="2">
        <v>1</v>
      </c>
      <c r="AX186" s="2"/>
      <c r="AY186" s="2"/>
      <c r="AZ186" s="2">
        <v>1</v>
      </c>
      <c r="BA186" s="2">
        <v>1</v>
      </c>
      <c r="BB186" s="2">
        <v>1</v>
      </c>
      <c r="BC186" s="2">
        <v>1.53</v>
      </c>
      <c r="BD186" s="2" t="s">
        <v>3</v>
      </c>
      <c r="BE186" s="2" t="s">
        <v>3</v>
      </c>
      <c r="BF186" s="2" t="s">
        <v>3</v>
      </c>
      <c r="BG186" s="2" t="s">
        <v>3</v>
      </c>
      <c r="BH186" s="2">
        <v>3</v>
      </c>
      <c r="BI186" s="2">
        <v>1</v>
      </c>
      <c r="BJ186" s="2" t="s">
        <v>402</v>
      </c>
      <c r="BK186" s="2"/>
      <c r="BL186" s="2"/>
      <c r="BM186" s="2">
        <v>8001</v>
      </c>
      <c r="BN186" s="2">
        <v>0</v>
      </c>
      <c r="BO186" s="2" t="s">
        <v>400</v>
      </c>
      <c r="BP186" s="2">
        <v>1</v>
      </c>
      <c r="BQ186" s="2">
        <v>2</v>
      </c>
      <c r="BR186" s="2">
        <v>0</v>
      </c>
      <c r="BS186" s="2">
        <v>1</v>
      </c>
      <c r="BT186" s="2">
        <v>1</v>
      </c>
      <c r="BU186" s="2">
        <v>1</v>
      </c>
      <c r="BV186" s="2">
        <v>1</v>
      </c>
      <c r="BW186" s="2">
        <v>1</v>
      </c>
      <c r="BX186" s="2">
        <v>1</v>
      </c>
      <c r="BY186" s="2" t="s">
        <v>3</v>
      </c>
      <c r="BZ186" s="2">
        <v>110</v>
      </c>
      <c r="CA186" s="2">
        <v>69</v>
      </c>
      <c r="CB186" s="2" t="s">
        <v>3</v>
      </c>
      <c r="CC186" s="2"/>
      <c r="CD186" s="2"/>
      <c r="CE186" s="2">
        <v>0</v>
      </c>
      <c r="CF186" s="2">
        <v>0</v>
      </c>
      <c r="CG186" s="2">
        <v>0</v>
      </c>
      <c r="CH186" s="2"/>
      <c r="CI186" s="2"/>
      <c r="CJ186" s="2"/>
      <c r="CK186" s="2"/>
      <c r="CL186" s="2"/>
      <c r="CM186" s="2">
        <v>0</v>
      </c>
      <c r="CN186" s="2" t="s">
        <v>3</v>
      </c>
      <c r="CO186" s="2">
        <v>0</v>
      </c>
      <c r="CP186" s="2">
        <f t="shared" si="64"/>
        <v>181.89</v>
      </c>
      <c r="CQ186" s="2">
        <f>ROUND(AL186*BC186,2)</f>
        <v>37893.89</v>
      </c>
      <c r="CR186" s="2">
        <f>ROUND(AM186*BB186,2)</f>
        <v>0</v>
      </c>
      <c r="CS186" s="2">
        <f>ROUND(AN186*BS186,2)</f>
        <v>0</v>
      </c>
      <c r="CT186" s="2">
        <f>ROUND(AO186*BA186,2)</f>
        <v>0</v>
      </c>
      <c r="CU186" s="2">
        <f t="shared" si="65"/>
        <v>0</v>
      </c>
      <c r="CV186" s="2">
        <f>AH186</f>
        <v>0</v>
      </c>
      <c r="CW186" s="2">
        <f>AI186</f>
        <v>0</v>
      </c>
      <c r="CX186" s="2">
        <f t="shared" si="66"/>
        <v>0</v>
      </c>
      <c r="CY186" s="2">
        <f t="shared" si="67"/>
        <v>0</v>
      </c>
      <c r="CZ186" s="2">
        <f t="shared" si="68"/>
        <v>0</v>
      </c>
      <c r="DA186" s="2"/>
      <c r="DB186" s="2"/>
      <c r="DC186" s="2" t="s">
        <v>3</v>
      </c>
      <c r="DD186" s="2" t="s">
        <v>3</v>
      </c>
      <c r="DE186" s="2" t="s">
        <v>3</v>
      </c>
      <c r="DF186" s="2" t="s">
        <v>3</v>
      </c>
      <c r="DG186" s="2" t="s">
        <v>3</v>
      </c>
      <c r="DH186" s="2" t="s">
        <v>3</v>
      </c>
      <c r="DI186" s="2" t="s">
        <v>3</v>
      </c>
      <c r="DJ186" s="2" t="s">
        <v>3</v>
      </c>
      <c r="DK186" s="2" t="s">
        <v>3</v>
      </c>
      <c r="DL186" s="2" t="s">
        <v>3</v>
      </c>
      <c r="DM186" s="2" t="s">
        <v>3</v>
      </c>
      <c r="DN186" s="2">
        <v>0</v>
      </c>
      <c r="DO186" s="2">
        <v>0</v>
      </c>
      <c r="DP186" s="2">
        <v>1</v>
      </c>
      <c r="DQ186" s="2">
        <v>1</v>
      </c>
      <c r="DR186" s="2"/>
      <c r="DS186" s="2"/>
      <c r="DT186" s="2"/>
      <c r="DU186" s="2">
        <v>1009</v>
      </c>
      <c r="DV186" s="2" t="s">
        <v>174</v>
      </c>
      <c r="DW186" s="2" t="s">
        <v>174</v>
      </c>
      <c r="DX186" s="2">
        <v>1000</v>
      </c>
      <c r="DY186" s="2"/>
      <c r="DZ186" s="2" t="s">
        <v>3</v>
      </c>
      <c r="EA186" s="2" t="s">
        <v>3</v>
      </c>
      <c r="EB186" s="2" t="s">
        <v>3</v>
      </c>
      <c r="EC186" s="2" t="s">
        <v>3</v>
      </c>
      <c r="ED186" s="2"/>
      <c r="EE186" s="2">
        <v>74004196</v>
      </c>
      <c r="EF186" s="2">
        <v>2</v>
      </c>
      <c r="EG186" s="2" t="s">
        <v>29</v>
      </c>
      <c r="EH186" s="2">
        <v>8</v>
      </c>
      <c r="EI186" s="2" t="s">
        <v>342</v>
      </c>
      <c r="EJ186" s="2">
        <v>1</v>
      </c>
      <c r="EK186" s="2">
        <v>8001</v>
      </c>
      <c r="EL186" s="2" t="s">
        <v>342</v>
      </c>
      <c r="EM186" s="2" t="s">
        <v>343</v>
      </c>
      <c r="EN186" s="2"/>
      <c r="EO186" s="2" t="s">
        <v>3</v>
      </c>
      <c r="EP186" s="2"/>
      <c r="EQ186" s="2">
        <v>262144</v>
      </c>
      <c r="ER186" s="2">
        <v>24767.25</v>
      </c>
      <c r="ES186" s="2">
        <v>24767.25</v>
      </c>
      <c r="ET186" s="2">
        <v>0</v>
      </c>
      <c r="EU186" s="2">
        <v>0</v>
      </c>
      <c r="EV186" s="2">
        <v>0</v>
      </c>
      <c r="EW186" s="2">
        <v>0</v>
      </c>
      <c r="EX186" s="2">
        <v>0</v>
      </c>
      <c r="EY186" s="2"/>
      <c r="EZ186" s="2"/>
      <c r="FA186" s="2"/>
      <c r="FB186" s="2"/>
      <c r="FC186" s="2"/>
      <c r="FD186" s="2"/>
      <c r="FE186" s="2"/>
      <c r="FF186" s="2"/>
      <c r="FG186" s="2"/>
      <c r="FH186" s="2"/>
      <c r="FI186" s="2"/>
      <c r="FJ186" s="2"/>
      <c r="FK186" s="2"/>
      <c r="FL186" s="2"/>
      <c r="FM186" s="2"/>
      <c r="FN186" s="2"/>
      <c r="FO186" s="2"/>
      <c r="FP186" s="2"/>
      <c r="FQ186" s="2">
        <v>0</v>
      </c>
      <c r="FR186" s="2">
        <v>0</v>
      </c>
      <c r="FS186" s="2">
        <v>0</v>
      </c>
      <c r="FT186" s="2"/>
      <c r="FU186" s="2"/>
      <c r="FV186" s="2"/>
      <c r="FW186" s="2"/>
      <c r="FX186" s="2">
        <v>110</v>
      </c>
      <c r="FY186" s="2">
        <v>69</v>
      </c>
      <c r="FZ186" s="2"/>
      <c r="GA186" s="2" t="s">
        <v>3</v>
      </c>
      <c r="GB186" s="2"/>
      <c r="GC186" s="2"/>
      <c r="GD186" s="2">
        <v>1</v>
      </c>
      <c r="GE186" s="2"/>
      <c r="GF186" s="2">
        <v>-587443483</v>
      </c>
      <c r="GG186" s="2">
        <v>2</v>
      </c>
      <c r="GH186" s="2">
        <v>1</v>
      </c>
      <c r="GI186" s="2">
        <v>2</v>
      </c>
      <c r="GJ186" s="2">
        <v>0</v>
      </c>
      <c r="GK186" s="2">
        <v>0</v>
      </c>
      <c r="GL186" s="2">
        <f t="shared" si="69"/>
        <v>0</v>
      </c>
      <c r="GM186" s="2">
        <f t="shared" si="70"/>
        <v>181.89</v>
      </c>
      <c r="GN186" s="2">
        <f t="shared" si="71"/>
        <v>181.89</v>
      </c>
      <c r="GO186" s="2">
        <f t="shared" si="72"/>
        <v>0</v>
      </c>
      <c r="GP186" s="2">
        <f t="shared" si="73"/>
        <v>0</v>
      </c>
      <c r="GQ186" s="2"/>
      <c r="GR186" s="2">
        <v>0</v>
      </c>
      <c r="GS186" s="2">
        <v>3</v>
      </c>
      <c r="GT186" s="2">
        <v>0</v>
      </c>
      <c r="GU186" s="2" t="s">
        <v>3</v>
      </c>
      <c r="GV186" s="2">
        <f t="shared" si="74"/>
        <v>0</v>
      </c>
      <c r="GW186" s="2">
        <v>1</v>
      </c>
      <c r="GX186" s="2">
        <f t="shared" si="75"/>
        <v>0</v>
      </c>
      <c r="GY186" s="2"/>
      <c r="GZ186" s="2"/>
      <c r="HA186" s="2">
        <v>0</v>
      </c>
      <c r="HB186" s="2">
        <v>0</v>
      </c>
      <c r="HC186" s="2">
        <f t="shared" si="76"/>
        <v>0</v>
      </c>
      <c r="HD186" s="2"/>
      <c r="HE186" s="2" t="s">
        <v>3</v>
      </c>
      <c r="HF186" s="2" t="s">
        <v>3</v>
      </c>
      <c r="HG186" s="2"/>
      <c r="HH186" s="2"/>
      <c r="HI186" s="2"/>
      <c r="HJ186" s="2"/>
      <c r="HK186" s="2"/>
      <c r="HL186" s="2"/>
      <c r="HM186" s="2" t="s">
        <v>3</v>
      </c>
      <c r="HN186" s="2" t="s">
        <v>344</v>
      </c>
      <c r="HO186" s="2" t="s">
        <v>345</v>
      </c>
      <c r="HP186" s="2" t="s">
        <v>342</v>
      </c>
      <c r="HQ186" s="2" t="s">
        <v>342</v>
      </c>
      <c r="HR186" s="2"/>
      <c r="HS186" s="2">
        <v>0</v>
      </c>
      <c r="HT186" s="2"/>
      <c r="HU186" s="2"/>
      <c r="HV186" s="2"/>
      <c r="HW186" s="2"/>
      <c r="HX186" s="2"/>
      <c r="HY186" s="2"/>
      <c r="HZ186" s="2"/>
      <c r="IA186" s="2"/>
      <c r="IB186" s="2"/>
      <c r="IC186" s="2"/>
      <c r="ID186" s="2"/>
      <c r="IE186" s="2"/>
      <c r="IF186" s="2"/>
      <c r="IG186" s="2"/>
      <c r="IH186" s="2"/>
      <c r="II186" s="2"/>
      <c r="IJ186" s="2"/>
      <c r="IK186" s="2">
        <v>0</v>
      </c>
      <c r="IL186" s="2"/>
      <c r="IM186" s="2"/>
      <c r="IN186" s="2"/>
      <c r="IO186" s="2"/>
      <c r="IP186" s="2"/>
      <c r="IQ186" s="2"/>
      <c r="IR186" s="2"/>
      <c r="IS186" s="2"/>
      <c r="IT186" s="2"/>
      <c r="IU186" s="2"/>
    </row>
    <row r="187" spans="1:255" ht="13.05" customHeight="1" x14ac:dyDescent="0.25"/>
    <row r="188" spans="1:255" ht="13.05" customHeight="1" x14ac:dyDescent="0.25">
      <c r="A188" s="3">
        <v>51</v>
      </c>
      <c r="B188" s="3">
        <f>B138</f>
        <v>1</v>
      </c>
      <c r="C188" s="3">
        <f>A138</f>
        <v>4</v>
      </c>
      <c r="D188" s="3">
        <f>ROW(A138)</f>
        <v>138</v>
      </c>
      <c r="E188" s="3"/>
      <c r="F188" s="3" t="str">
        <f>IF(F138&lt;&gt;"",F138,"")</f>
        <v>Новый раздел</v>
      </c>
      <c r="G188" s="3" t="str">
        <f>IF(G138&lt;&gt;"",G138,"")</f>
        <v>Раздел 3. Монтажные работы</v>
      </c>
      <c r="H188" s="3">
        <v>0</v>
      </c>
      <c r="I188" s="3"/>
      <c r="J188" s="3"/>
      <c r="K188" s="3"/>
      <c r="L188" s="3"/>
      <c r="M188" s="3"/>
      <c r="N188" s="3"/>
      <c r="O188" s="3">
        <f t="shared" ref="O188:T188" si="77">ROUND(AB188,2)</f>
        <v>131626.81</v>
      </c>
      <c r="P188" s="3">
        <f t="shared" si="77"/>
        <v>59285.27</v>
      </c>
      <c r="Q188" s="3">
        <f t="shared" si="77"/>
        <v>6705.25</v>
      </c>
      <c r="R188" s="3">
        <f t="shared" si="77"/>
        <v>2215.23</v>
      </c>
      <c r="S188" s="3">
        <f t="shared" si="77"/>
        <v>63421.06</v>
      </c>
      <c r="T188" s="3">
        <f t="shared" si="77"/>
        <v>0</v>
      </c>
      <c r="U188" s="3">
        <f>AH188</f>
        <v>170.92850200000001</v>
      </c>
      <c r="V188" s="3">
        <f>AI188</f>
        <v>5.7175108000000003</v>
      </c>
      <c r="W188" s="3">
        <f>ROUND(AJ188,2)</f>
        <v>0</v>
      </c>
      <c r="X188" s="3">
        <f>ROUND(AK188,2)</f>
        <v>69614.77</v>
      </c>
      <c r="Y188" s="3">
        <f>ROUND(AL188,2)</f>
        <v>41506.449999999997</v>
      </c>
      <c r="Z188" s="3"/>
      <c r="AA188" s="3"/>
      <c r="AB188" s="3">
        <f>ROUND(SUMIF(AA142:AA186,"=75604747",O142:O186),2)</f>
        <v>131626.81</v>
      </c>
      <c r="AC188" s="3">
        <f>ROUND(SUMIF(AA142:AA186,"=75604747",P142:P186),2)</f>
        <v>59285.27</v>
      </c>
      <c r="AD188" s="3">
        <f>ROUND(SUMIF(AA142:AA186,"=75604747",Q142:Q186),2)</f>
        <v>6705.25</v>
      </c>
      <c r="AE188" s="3">
        <f>ROUND(SUMIF(AA142:AA186,"=75604747",R142:R186),2)</f>
        <v>2215.23</v>
      </c>
      <c r="AF188" s="3">
        <f>ROUND(SUMIF(AA142:AA186,"=75604747",S142:S186),2)</f>
        <v>63421.06</v>
      </c>
      <c r="AG188" s="3">
        <f>ROUND(SUMIF(AA142:AA186,"=75604747",T142:T186),2)</f>
        <v>0</v>
      </c>
      <c r="AH188" s="3">
        <f>SUMIF(AA142:AA186,"=75604747",U142:U186)</f>
        <v>170.92850200000001</v>
      </c>
      <c r="AI188" s="3">
        <f>SUMIF(AA142:AA186,"=75604747",V142:V186)</f>
        <v>5.7175108000000003</v>
      </c>
      <c r="AJ188" s="3">
        <f>ROUND(SUMIF(AA142:AA186,"=75604747",W142:W186),2)</f>
        <v>0</v>
      </c>
      <c r="AK188" s="3">
        <f>ROUND(SUMIF(AA142:AA186,"=75604747",X142:X186),2)</f>
        <v>69614.77</v>
      </c>
      <c r="AL188" s="3">
        <f>ROUND(SUMIF(AA142:AA186,"=75604747",Y142:Y186),2)</f>
        <v>41506.449999999997</v>
      </c>
      <c r="AM188" s="3"/>
      <c r="AN188" s="3"/>
      <c r="AO188" s="3">
        <f t="shared" ref="AO188:BD188" si="78">ROUND(BX188,2)</f>
        <v>0</v>
      </c>
      <c r="AP188" s="3">
        <f t="shared" si="78"/>
        <v>0</v>
      </c>
      <c r="AQ188" s="3">
        <f t="shared" si="78"/>
        <v>0</v>
      </c>
      <c r="AR188" s="3">
        <f t="shared" si="78"/>
        <v>242748.03</v>
      </c>
      <c r="AS188" s="3">
        <f t="shared" si="78"/>
        <v>205061.34</v>
      </c>
      <c r="AT188" s="3">
        <f t="shared" si="78"/>
        <v>37686.69</v>
      </c>
      <c r="AU188" s="3">
        <f t="shared" si="78"/>
        <v>0</v>
      </c>
      <c r="AV188" s="3">
        <f t="shared" si="78"/>
        <v>59285.27</v>
      </c>
      <c r="AW188" s="3">
        <f t="shared" si="78"/>
        <v>59285.27</v>
      </c>
      <c r="AX188" s="3">
        <f t="shared" si="78"/>
        <v>0</v>
      </c>
      <c r="AY188" s="3">
        <f t="shared" si="78"/>
        <v>59285.27</v>
      </c>
      <c r="AZ188" s="3">
        <f t="shared" si="78"/>
        <v>0</v>
      </c>
      <c r="BA188" s="3">
        <f t="shared" si="78"/>
        <v>0</v>
      </c>
      <c r="BB188" s="3">
        <f t="shared" si="78"/>
        <v>0</v>
      </c>
      <c r="BC188" s="3">
        <f t="shared" si="78"/>
        <v>0</v>
      </c>
      <c r="BD188" s="3">
        <f t="shared" si="78"/>
        <v>0</v>
      </c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>
        <f>ROUND(SUMIF(AA142:AA186,"=75604747",FQ142:FQ186),2)</f>
        <v>0</v>
      </c>
      <c r="BY188" s="3">
        <f>ROUND(SUMIF(AA142:AA186,"=75604747",FR142:FR186),2)</f>
        <v>0</v>
      </c>
      <c r="BZ188" s="3">
        <f>ROUND(SUMIF(AA142:AA186,"=75604747",GL142:GL186),2)</f>
        <v>0</v>
      </c>
      <c r="CA188" s="3">
        <f>ROUND(SUMIF(AA142:AA186,"=75604747",GM142:GM186),2)</f>
        <v>242748.03</v>
      </c>
      <c r="CB188" s="3">
        <f>ROUND(SUMIF(AA142:AA186,"=75604747",GN142:GN186),2)</f>
        <v>205061.34</v>
      </c>
      <c r="CC188" s="3">
        <f>ROUND(SUMIF(AA142:AA186,"=75604747",GO142:GO186),2)</f>
        <v>37686.69</v>
      </c>
      <c r="CD188" s="3">
        <f>ROUND(SUMIF(AA142:AA186,"=75604747",GP142:GP186),2)</f>
        <v>0</v>
      </c>
      <c r="CE188" s="3">
        <f>AC188-BX188</f>
        <v>59285.27</v>
      </c>
      <c r="CF188" s="3">
        <f>AC188-BY188</f>
        <v>59285.27</v>
      </c>
      <c r="CG188" s="3">
        <f>BX188-BZ188</f>
        <v>0</v>
      </c>
      <c r="CH188" s="3">
        <f>AC188-BX188-BY188+BZ188</f>
        <v>59285.27</v>
      </c>
      <c r="CI188" s="3">
        <f>BY188-BZ188</f>
        <v>0</v>
      </c>
      <c r="CJ188" s="3">
        <f>ROUND(SUMIF(AA142:AA186,"=75604747",GX142:GX186),2)</f>
        <v>0</v>
      </c>
      <c r="CK188" s="3">
        <f>ROUND(SUMIF(AA142:AA186,"=75604747",GY142:GY186),2)</f>
        <v>0</v>
      </c>
      <c r="CL188" s="3">
        <f>ROUND(SUMIF(AA142:AA186,"=75604747",GZ142:GZ186),2)</f>
        <v>0</v>
      </c>
      <c r="CM188" s="3">
        <f>ROUND(SUMIF(AA142:AA186,"=75604747",HD142:HD186),2)</f>
        <v>0</v>
      </c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/>
      <c r="EH188" s="4"/>
      <c r="EI188" s="4"/>
      <c r="EJ188" s="4"/>
      <c r="EK188" s="4"/>
      <c r="EL188" s="4"/>
      <c r="EM188" s="4"/>
      <c r="EN188" s="4"/>
      <c r="EO188" s="4"/>
      <c r="EP188" s="4"/>
      <c r="EQ188" s="4"/>
      <c r="ER188" s="4"/>
      <c r="ES188" s="4"/>
      <c r="ET188" s="4"/>
      <c r="EU188" s="4"/>
      <c r="EV188" s="4"/>
      <c r="EW188" s="4"/>
      <c r="EX188" s="4"/>
      <c r="EY188" s="4"/>
      <c r="EZ188" s="4"/>
      <c r="FA188" s="4"/>
      <c r="FB188" s="4"/>
      <c r="FC188" s="4"/>
      <c r="FD188" s="4"/>
      <c r="FE188" s="4"/>
      <c r="FF188" s="4"/>
      <c r="FG188" s="4"/>
      <c r="FH188" s="4"/>
      <c r="FI188" s="4"/>
      <c r="FJ188" s="4"/>
      <c r="FK188" s="4"/>
      <c r="FL188" s="4"/>
      <c r="FM188" s="4"/>
      <c r="FN188" s="4"/>
      <c r="FO188" s="4"/>
      <c r="FP188" s="4"/>
      <c r="FQ188" s="4"/>
      <c r="FR188" s="4"/>
      <c r="FS188" s="4"/>
      <c r="FT188" s="4"/>
      <c r="FU188" s="4"/>
      <c r="FV188" s="4"/>
      <c r="FW188" s="4"/>
      <c r="FX188" s="4"/>
      <c r="FY188" s="4"/>
      <c r="FZ188" s="4"/>
      <c r="GA188" s="4"/>
      <c r="GB188" s="4"/>
      <c r="GC188" s="4"/>
      <c r="GD188" s="4"/>
      <c r="GE188" s="4"/>
      <c r="GF188" s="4"/>
      <c r="GG188" s="4"/>
      <c r="GH188" s="4"/>
      <c r="GI188" s="4"/>
      <c r="GJ188" s="4"/>
      <c r="GK188" s="4"/>
      <c r="GL188" s="4"/>
      <c r="GM188" s="4"/>
      <c r="GN188" s="4"/>
      <c r="GO188" s="4"/>
      <c r="GP188" s="4"/>
      <c r="GQ188" s="4"/>
      <c r="GR188" s="4"/>
      <c r="GS188" s="4"/>
      <c r="GT188" s="4"/>
      <c r="GU188" s="4"/>
      <c r="GV188" s="4"/>
      <c r="GW188" s="4"/>
      <c r="GX188" s="4">
        <v>0</v>
      </c>
    </row>
    <row r="189" spans="1:255" ht="13.05" customHeight="1" x14ac:dyDescent="0.25"/>
    <row r="190" spans="1:255" ht="13.05" customHeight="1" x14ac:dyDescent="0.25">
      <c r="A190" s="5">
        <v>50</v>
      </c>
      <c r="B190" s="5">
        <v>1</v>
      </c>
      <c r="C190" s="5">
        <v>0</v>
      </c>
      <c r="D190" s="5">
        <v>1</v>
      </c>
      <c r="E190" s="5">
        <v>201</v>
      </c>
      <c r="F190" s="5">
        <f>ROUND(Source!O188,O190)</f>
        <v>131626.81</v>
      </c>
      <c r="G190" s="5" t="s">
        <v>104</v>
      </c>
      <c r="H190" s="5" t="s">
        <v>105</v>
      </c>
      <c r="I190" s="5"/>
      <c r="J190" s="5"/>
      <c r="K190" s="5">
        <v>201</v>
      </c>
      <c r="L190" s="5">
        <v>1</v>
      </c>
      <c r="M190" s="5">
        <v>0</v>
      </c>
      <c r="N190" s="5" t="s">
        <v>3</v>
      </c>
      <c r="O190" s="5">
        <v>2</v>
      </c>
      <c r="P190" s="5"/>
      <c r="Q190" s="5"/>
      <c r="R190" s="5"/>
      <c r="S190" s="5"/>
      <c r="T190" s="5"/>
      <c r="U190" s="5"/>
      <c r="V190" s="5"/>
      <c r="W190" s="5">
        <v>131626.81000000003</v>
      </c>
      <c r="X190" s="5">
        <v>1</v>
      </c>
      <c r="Y190" s="5">
        <v>131626.81000000003</v>
      </c>
      <c r="Z190" s="5"/>
      <c r="AA190" s="5"/>
      <c r="AB190" s="5"/>
    </row>
    <row r="191" spans="1:255" ht="13.05" customHeight="1" x14ac:dyDescent="0.25">
      <c r="A191" s="5">
        <v>50</v>
      </c>
      <c r="B191" s="5">
        <v>1</v>
      </c>
      <c r="C191" s="5">
        <v>0</v>
      </c>
      <c r="D191" s="5">
        <v>1</v>
      </c>
      <c r="E191" s="5">
        <v>202</v>
      </c>
      <c r="F191" s="5">
        <f>ROUND(Source!P188,O191)</f>
        <v>59285.27</v>
      </c>
      <c r="G191" s="5" t="s">
        <v>106</v>
      </c>
      <c r="H191" s="5" t="s">
        <v>107</v>
      </c>
      <c r="I191" s="5"/>
      <c r="J191" s="5"/>
      <c r="K191" s="5">
        <v>202</v>
      </c>
      <c r="L191" s="5">
        <v>2</v>
      </c>
      <c r="M191" s="5">
        <v>1</v>
      </c>
      <c r="N191" s="5" t="s">
        <v>3</v>
      </c>
      <c r="O191" s="5">
        <v>2</v>
      </c>
      <c r="P191" s="5"/>
      <c r="Q191" s="5"/>
      <c r="R191" s="5"/>
      <c r="S191" s="5"/>
      <c r="T191" s="5"/>
      <c r="U191" s="5"/>
      <c r="V191" s="5"/>
      <c r="W191" s="5">
        <v>59285.27</v>
      </c>
      <c r="X191" s="5">
        <v>1</v>
      </c>
      <c r="Y191" s="5">
        <v>59285.27</v>
      </c>
      <c r="Z191" s="5"/>
      <c r="AA191" s="5"/>
      <c r="AB191" s="5"/>
    </row>
    <row r="192" spans="1:255" ht="13.05" customHeight="1" x14ac:dyDescent="0.25">
      <c r="A192" s="5">
        <v>50</v>
      </c>
      <c r="B192" s="5">
        <v>0</v>
      </c>
      <c r="C192" s="5">
        <v>0</v>
      </c>
      <c r="D192" s="5">
        <v>1</v>
      </c>
      <c r="E192" s="5">
        <v>222</v>
      </c>
      <c r="F192" s="5">
        <f>ROUND(Source!AO188,O192)</f>
        <v>0</v>
      </c>
      <c r="G192" s="5" t="s">
        <v>108</v>
      </c>
      <c r="H192" s="5" t="s">
        <v>109</v>
      </c>
      <c r="I192" s="5"/>
      <c r="J192" s="5"/>
      <c r="K192" s="5">
        <v>222</v>
      </c>
      <c r="L192" s="5">
        <v>3</v>
      </c>
      <c r="M192" s="5">
        <v>3</v>
      </c>
      <c r="N192" s="5" t="s">
        <v>3</v>
      </c>
      <c r="O192" s="5">
        <v>2</v>
      </c>
      <c r="P192" s="5"/>
      <c r="Q192" s="5"/>
      <c r="R192" s="5"/>
      <c r="S192" s="5"/>
      <c r="T192" s="5"/>
      <c r="U192" s="5"/>
      <c r="V192" s="5"/>
      <c r="W192" s="5">
        <v>0</v>
      </c>
      <c r="X192" s="5">
        <v>1</v>
      </c>
      <c r="Y192" s="5">
        <v>0</v>
      </c>
      <c r="Z192" s="5"/>
      <c r="AA192" s="5"/>
      <c r="AB192" s="5"/>
    </row>
    <row r="193" spans="1:28" ht="13.05" customHeight="1" x14ac:dyDescent="0.25">
      <c r="A193" s="5">
        <v>50</v>
      </c>
      <c r="B193" s="5">
        <v>0</v>
      </c>
      <c r="C193" s="5">
        <v>0</v>
      </c>
      <c r="D193" s="5">
        <v>1</v>
      </c>
      <c r="E193" s="5">
        <v>225</v>
      </c>
      <c r="F193" s="5">
        <f>ROUND(Source!AV188,O193)</f>
        <v>59285.27</v>
      </c>
      <c r="G193" s="5" t="s">
        <v>110</v>
      </c>
      <c r="H193" s="5" t="s">
        <v>111</v>
      </c>
      <c r="I193" s="5"/>
      <c r="J193" s="5"/>
      <c r="K193" s="5">
        <v>225</v>
      </c>
      <c r="L193" s="5">
        <v>4</v>
      </c>
      <c r="M193" s="5">
        <v>3</v>
      </c>
      <c r="N193" s="5" t="s">
        <v>3</v>
      </c>
      <c r="O193" s="5">
        <v>2</v>
      </c>
      <c r="P193" s="5"/>
      <c r="Q193" s="5"/>
      <c r="R193" s="5"/>
      <c r="S193" s="5"/>
      <c r="T193" s="5"/>
      <c r="U193" s="5"/>
      <c r="V193" s="5"/>
      <c r="W193" s="5">
        <v>59285.27</v>
      </c>
      <c r="X193" s="5">
        <v>1</v>
      </c>
      <c r="Y193" s="5">
        <v>59285.27</v>
      </c>
      <c r="Z193" s="5"/>
      <c r="AA193" s="5"/>
      <c r="AB193" s="5"/>
    </row>
    <row r="194" spans="1:28" ht="13.05" customHeight="1" x14ac:dyDescent="0.25">
      <c r="A194" s="5">
        <v>50</v>
      </c>
      <c r="B194" s="5">
        <v>1</v>
      </c>
      <c r="C194" s="5">
        <v>0</v>
      </c>
      <c r="D194" s="5">
        <v>1</v>
      </c>
      <c r="E194" s="5">
        <v>226</v>
      </c>
      <c r="F194" s="5">
        <f>ROUND(Source!AW188,O194)</f>
        <v>59285.27</v>
      </c>
      <c r="G194" s="5" t="s">
        <v>112</v>
      </c>
      <c r="H194" s="5" t="s">
        <v>113</v>
      </c>
      <c r="I194" s="5"/>
      <c r="J194" s="5"/>
      <c r="K194" s="5">
        <v>226</v>
      </c>
      <c r="L194" s="5">
        <v>5</v>
      </c>
      <c r="M194" s="5">
        <v>1</v>
      </c>
      <c r="N194" s="5" t="s">
        <v>3</v>
      </c>
      <c r="O194" s="5">
        <v>2</v>
      </c>
      <c r="P194" s="5"/>
      <c r="Q194" s="5"/>
      <c r="R194" s="5"/>
      <c r="S194" s="5"/>
      <c r="T194" s="5"/>
      <c r="U194" s="5"/>
      <c r="V194" s="5"/>
      <c r="W194" s="5">
        <v>59285.27</v>
      </c>
      <c r="X194" s="5">
        <v>1</v>
      </c>
      <c r="Y194" s="5">
        <v>59285.27</v>
      </c>
      <c r="Z194" s="5"/>
      <c r="AA194" s="5"/>
      <c r="AB194" s="5"/>
    </row>
    <row r="195" spans="1:28" ht="13.05" customHeight="1" x14ac:dyDescent="0.25">
      <c r="A195" s="5">
        <v>50</v>
      </c>
      <c r="B195" s="5">
        <v>0</v>
      </c>
      <c r="C195" s="5">
        <v>0</v>
      </c>
      <c r="D195" s="5">
        <v>1</v>
      </c>
      <c r="E195" s="5">
        <v>227</v>
      </c>
      <c r="F195" s="5">
        <f>ROUND(Source!AX188,O195)</f>
        <v>0</v>
      </c>
      <c r="G195" s="5" t="s">
        <v>114</v>
      </c>
      <c r="H195" s="5" t="s">
        <v>115</v>
      </c>
      <c r="I195" s="5"/>
      <c r="J195" s="5"/>
      <c r="K195" s="5">
        <v>227</v>
      </c>
      <c r="L195" s="5">
        <v>6</v>
      </c>
      <c r="M195" s="5">
        <v>1</v>
      </c>
      <c r="N195" s="5" t="s">
        <v>3</v>
      </c>
      <c r="O195" s="5">
        <v>2</v>
      </c>
      <c r="P195" s="5"/>
      <c r="Q195" s="5"/>
      <c r="R195" s="5"/>
      <c r="S195" s="5"/>
      <c r="T195" s="5"/>
      <c r="U195" s="5"/>
      <c r="V195" s="5"/>
      <c r="W195" s="5">
        <v>0</v>
      </c>
      <c r="X195" s="5">
        <v>1</v>
      </c>
      <c r="Y195" s="5">
        <v>0</v>
      </c>
      <c r="Z195" s="5"/>
      <c r="AA195" s="5"/>
      <c r="AB195" s="5"/>
    </row>
    <row r="196" spans="1:28" ht="13.05" customHeight="1" x14ac:dyDescent="0.25">
      <c r="A196" s="5">
        <v>50</v>
      </c>
      <c r="B196" s="5">
        <v>0</v>
      </c>
      <c r="C196" s="5">
        <v>0</v>
      </c>
      <c r="D196" s="5">
        <v>1</v>
      </c>
      <c r="E196" s="5">
        <v>228</v>
      </c>
      <c r="F196" s="5">
        <f>ROUND(Source!AY188,O196)</f>
        <v>59285.27</v>
      </c>
      <c r="G196" s="5" t="s">
        <v>116</v>
      </c>
      <c r="H196" s="5" t="s">
        <v>117</v>
      </c>
      <c r="I196" s="5"/>
      <c r="J196" s="5"/>
      <c r="K196" s="5">
        <v>228</v>
      </c>
      <c r="L196" s="5">
        <v>7</v>
      </c>
      <c r="M196" s="5">
        <v>3</v>
      </c>
      <c r="N196" s="5" t="s">
        <v>3</v>
      </c>
      <c r="O196" s="5">
        <v>2</v>
      </c>
      <c r="P196" s="5"/>
      <c r="Q196" s="5"/>
      <c r="R196" s="5"/>
      <c r="S196" s="5"/>
      <c r="T196" s="5"/>
      <c r="U196" s="5"/>
      <c r="V196" s="5"/>
      <c r="W196" s="5">
        <v>59285.27</v>
      </c>
      <c r="X196" s="5">
        <v>1</v>
      </c>
      <c r="Y196" s="5">
        <v>59285.27</v>
      </c>
      <c r="Z196" s="5"/>
      <c r="AA196" s="5"/>
      <c r="AB196" s="5"/>
    </row>
    <row r="197" spans="1:28" ht="13.05" customHeight="1" x14ac:dyDescent="0.25">
      <c r="A197" s="5">
        <v>50</v>
      </c>
      <c r="B197" s="5">
        <v>0</v>
      </c>
      <c r="C197" s="5">
        <v>0</v>
      </c>
      <c r="D197" s="5">
        <v>1</v>
      </c>
      <c r="E197" s="5">
        <v>216</v>
      </c>
      <c r="F197" s="5">
        <f>ROUND(Source!AP188,O197)</f>
        <v>0</v>
      </c>
      <c r="G197" s="5" t="s">
        <v>118</v>
      </c>
      <c r="H197" s="5" t="s">
        <v>119</v>
      </c>
      <c r="I197" s="5"/>
      <c r="J197" s="5"/>
      <c r="K197" s="5">
        <v>216</v>
      </c>
      <c r="L197" s="5">
        <v>8</v>
      </c>
      <c r="M197" s="5">
        <v>1</v>
      </c>
      <c r="N197" s="5" t="s">
        <v>3</v>
      </c>
      <c r="O197" s="5">
        <v>2</v>
      </c>
      <c r="P197" s="5"/>
      <c r="Q197" s="5"/>
      <c r="R197" s="5"/>
      <c r="S197" s="5"/>
      <c r="T197" s="5"/>
      <c r="U197" s="5"/>
      <c r="V197" s="5"/>
      <c r="W197" s="5">
        <v>0</v>
      </c>
      <c r="X197" s="5">
        <v>1</v>
      </c>
      <c r="Y197" s="5">
        <v>0</v>
      </c>
      <c r="Z197" s="5"/>
      <c r="AA197" s="5"/>
      <c r="AB197" s="5"/>
    </row>
    <row r="198" spans="1:28" ht="13.05" customHeight="1" x14ac:dyDescent="0.25">
      <c r="A198" s="5">
        <v>50</v>
      </c>
      <c r="B198" s="5">
        <v>0</v>
      </c>
      <c r="C198" s="5">
        <v>0</v>
      </c>
      <c r="D198" s="5">
        <v>1</v>
      </c>
      <c r="E198" s="5">
        <v>223</v>
      </c>
      <c r="F198" s="5">
        <f>ROUND(Source!AQ188,O198)</f>
        <v>0</v>
      </c>
      <c r="G198" s="5" t="s">
        <v>120</v>
      </c>
      <c r="H198" s="5" t="s">
        <v>121</v>
      </c>
      <c r="I198" s="5"/>
      <c r="J198" s="5"/>
      <c r="K198" s="5">
        <v>223</v>
      </c>
      <c r="L198" s="5">
        <v>9</v>
      </c>
      <c r="M198" s="5">
        <v>1</v>
      </c>
      <c r="N198" s="5" t="s">
        <v>3</v>
      </c>
      <c r="O198" s="5">
        <v>2</v>
      </c>
      <c r="P198" s="5"/>
      <c r="Q198" s="5"/>
      <c r="R198" s="5"/>
      <c r="S198" s="5"/>
      <c r="T198" s="5"/>
      <c r="U198" s="5"/>
      <c r="V198" s="5"/>
      <c r="W198" s="5">
        <v>0</v>
      </c>
      <c r="X198" s="5">
        <v>1</v>
      </c>
      <c r="Y198" s="5">
        <v>0</v>
      </c>
      <c r="Z198" s="5"/>
      <c r="AA198" s="5"/>
      <c r="AB198" s="5"/>
    </row>
    <row r="199" spans="1:28" ht="13.05" customHeight="1" x14ac:dyDescent="0.25">
      <c r="A199" s="5">
        <v>50</v>
      </c>
      <c r="B199" s="5">
        <v>0</v>
      </c>
      <c r="C199" s="5">
        <v>0</v>
      </c>
      <c r="D199" s="5">
        <v>1</v>
      </c>
      <c r="E199" s="5">
        <v>229</v>
      </c>
      <c r="F199" s="5">
        <f>ROUND(Source!AZ188,O199)</f>
        <v>0</v>
      </c>
      <c r="G199" s="5" t="s">
        <v>122</v>
      </c>
      <c r="H199" s="5" t="s">
        <v>123</v>
      </c>
      <c r="I199" s="5"/>
      <c r="J199" s="5"/>
      <c r="K199" s="5">
        <v>229</v>
      </c>
      <c r="L199" s="5">
        <v>10</v>
      </c>
      <c r="M199" s="5">
        <v>3</v>
      </c>
      <c r="N199" s="5" t="s">
        <v>3</v>
      </c>
      <c r="O199" s="5">
        <v>2</v>
      </c>
      <c r="P199" s="5"/>
      <c r="Q199" s="5"/>
      <c r="R199" s="5"/>
      <c r="S199" s="5"/>
      <c r="T199" s="5"/>
      <c r="U199" s="5"/>
      <c r="V199" s="5"/>
      <c r="W199" s="5">
        <v>0</v>
      </c>
      <c r="X199" s="5">
        <v>1</v>
      </c>
      <c r="Y199" s="5">
        <v>0</v>
      </c>
      <c r="Z199" s="5"/>
      <c r="AA199" s="5"/>
      <c r="AB199" s="5"/>
    </row>
    <row r="200" spans="1:28" ht="13.05" customHeight="1" x14ac:dyDescent="0.25">
      <c r="A200" s="5">
        <v>50</v>
      </c>
      <c r="B200" s="5">
        <v>1</v>
      </c>
      <c r="C200" s="5">
        <v>0</v>
      </c>
      <c r="D200" s="5">
        <v>1</v>
      </c>
      <c r="E200" s="5">
        <v>203</v>
      </c>
      <c r="F200" s="5">
        <f>ROUND(Source!Q188,O200)</f>
        <v>6705.25</v>
      </c>
      <c r="G200" s="5" t="s">
        <v>124</v>
      </c>
      <c r="H200" s="5" t="s">
        <v>125</v>
      </c>
      <c r="I200" s="5"/>
      <c r="J200" s="5"/>
      <c r="K200" s="5">
        <v>203</v>
      </c>
      <c r="L200" s="5">
        <v>11</v>
      </c>
      <c r="M200" s="5">
        <v>0</v>
      </c>
      <c r="N200" s="5" t="s">
        <v>3</v>
      </c>
      <c r="O200" s="5">
        <v>2</v>
      </c>
      <c r="P200" s="5"/>
      <c r="Q200" s="5"/>
      <c r="R200" s="5"/>
      <c r="S200" s="5"/>
      <c r="T200" s="5"/>
      <c r="U200" s="5"/>
      <c r="V200" s="5"/>
      <c r="W200" s="5">
        <v>6705.2499999999991</v>
      </c>
      <c r="X200" s="5">
        <v>1</v>
      </c>
      <c r="Y200" s="5">
        <v>6705.2499999999991</v>
      </c>
      <c r="Z200" s="5"/>
      <c r="AA200" s="5"/>
      <c r="AB200" s="5"/>
    </row>
    <row r="201" spans="1:28" ht="13.05" customHeight="1" x14ac:dyDescent="0.25">
      <c r="A201" s="5">
        <v>50</v>
      </c>
      <c r="B201" s="5">
        <v>0</v>
      </c>
      <c r="C201" s="5">
        <v>0</v>
      </c>
      <c r="D201" s="5">
        <v>1</v>
      </c>
      <c r="E201" s="5">
        <v>231</v>
      </c>
      <c r="F201" s="5">
        <f>ROUND(Source!BB188,O201)</f>
        <v>0</v>
      </c>
      <c r="G201" s="5" t="s">
        <v>126</v>
      </c>
      <c r="H201" s="5" t="s">
        <v>127</v>
      </c>
      <c r="I201" s="5"/>
      <c r="J201" s="5"/>
      <c r="K201" s="5">
        <v>231</v>
      </c>
      <c r="L201" s="5">
        <v>12</v>
      </c>
      <c r="M201" s="5">
        <v>3</v>
      </c>
      <c r="N201" s="5" t="s">
        <v>3</v>
      </c>
      <c r="O201" s="5">
        <v>2</v>
      </c>
      <c r="P201" s="5"/>
      <c r="Q201" s="5"/>
      <c r="R201" s="5"/>
      <c r="S201" s="5"/>
      <c r="T201" s="5"/>
      <c r="U201" s="5"/>
      <c r="V201" s="5"/>
      <c r="W201" s="5">
        <v>0</v>
      </c>
      <c r="X201" s="5">
        <v>1</v>
      </c>
      <c r="Y201" s="5">
        <v>0</v>
      </c>
      <c r="Z201" s="5"/>
      <c r="AA201" s="5"/>
      <c r="AB201" s="5"/>
    </row>
    <row r="202" spans="1:28" ht="13.05" customHeight="1" x14ac:dyDescent="0.25">
      <c r="A202" s="5">
        <v>50</v>
      </c>
      <c r="B202" s="5">
        <v>1</v>
      </c>
      <c r="C202" s="5">
        <v>0</v>
      </c>
      <c r="D202" s="5">
        <v>1</v>
      </c>
      <c r="E202" s="5">
        <v>204</v>
      </c>
      <c r="F202" s="5">
        <f>ROUND(Source!R188,O202)</f>
        <v>2215.23</v>
      </c>
      <c r="G202" s="5" t="s">
        <v>128</v>
      </c>
      <c r="H202" s="5" t="s">
        <v>129</v>
      </c>
      <c r="I202" s="5"/>
      <c r="J202" s="5"/>
      <c r="K202" s="5">
        <v>204</v>
      </c>
      <c r="L202" s="5">
        <v>13</v>
      </c>
      <c r="M202" s="5">
        <v>0</v>
      </c>
      <c r="N202" s="5" t="s">
        <v>3</v>
      </c>
      <c r="O202" s="5">
        <v>2</v>
      </c>
      <c r="P202" s="5"/>
      <c r="Q202" s="5"/>
      <c r="R202" s="5"/>
      <c r="S202" s="5"/>
      <c r="T202" s="5"/>
      <c r="U202" s="5"/>
      <c r="V202" s="5"/>
      <c r="W202" s="5">
        <v>2215.23</v>
      </c>
      <c r="X202" s="5">
        <v>1</v>
      </c>
      <c r="Y202" s="5">
        <v>2215.23</v>
      </c>
      <c r="Z202" s="5"/>
      <c r="AA202" s="5"/>
      <c r="AB202" s="5"/>
    </row>
    <row r="203" spans="1:28" ht="13.05" customHeight="1" x14ac:dyDescent="0.25">
      <c r="A203" s="5">
        <v>50</v>
      </c>
      <c r="B203" s="5">
        <v>1</v>
      </c>
      <c r="C203" s="5">
        <v>0</v>
      </c>
      <c r="D203" s="5">
        <v>1</v>
      </c>
      <c r="E203" s="5">
        <v>205</v>
      </c>
      <c r="F203" s="5">
        <f>ROUND(Source!S188,O203)</f>
        <v>63421.06</v>
      </c>
      <c r="G203" s="5" t="s">
        <v>130</v>
      </c>
      <c r="H203" s="5" t="s">
        <v>131</v>
      </c>
      <c r="I203" s="5"/>
      <c r="J203" s="5"/>
      <c r="K203" s="5">
        <v>205</v>
      </c>
      <c r="L203" s="5">
        <v>14</v>
      </c>
      <c r="M203" s="5">
        <v>0</v>
      </c>
      <c r="N203" s="5" t="s">
        <v>3</v>
      </c>
      <c r="O203" s="5">
        <v>2</v>
      </c>
      <c r="P203" s="5"/>
      <c r="Q203" s="5"/>
      <c r="R203" s="5"/>
      <c r="S203" s="5"/>
      <c r="T203" s="5"/>
      <c r="U203" s="5"/>
      <c r="V203" s="5"/>
      <c r="W203" s="5">
        <v>63421.060000000019</v>
      </c>
      <c r="X203" s="5">
        <v>1</v>
      </c>
      <c r="Y203" s="5">
        <v>63421.060000000019</v>
      </c>
      <c r="Z203" s="5"/>
      <c r="AA203" s="5"/>
      <c r="AB203" s="5"/>
    </row>
    <row r="204" spans="1:28" ht="13.05" customHeight="1" x14ac:dyDescent="0.25">
      <c r="A204" s="5">
        <v>50</v>
      </c>
      <c r="B204" s="5">
        <v>0</v>
      </c>
      <c r="C204" s="5">
        <v>0</v>
      </c>
      <c r="D204" s="5">
        <v>1</v>
      </c>
      <c r="E204" s="5">
        <v>232</v>
      </c>
      <c r="F204" s="5">
        <f>ROUND(Source!BC188,O204)</f>
        <v>0</v>
      </c>
      <c r="G204" s="5" t="s">
        <v>132</v>
      </c>
      <c r="H204" s="5" t="s">
        <v>133</v>
      </c>
      <c r="I204" s="5"/>
      <c r="J204" s="5"/>
      <c r="K204" s="5">
        <v>232</v>
      </c>
      <c r="L204" s="5">
        <v>15</v>
      </c>
      <c r="M204" s="5">
        <v>3</v>
      </c>
      <c r="N204" s="5" t="s">
        <v>3</v>
      </c>
      <c r="O204" s="5">
        <v>2</v>
      </c>
      <c r="P204" s="5"/>
      <c r="Q204" s="5"/>
      <c r="R204" s="5"/>
      <c r="S204" s="5"/>
      <c r="T204" s="5"/>
      <c r="U204" s="5"/>
      <c r="V204" s="5"/>
      <c r="W204" s="5">
        <v>0</v>
      </c>
      <c r="X204" s="5">
        <v>1</v>
      </c>
      <c r="Y204" s="5">
        <v>0</v>
      </c>
      <c r="Z204" s="5"/>
      <c r="AA204" s="5"/>
      <c r="AB204" s="5"/>
    </row>
    <row r="205" spans="1:28" ht="13.05" customHeight="1" x14ac:dyDescent="0.25">
      <c r="A205" s="5">
        <v>50</v>
      </c>
      <c r="B205" s="5">
        <v>0</v>
      </c>
      <c r="C205" s="5">
        <v>0</v>
      </c>
      <c r="D205" s="5">
        <v>1</v>
      </c>
      <c r="E205" s="5">
        <v>214</v>
      </c>
      <c r="F205" s="5">
        <f>ROUND(Source!AS188,O205)</f>
        <v>205061.34</v>
      </c>
      <c r="G205" s="5" t="s">
        <v>134</v>
      </c>
      <c r="H205" s="5" t="s">
        <v>135</v>
      </c>
      <c r="I205" s="5"/>
      <c r="J205" s="5"/>
      <c r="K205" s="5">
        <v>214</v>
      </c>
      <c r="L205" s="5">
        <v>16</v>
      </c>
      <c r="M205" s="5">
        <v>3</v>
      </c>
      <c r="N205" s="5" t="s">
        <v>3</v>
      </c>
      <c r="O205" s="5">
        <v>2</v>
      </c>
      <c r="P205" s="5"/>
      <c r="Q205" s="5"/>
      <c r="R205" s="5"/>
      <c r="S205" s="5"/>
      <c r="T205" s="5"/>
      <c r="U205" s="5"/>
      <c r="V205" s="5"/>
      <c r="W205" s="5">
        <v>205061.34</v>
      </c>
      <c r="X205" s="5">
        <v>1</v>
      </c>
      <c r="Y205" s="5">
        <v>205061.34</v>
      </c>
      <c r="Z205" s="5"/>
      <c r="AA205" s="5"/>
      <c r="AB205" s="5"/>
    </row>
    <row r="206" spans="1:28" ht="13.05" customHeight="1" x14ac:dyDescent="0.25">
      <c r="A206" s="5">
        <v>50</v>
      </c>
      <c r="B206" s="5">
        <v>0</v>
      </c>
      <c r="C206" s="5">
        <v>0</v>
      </c>
      <c r="D206" s="5">
        <v>1</v>
      </c>
      <c r="E206" s="5">
        <v>215</v>
      </c>
      <c r="F206" s="5">
        <f>ROUND(Source!AT188,O206)</f>
        <v>37686.69</v>
      </c>
      <c r="G206" s="5" t="s">
        <v>136</v>
      </c>
      <c r="H206" s="5" t="s">
        <v>137</v>
      </c>
      <c r="I206" s="5"/>
      <c r="J206" s="5"/>
      <c r="K206" s="5">
        <v>215</v>
      </c>
      <c r="L206" s="5">
        <v>17</v>
      </c>
      <c r="M206" s="5">
        <v>3</v>
      </c>
      <c r="N206" s="5" t="s">
        <v>3</v>
      </c>
      <c r="O206" s="5">
        <v>2</v>
      </c>
      <c r="P206" s="5"/>
      <c r="Q206" s="5"/>
      <c r="R206" s="5"/>
      <c r="S206" s="5"/>
      <c r="T206" s="5"/>
      <c r="U206" s="5"/>
      <c r="V206" s="5"/>
      <c r="W206" s="5">
        <v>37686.69</v>
      </c>
      <c r="X206" s="5">
        <v>1</v>
      </c>
      <c r="Y206" s="5">
        <v>37686.69</v>
      </c>
      <c r="Z206" s="5"/>
      <c r="AA206" s="5"/>
      <c r="AB206" s="5"/>
    </row>
    <row r="207" spans="1:28" ht="13.05" customHeight="1" x14ac:dyDescent="0.25">
      <c r="A207" s="5">
        <v>50</v>
      </c>
      <c r="B207" s="5">
        <v>0</v>
      </c>
      <c r="C207" s="5">
        <v>0</v>
      </c>
      <c r="D207" s="5">
        <v>1</v>
      </c>
      <c r="E207" s="5">
        <v>217</v>
      </c>
      <c r="F207" s="5">
        <f>ROUND(Source!AU188,O207)</f>
        <v>0</v>
      </c>
      <c r="G207" s="5" t="s">
        <v>138</v>
      </c>
      <c r="H207" s="5" t="s">
        <v>139</v>
      </c>
      <c r="I207" s="5"/>
      <c r="J207" s="5"/>
      <c r="K207" s="5">
        <v>217</v>
      </c>
      <c r="L207" s="5">
        <v>18</v>
      </c>
      <c r="M207" s="5">
        <v>3</v>
      </c>
      <c r="N207" s="5" t="s">
        <v>3</v>
      </c>
      <c r="O207" s="5">
        <v>2</v>
      </c>
      <c r="P207" s="5"/>
      <c r="Q207" s="5"/>
      <c r="R207" s="5"/>
      <c r="S207" s="5"/>
      <c r="T207" s="5"/>
      <c r="U207" s="5"/>
      <c r="V207" s="5"/>
      <c r="W207" s="5">
        <v>0</v>
      </c>
      <c r="X207" s="5">
        <v>1</v>
      </c>
      <c r="Y207" s="5">
        <v>0</v>
      </c>
      <c r="Z207" s="5"/>
      <c r="AA207" s="5"/>
      <c r="AB207" s="5"/>
    </row>
    <row r="208" spans="1:28" ht="13.05" customHeight="1" x14ac:dyDescent="0.25">
      <c r="A208" s="5">
        <v>50</v>
      </c>
      <c r="B208" s="5">
        <v>0</v>
      </c>
      <c r="C208" s="5">
        <v>0</v>
      </c>
      <c r="D208" s="5">
        <v>1</v>
      </c>
      <c r="E208" s="5">
        <v>230</v>
      </c>
      <c r="F208" s="5">
        <f>ROUND(Source!BA188,O208)</f>
        <v>0</v>
      </c>
      <c r="G208" s="5" t="s">
        <v>140</v>
      </c>
      <c r="H208" s="5" t="s">
        <v>141</v>
      </c>
      <c r="I208" s="5"/>
      <c r="J208" s="5"/>
      <c r="K208" s="5">
        <v>230</v>
      </c>
      <c r="L208" s="5">
        <v>19</v>
      </c>
      <c r="M208" s="5">
        <v>3</v>
      </c>
      <c r="N208" s="5" t="s">
        <v>3</v>
      </c>
      <c r="O208" s="5">
        <v>2</v>
      </c>
      <c r="P208" s="5"/>
      <c r="Q208" s="5"/>
      <c r="R208" s="5"/>
      <c r="S208" s="5"/>
      <c r="T208" s="5"/>
      <c r="U208" s="5"/>
      <c r="V208" s="5"/>
      <c r="W208" s="5">
        <v>0</v>
      </c>
      <c r="X208" s="5">
        <v>1</v>
      </c>
      <c r="Y208" s="5">
        <v>0</v>
      </c>
      <c r="Z208" s="5"/>
      <c r="AA208" s="5"/>
      <c r="AB208" s="5"/>
    </row>
    <row r="209" spans="1:255" ht="13.05" customHeight="1" x14ac:dyDescent="0.25">
      <c r="A209" s="5">
        <v>50</v>
      </c>
      <c r="B209" s="5">
        <v>0</v>
      </c>
      <c r="C209" s="5">
        <v>0</v>
      </c>
      <c r="D209" s="5">
        <v>1</v>
      </c>
      <c r="E209" s="5">
        <v>206</v>
      </c>
      <c r="F209" s="5">
        <f>ROUND(Source!T188,O209)</f>
        <v>0</v>
      </c>
      <c r="G209" s="5" t="s">
        <v>142</v>
      </c>
      <c r="H209" s="5" t="s">
        <v>143</v>
      </c>
      <c r="I209" s="5"/>
      <c r="J209" s="5"/>
      <c r="K209" s="5">
        <v>206</v>
      </c>
      <c r="L209" s="5">
        <v>20</v>
      </c>
      <c r="M209" s="5">
        <v>1</v>
      </c>
      <c r="N209" s="5" t="s">
        <v>3</v>
      </c>
      <c r="O209" s="5">
        <v>2</v>
      </c>
      <c r="P209" s="5"/>
      <c r="Q209" s="5"/>
      <c r="R209" s="5"/>
      <c r="S209" s="5"/>
      <c r="T209" s="5"/>
      <c r="U209" s="5"/>
      <c r="V209" s="5"/>
      <c r="W209" s="5">
        <v>0</v>
      </c>
      <c r="X209" s="5">
        <v>1</v>
      </c>
      <c r="Y209" s="5">
        <v>0</v>
      </c>
      <c r="Z209" s="5"/>
      <c r="AA209" s="5"/>
      <c r="AB209" s="5"/>
    </row>
    <row r="210" spans="1:255" ht="13.05" customHeight="1" x14ac:dyDescent="0.25">
      <c r="A210" s="5">
        <v>50</v>
      </c>
      <c r="B210" s="5">
        <v>1</v>
      </c>
      <c r="C210" s="5">
        <v>0</v>
      </c>
      <c r="D210" s="5">
        <v>1</v>
      </c>
      <c r="E210" s="5">
        <v>207</v>
      </c>
      <c r="F210" s="5">
        <f>ROUND(Source!U188,O210)</f>
        <v>170.92850200000001</v>
      </c>
      <c r="G210" s="5" t="s">
        <v>144</v>
      </c>
      <c r="H210" s="5" t="s">
        <v>145</v>
      </c>
      <c r="I210" s="5"/>
      <c r="J210" s="5"/>
      <c r="K210" s="5">
        <v>207</v>
      </c>
      <c r="L210" s="5">
        <v>21</v>
      </c>
      <c r="M210" s="5">
        <v>0</v>
      </c>
      <c r="N210" s="5" t="s">
        <v>3</v>
      </c>
      <c r="O210" s="5">
        <v>7</v>
      </c>
      <c r="P210" s="5"/>
      <c r="Q210" s="5"/>
      <c r="R210" s="5"/>
      <c r="S210" s="5"/>
      <c r="T210" s="5"/>
      <c r="U210" s="5"/>
      <c r="V210" s="5"/>
      <c r="W210" s="5">
        <v>170.92850200000001</v>
      </c>
      <c r="X210" s="5">
        <v>1</v>
      </c>
      <c r="Y210" s="5">
        <v>170.92850200000001</v>
      </c>
      <c r="Z210" s="5"/>
      <c r="AA210" s="5"/>
      <c r="AB210" s="5"/>
    </row>
    <row r="211" spans="1:255" ht="13.05" customHeight="1" x14ac:dyDescent="0.25">
      <c r="A211" s="5">
        <v>50</v>
      </c>
      <c r="B211" s="5">
        <v>1</v>
      </c>
      <c r="C211" s="5">
        <v>0</v>
      </c>
      <c r="D211" s="5">
        <v>1</v>
      </c>
      <c r="E211" s="5">
        <v>208</v>
      </c>
      <c r="F211" s="5">
        <f>ROUND(Source!V188,O211)</f>
        <v>5.7175108000000003</v>
      </c>
      <c r="G211" s="5" t="s">
        <v>146</v>
      </c>
      <c r="H211" s="5" t="s">
        <v>147</v>
      </c>
      <c r="I211" s="5"/>
      <c r="J211" s="5"/>
      <c r="K211" s="5">
        <v>208</v>
      </c>
      <c r="L211" s="5">
        <v>22</v>
      </c>
      <c r="M211" s="5">
        <v>0</v>
      </c>
      <c r="N211" s="5" t="s">
        <v>3</v>
      </c>
      <c r="O211" s="5">
        <v>7</v>
      </c>
      <c r="P211" s="5"/>
      <c r="Q211" s="5"/>
      <c r="R211" s="5"/>
      <c r="S211" s="5"/>
      <c r="T211" s="5"/>
      <c r="U211" s="5"/>
      <c r="V211" s="5"/>
      <c r="W211" s="5">
        <v>5.7175108000000003</v>
      </c>
      <c r="X211" s="5">
        <v>1</v>
      </c>
      <c r="Y211" s="5">
        <v>5.7175108000000003</v>
      </c>
      <c r="Z211" s="5"/>
      <c r="AA211" s="5"/>
      <c r="AB211" s="5"/>
    </row>
    <row r="212" spans="1:255" ht="13.05" customHeight="1" x14ac:dyDescent="0.25">
      <c r="A212" s="5">
        <v>50</v>
      </c>
      <c r="B212" s="5">
        <v>0</v>
      </c>
      <c r="C212" s="5">
        <v>0</v>
      </c>
      <c r="D212" s="5">
        <v>1</v>
      </c>
      <c r="E212" s="5">
        <v>209</v>
      </c>
      <c r="F212" s="5">
        <f>ROUND(Source!W188,O212)</f>
        <v>0</v>
      </c>
      <c r="G212" s="5" t="s">
        <v>148</v>
      </c>
      <c r="H212" s="5" t="s">
        <v>149</v>
      </c>
      <c r="I212" s="5"/>
      <c r="J212" s="5"/>
      <c r="K212" s="5">
        <v>209</v>
      </c>
      <c r="L212" s="5">
        <v>23</v>
      </c>
      <c r="M212" s="5">
        <v>3</v>
      </c>
      <c r="N212" s="5" t="s">
        <v>3</v>
      </c>
      <c r="O212" s="5">
        <v>2</v>
      </c>
      <c r="P212" s="5"/>
      <c r="Q212" s="5"/>
      <c r="R212" s="5"/>
      <c r="S212" s="5"/>
      <c r="T212" s="5"/>
      <c r="U212" s="5"/>
      <c r="V212" s="5"/>
      <c r="W212" s="5">
        <v>0</v>
      </c>
      <c r="X212" s="5">
        <v>1</v>
      </c>
      <c r="Y212" s="5">
        <v>0</v>
      </c>
      <c r="Z212" s="5"/>
      <c r="AA212" s="5"/>
      <c r="AB212" s="5"/>
    </row>
    <row r="213" spans="1:255" ht="13.05" customHeight="1" x14ac:dyDescent="0.25">
      <c r="A213" s="5">
        <v>50</v>
      </c>
      <c r="B213" s="5">
        <v>0</v>
      </c>
      <c r="C213" s="5">
        <v>0</v>
      </c>
      <c r="D213" s="5">
        <v>1</v>
      </c>
      <c r="E213" s="5">
        <v>233</v>
      </c>
      <c r="F213" s="5">
        <f>ROUND(Source!BD188,O213)</f>
        <v>0</v>
      </c>
      <c r="G213" s="5" t="s">
        <v>150</v>
      </c>
      <c r="H213" s="5" t="s">
        <v>151</v>
      </c>
      <c r="I213" s="5"/>
      <c r="J213" s="5"/>
      <c r="K213" s="5">
        <v>233</v>
      </c>
      <c r="L213" s="5">
        <v>24</v>
      </c>
      <c r="M213" s="5">
        <v>1</v>
      </c>
      <c r="N213" s="5" t="s">
        <v>3</v>
      </c>
      <c r="O213" s="5">
        <v>2</v>
      </c>
      <c r="P213" s="5"/>
      <c r="Q213" s="5"/>
      <c r="R213" s="5"/>
      <c r="S213" s="5"/>
      <c r="T213" s="5"/>
      <c r="U213" s="5"/>
      <c r="V213" s="5"/>
      <c r="W213" s="5">
        <v>0</v>
      </c>
      <c r="X213" s="5">
        <v>1</v>
      </c>
      <c r="Y213" s="5">
        <v>0</v>
      </c>
      <c r="Z213" s="5"/>
      <c r="AA213" s="5"/>
      <c r="AB213" s="5"/>
    </row>
    <row r="214" spans="1:255" ht="13.05" customHeight="1" x14ac:dyDescent="0.25">
      <c r="A214" s="5">
        <v>50</v>
      </c>
      <c r="B214" s="5">
        <v>1</v>
      </c>
      <c r="C214" s="5">
        <v>0</v>
      </c>
      <c r="D214" s="5">
        <v>1</v>
      </c>
      <c r="E214" s="5">
        <v>210</v>
      </c>
      <c r="F214" s="5">
        <f>ROUND(Source!X188,O214)</f>
        <v>69614.77</v>
      </c>
      <c r="G214" s="5" t="s">
        <v>152</v>
      </c>
      <c r="H214" s="5" t="s">
        <v>153</v>
      </c>
      <c r="I214" s="5"/>
      <c r="J214" s="5"/>
      <c r="K214" s="5">
        <v>210</v>
      </c>
      <c r="L214" s="5">
        <v>25</v>
      </c>
      <c r="M214" s="5">
        <v>0</v>
      </c>
      <c r="N214" s="5" t="s">
        <v>3</v>
      </c>
      <c r="O214" s="5">
        <v>2</v>
      </c>
      <c r="P214" s="5"/>
      <c r="Q214" s="5"/>
      <c r="R214" s="5"/>
      <c r="S214" s="5"/>
      <c r="T214" s="5"/>
      <c r="U214" s="5"/>
      <c r="V214" s="5"/>
      <c r="W214" s="5">
        <v>69614.77</v>
      </c>
      <c r="X214" s="5">
        <v>1</v>
      </c>
      <c r="Y214" s="5">
        <v>69614.77</v>
      </c>
      <c r="Z214" s="5"/>
      <c r="AA214" s="5"/>
      <c r="AB214" s="5"/>
    </row>
    <row r="215" spans="1:255" ht="13.05" customHeight="1" x14ac:dyDescent="0.25">
      <c r="A215" s="5">
        <v>50</v>
      </c>
      <c r="B215" s="5">
        <v>1</v>
      </c>
      <c r="C215" s="5">
        <v>0</v>
      </c>
      <c r="D215" s="5">
        <v>1</v>
      </c>
      <c r="E215" s="5">
        <v>211</v>
      </c>
      <c r="F215" s="5">
        <f>ROUND(Source!Y188,O215)</f>
        <v>41506.449999999997</v>
      </c>
      <c r="G215" s="5" t="s">
        <v>154</v>
      </c>
      <c r="H215" s="5" t="s">
        <v>155</v>
      </c>
      <c r="I215" s="5"/>
      <c r="J215" s="5"/>
      <c r="K215" s="5">
        <v>211</v>
      </c>
      <c r="L215" s="5">
        <v>26</v>
      </c>
      <c r="M215" s="5">
        <v>0</v>
      </c>
      <c r="N215" s="5" t="s">
        <v>3</v>
      </c>
      <c r="O215" s="5">
        <v>2</v>
      </c>
      <c r="P215" s="5"/>
      <c r="Q215" s="5"/>
      <c r="R215" s="5"/>
      <c r="S215" s="5"/>
      <c r="T215" s="5"/>
      <c r="U215" s="5"/>
      <c r="V215" s="5"/>
      <c r="W215" s="5">
        <v>41506.449999999997</v>
      </c>
      <c r="X215" s="5">
        <v>1</v>
      </c>
      <c r="Y215" s="5">
        <v>41506.449999999997</v>
      </c>
      <c r="Z215" s="5"/>
      <c r="AA215" s="5"/>
      <c r="AB215" s="5"/>
    </row>
    <row r="216" spans="1:255" ht="13.05" customHeight="1" x14ac:dyDescent="0.25">
      <c r="A216" s="5">
        <v>50</v>
      </c>
      <c r="B216" s="5">
        <v>1</v>
      </c>
      <c r="C216" s="5">
        <v>0</v>
      </c>
      <c r="D216" s="5">
        <v>1</v>
      </c>
      <c r="E216" s="5">
        <v>224</v>
      </c>
      <c r="F216" s="5">
        <f>ROUND(Source!AR188,O216)</f>
        <v>242748.03</v>
      </c>
      <c r="G216" s="5" t="s">
        <v>156</v>
      </c>
      <c r="H216" s="5" t="s">
        <v>157</v>
      </c>
      <c r="I216" s="5"/>
      <c r="J216" s="5"/>
      <c r="K216" s="5">
        <v>224</v>
      </c>
      <c r="L216" s="5">
        <v>27</v>
      </c>
      <c r="M216" s="5">
        <v>0</v>
      </c>
      <c r="N216" s="5" t="s">
        <v>3</v>
      </c>
      <c r="O216" s="5">
        <v>2</v>
      </c>
      <c r="P216" s="5"/>
      <c r="Q216" s="5"/>
      <c r="R216" s="5"/>
      <c r="S216" s="5"/>
      <c r="T216" s="5"/>
      <c r="U216" s="5"/>
      <c r="V216" s="5"/>
      <c r="W216" s="5">
        <v>242748.03</v>
      </c>
      <c r="X216" s="5">
        <v>1</v>
      </c>
      <c r="Y216" s="5">
        <v>242748.03</v>
      </c>
      <c r="Z216" s="5"/>
      <c r="AA216" s="5"/>
      <c r="AB216" s="5"/>
    </row>
    <row r="217" spans="1:255" ht="13.05" customHeight="1" x14ac:dyDescent="0.25">
      <c r="A217" s="5">
        <v>50</v>
      </c>
      <c r="B217" s="5">
        <v>1</v>
      </c>
      <c r="C217" s="5">
        <v>0</v>
      </c>
      <c r="D217" s="5">
        <v>2</v>
      </c>
      <c r="E217" s="5">
        <v>0</v>
      </c>
      <c r="F217" s="5">
        <f>ROUND(F216*0.22,O217)</f>
        <v>53404.57</v>
      </c>
      <c r="G217" s="5" t="s">
        <v>158</v>
      </c>
      <c r="H217" s="5" t="s">
        <v>158</v>
      </c>
      <c r="I217" s="5"/>
      <c r="J217" s="5"/>
      <c r="K217" s="5">
        <v>212</v>
      </c>
      <c r="L217" s="5">
        <v>28</v>
      </c>
      <c r="M217" s="5">
        <v>0</v>
      </c>
      <c r="N217" s="5" t="s">
        <v>3</v>
      </c>
      <c r="O217" s="5">
        <v>2</v>
      </c>
      <c r="P217" s="5"/>
      <c r="Q217" s="5"/>
      <c r="R217" s="5"/>
      <c r="S217" s="5"/>
      <c r="T217" s="5"/>
      <c r="U217" s="5"/>
      <c r="V217" s="5"/>
      <c r="W217" s="5">
        <v>53404.57</v>
      </c>
      <c r="X217" s="5">
        <v>1</v>
      </c>
      <c r="Y217" s="5">
        <v>53404.57</v>
      </c>
      <c r="Z217" s="5"/>
      <c r="AA217" s="5"/>
      <c r="AB217" s="5"/>
    </row>
    <row r="218" spans="1:255" ht="13.05" customHeight="1" x14ac:dyDescent="0.25">
      <c r="A218" s="5">
        <v>50</v>
      </c>
      <c r="B218" s="5">
        <v>1</v>
      </c>
      <c r="C218" s="5">
        <v>0</v>
      </c>
      <c r="D218" s="5">
        <v>2</v>
      </c>
      <c r="E218" s="5">
        <v>0</v>
      </c>
      <c r="F218" s="5">
        <f>ROUND(F216*1.22,O218)</f>
        <v>296152.59999999998</v>
      </c>
      <c r="G218" s="5" t="s">
        <v>159</v>
      </c>
      <c r="H218" s="5" t="s">
        <v>159</v>
      </c>
      <c r="I218" s="5"/>
      <c r="J218" s="5"/>
      <c r="K218" s="5">
        <v>212</v>
      </c>
      <c r="L218" s="5">
        <v>29</v>
      </c>
      <c r="M218" s="5">
        <v>0</v>
      </c>
      <c r="N218" s="5" t="s">
        <v>3</v>
      </c>
      <c r="O218" s="5">
        <v>2</v>
      </c>
      <c r="P218" s="5"/>
      <c r="Q218" s="5"/>
      <c r="R218" s="5"/>
      <c r="S218" s="5"/>
      <c r="T218" s="5"/>
      <c r="U218" s="5"/>
      <c r="V218" s="5"/>
      <c r="W218" s="5">
        <v>296152.59999999998</v>
      </c>
      <c r="X218" s="5">
        <v>1</v>
      </c>
      <c r="Y218" s="5">
        <v>296152.59999999998</v>
      </c>
      <c r="Z218" s="5"/>
      <c r="AA218" s="5"/>
      <c r="AB218" s="5"/>
    </row>
    <row r="219" spans="1:255" ht="13.05" customHeight="1" x14ac:dyDescent="0.25"/>
    <row r="220" spans="1:255" ht="13.05" customHeight="1" x14ac:dyDescent="0.25">
      <c r="A220" s="1">
        <v>4</v>
      </c>
      <c r="B220" s="1">
        <v>1</v>
      </c>
      <c r="C220" s="1"/>
      <c r="D220" s="1">
        <f>ROW(A230)</f>
        <v>230</v>
      </c>
      <c r="E220" s="1"/>
      <c r="F220" s="1" t="s">
        <v>19</v>
      </c>
      <c r="G220" s="1" t="s">
        <v>403</v>
      </c>
      <c r="H220" s="1" t="s">
        <v>3</v>
      </c>
      <c r="I220" s="1">
        <v>0</v>
      </c>
      <c r="J220" s="1"/>
      <c r="K220" s="1">
        <v>0</v>
      </c>
      <c r="L220" s="1"/>
      <c r="M220" s="1" t="s">
        <v>3</v>
      </c>
      <c r="N220" s="1"/>
      <c r="O220" s="1"/>
      <c r="P220" s="1"/>
      <c r="Q220" s="1"/>
      <c r="R220" s="1"/>
      <c r="S220" s="1">
        <v>0</v>
      </c>
      <c r="T220" s="1"/>
      <c r="U220" s="1" t="s">
        <v>3</v>
      </c>
      <c r="V220" s="1">
        <v>0</v>
      </c>
      <c r="W220" s="1"/>
      <c r="X220" s="1"/>
      <c r="Y220" s="1"/>
      <c r="Z220" s="1"/>
      <c r="AA220" s="1"/>
      <c r="AB220" s="1" t="s">
        <v>3</v>
      </c>
      <c r="AC220" s="1" t="s">
        <v>3</v>
      </c>
      <c r="AD220" s="1" t="s">
        <v>3</v>
      </c>
      <c r="AE220" s="1" t="s">
        <v>3</v>
      </c>
      <c r="AF220" s="1" t="s">
        <v>3</v>
      </c>
      <c r="AG220" s="1" t="s">
        <v>3</v>
      </c>
      <c r="AH220" s="1"/>
      <c r="AI220" s="1"/>
      <c r="AJ220" s="1"/>
      <c r="AK220" s="1"/>
      <c r="AL220" s="1"/>
      <c r="AM220" s="1"/>
      <c r="AN220" s="1"/>
      <c r="AO220" s="1"/>
      <c r="AP220" s="1" t="s">
        <v>3</v>
      </c>
      <c r="AQ220" s="1" t="s">
        <v>3</v>
      </c>
      <c r="AR220" s="1" t="s">
        <v>3</v>
      </c>
      <c r="AS220" s="1"/>
      <c r="AT220" s="1"/>
      <c r="AU220" s="1"/>
      <c r="AV220" s="1"/>
      <c r="AW220" s="1"/>
      <c r="AX220" s="1"/>
      <c r="AY220" s="1"/>
      <c r="AZ220" s="1" t="s">
        <v>3</v>
      </c>
      <c r="BA220" s="1"/>
      <c r="BB220" s="1" t="s">
        <v>3</v>
      </c>
      <c r="BC220" s="1" t="s">
        <v>3</v>
      </c>
      <c r="BD220" s="1" t="s">
        <v>3</v>
      </c>
      <c r="BE220" s="1" t="s">
        <v>3</v>
      </c>
      <c r="BF220" s="1" t="s">
        <v>3</v>
      </c>
      <c r="BG220" s="1" t="s">
        <v>3</v>
      </c>
      <c r="BH220" s="1" t="s">
        <v>3</v>
      </c>
      <c r="BI220" s="1" t="s">
        <v>3</v>
      </c>
      <c r="BJ220" s="1" t="s">
        <v>3</v>
      </c>
      <c r="BK220" s="1" t="s">
        <v>3</v>
      </c>
      <c r="BL220" s="1" t="s">
        <v>3</v>
      </c>
      <c r="BM220" s="1" t="s">
        <v>3</v>
      </c>
      <c r="BN220" s="1" t="s">
        <v>3</v>
      </c>
      <c r="BO220" s="1" t="s">
        <v>3</v>
      </c>
      <c r="BP220" s="1" t="s">
        <v>3</v>
      </c>
      <c r="BQ220" s="1"/>
      <c r="BR220" s="1"/>
      <c r="BS220" s="1"/>
      <c r="BT220" s="1"/>
      <c r="BU220" s="1"/>
      <c r="BV220" s="1"/>
      <c r="BW220" s="1"/>
      <c r="BX220" s="1">
        <v>0</v>
      </c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>
        <v>0</v>
      </c>
    </row>
    <row r="221" spans="1:255" ht="13.05" customHeight="1" x14ac:dyDescent="0.25"/>
    <row r="222" spans="1:255" ht="13.05" customHeight="1" x14ac:dyDescent="0.25">
      <c r="A222" s="3">
        <v>52</v>
      </c>
      <c r="B222" s="3">
        <f t="shared" ref="B222:G222" si="79">B230</f>
        <v>1</v>
      </c>
      <c r="C222" s="3">
        <f t="shared" si="79"/>
        <v>4</v>
      </c>
      <c r="D222" s="3">
        <f t="shared" si="79"/>
        <v>220</v>
      </c>
      <c r="E222" s="3">
        <f t="shared" si="79"/>
        <v>0</v>
      </c>
      <c r="F222" s="3" t="str">
        <f t="shared" si="79"/>
        <v>Новый раздел</v>
      </c>
      <c r="G222" s="3" t="str">
        <f t="shared" si="79"/>
        <v>Раздел Восстановление благоустройства</v>
      </c>
      <c r="H222" s="3"/>
      <c r="I222" s="3"/>
      <c r="J222" s="3"/>
      <c r="K222" s="3"/>
      <c r="L222" s="3"/>
      <c r="M222" s="3"/>
      <c r="N222" s="3"/>
      <c r="O222" s="3">
        <f t="shared" ref="O222:AT222" si="80">O230</f>
        <v>8711.32</v>
      </c>
      <c r="P222" s="3">
        <f t="shared" si="80"/>
        <v>5694.72</v>
      </c>
      <c r="Q222" s="3">
        <f t="shared" si="80"/>
        <v>19.809999999999999</v>
      </c>
      <c r="R222" s="3">
        <f t="shared" si="80"/>
        <v>8.4600000000000009</v>
      </c>
      <c r="S222" s="3">
        <f t="shared" si="80"/>
        <v>2988.33</v>
      </c>
      <c r="T222" s="3">
        <f t="shared" si="80"/>
        <v>0</v>
      </c>
      <c r="U222" s="3">
        <f t="shared" si="80"/>
        <v>9.8026</v>
      </c>
      <c r="V222" s="3">
        <f t="shared" si="80"/>
        <v>2.3E-2</v>
      </c>
      <c r="W222" s="3">
        <f t="shared" si="80"/>
        <v>0</v>
      </c>
      <c r="X222" s="3">
        <f t="shared" si="80"/>
        <v>3086.7</v>
      </c>
      <c r="Y222" s="3">
        <f t="shared" si="80"/>
        <v>2157.69</v>
      </c>
      <c r="Z222" s="3">
        <f t="shared" si="80"/>
        <v>0</v>
      </c>
      <c r="AA222" s="3">
        <f t="shared" si="80"/>
        <v>0</v>
      </c>
      <c r="AB222" s="3">
        <f t="shared" si="80"/>
        <v>8711.32</v>
      </c>
      <c r="AC222" s="3">
        <f t="shared" si="80"/>
        <v>5694.72</v>
      </c>
      <c r="AD222" s="3">
        <f t="shared" si="80"/>
        <v>19.809999999999999</v>
      </c>
      <c r="AE222" s="3">
        <f t="shared" si="80"/>
        <v>8.4600000000000009</v>
      </c>
      <c r="AF222" s="3">
        <f t="shared" si="80"/>
        <v>2988.33</v>
      </c>
      <c r="AG222" s="3">
        <f t="shared" si="80"/>
        <v>0</v>
      </c>
      <c r="AH222" s="3">
        <f t="shared" si="80"/>
        <v>9.8026</v>
      </c>
      <c r="AI222" s="3">
        <f t="shared" si="80"/>
        <v>2.3E-2</v>
      </c>
      <c r="AJ222" s="3">
        <f t="shared" si="80"/>
        <v>0</v>
      </c>
      <c r="AK222" s="3">
        <f t="shared" si="80"/>
        <v>3086.7</v>
      </c>
      <c r="AL222" s="3">
        <f t="shared" si="80"/>
        <v>2157.69</v>
      </c>
      <c r="AM222" s="3">
        <f t="shared" si="80"/>
        <v>0</v>
      </c>
      <c r="AN222" s="3">
        <f t="shared" si="80"/>
        <v>0</v>
      </c>
      <c r="AO222" s="3">
        <f t="shared" si="80"/>
        <v>0</v>
      </c>
      <c r="AP222" s="3">
        <f t="shared" si="80"/>
        <v>0</v>
      </c>
      <c r="AQ222" s="3">
        <f t="shared" si="80"/>
        <v>0</v>
      </c>
      <c r="AR222" s="3">
        <f t="shared" si="80"/>
        <v>13955.71</v>
      </c>
      <c r="AS222" s="3">
        <f t="shared" si="80"/>
        <v>13955.71</v>
      </c>
      <c r="AT222" s="3">
        <f t="shared" si="80"/>
        <v>0</v>
      </c>
      <c r="AU222" s="3">
        <f t="shared" ref="AU222:BZ222" si="81">AU230</f>
        <v>0</v>
      </c>
      <c r="AV222" s="3">
        <f t="shared" si="81"/>
        <v>5694.72</v>
      </c>
      <c r="AW222" s="3">
        <f t="shared" si="81"/>
        <v>5694.72</v>
      </c>
      <c r="AX222" s="3">
        <f t="shared" si="81"/>
        <v>0</v>
      </c>
      <c r="AY222" s="3">
        <f t="shared" si="81"/>
        <v>5694.72</v>
      </c>
      <c r="AZ222" s="3">
        <f t="shared" si="81"/>
        <v>0</v>
      </c>
      <c r="BA222" s="3">
        <f t="shared" si="81"/>
        <v>0</v>
      </c>
      <c r="BB222" s="3">
        <f t="shared" si="81"/>
        <v>0</v>
      </c>
      <c r="BC222" s="3">
        <f t="shared" si="81"/>
        <v>0</v>
      </c>
      <c r="BD222" s="3">
        <f t="shared" si="81"/>
        <v>0</v>
      </c>
      <c r="BE222" s="3">
        <f t="shared" si="81"/>
        <v>0</v>
      </c>
      <c r="BF222" s="3">
        <f t="shared" si="81"/>
        <v>0</v>
      </c>
      <c r="BG222" s="3">
        <f t="shared" si="81"/>
        <v>0</v>
      </c>
      <c r="BH222" s="3">
        <f t="shared" si="81"/>
        <v>0</v>
      </c>
      <c r="BI222" s="3">
        <f t="shared" si="81"/>
        <v>0</v>
      </c>
      <c r="BJ222" s="3">
        <f t="shared" si="81"/>
        <v>0</v>
      </c>
      <c r="BK222" s="3">
        <f t="shared" si="81"/>
        <v>0</v>
      </c>
      <c r="BL222" s="3">
        <f t="shared" si="81"/>
        <v>0</v>
      </c>
      <c r="BM222" s="3">
        <f t="shared" si="81"/>
        <v>0</v>
      </c>
      <c r="BN222" s="3">
        <f t="shared" si="81"/>
        <v>0</v>
      </c>
      <c r="BO222" s="3">
        <f t="shared" si="81"/>
        <v>0</v>
      </c>
      <c r="BP222" s="3">
        <f t="shared" si="81"/>
        <v>0</v>
      </c>
      <c r="BQ222" s="3">
        <f t="shared" si="81"/>
        <v>0</v>
      </c>
      <c r="BR222" s="3">
        <f t="shared" si="81"/>
        <v>0</v>
      </c>
      <c r="BS222" s="3">
        <f t="shared" si="81"/>
        <v>0</v>
      </c>
      <c r="BT222" s="3">
        <f t="shared" si="81"/>
        <v>0</v>
      </c>
      <c r="BU222" s="3">
        <f t="shared" si="81"/>
        <v>0</v>
      </c>
      <c r="BV222" s="3">
        <f t="shared" si="81"/>
        <v>0</v>
      </c>
      <c r="BW222" s="3">
        <f t="shared" si="81"/>
        <v>0</v>
      </c>
      <c r="BX222" s="3">
        <f t="shared" si="81"/>
        <v>0</v>
      </c>
      <c r="BY222" s="3">
        <f t="shared" si="81"/>
        <v>0</v>
      </c>
      <c r="BZ222" s="3">
        <f t="shared" si="81"/>
        <v>0</v>
      </c>
      <c r="CA222" s="3">
        <f t="shared" ref="CA222:DF222" si="82">CA230</f>
        <v>13955.71</v>
      </c>
      <c r="CB222" s="3">
        <f t="shared" si="82"/>
        <v>13955.71</v>
      </c>
      <c r="CC222" s="3">
        <f t="shared" si="82"/>
        <v>0</v>
      </c>
      <c r="CD222" s="3">
        <f t="shared" si="82"/>
        <v>0</v>
      </c>
      <c r="CE222" s="3">
        <f t="shared" si="82"/>
        <v>5694.72</v>
      </c>
      <c r="CF222" s="3">
        <f t="shared" si="82"/>
        <v>5694.72</v>
      </c>
      <c r="CG222" s="3">
        <f t="shared" si="82"/>
        <v>0</v>
      </c>
      <c r="CH222" s="3">
        <f t="shared" si="82"/>
        <v>5694.72</v>
      </c>
      <c r="CI222" s="3">
        <f t="shared" si="82"/>
        <v>0</v>
      </c>
      <c r="CJ222" s="3">
        <f t="shared" si="82"/>
        <v>0</v>
      </c>
      <c r="CK222" s="3">
        <f t="shared" si="82"/>
        <v>0</v>
      </c>
      <c r="CL222" s="3">
        <f t="shared" si="82"/>
        <v>0</v>
      </c>
      <c r="CM222" s="3">
        <f t="shared" si="82"/>
        <v>0</v>
      </c>
      <c r="CN222" s="3">
        <f t="shared" si="82"/>
        <v>0</v>
      </c>
      <c r="CO222" s="3">
        <f t="shared" si="82"/>
        <v>0</v>
      </c>
      <c r="CP222" s="3">
        <f t="shared" si="82"/>
        <v>0</v>
      </c>
      <c r="CQ222" s="3">
        <f t="shared" si="82"/>
        <v>0</v>
      </c>
      <c r="CR222" s="3">
        <f t="shared" si="82"/>
        <v>0</v>
      </c>
      <c r="CS222" s="3">
        <f t="shared" si="82"/>
        <v>0</v>
      </c>
      <c r="CT222" s="3">
        <f t="shared" si="82"/>
        <v>0</v>
      </c>
      <c r="CU222" s="3">
        <f t="shared" si="82"/>
        <v>0</v>
      </c>
      <c r="CV222" s="3">
        <f t="shared" si="82"/>
        <v>0</v>
      </c>
      <c r="CW222" s="3">
        <f t="shared" si="82"/>
        <v>0</v>
      </c>
      <c r="CX222" s="3">
        <f t="shared" si="82"/>
        <v>0</v>
      </c>
      <c r="CY222" s="3">
        <f t="shared" si="82"/>
        <v>0</v>
      </c>
      <c r="CZ222" s="3">
        <f t="shared" si="82"/>
        <v>0</v>
      </c>
      <c r="DA222" s="3">
        <f t="shared" si="82"/>
        <v>0</v>
      </c>
      <c r="DB222" s="3">
        <f t="shared" si="82"/>
        <v>0</v>
      </c>
      <c r="DC222" s="3">
        <f t="shared" si="82"/>
        <v>0</v>
      </c>
      <c r="DD222" s="3">
        <f t="shared" si="82"/>
        <v>0</v>
      </c>
      <c r="DE222" s="3">
        <f t="shared" si="82"/>
        <v>0</v>
      </c>
      <c r="DF222" s="3">
        <f t="shared" si="82"/>
        <v>0</v>
      </c>
      <c r="DG222" s="4">
        <f t="shared" ref="DG222:EL222" si="83">DG230</f>
        <v>0</v>
      </c>
      <c r="DH222" s="4">
        <f t="shared" si="83"/>
        <v>0</v>
      </c>
      <c r="DI222" s="4">
        <f t="shared" si="83"/>
        <v>0</v>
      </c>
      <c r="DJ222" s="4">
        <f t="shared" si="83"/>
        <v>0</v>
      </c>
      <c r="DK222" s="4">
        <f t="shared" si="83"/>
        <v>0</v>
      </c>
      <c r="DL222" s="4">
        <f t="shared" si="83"/>
        <v>0</v>
      </c>
      <c r="DM222" s="4">
        <f t="shared" si="83"/>
        <v>0</v>
      </c>
      <c r="DN222" s="4">
        <f t="shared" si="83"/>
        <v>0</v>
      </c>
      <c r="DO222" s="4">
        <f t="shared" si="83"/>
        <v>0</v>
      </c>
      <c r="DP222" s="4">
        <f t="shared" si="83"/>
        <v>0</v>
      </c>
      <c r="DQ222" s="4">
        <f t="shared" si="83"/>
        <v>0</v>
      </c>
      <c r="DR222" s="4">
        <f t="shared" si="83"/>
        <v>0</v>
      </c>
      <c r="DS222" s="4">
        <f t="shared" si="83"/>
        <v>0</v>
      </c>
      <c r="DT222" s="4">
        <f t="shared" si="83"/>
        <v>0</v>
      </c>
      <c r="DU222" s="4">
        <f t="shared" si="83"/>
        <v>0</v>
      </c>
      <c r="DV222" s="4">
        <f t="shared" si="83"/>
        <v>0</v>
      </c>
      <c r="DW222" s="4">
        <f t="shared" si="83"/>
        <v>0</v>
      </c>
      <c r="DX222" s="4">
        <f t="shared" si="83"/>
        <v>0</v>
      </c>
      <c r="DY222" s="4">
        <f t="shared" si="83"/>
        <v>0</v>
      </c>
      <c r="DZ222" s="4">
        <f t="shared" si="83"/>
        <v>0</v>
      </c>
      <c r="EA222" s="4">
        <f t="shared" si="83"/>
        <v>0</v>
      </c>
      <c r="EB222" s="4">
        <f t="shared" si="83"/>
        <v>0</v>
      </c>
      <c r="EC222" s="4">
        <f t="shared" si="83"/>
        <v>0</v>
      </c>
      <c r="ED222" s="4">
        <f t="shared" si="83"/>
        <v>0</v>
      </c>
      <c r="EE222" s="4">
        <f t="shared" si="83"/>
        <v>0</v>
      </c>
      <c r="EF222" s="4">
        <f t="shared" si="83"/>
        <v>0</v>
      </c>
      <c r="EG222" s="4">
        <f t="shared" si="83"/>
        <v>0</v>
      </c>
      <c r="EH222" s="4">
        <f t="shared" si="83"/>
        <v>0</v>
      </c>
      <c r="EI222" s="4">
        <f t="shared" si="83"/>
        <v>0</v>
      </c>
      <c r="EJ222" s="4">
        <f t="shared" si="83"/>
        <v>0</v>
      </c>
      <c r="EK222" s="4">
        <f t="shared" si="83"/>
        <v>0</v>
      </c>
      <c r="EL222" s="4">
        <f t="shared" si="83"/>
        <v>0</v>
      </c>
      <c r="EM222" s="4">
        <f t="shared" ref="EM222:FR222" si="84">EM230</f>
        <v>0</v>
      </c>
      <c r="EN222" s="4">
        <f t="shared" si="84"/>
        <v>0</v>
      </c>
      <c r="EO222" s="4">
        <f t="shared" si="84"/>
        <v>0</v>
      </c>
      <c r="EP222" s="4">
        <f t="shared" si="84"/>
        <v>0</v>
      </c>
      <c r="EQ222" s="4">
        <f t="shared" si="84"/>
        <v>0</v>
      </c>
      <c r="ER222" s="4">
        <f t="shared" si="84"/>
        <v>0</v>
      </c>
      <c r="ES222" s="4">
        <f t="shared" si="84"/>
        <v>0</v>
      </c>
      <c r="ET222" s="4">
        <f t="shared" si="84"/>
        <v>0</v>
      </c>
      <c r="EU222" s="4">
        <f t="shared" si="84"/>
        <v>0</v>
      </c>
      <c r="EV222" s="4">
        <f t="shared" si="84"/>
        <v>0</v>
      </c>
      <c r="EW222" s="4">
        <f t="shared" si="84"/>
        <v>0</v>
      </c>
      <c r="EX222" s="4">
        <f t="shared" si="84"/>
        <v>0</v>
      </c>
      <c r="EY222" s="4">
        <f t="shared" si="84"/>
        <v>0</v>
      </c>
      <c r="EZ222" s="4">
        <f t="shared" si="84"/>
        <v>0</v>
      </c>
      <c r="FA222" s="4">
        <f t="shared" si="84"/>
        <v>0</v>
      </c>
      <c r="FB222" s="4">
        <f t="shared" si="84"/>
        <v>0</v>
      </c>
      <c r="FC222" s="4">
        <f t="shared" si="84"/>
        <v>0</v>
      </c>
      <c r="FD222" s="4">
        <f t="shared" si="84"/>
        <v>0</v>
      </c>
      <c r="FE222" s="4">
        <f t="shared" si="84"/>
        <v>0</v>
      </c>
      <c r="FF222" s="4">
        <f t="shared" si="84"/>
        <v>0</v>
      </c>
      <c r="FG222" s="4">
        <f t="shared" si="84"/>
        <v>0</v>
      </c>
      <c r="FH222" s="4">
        <f t="shared" si="84"/>
        <v>0</v>
      </c>
      <c r="FI222" s="4">
        <f t="shared" si="84"/>
        <v>0</v>
      </c>
      <c r="FJ222" s="4">
        <f t="shared" si="84"/>
        <v>0</v>
      </c>
      <c r="FK222" s="4">
        <f t="shared" si="84"/>
        <v>0</v>
      </c>
      <c r="FL222" s="4">
        <f t="shared" si="84"/>
        <v>0</v>
      </c>
      <c r="FM222" s="4">
        <f t="shared" si="84"/>
        <v>0</v>
      </c>
      <c r="FN222" s="4">
        <f t="shared" si="84"/>
        <v>0</v>
      </c>
      <c r="FO222" s="4">
        <f t="shared" si="84"/>
        <v>0</v>
      </c>
      <c r="FP222" s="4">
        <f t="shared" si="84"/>
        <v>0</v>
      </c>
      <c r="FQ222" s="4">
        <f t="shared" si="84"/>
        <v>0</v>
      </c>
      <c r="FR222" s="4">
        <f t="shared" si="84"/>
        <v>0</v>
      </c>
      <c r="FS222" s="4">
        <f t="shared" ref="FS222:GX222" si="85">FS230</f>
        <v>0</v>
      </c>
      <c r="FT222" s="4">
        <f t="shared" si="85"/>
        <v>0</v>
      </c>
      <c r="FU222" s="4">
        <f t="shared" si="85"/>
        <v>0</v>
      </c>
      <c r="FV222" s="4">
        <f t="shared" si="85"/>
        <v>0</v>
      </c>
      <c r="FW222" s="4">
        <f t="shared" si="85"/>
        <v>0</v>
      </c>
      <c r="FX222" s="4">
        <f t="shared" si="85"/>
        <v>0</v>
      </c>
      <c r="FY222" s="4">
        <f t="shared" si="85"/>
        <v>0</v>
      </c>
      <c r="FZ222" s="4">
        <f t="shared" si="85"/>
        <v>0</v>
      </c>
      <c r="GA222" s="4">
        <f t="shared" si="85"/>
        <v>0</v>
      </c>
      <c r="GB222" s="4">
        <f t="shared" si="85"/>
        <v>0</v>
      </c>
      <c r="GC222" s="4">
        <f t="shared" si="85"/>
        <v>0</v>
      </c>
      <c r="GD222" s="4">
        <f t="shared" si="85"/>
        <v>0</v>
      </c>
      <c r="GE222" s="4">
        <f t="shared" si="85"/>
        <v>0</v>
      </c>
      <c r="GF222" s="4">
        <f t="shared" si="85"/>
        <v>0</v>
      </c>
      <c r="GG222" s="4">
        <f t="shared" si="85"/>
        <v>0</v>
      </c>
      <c r="GH222" s="4">
        <f t="shared" si="85"/>
        <v>0</v>
      </c>
      <c r="GI222" s="4">
        <f t="shared" si="85"/>
        <v>0</v>
      </c>
      <c r="GJ222" s="4">
        <f t="shared" si="85"/>
        <v>0</v>
      </c>
      <c r="GK222" s="4">
        <f t="shared" si="85"/>
        <v>0</v>
      </c>
      <c r="GL222" s="4">
        <f t="shared" si="85"/>
        <v>0</v>
      </c>
      <c r="GM222" s="4">
        <f t="shared" si="85"/>
        <v>0</v>
      </c>
      <c r="GN222" s="4">
        <f t="shared" si="85"/>
        <v>0</v>
      </c>
      <c r="GO222" s="4">
        <f t="shared" si="85"/>
        <v>0</v>
      </c>
      <c r="GP222" s="4">
        <f t="shared" si="85"/>
        <v>0</v>
      </c>
      <c r="GQ222" s="4">
        <f t="shared" si="85"/>
        <v>0</v>
      </c>
      <c r="GR222" s="4">
        <f t="shared" si="85"/>
        <v>0</v>
      </c>
      <c r="GS222" s="4">
        <f t="shared" si="85"/>
        <v>0</v>
      </c>
      <c r="GT222" s="4">
        <f t="shared" si="85"/>
        <v>0</v>
      </c>
      <c r="GU222" s="4">
        <f t="shared" si="85"/>
        <v>0</v>
      </c>
      <c r="GV222" s="4">
        <f t="shared" si="85"/>
        <v>0</v>
      </c>
      <c r="GW222" s="4">
        <f t="shared" si="85"/>
        <v>0</v>
      </c>
      <c r="GX222" s="4">
        <f t="shared" si="85"/>
        <v>0</v>
      </c>
    </row>
    <row r="223" spans="1:255" ht="13.05" customHeight="1" x14ac:dyDescent="0.25"/>
    <row r="224" spans="1:255" ht="13.05" customHeight="1" x14ac:dyDescent="0.25">
      <c r="A224" s="2">
        <v>17</v>
      </c>
      <c r="B224" s="2">
        <v>1</v>
      </c>
      <c r="C224" s="2">
        <f>ROW(SmtRes!A259)</f>
        <v>259</v>
      </c>
      <c r="D224" s="2">
        <f>ROW(EtalonRes!A269)</f>
        <v>269</v>
      </c>
      <c r="E224" s="2" t="s">
        <v>404</v>
      </c>
      <c r="F224" s="2" t="s">
        <v>405</v>
      </c>
      <c r="G224" s="2" t="s">
        <v>406</v>
      </c>
      <c r="H224" s="2" t="s">
        <v>185</v>
      </c>
      <c r="I224" s="2">
        <v>0.4</v>
      </c>
      <c r="J224" s="2">
        <v>0</v>
      </c>
      <c r="K224" s="2">
        <v>0.4</v>
      </c>
      <c r="L224" s="2"/>
      <c r="M224" s="2"/>
      <c r="N224" s="2"/>
      <c r="O224" s="2">
        <f>ROUND(CP224,2)</f>
        <v>3783.66</v>
      </c>
      <c r="P224" s="2">
        <f>SUMIF(SmtRes!AQ255:'SmtRes'!AQ259,"=1",SmtRes!DF255:'SmtRes'!DF259)</f>
        <v>0</v>
      </c>
      <c r="Q224" s="2">
        <f>SUMIF(SmtRes!AQ255:'SmtRes'!AQ259,"=1",SmtRes!DG255:'SmtRes'!DG259)</f>
        <v>19.810000000000002</v>
      </c>
      <c r="R224" s="2">
        <f>SUMIF(SmtRes!AQ255:'SmtRes'!AQ259,"=1",SmtRes!DH255:'SmtRes'!DH259)</f>
        <v>8.4600000000000009</v>
      </c>
      <c r="S224" s="2">
        <f>SUMIF(SmtRes!AQ255:'SmtRes'!AQ259,"=1",SmtRes!DI255:'SmtRes'!DI259)</f>
        <v>3755.39</v>
      </c>
      <c r="T224" s="2">
        <f>ROUND(CU224*I224,2)</f>
        <v>0</v>
      </c>
      <c r="U224" s="2">
        <f>SUMIF(SmtRes!AQ255:'SmtRes'!AQ259,"=1",SmtRes!CV255:'SmtRes'!CV259)</f>
        <v>12.3188</v>
      </c>
      <c r="V224" s="2">
        <f>SUMIF(SmtRes!AQ255:'SmtRes'!AQ259,"=1",SmtRes!CW255:'SmtRes'!CW259)</f>
        <v>2.3E-2</v>
      </c>
      <c r="W224" s="2">
        <f>ROUND(CX224*I224,2)</f>
        <v>0</v>
      </c>
      <c r="X224" s="2">
        <f>ROUND(CY224,2)</f>
        <v>3876.77</v>
      </c>
      <c r="Y224" s="2">
        <f>ROUND(CZ224,2)</f>
        <v>2709.97</v>
      </c>
      <c r="Z224" s="2"/>
      <c r="AA224" s="2">
        <v>75604747</v>
      </c>
      <c r="AB224" s="2">
        <f>ROUND((AC224+AD224+AF224),6)</f>
        <v>9434.0688150000005</v>
      </c>
      <c r="AC224" s="2">
        <f>ROUND((0),6)</f>
        <v>0</v>
      </c>
      <c r="AD224" s="2">
        <f>ROUND((((SUM(SmtRes!BR255:'SmtRes'!BR259))-(SUM(SmtRes!BS255:'SmtRes'!BS259)))+AE224),6)</f>
        <v>45.603364999999997</v>
      </c>
      <c r="AE224" s="2">
        <f>ROUND((SUM(SmtRes!BS255:'SmtRes'!BS259)),6)</f>
        <v>21.161149999999999</v>
      </c>
      <c r="AF224" s="2">
        <f>ROUND((SUM(SmtRes!BT255:'SmtRes'!BT259)),6)</f>
        <v>9388.4654499999997</v>
      </c>
      <c r="AG224" s="2">
        <f>ROUND((AP224),6)</f>
        <v>0</v>
      </c>
      <c r="AH224" s="2">
        <f>(SUM(SmtRes!BU255:'SmtRes'!BU259))</f>
        <v>30.797000000000001</v>
      </c>
      <c r="AI224" s="2">
        <f>(SUM(SmtRes!BV255:'SmtRes'!BV259))</f>
        <v>5.7499999999999996E-2</v>
      </c>
      <c r="AJ224" s="2">
        <f>(AS224)</f>
        <v>0</v>
      </c>
      <c r="AK224" s="2">
        <v>8221.9391000000014</v>
      </c>
      <c r="AL224" s="2">
        <v>0</v>
      </c>
      <c r="AM224" s="2">
        <v>39.655100000000004</v>
      </c>
      <c r="AN224" s="2">
        <v>18.401</v>
      </c>
      <c r="AO224" s="2">
        <v>8163.8830000000007</v>
      </c>
      <c r="AP224" s="2">
        <v>0</v>
      </c>
      <c r="AQ224" s="2">
        <v>26.78</v>
      </c>
      <c r="AR224" s="2">
        <v>0.05</v>
      </c>
      <c r="AS224" s="2">
        <v>0</v>
      </c>
      <c r="AT224" s="2">
        <v>103</v>
      </c>
      <c r="AU224" s="2">
        <v>72</v>
      </c>
      <c r="AV224" s="2">
        <v>1</v>
      </c>
      <c r="AW224" s="2">
        <v>1</v>
      </c>
      <c r="AX224" s="2"/>
      <c r="AY224" s="2"/>
      <c r="AZ224" s="2">
        <v>1</v>
      </c>
      <c r="BA224" s="2">
        <v>1</v>
      </c>
      <c r="BB224" s="2">
        <v>1</v>
      </c>
      <c r="BC224" s="2">
        <v>1</v>
      </c>
      <c r="BD224" s="2" t="s">
        <v>3</v>
      </c>
      <c r="BE224" s="2" t="s">
        <v>3</v>
      </c>
      <c r="BF224" s="2" t="s">
        <v>3</v>
      </c>
      <c r="BG224" s="2" t="s">
        <v>3</v>
      </c>
      <c r="BH224" s="2">
        <v>0</v>
      </c>
      <c r="BI224" s="2">
        <v>1</v>
      </c>
      <c r="BJ224" s="2" t="s">
        <v>407</v>
      </c>
      <c r="BK224" s="2"/>
      <c r="BL224" s="2"/>
      <c r="BM224" s="2">
        <v>47001</v>
      </c>
      <c r="BN224" s="2">
        <v>0</v>
      </c>
      <c r="BO224" s="2" t="s">
        <v>3</v>
      </c>
      <c r="BP224" s="2">
        <v>0</v>
      </c>
      <c r="BQ224" s="2">
        <v>2</v>
      </c>
      <c r="BR224" s="2">
        <v>0</v>
      </c>
      <c r="BS224" s="2">
        <v>1</v>
      </c>
      <c r="BT224" s="2">
        <v>1</v>
      </c>
      <c r="BU224" s="2">
        <v>1</v>
      </c>
      <c r="BV224" s="2">
        <v>1</v>
      </c>
      <c r="BW224" s="2">
        <v>1</v>
      </c>
      <c r="BX224" s="2">
        <v>1</v>
      </c>
      <c r="BY224" s="2" t="s">
        <v>3</v>
      </c>
      <c r="BZ224" s="2">
        <v>103</v>
      </c>
      <c r="CA224" s="2">
        <v>72</v>
      </c>
      <c r="CB224" s="2" t="s">
        <v>3</v>
      </c>
      <c r="CC224" s="2"/>
      <c r="CD224" s="2"/>
      <c r="CE224" s="2">
        <v>0</v>
      </c>
      <c r="CF224" s="2">
        <v>0</v>
      </c>
      <c r="CG224" s="2">
        <v>0</v>
      </c>
      <c r="CH224" s="2"/>
      <c r="CI224" s="2"/>
      <c r="CJ224" s="2"/>
      <c r="CK224" s="2"/>
      <c r="CL224" s="2"/>
      <c r="CM224" s="2">
        <v>0</v>
      </c>
      <c r="CN224" s="7" t="s">
        <v>802</v>
      </c>
      <c r="CO224" s="2">
        <v>0</v>
      </c>
      <c r="CP224" s="2">
        <f>(P224+Q224+S224+R224)</f>
        <v>3783.66</v>
      </c>
      <c r="CQ224" s="2">
        <f>SUMIF(SmtRes!AQ255:'SmtRes'!AQ259,"=1",SmtRes!AA255:'SmtRes'!AA259)</f>
        <v>0</v>
      </c>
      <c r="CR224" s="2">
        <f>SUMIF(SmtRes!AQ255:'SmtRes'!AQ259,"=1",SmtRes!AB255:'SmtRes'!AB259)</f>
        <v>725.93000000000006</v>
      </c>
      <c r="CS224" s="2">
        <f>SUMIF(SmtRes!AQ255:'SmtRes'!AQ259,"=1",SmtRes!AC255:'SmtRes'!AC259)</f>
        <v>368.02</v>
      </c>
      <c r="CT224" s="2">
        <f>SUMIF(SmtRes!AQ255:'SmtRes'!AQ259,"=1",SmtRes!AD255:'SmtRes'!AD259)</f>
        <v>304.85000000000002</v>
      </c>
      <c r="CU224" s="2">
        <f>AG224</f>
        <v>0</v>
      </c>
      <c r="CV224" s="2">
        <f>SUMIF(SmtRes!AQ255:'SmtRes'!AQ259,"=1",SmtRes!BU255:'SmtRes'!BU259)</f>
        <v>30.797000000000001</v>
      </c>
      <c r="CW224" s="2">
        <f>SUMIF(SmtRes!AQ255:'SmtRes'!AQ259,"=1",SmtRes!BV255:'SmtRes'!BV259)</f>
        <v>5.7499999999999996E-2</v>
      </c>
      <c r="CX224" s="2">
        <f>AJ224</f>
        <v>0</v>
      </c>
      <c r="CY224" s="2">
        <f>(((S224+R224)*AT224)/100)</f>
        <v>3876.7655</v>
      </c>
      <c r="CZ224" s="2">
        <f>(((S224+R224)*AU224)/100)</f>
        <v>2709.9720000000002</v>
      </c>
      <c r="DA224" s="2"/>
      <c r="DB224" s="2">
        <v>37</v>
      </c>
      <c r="DC224" s="2" t="s">
        <v>3</v>
      </c>
      <c r="DD224" s="2" t="s">
        <v>3</v>
      </c>
      <c r="DE224" s="2" t="s">
        <v>27</v>
      </c>
      <c r="DF224" s="2" t="s">
        <v>27</v>
      </c>
      <c r="DG224" s="2" t="s">
        <v>27</v>
      </c>
      <c r="DH224" s="2" t="s">
        <v>3</v>
      </c>
      <c r="DI224" s="2" t="s">
        <v>27</v>
      </c>
      <c r="DJ224" s="2" t="s">
        <v>27</v>
      </c>
      <c r="DK224" s="2" t="s">
        <v>3</v>
      </c>
      <c r="DL224" s="2" t="s">
        <v>3</v>
      </c>
      <c r="DM224" s="2" t="s">
        <v>3</v>
      </c>
      <c r="DN224" s="2">
        <v>0</v>
      </c>
      <c r="DO224" s="2">
        <v>0</v>
      </c>
      <c r="DP224" s="2">
        <v>1</v>
      </c>
      <c r="DQ224" s="2">
        <v>1</v>
      </c>
      <c r="DR224" s="2"/>
      <c r="DS224" s="2"/>
      <c r="DT224" s="2"/>
      <c r="DU224" s="2">
        <v>1005</v>
      </c>
      <c r="DV224" s="2" t="s">
        <v>185</v>
      </c>
      <c r="DW224" s="2" t="s">
        <v>185</v>
      </c>
      <c r="DX224" s="2">
        <v>100</v>
      </c>
      <c r="DY224" s="2"/>
      <c r="DZ224" s="2" t="s">
        <v>3</v>
      </c>
      <c r="EA224" s="2" t="s">
        <v>3</v>
      </c>
      <c r="EB224" s="2" t="s">
        <v>3</v>
      </c>
      <c r="EC224" s="2" t="s">
        <v>3</v>
      </c>
      <c r="ED224" s="2"/>
      <c r="EE224" s="2">
        <v>74004266</v>
      </c>
      <c r="EF224" s="2">
        <v>2</v>
      </c>
      <c r="EG224" s="2" t="s">
        <v>29</v>
      </c>
      <c r="EH224" s="2">
        <v>41</v>
      </c>
      <c r="EI224" s="2" t="s">
        <v>408</v>
      </c>
      <c r="EJ224" s="2">
        <v>1</v>
      </c>
      <c r="EK224" s="2">
        <v>47001</v>
      </c>
      <c r="EL224" s="2" t="s">
        <v>408</v>
      </c>
      <c r="EM224" s="2" t="s">
        <v>409</v>
      </c>
      <c r="EN224" s="2"/>
      <c r="EO224" s="2" t="s">
        <v>39</v>
      </c>
      <c r="EP224" s="2"/>
      <c r="EQ224" s="2">
        <v>0</v>
      </c>
      <c r="ER224" s="2">
        <v>0</v>
      </c>
      <c r="ES224" s="2">
        <v>0</v>
      </c>
      <c r="ET224" s="2">
        <v>0</v>
      </c>
      <c r="EU224" s="2">
        <v>0</v>
      </c>
      <c r="EV224" s="2">
        <v>0</v>
      </c>
      <c r="EW224" s="2">
        <v>26.78</v>
      </c>
      <c r="EX224" s="2">
        <v>0.05</v>
      </c>
      <c r="EY224" s="2">
        <v>0</v>
      </c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  <c r="FK224" s="2"/>
      <c r="FL224" s="2"/>
      <c r="FM224" s="2"/>
      <c r="FN224" s="2"/>
      <c r="FO224" s="2"/>
      <c r="FP224" s="2"/>
      <c r="FQ224" s="2">
        <v>0</v>
      </c>
      <c r="FR224" s="2">
        <v>0</v>
      </c>
      <c r="FS224" s="2">
        <v>0</v>
      </c>
      <c r="FT224" s="2"/>
      <c r="FU224" s="2"/>
      <c r="FV224" s="2"/>
      <c r="FW224" s="2"/>
      <c r="FX224" s="2">
        <v>103</v>
      </c>
      <c r="FY224" s="2">
        <v>72</v>
      </c>
      <c r="FZ224" s="2"/>
      <c r="GA224" s="2" t="s">
        <v>3</v>
      </c>
      <c r="GB224" s="2"/>
      <c r="GC224" s="2"/>
      <c r="GD224" s="2">
        <v>1</v>
      </c>
      <c r="GE224" s="2"/>
      <c r="GF224" s="2">
        <v>668571138</v>
      </c>
      <c r="GG224" s="2">
        <v>2</v>
      </c>
      <c r="GH224" s="2">
        <v>1</v>
      </c>
      <c r="GI224" s="2">
        <v>-2</v>
      </c>
      <c r="GJ224" s="2">
        <v>0</v>
      </c>
      <c r="GK224" s="2">
        <v>0</v>
      </c>
      <c r="GL224" s="2">
        <f>ROUND(IF(AND(BH224=3,BI224=3,FS224&lt;&gt;0),P224,0),2)</f>
        <v>0</v>
      </c>
      <c r="GM224" s="2">
        <f>ROUND(O224+X224+Y224,2)+GX224</f>
        <v>10370.4</v>
      </c>
      <c r="GN224" s="2">
        <f>IF(OR(BI224=0,BI224=1),GM224-GX224,0)</f>
        <v>10370.4</v>
      </c>
      <c r="GO224" s="2">
        <f>IF(BI224=2,GM224-GX224,0)</f>
        <v>0</v>
      </c>
      <c r="GP224" s="2">
        <f>IF(BI224=4,GM224-GX224,0)</f>
        <v>0</v>
      </c>
      <c r="GQ224" s="2"/>
      <c r="GR224" s="2">
        <v>0</v>
      </c>
      <c r="GS224" s="2">
        <v>3</v>
      </c>
      <c r="GT224" s="2">
        <v>0</v>
      </c>
      <c r="GU224" s="2" t="s">
        <v>3</v>
      </c>
      <c r="GV224" s="2">
        <f>ROUND((GT224),6)</f>
        <v>0</v>
      </c>
      <c r="GW224" s="2">
        <v>1</v>
      </c>
      <c r="GX224" s="2">
        <f>ROUND(HC224*I224,2)</f>
        <v>0</v>
      </c>
      <c r="GY224" s="2"/>
      <c r="GZ224" s="2"/>
      <c r="HA224" s="2">
        <v>0</v>
      </c>
      <c r="HB224" s="2">
        <v>0</v>
      </c>
      <c r="HC224" s="2">
        <f>GV224*GW224</f>
        <v>0</v>
      </c>
      <c r="HD224" s="2"/>
      <c r="HE224" s="2" t="s">
        <v>3</v>
      </c>
      <c r="HF224" s="2" t="s">
        <v>3</v>
      </c>
      <c r="HG224" s="2"/>
      <c r="HH224" s="2"/>
      <c r="HI224" s="2"/>
      <c r="HJ224" s="2"/>
      <c r="HK224" s="2"/>
      <c r="HL224" s="2"/>
      <c r="HM224" s="2" t="s">
        <v>3</v>
      </c>
      <c r="HN224" s="2" t="s">
        <v>410</v>
      </c>
      <c r="HO224" s="2" t="s">
        <v>411</v>
      </c>
      <c r="HP224" s="2" t="s">
        <v>408</v>
      </c>
      <c r="HQ224" s="2" t="s">
        <v>408</v>
      </c>
      <c r="HR224" s="2"/>
      <c r="HS224" s="2">
        <v>0</v>
      </c>
      <c r="HT224" s="2"/>
      <c r="HU224" s="2"/>
      <c r="HV224" s="2"/>
      <c r="HW224" s="2"/>
      <c r="HX224" s="2"/>
      <c r="HY224" s="2"/>
      <c r="HZ224" s="2"/>
      <c r="IA224" s="2"/>
      <c r="IB224" s="2"/>
      <c r="IC224" s="2"/>
      <c r="ID224" s="2"/>
      <c r="IE224" s="2"/>
      <c r="IF224" s="2"/>
      <c r="IG224" s="2"/>
      <c r="IH224" s="2"/>
      <c r="II224" s="2"/>
      <c r="IJ224" s="2"/>
      <c r="IK224" s="2">
        <v>0</v>
      </c>
      <c r="IL224" s="2"/>
      <c r="IM224" s="2"/>
      <c r="IN224" s="2"/>
      <c r="IO224" s="2"/>
      <c r="IP224" s="2"/>
      <c r="IQ224" s="2"/>
      <c r="IR224" s="2"/>
      <c r="IS224" s="2"/>
      <c r="IT224" s="2"/>
      <c r="IU224" s="2"/>
    </row>
    <row r="225" spans="1:255" ht="13.05" customHeight="1" x14ac:dyDescent="0.25">
      <c r="A225" s="2">
        <v>18</v>
      </c>
      <c r="B225" s="2">
        <v>1</v>
      </c>
      <c r="C225" s="2">
        <v>259</v>
      </c>
      <c r="D225" s="2"/>
      <c r="E225" s="2" t="s">
        <v>412</v>
      </c>
      <c r="F225" s="2" t="s">
        <v>413</v>
      </c>
      <c r="G225" s="2" t="s">
        <v>414</v>
      </c>
      <c r="H225" s="2" t="s">
        <v>205</v>
      </c>
      <c r="I225" s="2">
        <f>I224*J225</f>
        <v>6</v>
      </c>
      <c r="J225" s="2">
        <v>15</v>
      </c>
      <c r="K225" s="2">
        <v>15</v>
      </c>
      <c r="L225" s="2"/>
      <c r="M225" s="2"/>
      <c r="N225" s="2"/>
      <c r="O225" s="2">
        <f>ROUND(CP225,2)</f>
        <v>8542.08</v>
      </c>
      <c r="P225" s="2">
        <f>ROUND(CQ225*I225,2)</f>
        <v>8542.08</v>
      </c>
      <c r="Q225" s="2">
        <f>ROUND(CR225*I225,2)</f>
        <v>0</v>
      </c>
      <c r="R225" s="2">
        <f>ROUND(CS225*I225,2)</f>
        <v>0</v>
      </c>
      <c r="S225" s="2">
        <f>ROUND(CT225*I225,2)</f>
        <v>0</v>
      </c>
      <c r="T225" s="2">
        <f>ROUND(CU225*I225,2)</f>
        <v>0</v>
      </c>
      <c r="U225" s="2">
        <f>ROUND(CV225*I225,7)</f>
        <v>0</v>
      </c>
      <c r="V225" s="2">
        <f>ROUND(CW225*I225,7)</f>
        <v>0</v>
      </c>
      <c r="W225" s="2">
        <f>ROUND(CX225*I225,2)</f>
        <v>0</v>
      </c>
      <c r="X225" s="2">
        <f>ROUND(CY225,2)</f>
        <v>0</v>
      </c>
      <c r="Y225" s="2">
        <f>ROUND(CZ225,2)</f>
        <v>0</v>
      </c>
      <c r="Z225" s="2"/>
      <c r="AA225" s="2">
        <v>75604747</v>
      </c>
      <c r="AB225" s="2">
        <f>ROUND((AC225+AD225+AF225),6)</f>
        <v>1062.45</v>
      </c>
      <c r="AC225" s="2">
        <f>ROUND((ES225),6)</f>
        <v>1062.45</v>
      </c>
      <c r="AD225" s="2">
        <f>ROUND((((ET225)-(EU225))+AE225),6)</f>
        <v>0</v>
      </c>
      <c r="AE225" s="2">
        <f>ROUND((EU225),6)</f>
        <v>0</v>
      </c>
      <c r="AF225" s="2">
        <f>ROUND((EV225),6)</f>
        <v>0</v>
      </c>
      <c r="AG225" s="2">
        <f>ROUND((AP225),6)</f>
        <v>0</v>
      </c>
      <c r="AH225" s="2">
        <f>(EW225)</f>
        <v>0</v>
      </c>
      <c r="AI225" s="2">
        <f>(EX225)</f>
        <v>0</v>
      </c>
      <c r="AJ225" s="2">
        <f>(AS225)</f>
        <v>0</v>
      </c>
      <c r="AK225" s="2">
        <v>1062.45</v>
      </c>
      <c r="AL225" s="2">
        <v>1062.45</v>
      </c>
      <c r="AM225" s="2">
        <v>0</v>
      </c>
      <c r="AN225" s="2">
        <v>0</v>
      </c>
      <c r="AO225" s="2">
        <v>0</v>
      </c>
      <c r="AP225" s="2">
        <v>0</v>
      </c>
      <c r="AQ225" s="2">
        <v>0</v>
      </c>
      <c r="AR225" s="2">
        <v>0</v>
      </c>
      <c r="AS225" s="2">
        <v>0</v>
      </c>
      <c r="AT225" s="2">
        <v>103</v>
      </c>
      <c r="AU225" s="2">
        <v>72</v>
      </c>
      <c r="AV225" s="2">
        <v>1</v>
      </c>
      <c r="AW225" s="2">
        <v>1</v>
      </c>
      <c r="AX225" s="2"/>
      <c r="AY225" s="2"/>
      <c r="AZ225" s="2">
        <v>1</v>
      </c>
      <c r="BA225" s="2">
        <v>1</v>
      </c>
      <c r="BB225" s="2">
        <v>1</v>
      </c>
      <c r="BC225" s="2">
        <v>1.34</v>
      </c>
      <c r="BD225" s="2" t="s">
        <v>3</v>
      </c>
      <c r="BE225" s="2" t="s">
        <v>3</v>
      </c>
      <c r="BF225" s="2" t="s">
        <v>3</v>
      </c>
      <c r="BG225" s="2" t="s">
        <v>3</v>
      </c>
      <c r="BH225" s="2">
        <v>3</v>
      </c>
      <c r="BI225" s="2">
        <v>1</v>
      </c>
      <c r="BJ225" s="2" t="s">
        <v>415</v>
      </c>
      <c r="BK225" s="2"/>
      <c r="BL225" s="2"/>
      <c r="BM225" s="2">
        <v>47001</v>
      </c>
      <c r="BN225" s="2">
        <v>0</v>
      </c>
      <c r="BO225" s="2" t="s">
        <v>413</v>
      </c>
      <c r="BP225" s="2">
        <v>1</v>
      </c>
      <c r="BQ225" s="2">
        <v>2</v>
      </c>
      <c r="BR225" s="2">
        <v>0</v>
      </c>
      <c r="BS225" s="2">
        <v>1</v>
      </c>
      <c r="BT225" s="2">
        <v>1</v>
      </c>
      <c r="BU225" s="2">
        <v>1</v>
      </c>
      <c r="BV225" s="2">
        <v>1</v>
      </c>
      <c r="BW225" s="2">
        <v>1</v>
      </c>
      <c r="BX225" s="2">
        <v>1</v>
      </c>
      <c r="BY225" s="2" t="s">
        <v>3</v>
      </c>
      <c r="BZ225" s="2">
        <v>103</v>
      </c>
      <c r="CA225" s="2">
        <v>72</v>
      </c>
      <c r="CB225" s="2" t="s">
        <v>3</v>
      </c>
      <c r="CC225" s="2"/>
      <c r="CD225" s="2"/>
      <c r="CE225" s="2">
        <v>0</v>
      </c>
      <c r="CF225" s="2">
        <v>0</v>
      </c>
      <c r="CG225" s="2">
        <v>0</v>
      </c>
      <c r="CH225" s="2"/>
      <c r="CI225" s="2"/>
      <c r="CJ225" s="2"/>
      <c r="CK225" s="2"/>
      <c r="CL225" s="2"/>
      <c r="CM225" s="2">
        <v>0</v>
      </c>
      <c r="CN225" s="2" t="s">
        <v>3</v>
      </c>
      <c r="CO225" s="2">
        <v>0</v>
      </c>
      <c r="CP225" s="2">
        <f>(P225+Q225+S225+R225)</f>
        <v>8542.08</v>
      </c>
      <c r="CQ225" s="2">
        <f>ROUND(AL225*BC225,2)</f>
        <v>1423.68</v>
      </c>
      <c r="CR225" s="2">
        <f>ROUND(AM225*BB225,2)</f>
        <v>0</v>
      </c>
      <c r="CS225" s="2">
        <f>ROUND(AN225*BS225,2)</f>
        <v>0</v>
      </c>
      <c r="CT225" s="2">
        <f>ROUND(AO225*BA225,2)</f>
        <v>0</v>
      </c>
      <c r="CU225" s="2">
        <f>AG225</f>
        <v>0</v>
      </c>
      <c r="CV225" s="2">
        <f>AH225</f>
        <v>0</v>
      </c>
      <c r="CW225" s="2">
        <f>AI225</f>
        <v>0</v>
      </c>
      <c r="CX225" s="2">
        <f>AJ225</f>
        <v>0</v>
      </c>
      <c r="CY225" s="2">
        <f>(((S225+R225)*AT225)/100)</f>
        <v>0</v>
      </c>
      <c r="CZ225" s="2">
        <f>(((S225+R225)*AU225)/100)</f>
        <v>0</v>
      </c>
      <c r="DA225" s="2"/>
      <c r="DB225" s="2"/>
      <c r="DC225" s="2" t="s">
        <v>3</v>
      </c>
      <c r="DD225" s="2" t="s">
        <v>3</v>
      </c>
      <c r="DE225" s="2" t="s">
        <v>3</v>
      </c>
      <c r="DF225" s="2" t="s">
        <v>3</v>
      </c>
      <c r="DG225" s="2" t="s">
        <v>3</v>
      </c>
      <c r="DH225" s="2" t="s">
        <v>3</v>
      </c>
      <c r="DI225" s="2" t="s">
        <v>3</v>
      </c>
      <c r="DJ225" s="2" t="s">
        <v>3</v>
      </c>
      <c r="DK225" s="2" t="s">
        <v>3</v>
      </c>
      <c r="DL225" s="2" t="s">
        <v>3</v>
      </c>
      <c r="DM225" s="2" t="s">
        <v>3</v>
      </c>
      <c r="DN225" s="2">
        <v>0</v>
      </c>
      <c r="DO225" s="2">
        <v>0</v>
      </c>
      <c r="DP225" s="2">
        <v>1</v>
      </c>
      <c r="DQ225" s="2">
        <v>1</v>
      </c>
      <c r="DR225" s="2"/>
      <c r="DS225" s="2"/>
      <c r="DT225" s="2"/>
      <c r="DU225" s="2">
        <v>1007</v>
      </c>
      <c r="DV225" s="2" t="s">
        <v>205</v>
      </c>
      <c r="DW225" s="2" t="s">
        <v>205</v>
      </c>
      <c r="DX225" s="2">
        <v>1</v>
      </c>
      <c r="DY225" s="2"/>
      <c r="DZ225" s="2" t="s">
        <v>3</v>
      </c>
      <c r="EA225" s="2" t="s">
        <v>3</v>
      </c>
      <c r="EB225" s="2" t="s">
        <v>3</v>
      </c>
      <c r="EC225" s="2" t="s">
        <v>3</v>
      </c>
      <c r="ED225" s="2"/>
      <c r="EE225" s="2">
        <v>74004266</v>
      </c>
      <c r="EF225" s="2">
        <v>2</v>
      </c>
      <c r="EG225" s="2" t="s">
        <v>29</v>
      </c>
      <c r="EH225" s="2">
        <v>41</v>
      </c>
      <c r="EI225" s="2" t="s">
        <v>408</v>
      </c>
      <c r="EJ225" s="2">
        <v>1</v>
      </c>
      <c r="EK225" s="2">
        <v>47001</v>
      </c>
      <c r="EL225" s="2" t="s">
        <v>408</v>
      </c>
      <c r="EM225" s="2" t="s">
        <v>409</v>
      </c>
      <c r="EN225" s="2"/>
      <c r="EO225" s="2" t="s">
        <v>3</v>
      </c>
      <c r="EP225" s="2"/>
      <c r="EQ225" s="2">
        <v>0</v>
      </c>
      <c r="ER225" s="2">
        <v>1062.45</v>
      </c>
      <c r="ES225" s="2">
        <v>1062.45</v>
      </c>
      <c r="ET225" s="2">
        <v>0</v>
      </c>
      <c r="EU225" s="2">
        <v>0</v>
      </c>
      <c r="EV225" s="2">
        <v>0</v>
      </c>
      <c r="EW225" s="2">
        <v>0</v>
      </c>
      <c r="EX225" s="2">
        <v>0</v>
      </c>
      <c r="EY225" s="2"/>
      <c r="EZ225" s="2"/>
      <c r="FA225" s="2"/>
      <c r="FB225" s="2"/>
      <c r="FC225" s="2"/>
      <c r="FD225" s="2"/>
      <c r="FE225" s="2"/>
      <c r="FF225" s="2"/>
      <c r="FG225" s="2"/>
      <c r="FH225" s="2"/>
      <c r="FI225" s="2"/>
      <c r="FJ225" s="2"/>
      <c r="FK225" s="2"/>
      <c r="FL225" s="2"/>
      <c r="FM225" s="2"/>
      <c r="FN225" s="2"/>
      <c r="FO225" s="2"/>
      <c r="FP225" s="2"/>
      <c r="FQ225" s="2">
        <v>0</v>
      </c>
      <c r="FR225" s="2">
        <v>0</v>
      </c>
      <c r="FS225" s="2">
        <v>0</v>
      </c>
      <c r="FT225" s="2"/>
      <c r="FU225" s="2"/>
      <c r="FV225" s="2"/>
      <c r="FW225" s="2"/>
      <c r="FX225" s="2">
        <v>103</v>
      </c>
      <c r="FY225" s="2">
        <v>72</v>
      </c>
      <c r="FZ225" s="2"/>
      <c r="GA225" s="2" t="s">
        <v>3</v>
      </c>
      <c r="GB225" s="2"/>
      <c r="GC225" s="2"/>
      <c r="GD225" s="2">
        <v>1</v>
      </c>
      <c r="GE225" s="2"/>
      <c r="GF225" s="2">
        <v>-349141523</v>
      </c>
      <c r="GG225" s="2">
        <v>2</v>
      </c>
      <c r="GH225" s="2">
        <v>1</v>
      </c>
      <c r="GI225" s="2">
        <v>2</v>
      </c>
      <c r="GJ225" s="2">
        <v>0</v>
      </c>
      <c r="GK225" s="2">
        <v>0</v>
      </c>
      <c r="GL225" s="2">
        <f>ROUND(IF(AND(BH225=3,BI225=3,FS225&lt;&gt;0),P225,0),2)</f>
        <v>0</v>
      </c>
      <c r="GM225" s="2">
        <f>ROUND(O225+X225+Y225,2)+GX225</f>
        <v>8542.08</v>
      </c>
      <c r="GN225" s="2">
        <f>IF(OR(BI225=0,BI225=1),GM225-GX225,0)</f>
        <v>8542.08</v>
      </c>
      <c r="GO225" s="2">
        <f>IF(BI225=2,GM225-GX225,0)</f>
        <v>0</v>
      </c>
      <c r="GP225" s="2">
        <f>IF(BI225=4,GM225-GX225,0)</f>
        <v>0</v>
      </c>
      <c r="GQ225" s="2"/>
      <c r="GR225" s="2">
        <v>0</v>
      </c>
      <c r="GS225" s="2">
        <v>3</v>
      </c>
      <c r="GT225" s="2">
        <v>0</v>
      </c>
      <c r="GU225" s="2" t="s">
        <v>3</v>
      </c>
      <c r="GV225" s="2">
        <f>ROUND((GT225),6)</f>
        <v>0</v>
      </c>
      <c r="GW225" s="2">
        <v>1</v>
      </c>
      <c r="GX225" s="2">
        <f>ROUND(HC225*I225,2)</f>
        <v>0</v>
      </c>
      <c r="GY225" s="2"/>
      <c r="GZ225" s="2"/>
      <c r="HA225" s="2">
        <v>0</v>
      </c>
      <c r="HB225" s="2">
        <v>0</v>
      </c>
      <c r="HC225" s="2">
        <f>GV225*GW225</f>
        <v>0</v>
      </c>
      <c r="HD225" s="2"/>
      <c r="HE225" s="2" t="s">
        <v>3</v>
      </c>
      <c r="HF225" s="2" t="s">
        <v>3</v>
      </c>
      <c r="HG225" s="2"/>
      <c r="HH225" s="2"/>
      <c r="HI225" s="2"/>
      <c r="HJ225" s="2"/>
      <c r="HK225" s="2"/>
      <c r="HL225" s="2"/>
      <c r="HM225" s="2" t="s">
        <v>3</v>
      </c>
      <c r="HN225" s="2" t="s">
        <v>410</v>
      </c>
      <c r="HO225" s="2" t="s">
        <v>411</v>
      </c>
      <c r="HP225" s="2" t="s">
        <v>408</v>
      </c>
      <c r="HQ225" s="2" t="s">
        <v>408</v>
      </c>
      <c r="HR225" s="2"/>
      <c r="HS225" s="2">
        <v>0</v>
      </c>
      <c r="HT225" s="2"/>
      <c r="HU225" s="2"/>
      <c r="HV225" s="2"/>
      <c r="HW225" s="2"/>
      <c r="HX225" s="2"/>
      <c r="HY225" s="2"/>
      <c r="HZ225" s="2"/>
      <c r="IA225" s="2"/>
      <c r="IB225" s="2"/>
      <c r="IC225" s="2"/>
      <c r="ID225" s="2"/>
      <c r="IE225" s="2"/>
      <c r="IF225" s="2"/>
      <c r="IG225" s="2"/>
      <c r="IH225" s="2"/>
      <c r="II225" s="2"/>
      <c r="IJ225" s="2"/>
      <c r="IK225" s="2">
        <v>0</v>
      </c>
      <c r="IL225" s="2"/>
      <c r="IM225" s="2"/>
      <c r="IN225" s="2"/>
      <c r="IO225" s="2"/>
      <c r="IP225" s="2"/>
      <c r="IQ225" s="2"/>
      <c r="IR225" s="2"/>
      <c r="IS225" s="2"/>
      <c r="IT225" s="2"/>
      <c r="IU225" s="2"/>
    </row>
    <row r="226" spans="1:255" ht="13.05" customHeight="1" x14ac:dyDescent="0.25">
      <c r="A226">
        <v>19</v>
      </c>
      <c r="B226">
        <v>1</v>
      </c>
      <c r="F226" t="s">
        <v>3</v>
      </c>
      <c r="G226" t="s">
        <v>416</v>
      </c>
      <c r="H226" t="s">
        <v>3</v>
      </c>
      <c r="AA226">
        <v>1</v>
      </c>
      <c r="IK226">
        <v>0</v>
      </c>
    </row>
    <row r="227" spans="1:255" ht="13.05" customHeight="1" x14ac:dyDescent="0.25">
      <c r="A227" s="2">
        <v>17</v>
      </c>
      <c r="B227" s="2">
        <v>1</v>
      </c>
      <c r="C227" s="2">
        <f>ROW(SmtRes!A261)</f>
        <v>261</v>
      </c>
      <c r="D227" s="2">
        <f>ROW(EtalonRes!A271)</f>
        <v>271</v>
      </c>
      <c r="E227" s="2" t="s">
        <v>417</v>
      </c>
      <c r="F227" s="2" t="s">
        <v>418</v>
      </c>
      <c r="G227" s="2" t="s">
        <v>419</v>
      </c>
      <c r="H227" s="2" t="s">
        <v>185</v>
      </c>
      <c r="I227" s="2">
        <v>-0.4</v>
      </c>
      <c r="J227" s="2">
        <v>0</v>
      </c>
      <c r="K227" s="2">
        <v>-0.4</v>
      </c>
      <c r="L227" s="2"/>
      <c r="M227" s="2"/>
      <c r="N227" s="2"/>
      <c r="O227" s="2">
        <f>ROUND(CP227,2)</f>
        <v>-767.06</v>
      </c>
      <c r="P227" s="2">
        <f>SUMIF(SmtRes!AQ260:'SmtRes'!AQ261,"=1",SmtRes!DF260:'SmtRes'!DF261)</f>
        <v>0</v>
      </c>
      <c r="Q227" s="2">
        <f>SUMIF(SmtRes!AQ260:'SmtRes'!AQ261,"=1",SmtRes!DG260:'SmtRes'!DG261)</f>
        <v>0</v>
      </c>
      <c r="R227" s="2">
        <f>SUMIF(SmtRes!AQ260:'SmtRes'!AQ261,"=1",SmtRes!DH260:'SmtRes'!DH261)</f>
        <v>0</v>
      </c>
      <c r="S227" s="2">
        <f>SUMIF(SmtRes!AQ260:'SmtRes'!AQ261,"=1",SmtRes!DI260:'SmtRes'!DI261)</f>
        <v>-767.06</v>
      </c>
      <c r="T227" s="2">
        <f>ROUND(CU227*I227,2)</f>
        <v>0</v>
      </c>
      <c r="U227" s="2">
        <f>SUMIF(SmtRes!AQ260:'SmtRes'!AQ261,"=1",SmtRes!CV260:'SmtRes'!CV261)</f>
        <v>-2.5162</v>
      </c>
      <c r="V227" s="2">
        <f>SUMIF(SmtRes!AQ260:'SmtRes'!AQ261,"=1",SmtRes!CW260:'SmtRes'!CW261)</f>
        <v>0</v>
      </c>
      <c r="W227" s="2">
        <f>ROUND(CX227*I227,2)</f>
        <v>0</v>
      </c>
      <c r="X227" s="2">
        <f>ROUND(CY227,2)</f>
        <v>-790.07</v>
      </c>
      <c r="Y227" s="2">
        <f>ROUND(CZ227,2)</f>
        <v>-552.28</v>
      </c>
      <c r="Z227" s="2"/>
      <c r="AA227" s="2">
        <v>75604747</v>
      </c>
      <c r="AB227" s="2">
        <f>ROUND((AC227+AD227+AF227),6)</f>
        <v>1917.658925</v>
      </c>
      <c r="AC227" s="2">
        <f>ROUND((0),6)</f>
        <v>0</v>
      </c>
      <c r="AD227" s="2">
        <f>ROUND((((0)-(0))+AE227),6)</f>
        <v>0</v>
      </c>
      <c r="AE227" s="2">
        <f>ROUND((0),6)</f>
        <v>0</v>
      </c>
      <c r="AF227" s="2">
        <f>ROUND((SUM(SmtRes!BT260:'SmtRes'!BT261)),6)</f>
        <v>1917.658925</v>
      </c>
      <c r="AG227" s="2">
        <f>ROUND((AP227),6)</f>
        <v>0</v>
      </c>
      <c r="AH227" s="2">
        <f>(SUM(SmtRes!BU260:'SmtRes'!BU261))</f>
        <v>6.2904999999999989</v>
      </c>
      <c r="AI227" s="2">
        <f>(0)</f>
        <v>0</v>
      </c>
      <c r="AJ227" s="2">
        <f>(AS227)</f>
        <v>0</v>
      </c>
      <c r="AK227" s="2">
        <v>1667.5295000000001</v>
      </c>
      <c r="AL227" s="2">
        <v>0</v>
      </c>
      <c r="AM227" s="2">
        <v>0</v>
      </c>
      <c r="AN227" s="2">
        <v>0</v>
      </c>
      <c r="AO227" s="2">
        <v>1667.5295000000001</v>
      </c>
      <c r="AP227" s="2">
        <v>0</v>
      </c>
      <c r="AQ227" s="2">
        <v>5.47</v>
      </c>
      <c r="AR227" s="2">
        <v>0</v>
      </c>
      <c r="AS227" s="2">
        <v>0</v>
      </c>
      <c r="AT227" s="2">
        <v>103</v>
      </c>
      <c r="AU227" s="2">
        <v>72</v>
      </c>
      <c r="AV227" s="2">
        <v>1</v>
      </c>
      <c r="AW227" s="2">
        <v>1</v>
      </c>
      <c r="AX227" s="2"/>
      <c r="AY227" s="2"/>
      <c r="AZ227" s="2">
        <v>1</v>
      </c>
      <c r="BA227" s="2">
        <v>1</v>
      </c>
      <c r="BB227" s="2">
        <v>1</v>
      </c>
      <c r="BC227" s="2">
        <v>1</v>
      </c>
      <c r="BD227" s="2" t="s">
        <v>3</v>
      </c>
      <c r="BE227" s="2" t="s">
        <v>3</v>
      </c>
      <c r="BF227" s="2" t="s">
        <v>3</v>
      </c>
      <c r="BG227" s="2" t="s">
        <v>3</v>
      </c>
      <c r="BH227" s="2">
        <v>0</v>
      </c>
      <c r="BI227" s="2">
        <v>1</v>
      </c>
      <c r="BJ227" s="2" t="s">
        <v>420</v>
      </c>
      <c r="BK227" s="2"/>
      <c r="BL227" s="2"/>
      <c r="BM227" s="2">
        <v>47001</v>
      </c>
      <c r="BN227" s="2">
        <v>0</v>
      </c>
      <c r="BO227" s="2" t="s">
        <v>3</v>
      </c>
      <c r="BP227" s="2">
        <v>0</v>
      </c>
      <c r="BQ227" s="2">
        <v>2</v>
      </c>
      <c r="BR227" s="2">
        <v>0</v>
      </c>
      <c r="BS227" s="2">
        <v>1</v>
      </c>
      <c r="BT227" s="2">
        <v>1</v>
      </c>
      <c r="BU227" s="2">
        <v>1</v>
      </c>
      <c r="BV227" s="2">
        <v>1</v>
      </c>
      <c r="BW227" s="2">
        <v>1</v>
      </c>
      <c r="BX227" s="2">
        <v>1</v>
      </c>
      <c r="BY227" s="2" t="s">
        <v>3</v>
      </c>
      <c r="BZ227" s="2">
        <v>103</v>
      </c>
      <c r="CA227" s="2">
        <v>72</v>
      </c>
      <c r="CB227" s="2" t="s">
        <v>3</v>
      </c>
      <c r="CC227" s="2"/>
      <c r="CD227" s="2"/>
      <c r="CE227" s="2">
        <v>0</v>
      </c>
      <c r="CF227" s="2">
        <v>0</v>
      </c>
      <c r="CG227" s="2">
        <v>0</v>
      </c>
      <c r="CH227" s="2"/>
      <c r="CI227" s="2"/>
      <c r="CJ227" s="2"/>
      <c r="CK227" s="2"/>
      <c r="CL227" s="2"/>
      <c r="CM227" s="2">
        <v>0</v>
      </c>
      <c r="CN227" s="7" t="s">
        <v>802</v>
      </c>
      <c r="CO227" s="2">
        <v>0</v>
      </c>
      <c r="CP227" s="2">
        <f>(P227+Q227+S227+R227)</f>
        <v>-767.06</v>
      </c>
      <c r="CQ227" s="2">
        <f>SUMIF(SmtRes!AQ260:'SmtRes'!AQ261,"=1",SmtRes!AA260:'SmtRes'!AA261)</f>
        <v>0</v>
      </c>
      <c r="CR227" s="2">
        <f>SUMIF(SmtRes!AQ260:'SmtRes'!AQ261,"=1",SmtRes!AB260:'SmtRes'!AB261)</f>
        <v>0</v>
      </c>
      <c r="CS227" s="2">
        <f>SUMIF(SmtRes!AQ260:'SmtRes'!AQ261,"=1",SmtRes!AC260:'SmtRes'!AC261)</f>
        <v>0</v>
      </c>
      <c r="CT227" s="2">
        <f>SUMIF(SmtRes!AQ260:'SmtRes'!AQ261,"=1",SmtRes!AD260:'SmtRes'!AD261)</f>
        <v>304.85000000000002</v>
      </c>
      <c r="CU227" s="2">
        <f>AG227</f>
        <v>0</v>
      </c>
      <c r="CV227" s="2">
        <f>SUMIF(SmtRes!AQ260:'SmtRes'!AQ261,"=1",SmtRes!BU260:'SmtRes'!BU261)</f>
        <v>6.2904999999999989</v>
      </c>
      <c r="CW227" s="2">
        <f>SUMIF(SmtRes!AQ260:'SmtRes'!AQ261,"=1",SmtRes!BV260:'SmtRes'!BV261)</f>
        <v>0</v>
      </c>
      <c r="CX227" s="2">
        <f>AJ227</f>
        <v>0</v>
      </c>
      <c r="CY227" s="2">
        <f>(((S227+R227)*AT227)/100)</f>
        <v>-790.07179999999994</v>
      </c>
      <c r="CZ227" s="2">
        <f>(((S227+R227)*AU227)/100)</f>
        <v>-552.28319999999997</v>
      </c>
      <c r="DA227" s="2"/>
      <c r="DB227" s="2">
        <v>38</v>
      </c>
      <c r="DC227" s="2" t="s">
        <v>3</v>
      </c>
      <c r="DD227" s="2" t="s">
        <v>3</v>
      </c>
      <c r="DE227" s="2" t="s">
        <v>27</v>
      </c>
      <c r="DF227" s="2" t="s">
        <v>27</v>
      </c>
      <c r="DG227" s="2" t="s">
        <v>27</v>
      </c>
      <c r="DH227" s="2" t="s">
        <v>3</v>
      </c>
      <c r="DI227" s="2" t="s">
        <v>27</v>
      </c>
      <c r="DJ227" s="2" t="s">
        <v>27</v>
      </c>
      <c r="DK227" s="2" t="s">
        <v>3</v>
      </c>
      <c r="DL227" s="2" t="s">
        <v>3</v>
      </c>
      <c r="DM227" s="2" t="s">
        <v>3</v>
      </c>
      <c r="DN227" s="2">
        <v>0</v>
      </c>
      <c r="DO227" s="2">
        <v>0</v>
      </c>
      <c r="DP227" s="2">
        <v>1</v>
      </c>
      <c r="DQ227" s="2">
        <v>1</v>
      </c>
      <c r="DR227" s="2"/>
      <c r="DS227" s="2"/>
      <c r="DT227" s="2"/>
      <c r="DU227" s="2">
        <v>1005</v>
      </c>
      <c r="DV227" s="2" t="s">
        <v>185</v>
      </c>
      <c r="DW227" s="2" t="s">
        <v>185</v>
      </c>
      <c r="DX227" s="2">
        <v>100</v>
      </c>
      <c r="DY227" s="2"/>
      <c r="DZ227" s="2" t="s">
        <v>3</v>
      </c>
      <c r="EA227" s="2" t="s">
        <v>3</v>
      </c>
      <c r="EB227" s="2" t="s">
        <v>3</v>
      </c>
      <c r="EC227" s="2" t="s">
        <v>3</v>
      </c>
      <c r="ED227" s="2"/>
      <c r="EE227" s="2">
        <v>74004266</v>
      </c>
      <c r="EF227" s="2">
        <v>2</v>
      </c>
      <c r="EG227" s="2" t="s">
        <v>29</v>
      </c>
      <c r="EH227" s="2">
        <v>41</v>
      </c>
      <c r="EI227" s="2" t="s">
        <v>408</v>
      </c>
      <c r="EJ227" s="2">
        <v>1</v>
      </c>
      <c r="EK227" s="2">
        <v>47001</v>
      </c>
      <c r="EL227" s="2" t="s">
        <v>408</v>
      </c>
      <c r="EM227" s="2" t="s">
        <v>409</v>
      </c>
      <c r="EN227" s="2"/>
      <c r="EO227" s="2" t="s">
        <v>39</v>
      </c>
      <c r="EP227" s="2"/>
      <c r="EQ227" s="2">
        <v>0</v>
      </c>
      <c r="ER227" s="2">
        <v>0</v>
      </c>
      <c r="ES227" s="2">
        <v>0</v>
      </c>
      <c r="ET227" s="2">
        <v>0</v>
      </c>
      <c r="EU227" s="2">
        <v>0</v>
      </c>
      <c r="EV227" s="2">
        <v>0</v>
      </c>
      <c r="EW227" s="2">
        <v>5.47</v>
      </c>
      <c r="EX227" s="2">
        <v>0</v>
      </c>
      <c r="EY227" s="2">
        <v>0</v>
      </c>
      <c r="EZ227" s="2"/>
      <c r="FA227" s="2"/>
      <c r="FB227" s="2"/>
      <c r="FC227" s="2"/>
      <c r="FD227" s="2"/>
      <c r="FE227" s="2"/>
      <c r="FF227" s="2"/>
      <c r="FG227" s="2"/>
      <c r="FH227" s="2"/>
      <c r="FI227" s="2"/>
      <c r="FJ227" s="2"/>
      <c r="FK227" s="2"/>
      <c r="FL227" s="2"/>
      <c r="FM227" s="2"/>
      <c r="FN227" s="2"/>
      <c r="FO227" s="2"/>
      <c r="FP227" s="2"/>
      <c r="FQ227" s="2">
        <v>0</v>
      </c>
      <c r="FR227" s="2">
        <v>0</v>
      </c>
      <c r="FS227" s="2">
        <v>0</v>
      </c>
      <c r="FT227" s="2"/>
      <c r="FU227" s="2"/>
      <c r="FV227" s="2"/>
      <c r="FW227" s="2"/>
      <c r="FX227" s="2">
        <v>103</v>
      </c>
      <c r="FY227" s="2">
        <v>72</v>
      </c>
      <c r="FZ227" s="2"/>
      <c r="GA227" s="2" t="s">
        <v>3</v>
      </c>
      <c r="GB227" s="2"/>
      <c r="GC227" s="2"/>
      <c r="GD227" s="2">
        <v>1</v>
      </c>
      <c r="GE227" s="2"/>
      <c r="GF227" s="2">
        <v>862494783</v>
      </c>
      <c r="GG227" s="2">
        <v>2</v>
      </c>
      <c r="GH227" s="2">
        <v>1</v>
      </c>
      <c r="GI227" s="2">
        <v>-2</v>
      </c>
      <c r="GJ227" s="2">
        <v>0</v>
      </c>
      <c r="GK227" s="2">
        <v>0</v>
      </c>
      <c r="GL227" s="2">
        <f>ROUND(IF(AND(BH227=3,BI227=3,FS227&lt;&gt;0),P227,0),2)</f>
        <v>0</v>
      </c>
      <c r="GM227" s="2">
        <f>ROUND(O227+X227+Y227,2)+GX227</f>
        <v>-2109.41</v>
      </c>
      <c r="GN227" s="2">
        <f>IF(OR(BI227=0,BI227=1),GM227-GX227,0)</f>
        <v>-2109.41</v>
      </c>
      <c r="GO227" s="2">
        <f>IF(BI227=2,GM227-GX227,0)</f>
        <v>0</v>
      </c>
      <c r="GP227" s="2">
        <f>IF(BI227=4,GM227-GX227,0)</f>
        <v>0</v>
      </c>
      <c r="GQ227" s="2"/>
      <c r="GR227" s="2">
        <v>0</v>
      </c>
      <c r="GS227" s="2">
        <v>3</v>
      </c>
      <c r="GT227" s="2">
        <v>0</v>
      </c>
      <c r="GU227" s="2" t="s">
        <v>3</v>
      </c>
      <c r="GV227" s="2">
        <f>ROUND((GT227),6)</f>
        <v>0</v>
      </c>
      <c r="GW227" s="2">
        <v>1</v>
      </c>
      <c r="GX227" s="2">
        <f>ROUND(HC227*I227,2)</f>
        <v>0</v>
      </c>
      <c r="GY227" s="2"/>
      <c r="GZ227" s="2"/>
      <c r="HA227" s="2">
        <v>0</v>
      </c>
      <c r="HB227" s="2">
        <v>0</v>
      </c>
      <c r="HC227" s="2">
        <f>GV227*GW227</f>
        <v>0</v>
      </c>
      <c r="HD227" s="2"/>
      <c r="HE227" s="2" t="s">
        <v>3</v>
      </c>
      <c r="HF227" s="2" t="s">
        <v>3</v>
      </c>
      <c r="HG227" s="2"/>
      <c r="HH227" s="2"/>
      <c r="HI227" s="2"/>
      <c r="HJ227" s="2"/>
      <c r="HK227" s="2"/>
      <c r="HL227" s="2"/>
      <c r="HM227" s="2" t="s">
        <v>3</v>
      </c>
      <c r="HN227" s="2" t="s">
        <v>410</v>
      </c>
      <c r="HO227" s="2" t="s">
        <v>411</v>
      </c>
      <c r="HP227" s="2" t="s">
        <v>408</v>
      </c>
      <c r="HQ227" s="2" t="s">
        <v>408</v>
      </c>
      <c r="HR227" s="2"/>
      <c r="HS227" s="2">
        <v>0</v>
      </c>
      <c r="HT227" s="2"/>
      <c r="HU227" s="2"/>
      <c r="HV227" s="2"/>
      <c r="HW227" s="2"/>
      <c r="HX227" s="2"/>
      <c r="HY227" s="2"/>
      <c r="HZ227" s="2"/>
      <c r="IA227" s="2"/>
      <c r="IB227" s="2"/>
      <c r="IC227" s="2"/>
      <c r="ID227" s="2"/>
      <c r="IE227" s="2"/>
      <c r="IF227" s="2"/>
      <c r="IG227" s="2"/>
      <c r="IH227" s="2"/>
      <c r="II227" s="2"/>
      <c r="IJ227" s="2"/>
      <c r="IK227" s="2">
        <v>0</v>
      </c>
      <c r="IL227" s="2"/>
      <c r="IM227" s="2"/>
      <c r="IN227" s="2"/>
      <c r="IO227" s="2"/>
      <c r="IP227" s="2"/>
      <c r="IQ227" s="2"/>
      <c r="IR227" s="2"/>
      <c r="IS227" s="2"/>
      <c r="IT227" s="2"/>
      <c r="IU227" s="2"/>
    </row>
    <row r="228" spans="1:255" ht="13.05" customHeight="1" x14ac:dyDescent="0.25">
      <c r="A228" s="2">
        <v>18</v>
      </c>
      <c r="B228" s="2">
        <v>1</v>
      </c>
      <c r="C228" s="2">
        <v>261</v>
      </c>
      <c r="D228" s="2"/>
      <c r="E228" s="2" t="s">
        <v>421</v>
      </c>
      <c r="F228" s="2" t="s">
        <v>413</v>
      </c>
      <c r="G228" s="2" t="s">
        <v>414</v>
      </c>
      <c r="H228" s="2" t="s">
        <v>205</v>
      </c>
      <c r="I228" s="2">
        <f>I227*J228</f>
        <v>-2</v>
      </c>
      <c r="J228" s="2">
        <v>5</v>
      </c>
      <c r="K228" s="2">
        <v>5</v>
      </c>
      <c r="L228" s="2"/>
      <c r="M228" s="2"/>
      <c r="N228" s="2"/>
      <c r="O228" s="2">
        <f>ROUND(CP228,2)</f>
        <v>-2847.36</v>
      </c>
      <c r="P228" s="2">
        <f>ROUND(CQ228*I228,2)</f>
        <v>-2847.36</v>
      </c>
      <c r="Q228" s="2">
        <f>ROUND(CR228*I228,2)</f>
        <v>0</v>
      </c>
      <c r="R228" s="2">
        <f>ROUND(CS228*I228,2)</f>
        <v>0</v>
      </c>
      <c r="S228" s="2">
        <f>ROUND(CT228*I228,2)</f>
        <v>0</v>
      </c>
      <c r="T228" s="2">
        <f>ROUND(CU228*I228,2)</f>
        <v>0</v>
      </c>
      <c r="U228" s="2">
        <f>ROUND(CV228*I228,7)</f>
        <v>0</v>
      </c>
      <c r="V228" s="2">
        <f>ROUND(CW228*I228,7)</f>
        <v>0</v>
      </c>
      <c r="W228" s="2">
        <f>ROUND(CX228*I228,2)</f>
        <v>0</v>
      </c>
      <c r="X228" s="2">
        <f>ROUND(CY228,2)</f>
        <v>0</v>
      </c>
      <c r="Y228" s="2">
        <f>ROUND(CZ228,2)</f>
        <v>0</v>
      </c>
      <c r="Z228" s="2"/>
      <c r="AA228" s="2">
        <v>75604747</v>
      </c>
      <c r="AB228" s="2">
        <f>ROUND((AC228+AD228+AF228),6)</f>
        <v>1062.45</v>
      </c>
      <c r="AC228" s="2">
        <f>ROUND((ES228),6)</f>
        <v>1062.45</v>
      </c>
      <c r="AD228" s="2">
        <f>ROUND((((ET228)-(EU228))+AE228),6)</f>
        <v>0</v>
      </c>
      <c r="AE228" s="2">
        <f>ROUND((EU228),6)</f>
        <v>0</v>
      </c>
      <c r="AF228" s="2">
        <f>ROUND((EV228),6)</f>
        <v>0</v>
      </c>
      <c r="AG228" s="2">
        <f>ROUND((AP228),6)</f>
        <v>0</v>
      </c>
      <c r="AH228" s="2">
        <f>(EW228)</f>
        <v>0</v>
      </c>
      <c r="AI228" s="2">
        <f>(EX228)</f>
        <v>0</v>
      </c>
      <c r="AJ228" s="2">
        <f>(AS228)</f>
        <v>0</v>
      </c>
      <c r="AK228" s="2">
        <v>1062.45</v>
      </c>
      <c r="AL228" s="2">
        <v>1062.45</v>
      </c>
      <c r="AM228" s="2">
        <v>0</v>
      </c>
      <c r="AN228" s="2">
        <v>0</v>
      </c>
      <c r="AO228" s="2">
        <v>0</v>
      </c>
      <c r="AP228" s="2">
        <v>0</v>
      </c>
      <c r="AQ228" s="2">
        <v>0</v>
      </c>
      <c r="AR228" s="2">
        <v>0</v>
      </c>
      <c r="AS228" s="2">
        <v>0</v>
      </c>
      <c r="AT228" s="2">
        <v>103</v>
      </c>
      <c r="AU228" s="2">
        <v>72</v>
      </c>
      <c r="AV228" s="2">
        <v>1</v>
      </c>
      <c r="AW228" s="2">
        <v>1</v>
      </c>
      <c r="AX228" s="2"/>
      <c r="AY228" s="2"/>
      <c r="AZ228" s="2">
        <v>1</v>
      </c>
      <c r="BA228" s="2">
        <v>1</v>
      </c>
      <c r="BB228" s="2">
        <v>1</v>
      </c>
      <c r="BC228" s="2">
        <v>1.34</v>
      </c>
      <c r="BD228" s="2" t="s">
        <v>3</v>
      </c>
      <c r="BE228" s="2" t="s">
        <v>3</v>
      </c>
      <c r="BF228" s="2" t="s">
        <v>3</v>
      </c>
      <c r="BG228" s="2" t="s">
        <v>3</v>
      </c>
      <c r="BH228" s="2">
        <v>3</v>
      </c>
      <c r="BI228" s="2">
        <v>1</v>
      </c>
      <c r="BJ228" s="2" t="s">
        <v>415</v>
      </c>
      <c r="BK228" s="2"/>
      <c r="BL228" s="2"/>
      <c r="BM228" s="2">
        <v>47001</v>
      </c>
      <c r="BN228" s="2">
        <v>0</v>
      </c>
      <c r="BO228" s="2" t="s">
        <v>413</v>
      </c>
      <c r="BP228" s="2">
        <v>1</v>
      </c>
      <c r="BQ228" s="2">
        <v>2</v>
      </c>
      <c r="BR228" s="2">
        <v>0</v>
      </c>
      <c r="BS228" s="2">
        <v>1</v>
      </c>
      <c r="BT228" s="2">
        <v>1</v>
      </c>
      <c r="BU228" s="2">
        <v>1</v>
      </c>
      <c r="BV228" s="2">
        <v>1</v>
      </c>
      <c r="BW228" s="2">
        <v>1</v>
      </c>
      <c r="BX228" s="2">
        <v>1</v>
      </c>
      <c r="BY228" s="2" t="s">
        <v>3</v>
      </c>
      <c r="BZ228" s="2">
        <v>103</v>
      </c>
      <c r="CA228" s="2">
        <v>72</v>
      </c>
      <c r="CB228" s="2" t="s">
        <v>3</v>
      </c>
      <c r="CC228" s="2"/>
      <c r="CD228" s="2"/>
      <c r="CE228" s="2">
        <v>0</v>
      </c>
      <c r="CF228" s="2">
        <v>0</v>
      </c>
      <c r="CG228" s="2">
        <v>0</v>
      </c>
      <c r="CH228" s="2"/>
      <c r="CI228" s="2"/>
      <c r="CJ228" s="2"/>
      <c r="CK228" s="2"/>
      <c r="CL228" s="2"/>
      <c r="CM228" s="2">
        <v>0</v>
      </c>
      <c r="CN228" s="2" t="s">
        <v>3</v>
      </c>
      <c r="CO228" s="2">
        <v>0</v>
      </c>
      <c r="CP228" s="2">
        <f>(P228+Q228+S228+R228)</f>
        <v>-2847.36</v>
      </c>
      <c r="CQ228" s="2">
        <f>ROUND(AL228*BC228,2)</f>
        <v>1423.68</v>
      </c>
      <c r="CR228" s="2">
        <f>ROUND(AM228*BB228,2)</f>
        <v>0</v>
      </c>
      <c r="CS228" s="2">
        <f>ROUND(AN228*BS228,2)</f>
        <v>0</v>
      </c>
      <c r="CT228" s="2">
        <f>ROUND(AO228*BA228,2)</f>
        <v>0</v>
      </c>
      <c r="CU228" s="2">
        <f>AG228</f>
        <v>0</v>
      </c>
      <c r="CV228" s="2">
        <f>AH228</f>
        <v>0</v>
      </c>
      <c r="CW228" s="2">
        <f>AI228</f>
        <v>0</v>
      </c>
      <c r="CX228" s="2">
        <f>AJ228</f>
        <v>0</v>
      </c>
      <c r="CY228" s="2">
        <f>(((S228+R228)*AT228)/100)</f>
        <v>0</v>
      </c>
      <c r="CZ228" s="2">
        <f>(((S228+R228)*AU228)/100)</f>
        <v>0</v>
      </c>
      <c r="DA228" s="2"/>
      <c r="DB228" s="2"/>
      <c r="DC228" s="2" t="s">
        <v>3</v>
      </c>
      <c r="DD228" s="2" t="s">
        <v>3</v>
      </c>
      <c r="DE228" s="2" t="s">
        <v>3</v>
      </c>
      <c r="DF228" s="2" t="s">
        <v>3</v>
      </c>
      <c r="DG228" s="2" t="s">
        <v>3</v>
      </c>
      <c r="DH228" s="2" t="s">
        <v>3</v>
      </c>
      <c r="DI228" s="2" t="s">
        <v>3</v>
      </c>
      <c r="DJ228" s="2" t="s">
        <v>3</v>
      </c>
      <c r="DK228" s="2" t="s">
        <v>3</v>
      </c>
      <c r="DL228" s="2" t="s">
        <v>3</v>
      </c>
      <c r="DM228" s="2" t="s">
        <v>3</v>
      </c>
      <c r="DN228" s="2">
        <v>0</v>
      </c>
      <c r="DO228" s="2">
        <v>0</v>
      </c>
      <c r="DP228" s="2">
        <v>1</v>
      </c>
      <c r="DQ228" s="2">
        <v>1</v>
      </c>
      <c r="DR228" s="2"/>
      <c r="DS228" s="2"/>
      <c r="DT228" s="2"/>
      <c r="DU228" s="2">
        <v>1007</v>
      </c>
      <c r="DV228" s="2" t="s">
        <v>205</v>
      </c>
      <c r="DW228" s="2" t="s">
        <v>205</v>
      </c>
      <c r="DX228" s="2">
        <v>1</v>
      </c>
      <c r="DY228" s="2"/>
      <c r="DZ228" s="2" t="s">
        <v>3</v>
      </c>
      <c r="EA228" s="2" t="s">
        <v>3</v>
      </c>
      <c r="EB228" s="2" t="s">
        <v>3</v>
      </c>
      <c r="EC228" s="2" t="s">
        <v>3</v>
      </c>
      <c r="ED228" s="2"/>
      <c r="EE228" s="2">
        <v>74004266</v>
      </c>
      <c r="EF228" s="2">
        <v>2</v>
      </c>
      <c r="EG228" s="2" t="s">
        <v>29</v>
      </c>
      <c r="EH228" s="2">
        <v>41</v>
      </c>
      <c r="EI228" s="2" t="s">
        <v>408</v>
      </c>
      <c r="EJ228" s="2">
        <v>1</v>
      </c>
      <c r="EK228" s="2">
        <v>47001</v>
      </c>
      <c r="EL228" s="2" t="s">
        <v>408</v>
      </c>
      <c r="EM228" s="2" t="s">
        <v>409</v>
      </c>
      <c r="EN228" s="2"/>
      <c r="EO228" s="2" t="s">
        <v>3</v>
      </c>
      <c r="EP228" s="2"/>
      <c r="EQ228" s="2">
        <v>0</v>
      </c>
      <c r="ER228" s="2">
        <v>1062.45</v>
      </c>
      <c r="ES228" s="2">
        <v>1062.45</v>
      </c>
      <c r="ET228" s="2">
        <v>0</v>
      </c>
      <c r="EU228" s="2">
        <v>0</v>
      </c>
      <c r="EV228" s="2">
        <v>0</v>
      </c>
      <c r="EW228" s="2">
        <v>0</v>
      </c>
      <c r="EX228" s="2">
        <v>0</v>
      </c>
      <c r="EY228" s="2"/>
      <c r="EZ228" s="2"/>
      <c r="FA228" s="2"/>
      <c r="FB228" s="2"/>
      <c r="FC228" s="2"/>
      <c r="FD228" s="2"/>
      <c r="FE228" s="2"/>
      <c r="FF228" s="2"/>
      <c r="FG228" s="2"/>
      <c r="FH228" s="2"/>
      <c r="FI228" s="2"/>
      <c r="FJ228" s="2"/>
      <c r="FK228" s="2"/>
      <c r="FL228" s="2"/>
      <c r="FM228" s="2"/>
      <c r="FN228" s="2"/>
      <c r="FO228" s="2"/>
      <c r="FP228" s="2"/>
      <c r="FQ228" s="2">
        <v>0</v>
      </c>
      <c r="FR228" s="2">
        <v>0</v>
      </c>
      <c r="FS228" s="2">
        <v>0</v>
      </c>
      <c r="FT228" s="2"/>
      <c r="FU228" s="2"/>
      <c r="FV228" s="2"/>
      <c r="FW228" s="2"/>
      <c r="FX228" s="2">
        <v>103</v>
      </c>
      <c r="FY228" s="2">
        <v>72</v>
      </c>
      <c r="FZ228" s="2"/>
      <c r="GA228" s="2" t="s">
        <v>3</v>
      </c>
      <c r="GB228" s="2"/>
      <c r="GC228" s="2"/>
      <c r="GD228" s="2">
        <v>1</v>
      </c>
      <c r="GE228" s="2"/>
      <c r="GF228" s="2">
        <v>-349141523</v>
      </c>
      <c r="GG228" s="2">
        <v>2</v>
      </c>
      <c r="GH228" s="2">
        <v>1</v>
      </c>
      <c r="GI228" s="2">
        <v>2</v>
      </c>
      <c r="GJ228" s="2">
        <v>0</v>
      </c>
      <c r="GK228" s="2">
        <v>0</v>
      </c>
      <c r="GL228" s="2">
        <f>ROUND(IF(AND(BH228=3,BI228=3,FS228&lt;&gt;0),P228,0),2)</f>
        <v>0</v>
      </c>
      <c r="GM228" s="2">
        <f>ROUND(O228+X228+Y228,2)+GX228</f>
        <v>-2847.36</v>
      </c>
      <c r="GN228" s="2">
        <f>IF(OR(BI228=0,BI228=1),GM228-GX228,0)</f>
        <v>-2847.36</v>
      </c>
      <c r="GO228" s="2">
        <f>IF(BI228=2,GM228-GX228,0)</f>
        <v>0</v>
      </c>
      <c r="GP228" s="2">
        <f>IF(BI228=4,GM228-GX228,0)</f>
        <v>0</v>
      </c>
      <c r="GQ228" s="2"/>
      <c r="GR228" s="2">
        <v>0</v>
      </c>
      <c r="GS228" s="2">
        <v>3</v>
      </c>
      <c r="GT228" s="2">
        <v>0</v>
      </c>
      <c r="GU228" s="2" t="s">
        <v>3</v>
      </c>
      <c r="GV228" s="2">
        <f>ROUND((GT228),6)</f>
        <v>0</v>
      </c>
      <c r="GW228" s="2">
        <v>1</v>
      </c>
      <c r="GX228" s="2">
        <f>ROUND(HC228*I228,2)</f>
        <v>0</v>
      </c>
      <c r="GY228" s="2"/>
      <c r="GZ228" s="2"/>
      <c r="HA228" s="2">
        <v>0</v>
      </c>
      <c r="HB228" s="2">
        <v>0</v>
      </c>
      <c r="HC228" s="2">
        <f>GV228*GW228</f>
        <v>0</v>
      </c>
      <c r="HD228" s="2"/>
      <c r="HE228" s="2" t="s">
        <v>3</v>
      </c>
      <c r="HF228" s="2" t="s">
        <v>3</v>
      </c>
      <c r="HG228" s="2"/>
      <c r="HH228" s="2"/>
      <c r="HI228" s="2"/>
      <c r="HJ228" s="2"/>
      <c r="HK228" s="2"/>
      <c r="HL228" s="2"/>
      <c r="HM228" s="2" t="s">
        <v>3</v>
      </c>
      <c r="HN228" s="2" t="s">
        <v>410</v>
      </c>
      <c r="HO228" s="2" t="s">
        <v>411</v>
      </c>
      <c r="HP228" s="2" t="s">
        <v>408</v>
      </c>
      <c r="HQ228" s="2" t="s">
        <v>408</v>
      </c>
      <c r="HR228" s="2"/>
      <c r="HS228" s="2">
        <v>0</v>
      </c>
      <c r="HT228" s="2"/>
      <c r="HU228" s="2"/>
      <c r="HV228" s="2"/>
      <c r="HW228" s="2"/>
      <c r="HX228" s="2"/>
      <c r="HY228" s="2"/>
      <c r="HZ228" s="2"/>
      <c r="IA228" s="2"/>
      <c r="IB228" s="2"/>
      <c r="IC228" s="2"/>
      <c r="ID228" s="2"/>
      <c r="IE228" s="2"/>
      <c r="IF228" s="2"/>
      <c r="IG228" s="2"/>
      <c r="IH228" s="2"/>
      <c r="II228" s="2"/>
      <c r="IJ228" s="2"/>
      <c r="IK228" s="2">
        <v>0</v>
      </c>
      <c r="IL228" s="2"/>
      <c r="IM228" s="2"/>
      <c r="IN228" s="2"/>
      <c r="IO228" s="2"/>
      <c r="IP228" s="2"/>
      <c r="IQ228" s="2"/>
      <c r="IR228" s="2"/>
      <c r="IS228" s="2"/>
      <c r="IT228" s="2"/>
      <c r="IU228" s="2"/>
    </row>
    <row r="229" spans="1:255" ht="13.05" customHeight="1" x14ac:dyDescent="0.25"/>
    <row r="230" spans="1:255" ht="13.05" customHeight="1" x14ac:dyDescent="0.25">
      <c r="A230" s="3">
        <v>51</v>
      </c>
      <c r="B230" s="3">
        <f>B220</f>
        <v>1</v>
      </c>
      <c r="C230" s="3">
        <f>A220</f>
        <v>4</v>
      </c>
      <c r="D230" s="3">
        <f>ROW(A220)</f>
        <v>220</v>
      </c>
      <c r="E230" s="3"/>
      <c r="F230" s="3" t="str">
        <f>IF(F220&lt;&gt;"",F220,"")</f>
        <v>Новый раздел</v>
      </c>
      <c r="G230" s="3" t="str">
        <f>IF(G220&lt;&gt;"",G220,"")</f>
        <v>Раздел Восстановление благоустройства</v>
      </c>
      <c r="H230" s="3">
        <v>0</v>
      </c>
      <c r="I230" s="3"/>
      <c r="J230" s="3"/>
      <c r="K230" s="3"/>
      <c r="L230" s="3"/>
      <c r="M230" s="3"/>
      <c r="N230" s="3"/>
      <c r="O230" s="3">
        <f t="shared" ref="O230:T230" si="86">ROUND(AB230,2)</f>
        <v>8711.32</v>
      </c>
      <c r="P230" s="3">
        <f t="shared" si="86"/>
        <v>5694.72</v>
      </c>
      <c r="Q230" s="3">
        <f t="shared" si="86"/>
        <v>19.809999999999999</v>
      </c>
      <c r="R230" s="3">
        <f t="shared" si="86"/>
        <v>8.4600000000000009</v>
      </c>
      <c r="S230" s="3">
        <f t="shared" si="86"/>
        <v>2988.33</v>
      </c>
      <c r="T230" s="3">
        <f t="shared" si="86"/>
        <v>0</v>
      </c>
      <c r="U230" s="3">
        <f>AH230</f>
        <v>9.8026</v>
      </c>
      <c r="V230" s="3">
        <f>AI230</f>
        <v>2.3E-2</v>
      </c>
      <c r="W230" s="3">
        <f>ROUND(AJ230,2)</f>
        <v>0</v>
      </c>
      <c r="X230" s="3">
        <f>ROUND(AK230,2)</f>
        <v>3086.7</v>
      </c>
      <c r="Y230" s="3">
        <f>ROUND(AL230,2)</f>
        <v>2157.69</v>
      </c>
      <c r="Z230" s="3"/>
      <c r="AA230" s="3"/>
      <c r="AB230" s="3">
        <f>ROUND(SUMIF(AA224:AA228,"=75604747",O224:O228),2)</f>
        <v>8711.32</v>
      </c>
      <c r="AC230" s="3">
        <f>ROUND(SUMIF(AA224:AA228,"=75604747",P224:P228),2)</f>
        <v>5694.72</v>
      </c>
      <c r="AD230" s="3">
        <f>ROUND(SUMIF(AA224:AA228,"=75604747",Q224:Q228),2)</f>
        <v>19.809999999999999</v>
      </c>
      <c r="AE230" s="3">
        <f>ROUND(SUMIF(AA224:AA228,"=75604747",R224:R228),2)</f>
        <v>8.4600000000000009</v>
      </c>
      <c r="AF230" s="3">
        <f>ROUND(SUMIF(AA224:AA228,"=75604747",S224:S228),2)</f>
        <v>2988.33</v>
      </c>
      <c r="AG230" s="3">
        <f>ROUND(SUMIF(AA224:AA228,"=75604747",T224:T228),2)</f>
        <v>0</v>
      </c>
      <c r="AH230" s="3">
        <f>SUMIF(AA224:AA228,"=75604747",U224:U228)</f>
        <v>9.8026</v>
      </c>
      <c r="AI230" s="3">
        <f>SUMIF(AA224:AA228,"=75604747",V224:V228)</f>
        <v>2.3E-2</v>
      </c>
      <c r="AJ230" s="3">
        <f>ROUND(SUMIF(AA224:AA228,"=75604747",W224:W228),2)</f>
        <v>0</v>
      </c>
      <c r="AK230" s="3">
        <f>ROUND(SUMIF(AA224:AA228,"=75604747",X224:X228),2)</f>
        <v>3086.7</v>
      </c>
      <c r="AL230" s="3">
        <f>ROUND(SUMIF(AA224:AA228,"=75604747",Y224:Y228),2)</f>
        <v>2157.69</v>
      </c>
      <c r="AM230" s="3"/>
      <c r="AN230" s="3"/>
      <c r="AO230" s="3">
        <f t="shared" ref="AO230:BD230" si="87">ROUND(BX230,2)</f>
        <v>0</v>
      </c>
      <c r="AP230" s="3">
        <f t="shared" si="87"/>
        <v>0</v>
      </c>
      <c r="AQ230" s="3">
        <f t="shared" si="87"/>
        <v>0</v>
      </c>
      <c r="AR230" s="3">
        <f t="shared" si="87"/>
        <v>13955.71</v>
      </c>
      <c r="AS230" s="3">
        <f t="shared" si="87"/>
        <v>13955.71</v>
      </c>
      <c r="AT230" s="3">
        <f t="shared" si="87"/>
        <v>0</v>
      </c>
      <c r="AU230" s="3">
        <f t="shared" si="87"/>
        <v>0</v>
      </c>
      <c r="AV230" s="3">
        <f t="shared" si="87"/>
        <v>5694.72</v>
      </c>
      <c r="AW230" s="3">
        <f t="shared" si="87"/>
        <v>5694.72</v>
      </c>
      <c r="AX230" s="3">
        <f t="shared" si="87"/>
        <v>0</v>
      </c>
      <c r="AY230" s="3">
        <f t="shared" si="87"/>
        <v>5694.72</v>
      </c>
      <c r="AZ230" s="3">
        <f t="shared" si="87"/>
        <v>0</v>
      </c>
      <c r="BA230" s="3">
        <f t="shared" si="87"/>
        <v>0</v>
      </c>
      <c r="BB230" s="3">
        <f t="shared" si="87"/>
        <v>0</v>
      </c>
      <c r="BC230" s="3">
        <f t="shared" si="87"/>
        <v>0</v>
      </c>
      <c r="BD230" s="3">
        <f t="shared" si="87"/>
        <v>0</v>
      </c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>
        <f>ROUND(SUMIF(AA224:AA228,"=75604747",FQ224:FQ228),2)</f>
        <v>0</v>
      </c>
      <c r="BY230" s="3">
        <f>ROUND(SUMIF(AA224:AA228,"=75604747",FR224:FR228),2)</f>
        <v>0</v>
      </c>
      <c r="BZ230" s="3">
        <f>ROUND(SUMIF(AA224:AA228,"=75604747",GL224:GL228),2)</f>
        <v>0</v>
      </c>
      <c r="CA230" s="3">
        <f>ROUND(SUMIF(AA224:AA228,"=75604747",GM224:GM228),2)</f>
        <v>13955.71</v>
      </c>
      <c r="CB230" s="3">
        <f>ROUND(SUMIF(AA224:AA228,"=75604747",GN224:GN228),2)</f>
        <v>13955.71</v>
      </c>
      <c r="CC230" s="3">
        <f>ROUND(SUMIF(AA224:AA228,"=75604747",GO224:GO228),2)</f>
        <v>0</v>
      </c>
      <c r="CD230" s="3">
        <f>ROUND(SUMIF(AA224:AA228,"=75604747",GP224:GP228),2)</f>
        <v>0</v>
      </c>
      <c r="CE230" s="3">
        <f>AC230-BX230</f>
        <v>5694.72</v>
      </c>
      <c r="CF230" s="3">
        <f>AC230-BY230</f>
        <v>5694.72</v>
      </c>
      <c r="CG230" s="3">
        <f>BX230-BZ230</f>
        <v>0</v>
      </c>
      <c r="CH230" s="3">
        <f>AC230-BX230-BY230+BZ230</f>
        <v>5694.72</v>
      </c>
      <c r="CI230" s="3">
        <f>BY230-BZ230</f>
        <v>0</v>
      </c>
      <c r="CJ230" s="3">
        <f>ROUND(SUMIF(AA224:AA228,"=75604747",GX224:GX228),2)</f>
        <v>0</v>
      </c>
      <c r="CK230" s="3">
        <f>ROUND(SUMIF(AA224:AA228,"=75604747",GY224:GY228),2)</f>
        <v>0</v>
      </c>
      <c r="CL230" s="3">
        <f>ROUND(SUMIF(AA224:AA228,"=75604747",GZ224:GZ228),2)</f>
        <v>0</v>
      </c>
      <c r="CM230" s="3">
        <f>ROUND(SUMIF(AA224:AA228,"=75604747",HD224:HD228),2)</f>
        <v>0</v>
      </c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4"/>
      <c r="DH230" s="4"/>
      <c r="DI230" s="4"/>
      <c r="DJ230" s="4"/>
      <c r="DK230" s="4"/>
      <c r="DL230" s="4"/>
      <c r="DM230" s="4"/>
      <c r="DN230" s="4"/>
      <c r="DO230" s="4"/>
      <c r="DP230" s="4"/>
      <c r="DQ230" s="4"/>
      <c r="DR230" s="4"/>
      <c r="DS230" s="4"/>
      <c r="DT230" s="4"/>
      <c r="DU230" s="4"/>
      <c r="DV230" s="4"/>
      <c r="DW230" s="4"/>
      <c r="DX230" s="4"/>
      <c r="DY230" s="4"/>
      <c r="DZ230" s="4"/>
      <c r="EA230" s="4"/>
      <c r="EB230" s="4"/>
      <c r="EC230" s="4"/>
      <c r="ED230" s="4"/>
      <c r="EE230" s="4"/>
      <c r="EF230" s="4"/>
      <c r="EG230" s="4"/>
      <c r="EH230" s="4"/>
      <c r="EI230" s="4"/>
      <c r="EJ230" s="4"/>
      <c r="EK230" s="4"/>
      <c r="EL230" s="4"/>
      <c r="EM230" s="4"/>
      <c r="EN230" s="4"/>
      <c r="EO230" s="4"/>
      <c r="EP230" s="4"/>
      <c r="EQ230" s="4"/>
      <c r="ER230" s="4"/>
      <c r="ES230" s="4"/>
      <c r="ET230" s="4"/>
      <c r="EU230" s="4"/>
      <c r="EV230" s="4"/>
      <c r="EW230" s="4"/>
      <c r="EX230" s="4"/>
      <c r="EY230" s="4"/>
      <c r="EZ230" s="4"/>
      <c r="FA230" s="4"/>
      <c r="FB230" s="4"/>
      <c r="FC230" s="4"/>
      <c r="FD230" s="4"/>
      <c r="FE230" s="4"/>
      <c r="FF230" s="4"/>
      <c r="FG230" s="4"/>
      <c r="FH230" s="4"/>
      <c r="FI230" s="4"/>
      <c r="FJ230" s="4"/>
      <c r="FK230" s="4"/>
      <c r="FL230" s="4"/>
      <c r="FM230" s="4"/>
      <c r="FN230" s="4"/>
      <c r="FO230" s="4"/>
      <c r="FP230" s="4"/>
      <c r="FQ230" s="4"/>
      <c r="FR230" s="4"/>
      <c r="FS230" s="4"/>
      <c r="FT230" s="4"/>
      <c r="FU230" s="4"/>
      <c r="FV230" s="4"/>
      <c r="FW230" s="4"/>
      <c r="FX230" s="4"/>
      <c r="FY230" s="4"/>
      <c r="FZ230" s="4"/>
      <c r="GA230" s="4"/>
      <c r="GB230" s="4"/>
      <c r="GC230" s="4"/>
      <c r="GD230" s="4"/>
      <c r="GE230" s="4"/>
      <c r="GF230" s="4"/>
      <c r="GG230" s="4"/>
      <c r="GH230" s="4"/>
      <c r="GI230" s="4"/>
      <c r="GJ230" s="4"/>
      <c r="GK230" s="4"/>
      <c r="GL230" s="4"/>
      <c r="GM230" s="4"/>
      <c r="GN230" s="4"/>
      <c r="GO230" s="4"/>
      <c r="GP230" s="4"/>
      <c r="GQ230" s="4"/>
      <c r="GR230" s="4"/>
      <c r="GS230" s="4"/>
      <c r="GT230" s="4"/>
      <c r="GU230" s="4"/>
      <c r="GV230" s="4"/>
      <c r="GW230" s="4"/>
      <c r="GX230" s="4">
        <v>0</v>
      </c>
    </row>
    <row r="231" spans="1:255" ht="13.05" customHeight="1" x14ac:dyDescent="0.25"/>
    <row r="232" spans="1:255" ht="13.05" customHeight="1" x14ac:dyDescent="0.25">
      <c r="A232" s="5">
        <v>50</v>
      </c>
      <c r="B232" s="5">
        <v>1</v>
      </c>
      <c r="C232" s="5">
        <v>0</v>
      </c>
      <c r="D232" s="5">
        <v>1</v>
      </c>
      <c r="E232" s="5">
        <v>201</v>
      </c>
      <c r="F232" s="5">
        <f>ROUND(Source!O230,O232)</f>
        <v>8711.32</v>
      </c>
      <c r="G232" s="5" t="s">
        <v>104</v>
      </c>
      <c r="H232" s="5" t="s">
        <v>105</v>
      </c>
      <c r="I232" s="5"/>
      <c r="J232" s="5"/>
      <c r="K232" s="5">
        <v>201</v>
      </c>
      <c r="L232" s="5">
        <v>1</v>
      </c>
      <c r="M232" s="5">
        <v>0</v>
      </c>
      <c r="N232" s="5" t="s">
        <v>3</v>
      </c>
      <c r="O232" s="5">
        <v>2</v>
      </c>
      <c r="P232" s="5"/>
      <c r="Q232" s="5"/>
      <c r="R232" s="5"/>
      <c r="S232" s="5"/>
      <c r="T232" s="5"/>
      <c r="U232" s="5"/>
      <c r="V232" s="5"/>
      <c r="W232" s="5">
        <v>8711.32</v>
      </c>
      <c r="X232" s="5">
        <v>1</v>
      </c>
      <c r="Y232" s="5">
        <v>8711.32</v>
      </c>
      <c r="Z232" s="5"/>
      <c r="AA232" s="5"/>
      <c r="AB232" s="5"/>
    </row>
    <row r="233" spans="1:255" ht="13.05" customHeight="1" x14ac:dyDescent="0.25">
      <c r="A233" s="5">
        <v>50</v>
      </c>
      <c r="B233" s="5">
        <v>1</v>
      </c>
      <c r="C233" s="5">
        <v>0</v>
      </c>
      <c r="D233" s="5">
        <v>1</v>
      </c>
      <c r="E233" s="5">
        <v>202</v>
      </c>
      <c r="F233" s="5">
        <f>ROUND(Source!P230,O233)</f>
        <v>5694.72</v>
      </c>
      <c r="G233" s="5" t="s">
        <v>106</v>
      </c>
      <c r="H233" s="5" t="s">
        <v>107</v>
      </c>
      <c r="I233" s="5"/>
      <c r="J233" s="5"/>
      <c r="K233" s="5">
        <v>202</v>
      </c>
      <c r="L233" s="5">
        <v>2</v>
      </c>
      <c r="M233" s="5">
        <v>1</v>
      </c>
      <c r="N233" s="5" t="s">
        <v>3</v>
      </c>
      <c r="O233" s="5">
        <v>2</v>
      </c>
      <c r="P233" s="5"/>
      <c r="Q233" s="5"/>
      <c r="R233" s="5"/>
      <c r="S233" s="5"/>
      <c r="T233" s="5"/>
      <c r="U233" s="5"/>
      <c r="V233" s="5"/>
      <c r="W233" s="5">
        <v>5694.72</v>
      </c>
      <c r="X233" s="5">
        <v>1</v>
      </c>
      <c r="Y233" s="5">
        <v>5694.72</v>
      </c>
      <c r="Z233" s="5"/>
      <c r="AA233" s="5"/>
      <c r="AB233" s="5"/>
    </row>
    <row r="234" spans="1:255" ht="13.05" customHeight="1" x14ac:dyDescent="0.25">
      <c r="A234" s="5">
        <v>50</v>
      </c>
      <c r="B234" s="5">
        <v>0</v>
      </c>
      <c r="C234" s="5">
        <v>0</v>
      </c>
      <c r="D234" s="5">
        <v>1</v>
      </c>
      <c r="E234" s="5">
        <v>222</v>
      </c>
      <c r="F234" s="5">
        <f>ROUND(Source!AO230,O234)</f>
        <v>0</v>
      </c>
      <c r="G234" s="5" t="s">
        <v>108</v>
      </c>
      <c r="H234" s="5" t="s">
        <v>109</v>
      </c>
      <c r="I234" s="5"/>
      <c r="J234" s="5"/>
      <c r="K234" s="5">
        <v>222</v>
      </c>
      <c r="L234" s="5">
        <v>3</v>
      </c>
      <c r="M234" s="5">
        <v>3</v>
      </c>
      <c r="N234" s="5" t="s">
        <v>3</v>
      </c>
      <c r="O234" s="5">
        <v>2</v>
      </c>
      <c r="P234" s="5"/>
      <c r="Q234" s="5"/>
      <c r="R234" s="5"/>
      <c r="S234" s="5"/>
      <c r="T234" s="5"/>
      <c r="U234" s="5"/>
      <c r="V234" s="5"/>
      <c r="W234" s="5">
        <v>0</v>
      </c>
      <c r="X234" s="5">
        <v>1</v>
      </c>
      <c r="Y234" s="5">
        <v>0</v>
      </c>
      <c r="Z234" s="5"/>
      <c r="AA234" s="5"/>
      <c r="AB234" s="5"/>
    </row>
    <row r="235" spans="1:255" ht="13.05" customHeight="1" x14ac:dyDescent="0.25">
      <c r="A235" s="5">
        <v>50</v>
      </c>
      <c r="B235" s="5">
        <v>0</v>
      </c>
      <c r="C235" s="5">
        <v>0</v>
      </c>
      <c r="D235" s="5">
        <v>1</v>
      </c>
      <c r="E235" s="5">
        <v>225</v>
      </c>
      <c r="F235" s="5">
        <f>ROUND(Source!AV230,O235)</f>
        <v>5694.72</v>
      </c>
      <c r="G235" s="5" t="s">
        <v>110</v>
      </c>
      <c r="H235" s="5" t="s">
        <v>111</v>
      </c>
      <c r="I235" s="5"/>
      <c r="J235" s="5"/>
      <c r="K235" s="5">
        <v>225</v>
      </c>
      <c r="L235" s="5">
        <v>4</v>
      </c>
      <c r="M235" s="5">
        <v>3</v>
      </c>
      <c r="N235" s="5" t="s">
        <v>3</v>
      </c>
      <c r="O235" s="5">
        <v>2</v>
      </c>
      <c r="P235" s="5"/>
      <c r="Q235" s="5"/>
      <c r="R235" s="5"/>
      <c r="S235" s="5"/>
      <c r="T235" s="5"/>
      <c r="U235" s="5"/>
      <c r="V235" s="5"/>
      <c r="W235" s="5">
        <v>5694.72</v>
      </c>
      <c r="X235" s="5">
        <v>1</v>
      </c>
      <c r="Y235" s="5">
        <v>5694.72</v>
      </c>
      <c r="Z235" s="5"/>
      <c r="AA235" s="5"/>
      <c r="AB235" s="5"/>
    </row>
    <row r="236" spans="1:255" ht="13.05" customHeight="1" x14ac:dyDescent="0.25">
      <c r="A236" s="5">
        <v>50</v>
      </c>
      <c r="B236" s="5">
        <v>1</v>
      </c>
      <c r="C236" s="5">
        <v>0</v>
      </c>
      <c r="D236" s="5">
        <v>1</v>
      </c>
      <c r="E236" s="5">
        <v>226</v>
      </c>
      <c r="F236" s="5">
        <f>ROUND(Source!AW230,O236)</f>
        <v>5694.72</v>
      </c>
      <c r="G236" s="5" t="s">
        <v>112</v>
      </c>
      <c r="H236" s="5" t="s">
        <v>113</v>
      </c>
      <c r="I236" s="5"/>
      <c r="J236" s="5"/>
      <c r="K236" s="5">
        <v>226</v>
      </c>
      <c r="L236" s="5">
        <v>5</v>
      </c>
      <c r="M236" s="5">
        <v>1</v>
      </c>
      <c r="N236" s="5" t="s">
        <v>3</v>
      </c>
      <c r="O236" s="5">
        <v>2</v>
      </c>
      <c r="P236" s="5"/>
      <c r="Q236" s="5"/>
      <c r="R236" s="5"/>
      <c r="S236" s="5"/>
      <c r="T236" s="5"/>
      <c r="U236" s="5"/>
      <c r="V236" s="5"/>
      <c r="W236" s="5">
        <v>5694.72</v>
      </c>
      <c r="X236" s="5">
        <v>1</v>
      </c>
      <c r="Y236" s="5">
        <v>5694.72</v>
      </c>
      <c r="Z236" s="5"/>
      <c r="AA236" s="5"/>
      <c r="AB236" s="5"/>
    </row>
    <row r="237" spans="1:255" ht="13.05" customHeight="1" x14ac:dyDescent="0.25">
      <c r="A237" s="5">
        <v>50</v>
      </c>
      <c r="B237" s="5">
        <v>0</v>
      </c>
      <c r="C237" s="5">
        <v>0</v>
      </c>
      <c r="D237" s="5">
        <v>1</v>
      </c>
      <c r="E237" s="5">
        <v>227</v>
      </c>
      <c r="F237" s="5">
        <f>ROUND(Source!AX230,O237)</f>
        <v>0</v>
      </c>
      <c r="G237" s="5" t="s">
        <v>114</v>
      </c>
      <c r="H237" s="5" t="s">
        <v>115</v>
      </c>
      <c r="I237" s="5"/>
      <c r="J237" s="5"/>
      <c r="K237" s="5">
        <v>227</v>
      </c>
      <c r="L237" s="5">
        <v>6</v>
      </c>
      <c r="M237" s="5">
        <v>1</v>
      </c>
      <c r="N237" s="5" t="s">
        <v>3</v>
      </c>
      <c r="O237" s="5">
        <v>2</v>
      </c>
      <c r="P237" s="5"/>
      <c r="Q237" s="5"/>
      <c r="R237" s="5"/>
      <c r="S237" s="5"/>
      <c r="T237" s="5"/>
      <c r="U237" s="5"/>
      <c r="V237" s="5"/>
      <c r="W237" s="5">
        <v>0</v>
      </c>
      <c r="X237" s="5">
        <v>1</v>
      </c>
      <c r="Y237" s="5">
        <v>0</v>
      </c>
      <c r="Z237" s="5"/>
      <c r="AA237" s="5"/>
      <c r="AB237" s="5"/>
    </row>
    <row r="238" spans="1:255" ht="13.05" customHeight="1" x14ac:dyDescent="0.25">
      <c r="A238" s="5">
        <v>50</v>
      </c>
      <c r="B238" s="5">
        <v>0</v>
      </c>
      <c r="C238" s="5">
        <v>0</v>
      </c>
      <c r="D238" s="5">
        <v>1</v>
      </c>
      <c r="E238" s="5">
        <v>228</v>
      </c>
      <c r="F238" s="5">
        <f>ROUND(Source!AY230,O238)</f>
        <v>5694.72</v>
      </c>
      <c r="G238" s="5" t="s">
        <v>116</v>
      </c>
      <c r="H238" s="5" t="s">
        <v>117</v>
      </c>
      <c r="I238" s="5"/>
      <c r="J238" s="5"/>
      <c r="K238" s="5">
        <v>228</v>
      </c>
      <c r="L238" s="5">
        <v>7</v>
      </c>
      <c r="M238" s="5">
        <v>3</v>
      </c>
      <c r="N238" s="5" t="s">
        <v>3</v>
      </c>
      <c r="O238" s="5">
        <v>2</v>
      </c>
      <c r="P238" s="5"/>
      <c r="Q238" s="5"/>
      <c r="R238" s="5"/>
      <c r="S238" s="5"/>
      <c r="T238" s="5"/>
      <c r="U238" s="5"/>
      <c r="V238" s="5"/>
      <c r="W238" s="5">
        <v>5694.72</v>
      </c>
      <c r="X238" s="5">
        <v>1</v>
      </c>
      <c r="Y238" s="5">
        <v>5694.72</v>
      </c>
      <c r="Z238" s="5"/>
      <c r="AA238" s="5"/>
      <c r="AB238" s="5"/>
    </row>
    <row r="239" spans="1:255" ht="13.05" customHeight="1" x14ac:dyDescent="0.25">
      <c r="A239" s="5">
        <v>50</v>
      </c>
      <c r="B239" s="5">
        <v>0</v>
      </c>
      <c r="C239" s="5">
        <v>0</v>
      </c>
      <c r="D239" s="5">
        <v>1</v>
      </c>
      <c r="E239" s="5">
        <v>216</v>
      </c>
      <c r="F239" s="5">
        <f>ROUND(Source!AP230,O239)</f>
        <v>0</v>
      </c>
      <c r="G239" s="5" t="s">
        <v>118</v>
      </c>
      <c r="H239" s="5" t="s">
        <v>119</v>
      </c>
      <c r="I239" s="5"/>
      <c r="J239" s="5"/>
      <c r="K239" s="5">
        <v>216</v>
      </c>
      <c r="L239" s="5">
        <v>8</v>
      </c>
      <c r="M239" s="5">
        <v>1</v>
      </c>
      <c r="N239" s="5" t="s">
        <v>3</v>
      </c>
      <c r="O239" s="5">
        <v>2</v>
      </c>
      <c r="P239" s="5"/>
      <c r="Q239" s="5"/>
      <c r="R239" s="5"/>
      <c r="S239" s="5"/>
      <c r="T239" s="5"/>
      <c r="U239" s="5"/>
      <c r="V239" s="5"/>
      <c r="W239" s="5">
        <v>0</v>
      </c>
      <c r="X239" s="5">
        <v>1</v>
      </c>
      <c r="Y239" s="5">
        <v>0</v>
      </c>
      <c r="Z239" s="5"/>
      <c r="AA239" s="5"/>
      <c r="AB239" s="5"/>
    </row>
    <row r="240" spans="1:255" ht="13.05" customHeight="1" x14ac:dyDescent="0.25">
      <c r="A240" s="5">
        <v>50</v>
      </c>
      <c r="B240" s="5">
        <v>0</v>
      </c>
      <c r="C240" s="5">
        <v>0</v>
      </c>
      <c r="D240" s="5">
        <v>1</v>
      </c>
      <c r="E240" s="5">
        <v>223</v>
      </c>
      <c r="F240" s="5">
        <f>ROUND(Source!AQ230,O240)</f>
        <v>0</v>
      </c>
      <c r="G240" s="5" t="s">
        <v>120</v>
      </c>
      <c r="H240" s="5" t="s">
        <v>121</v>
      </c>
      <c r="I240" s="5"/>
      <c r="J240" s="5"/>
      <c r="K240" s="5">
        <v>223</v>
      </c>
      <c r="L240" s="5">
        <v>9</v>
      </c>
      <c r="M240" s="5">
        <v>1</v>
      </c>
      <c r="N240" s="5" t="s">
        <v>3</v>
      </c>
      <c r="O240" s="5">
        <v>2</v>
      </c>
      <c r="P240" s="5"/>
      <c r="Q240" s="5"/>
      <c r="R240" s="5"/>
      <c r="S240" s="5"/>
      <c r="T240" s="5"/>
      <c r="U240" s="5"/>
      <c r="V240" s="5"/>
      <c r="W240" s="5">
        <v>0</v>
      </c>
      <c r="X240" s="5">
        <v>1</v>
      </c>
      <c r="Y240" s="5">
        <v>0</v>
      </c>
      <c r="Z240" s="5"/>
      <c r="AA240" s="5"/>
      <c r="AB240" s="5"/>
    </row>
    <row r="241" spans="1:28" ht="13.05" customHeight="1" x14ac:dyDescent="0.25">
      <c r="A241" s="5">
        <v>50</v>
      </c>
      <c r="B241" s="5">
        <v>0</v>
      </c>
      <c r="C241" s="5">
        <v>0</v>
      </c>
      <c r="D241" s="5">
        <v>1</v>
      </c>
      <c r="E241" s="5">
        <v>229</v>
      </c>
      <c r="F241" s="5">
        <f>ROUND(Source!AZ230,O241)</f>
        <v>0</v>
      </c>
      <c r="G241" s="5" t="s">
        <v>122</v>
      </c>
      <c r="H241" s="5" t="s">
        <v>123</v>
      </c>
      <c r="I241" s="5"/>
      <c r="J241" s="5"/>
      <c r="K241" s="5">
        <v>229</v>
      </c>
      <c r="L241" s="5">
        <v>10</v>
      </c>
      <c r="M241" s="5">
        <v>3</v>
      </c>
      <c r="N241" s="5" t="s">
        <v>3</v>
      </c>
      <c r="O241" s="5">
        <v>2</v>
      </c>
      <c r="P241" s="5"/>
      <c r="Q241" s="5"/>
      <c r="R241" s="5"/>
      <c r="S241" s="5"/>
      <c r="T241" s="5"/>
      <c r="U241" s="5"/>
      <c r="V241" s="5"/>
      <c r="W241" s="5">
        <v>0</v>
      </c>
      <c r="X241" s="5">
        <v>1</v>
      </c>
      <c r="Y241" s="5">
        <v>0</v>
      </c>
      <c r="Z241" s="5"/>
      <c r="AA241" s="5"/>
      <c r="AB241" s="5"/>
    </row>
    <row r="242" spans="1:28" ht="13.05" customHeight="1" x14ac:dyDescent="0.25">
      <c r="A242" s="5">
        <v>50</v>
      </c>
      <c r="B242" s="5">
        <v>1</v>
      </c>
      <c r="C242" s="5">
        <v>0</v>
      </c>
      <c r="D242" s="5">
        <v>1</v>
      </c>
      <c r="E242" s="5">
        <v>203</v>
      </c>
      <c r="F242" s="5">
        <f>ROUND(Source!Q230,O242)</f>
        <v>19.809999999999999</v>
      </c>
      <c r="G242" s="5" t="s">
        <v>124</v>
      </c>
      <c r="H242" s="5" t="s">
        <v>125</v>
      </c>
      <c r="I242" s="5"/>
      <c r="J242" s="5"/>
      <c r="K242" s="5">
        <v>203</v>
      </c>
      <c r="L242" s="5">
        <v>11</v>
      </c>
      <c r="M242" s="5">
        <v>0</v>
      </c>
      <c r="N242" s="5" t="s">
        <v>3</v>
      </c>
      <c r="O242" s="5">
        <v>2</v>
      </c>
      <c r="P242" s="5"/>
      <c r="Q242" s="5"/>
      <c r="R242" s="5"/>
      <c r="S242" s="5"/>
      <c r="T242" s="5"/>
      <c r="U242" s="5"/>
      <c r="V242" s="5"/>
      <c r="W242" s="5">
        <v>19.810000000000002</v>
      </c>
      <c r="X242" s="5">
        <v>1</v>
      </c>
      <c r="Y242" s="5">
        <v>19.810000000000002</v>
      </c>
      <c r="Z242" s="5"/>
      <c r="AA242" s="5"/>
      <c r="AB242" s="5"/>
    </row>
    <row r="243" spans="1:28" ht="13.05" customHeight="1" x14ac:dyDescent="0.25">
      <c r="A243" s="5">
        <v>50</v>
      </c>
      <c r="B243" s="5">
        <v>0</v>
      </c>
      <c r="C243" s="5">
        <v>0</v>
      </c>
      <c r="D243" s="5">
        <v>1</v>
      </c>
      <c r="E243" s="5">
        <v>231</v>
      </c>
      <c r="F243" s="5">
        <f>ROUND(Source!BB230,O243)</f>
        <v>0</v>
      </c>
      <c r="G243" s="5" t="s">
        <v>126</v>
      </c>
      <c r="H243" s="5" t="s">
        <v>127</v>
      </c>
      <c r="I243" s="5"/>
      <c r="J243" s="5"/>
      <c r="K243" s="5">
        <v>231</v>
      </c>
      <c r="L243" s="5">
        <v>12</v>
      </c>
      <c r="M243" s="5">
        <v>3</v>
      </c>
      <c r="N243" s="5" t="s">
        <v>3</v>
      </c>
      <c r="O243" s="5">
        <v>2</v>
      </c>
      <c r="P243" s="5"/>
      <c r="Q243" s="5"/>
      <c r="R243" s="5"/>
      <c r="S243" s="5"/>
      <c r="T243" s="5"/>
      <c r="U243" s="5"/>
      <c r="V243" s="5"/>
      <c r="W243" s="5">
        <v>0</v>
      </c>
      <c r="X243" s="5">
        <v>1</v>
      </c>
      <c r="Y243" s="5">
        <v>0</v>
      </c>
      <c r="Z243" s="5"/>
      <c r="AA243" s="5"/>
      <c r="AB243" s="5"/>
    </row>
    <row r="244" spans="1:28" ht="13.05" customHeight="1" x14ac:dyDescent="0.25">
      <c r="A244" s="5">
        <v>50</v>
      </c>
      <c r="B244" s="5">
        <v>1</v>
      </c>
      <c r="C244" s="5">
        <v>0</v>
      </c>
      <c r="D244" s="5">
        <v>1</v>
      </c>
      <c r="E244" s="5">
        <v>204</v>
      </c>
      <c r="F244" s="5">
        <f>ROUND(Source!R230,O244)</f>
        <v>8.4600000000000009</v>
      </c>
      <c r="G244" s="5" t="s">
        <v>128</v>
      </c>
      <c r="H244" s="5" t="s">
        <v>129</v>
      </c>
      <c r="I244" s="5"/>
      <c r="J244" s="5"/>
      <c r="K244" s="5">
        <v>204</v>
      </c>
      <c r="L244" s="5">
        <v>13</v>
      </c>
      <c r="M244" s="5">
        <v>0</v>
      </c>
      <c r="N244" s="5" t="s">
        <v>3</v>
      </c>
      <c r="O244" s="5">
        <v>2</v>
      </c>
      <c r="P244" s="5"/>
      <c r="Q244" s="5"/>
      <c r="R244" s="5"/>
      <c r="S244" s="5"/>
      <c r="T244" s="5"/>
      <c r="U244" s="5"/>
      <c r="V244" s="5"/>
      <c r="W244" s="5">
        <v>8.4600000000000009</v>
      </c>
      <c r="X244" s="5">
        <v>1</v>
      </c>
      <c r="Y244" s="5">
        <v>8.4600000000000009</v>
      </c>
      <c r="Z244" s="5"/>
      <c r="AA244" s="5"/>
      <c r="AB244" s="5"/>
    </row>
    <row r="245" spans="1:28" ht="13.05" customHeight="1" x14ac:dyDescent="0.25">
      <c r="A245" s="5">
        <v>50</v>
      </c>
      <c r="B245" s="5">
        <v>1</v>
      </c>
      <c r="C245" s="5">
        <v>0</v>
      </c>
      <c r="D245" s="5">
        <v>1</v>
      </c>
      <c r="E245" s="5">
        <v>205</v>
      </c>
      <c r="F245" s="5">
        <f>ROUND(Source!S230,O245)</f>
        <v>2988.33</v>
      </c>
      <c r="G245" s="5" t="s">
        <v>130</v>
      </c>
      <c r="H245" s="5" t="s">
        <v>131</v>
      </c>
      <c r="I245" s="5"/>
      <c r="J245" s="5"/>
      <c r="K245" s="5">
        <v>205</v>
      </c>
      <c r="L245" s="5">
        <v>14</v>
      </c>
      <c r="M245" s="5">
        <v>0</v>
      </c>
      <c r="N245" s="5" t="s">
        <v>3</v>
      </c>
      <c r="O245" s="5">
        <v>2</v>
      </c>
      <c r="P245" s="5"/>
      <c r="Q245" s="5"/>
      <c r="R245" s="5"/>
      <c r="S245" s="5"/>
      <c r="T245" s="5"/>
      <c r="U245" s="5"/>
      <c r="V245" s="5"/>
      <c r="W245" s="5">
        <v>2988.33</v>
      </c>
      <c r="X245" s="5">
        <v>1</v>
      </c>
      <c r="Y245" s="5">
        <v>2988.33</v>
      </c>
      <c r="Z245" s="5"/>
      <c r="AA245" s="5"/>
      <c r="AB245" s="5"/>
    </row>
    <row r="246" spans="1:28" ht="13.05" customHeight="1" x14ac:dyDescent="0.25">
      <c r="A246" s="5">
        <v>50</v>
      </c>
      <c r="B246" s="5">
        <v>0</v>
      </c>
      <c r="C246" s="5">
        <v>0</v>
      </c>
      <c r="D246" s="5">
        <v>1</v>
      </c>
      <c r="E246" s="5">
        <v>232</v>
      </c>
      <c r="F246" s="5">
        <f>ROUND(Source!BC230,O246)</f>
        <v>0</v>
      </c>
      <c r="G246" s="5" t="s">
        <v>132</v>
      </c>
      <c r="H246" s="5" t="s">
        <v>133</v>
      </c>
      <c r="I246" s="5"/>
      <c r="J246" s="5"/>
      <c r="K246" s="5">
        <v>232</v>
      </c>
      <c r="L246" s="5">
        <v>15</v>
      </c>
      <c r="M246" s="5">
        <v>3</v>
      </c>
      <c r="N246" s="5" t="s">
        <v>3</v>
      </c>
      <c r="O246" s="5">
        <v>2</v>
      </c>
      <c r="P246" s="5"/>
      <c r="Q246" s="5"/>
      <c r="R246" s="5"/>
      <c r="S246" s="5"/>
      <c r="T246" s="5"/>
      <c r="U246" s="5"/>
      <c r="V246" s="5"/>
      <c r="W246" s="5">
        <v>0</v>
      </c>
      <c r="X246" s="5">
        <v>1</v>
      </c>
      <c r="Y246" s="5">
        <v>0</v>
      </c>
      <c r="Z246" s="5"/>
      <c r="AA246" s="5"/>
      <c r="AB246" s="5"/>
    </row>
    <row r="247" spans="1:28" ht="13.05" customHeight="1" x14ac:dyDescent="0.25">
      <c r="A247" s="5">
        <v>50</v>
      </c>
      <c r="B247" s="5">
        <v>0</v>
      </c>
      <c r="C247" s="5">
        <v>0</v>
      </c>
      <c r="D247" s="5">
        <v>1</v>
      </c>
      <c r="E247" s="5">
        <v>214</v>
      </c>
      <c r="F247" s="5">
        <f>ROUND(Source!AS230,O247)</f>
        <v>13955.71</v>
      </c>
      <c r="G247" s="5" t="s">
        <v>134</v>
      </c>
      <c r="H247" s="5" t="s">
        <v>135</v>
      </c>
      <c r="I247" s="5"/>
      <c r="J247" s="5"/>
      <c r="K247" s="5">
        <v>214</v>
      </c>
      <c r="L247" s="5">
        <v>16</v>
      </c>
      <c r="M247" s="5">
        <v>3</v>
      </c>
      <c r="N247" s="5" t="s">
        <v>3</v>
      </c>
      <c r="O247" s="5">
        <v>2</v>
      </c>
      <c r="P247" s="5"/>
      <c r="Q247" s="5"/>
      <c r="R247" s="5"/>
      <c r="S247" s="5"/>
      <c r="T247" s="5"/>
      <c r="U247" s="5"/>
      <c r="V247" s="5"/>
      <c r="W247" s="5">
        <v>13955.71</v>
      </c>
      <c r="X247" s="5">
        <v>1</v>
      </c>
      <c r="Y247" s="5">
        <v>13955.71</v>
      </c>
      <c r="Z247" s="5"/>
      <c r="AA247" s="5"/>
      <c r="AB247" s="5"/>
    </row>
    <row r="248" spans="1:28" ht="13.05" customHeight="1" x14ac:dyDescent="0.25">
      <c r="A248" s="5">
        <v>50</v>
      </c>
      <c r="B248" s="5">
        <v>0</v>
      </c>
      <c r="C248" s="5">
        <v>0</v>
      </c>
      <c r="D248" s="5">
        <v>1</v>
      </c>
      <c r="E248" s="5">
        <v>215</v>
      </c>
      <c r="F248" s="5">
        <f>ROUND(Source!AT230,O248)</f>
        <v>0</v>
      </c>
      <c r="G248" s="5" t="s">
        <v>136</v>
      </c>
      <c r="H248" s="5" t="s">
        <v>137</v>
      </c>
      <c r="I248" s="5"/>
      <c r="J248" s="5"/>
      <c r="K248" s="5">
        <v>215</v>
      </c>
      <c r="L248" s="5">
        <v>17</v>
      </c>
      <c r="M248" s="5">
        <v>3</v>
      </c>
      <c r="N248" s="5" t="s">
        <v>3</v>
      </c>
      <c r="O248" s="5">
        <v>2</v>
      </c>
      <c r="P248" s="5"/>
      <c r="Q248" s="5"/>
      <c r="R248" s="5"/>
      <c r="S248" s="5"/>
      <c r="T248" s="5"/>
      <c r="U248" s="5"/>
      <c r="V248" s="5"/>
      <c r="W248" s="5">
        <v>0</v>
      </c>
      <c r="X248" s="5">
        <v>1</v>
      </c>
      <c r="Y248" s="5">
        <v>0</v>
      </c>
      <c r="Z248" s="5"/>
      <c r="AA248" s="5"/>
      <c r="AB248" s="5"/>
    </row>
    <row r="249" spans="1:28" ht="13.05" customHeight="1" x14ac:dyDescent="0.25">
      <c r="A249" s="5">
        <v>50</v>
      </c>
      <c r="B249" s="5">
        <v>0</v>
      </c>
      <c r="C249" s="5">
        <v>0</v>
      </c>
      <c r="D249" s="5">
        <v>1</v>
      </c>
      <c r="E249" s="5">
        <v>217</v>
      </c>
      <c r="F249" s="5">
        <f>ROUND(Source!AU230,O249)</f>
        <v>0</v>
      </c>
      <c r="G249" s="5" t="s">
        <v>138</v>
      </c>
      <c r="H249" s="5" t="s">
        <v>139</v>
      </c>
      <c r="I249" s="5"/>
      <c r="J249" s="5"/>
      <c r="K249" s="5">
        <v>217</v>
      </c>
      <c r="L249" s="5">
        <v>18</v>
      </c>
      <c r="M249" s="5">
        <v>3</v>
      </c>
      <c r="N249" s="5" t="s">
        <v>3</v>
      </c>
      <c r="O249" s="5">
        <v>2</v>
      </c>
      <c r="P249" s="5"/>
      <c r="Q249" s="5"/>
      <c r="R249" s="5"/>
      <c r="S249" s="5"/>
      <c r="T249" s="5"/>
      <c r="U249" s="5"/>
      <c r="V249" s="5"/>
      <c r="W249" s="5">
        <v>0</v>
      </c>
      <c r="X249" s="5">
        <v>1</v>
      </c>
      <c r="Y249" s="5">
        <v>0</v>
      </c>
      <c r="Z249" s="5"/>
      <c r="AA249" s="5"/>
      <c r="AB249" s="5"/>
    </row>
    <row r="250" spans="1:28" ht="13.05" customHeight="1" x14ac:dyDescent="0.25">
      <c r="A250" s="5">
        <v>50</v>
      </c>
      <c r="B250" s="5">
        <v>0</v>
      </c>
      <c r="C250" s="5">
        <v>0</v>
      </c>
      <c r="D250" s="5">
        <v>1</v>
      </c>
      <c r="E250" s="5">
        <v>230</v>
      </c>
      <c r="F250" s="5">
        <f>ROUND(Source!BA230,O250)</f>
        <v>0</v>
      </c>
      <c r="G250" s="5" t="s">
        <v>140</v>
      </c>
      <c r="H250" s="5" t="s">
        <v>141</v>
      </c>
      <c r="I250" s="5"/>
      <c r="J250" s="5"/>
      <c r="K250" s="5">
        <v>230</v>
      </c>
      <c r="L250" s="5">
        <v>19</v>
      </c>
      <c r="M250" s="5">
        <v>3</v>
      </c>
      <c r="N250" s="5" t="s">
        <v>3</v>
      </c>
      <c r="O250" s="5">
        <v>2</v>
      </c>
      <c r="P250" s="5"/>
      <c r="Q250" s="5"/>
      <c r="R250" s="5"/>
      <c r="S250" s="5"/>
      <c r="T250" s="5"/>
      <c r="U250" s="5"/>
      <c r="V250" s="5"/>
      <c r="W250" s="5">
        <v>0</v>
      </c>
      <c r="X250" s="5">
        <v>1</v>
      </c>
      <c r="Y250" s="5">
        <v>0</v>
      </c>
      <c r="Z250" s="5"/>
      <c r="AA250" s="5"/>
      <c r="AB250" s="5"/>
    </row>
    <row r="251" spans="1:28" ht="13.05" customHeight="1" x14ac:dyDescent="0.25">
      <c r="A251" s="5">
        <v>50</v>
      </c>
      <c r="B251" s="5">
        <v>0</v>
      </c>
      <c r="C251" s="5">
        <v>0</v>
      </c>
      <c r="D251" s="5">
        <v>1</v>
      </c>
      <c r="E251" s="5">
        <v>206</v>
      </c>
      <c r="F251" s="5">
        <f>ROUND(Source!T230,O251)</f>
        <v>0</v>
      </c>
      <c r="G251" s="5" t="s">
        <v>142</v>
      </c>
      <c r="H251" s="5" t="s">
        <v>143</v>
      </c>
      <c r="I251" s="5"/>
      <c r="J251" s="5"/>
      <c r="K251" s="5">
        <v>206</v>
      </c>
      <c r="L251" s="5">
        <v>20</v>
      </c>
      <c r="M251" s="5">
        <v>1</v>
      </c>
      <c r="N251" s="5" t="s">
        <v>3</v>
      </c>
      <c r="O251" s="5">
        <v>2</v>
      </c>
      <c r="P251" s="5"/>
      <c r="Q251" s="5"/>
      <c r="R251" s="5"/>
      <c r="S251" s="5"/>
      <c r="T251" s="5"/>
      <c r="U251" s="5"/>
      <c r="V251" s="5"/>
      <c r="W251" s="5">
        <v>0</v>
      </c>
      <c r="X251" s="5">
        <v>1</v>
      </c>
      <c r="Y251" s="5">
        <v>0</v>
      </c>
      <c r="Z251" s="5"/>
      <c r="AA251" s="5"/>
      <c r="AB251" s="5"/>
    </row>
    <row r="252" spans="1:28" ht="13.05" customHeight="1" x14ac:dyDescent="0.25">
      <c r="A252" s="5">
        <v>50</v>
      </c>
      <c r="B252" s="5">
        <v>1</v>
      </c>
      <c r="C252" s="5">
        <v>0</v>
      </c>
      <c r="D252" s="5">
        <v>1</v>
      </c>
      <c r="E252" s="5">
        <v>207</v>
      </c>
      <c r="F252" s="5">
        <f>ROUND(Source!U230,O252)</f>
        <v>9.8026</v>
      </c>
      <c r="G252" s="5" t="s">
        <v>144</v>
      </c>
      <c r="H252" s="5" t="s">
        <v>145</v>
      </c>
      <c r="I252" s="5"/>
      <c r="J252" s="5"/>
      <c r="K252" s="5">
        <v>207</v>
      </c>
      <c r="L252" s="5">
        <v>21</v>
      </c>
      <c r="M252" s="5">
        <v>0</v>
      </c>
      <c r="N252" s="5" t="s">
        <v>3</v>
      </c>
      <c r="O252" s="5">
        <v>7</v>
      </c>
      <c r="P252" s="5"/>
      <c r="Q252" s="5"/>
      <c r="R252" s="5"/>
      <c r="S252" s="5"/>
      <c r="T252" s="5"/>
      <c r="U252" s="5"/>
      <c r="V252" s="5"/>
      <c r="W252" s="5">
        <v>9.8026</v>
      </c>
      <c r="X252" s="5">
        <v>1</v>
      </c>
      <c r="Y252" s="5">
        <v>9.8026</v>
      </c>
      <c r="Z252" s="5"/>
      <c r="AA252" s="5"/>
      <c r="AB252" s="5"/>
    </row>
    <row r="253" spans="1:28" ht="13.05" customHeight="1" x14ac:dyDescent="0.25">
      <c r="A253" s="5">
        <v>50</v>
      </c>
      <c r="B253" s="5">
        <v>1</v>
      </c>
      <c r="C253" s="5">
        <v>0</v>
      </c>
      <c r="D253" s="5">
        <v>1</v>
      </c>
      <c r="E253" s="5">
        <v>208</v>
      </c>
      <c r="F253" s="5">
        <f>ROUND(Source!V230,O253)</f>
        <v>2.3E-2</v>
      </c>
      <c r="G253" s="5" t="s">
        <v>146</v>
      </c>
      <c r="H253" s="5" t="s">
        <v>147</v>
      </c>
      <c r="I253" s="5"/>
      <c r="J253" s="5"/>
      <c r="K253" s="5">
        <v>208</v>
      </c>
      <c r="L253" s="5">
        <v>22</v>
      </c>
      <c r="M253" s="5">
        <v>0</v>
      </c>
      <c r="N253" s="5" t="s">
        <v>3</v>
      </c>
      <c r="O253" s="5">
        <v>7</v>
      </c>
      <c r="P253" s="5"/>
      <c r="Q253" s="5"/>
      <c r="R253" s="5"/>
      <c r="S253" s="5"/>
      <c r="T253" s="5"/>
      <c r="U253" s="5"/>
      <c r="V253" s="5"/>
      <c r="W253" s="5">
        <v>2.3E-2</v>
      </c>
      <c r="X253" s="5">
        <v>1</v>
      </c>
      <c r="Y253" s="5">
        <v>2.3E-2</v>
      </c>
      <c r="Z253" s="5"/>
      <c r="AA253" s="5"/>
      <c r="AB253" s="5"/>
    </row>
    <row r="254" spans="1:28" ht="13.05" customHeight="1" x14ac:dyDescent="0.25">
      <c r="A254" s="5">
        <v>50</v>
      </c>
      <c r="B254" s="5">
        <v>0</v>
      </c>
      <c r="C254" s="5">
        <v>0</v>
      </c>
      <c r="D254" s="5">
        <v>1</v>
      </c>
      <c r="E254" s="5">
        <v>209</v>
      </c>
      <c r="F254" s="5">
        <f>ROUND(Source!W230,O254)</f>
        <v>0</v>
      </c>
      <c r="G254" s="5" t="s">
        <v>148</v>
      </c>
      <c r="H254" s="5" t="s">
        <v>149</v>
      </c>
      <c r="I254" s="5"/>
      <c r="J254" s="5"/>
      <c r="K254" s="5">
        <v>209</v>
      </c>
      <c r="L254" s="5">
        <v>23</v>
      </c>
      <c r="M254" s="5">
        <v>3</v>
      </c>
      <c r="N254" s="5" t="s">
        <v>3</v>
      </c>
      <c r="O254" s="5">
        <v>2</v>
      </c>
      <c r="P254" s="5"/>
      <c r="Q254" s="5"/>
      <c r="R254" s="5"/>
      <c r="S254" s="5"/>
      <c r="T254" s="5"/>
      <c r="U254" s="5"/>
      <c r="V254" s="5"/>
      <c r="W254" s="5">
        <v>0</v>
      </c>
      <c r="X254" s="5">
        <v>1</v>
      </c>
      <c r="Y254" s="5">
        <v>0</v>
      </c>
      <c r="Z254" s="5"/>
      <c r="AA254" s="5"/>
      <c r="AB254" s="5"/>
    </row>
    <row r="255" spans="1:28" ht="13.05" customHeight="1" x14ac:dyDescent="0.25">
      <c r="A255" s="5">
        <v>50</v>
      </c>
      <c r="B255" s="5">
        <v>0</v>
      </c>
      <c r="C255" s="5">
        <v>0</v>
      </c>
      <c r="D255" s="5">
        <v>1</v>
      </c>
      <c r="E255" s="5">
        <v>233</v>
      </c>
      <c r="F255" s="5">
        <f>ROUND(Source!BD230,O255)</f>
        <v>0</v>
      </c>
      <c r="G255" s="5" t="s">
        <v>150</v>
      </c>
      <c r="H255" s="5" t="s">
        <v>151</v>
      </c>
      <c r="I255" s="5"/>
      <c r="J255" s="5"/>
      <c r="K255" s="5">
        <v>233</v>
      </c>
      <c r="L255" s="5">
        <v>24</v>
      </c>
      <c r="M255" s="5">
        <v>1</v>
      </c>
      <c r="N255" s="5" t="s">
        <v>3</v>
      </c>
      <c r="O255" s="5">
        <v>2</v>
      </c>
      <c r="P255" s="5"/>
      <c r="Q255" s="5"/>
      <c r="R255" s="5"/>
      <c r="S255" s="5"/>
      <c r="T255" s="5"/>
      <c r="U255" s="5"/>
      <c r="V255" s="5"/>
      <c r="W255" s="5">
        <v>0</v>
      </c>
      <c r="X255" s="5">
        <v>1</v>
      </c>
      <c r="Y255" s="5">
        <v>0</v>
      </c>
      <c r="Z255" s="5"/>
      <c r="AA255" s="5"/>
      <c r="AB255" s="5"/>
    </row>
    <row r="256" spans="1:28" ht="13.05" customHeight="1" x14ac:dyDescent="0.25">
      <c r="A256" s="5">
        <v>50</v>
      </c>
      <c r="B256" s="5">
        <v>1</v>
      </c>
      <c r="C256" s="5">
        <v>0</v>
      </c>
      <c r="D256" s="5">
        <v>1</v>
      </c>
      <c r="E256" s="5">
        <v>210</v>
      </c>
      <c r="F256" s="5">
        <f>ROUND(Source!X230,O256)</f>
        <v>3086.7</v>
      </c>
      <c r="G256" s="5" t="s">
        <v>152</v>
      </c>
      <c r="H256" s="5" t="s">
        <v>153</v>
      </c>
      <c r="I256" s="5"/>
      <c r="J256" s="5"/>
      <c r="K256" s="5">
        <v>210</v>
      </c>
      <c r="L256" s="5">
        <v>25</v>
      </c>
      <c r="M256" s="5">
        <v>0</v>
      </c>
      <c r="N256" s="5" t="s">
        <v>3</v>
      </c>
      <c r="O256" s="5">
        <v>2</v>
      </c>
      <c r="P256" s="5"/>
      <c r="Q256" s="5"/>
      <c r="R256" s="5"/>
      <c r="S256" s="5"/>
      <c r="T256" s="5"/>
      <c r="U256" s="5"/>
      <c r="V256" s="5"/>
      <c r="W256" s="5">
        <v>3086.7</v>
      </c>
      <c r="X256" s="5">
        <v>1</v>
      </c>
      <c r="Y256" s="5">
        <v>3086.7</v>
      </c>
      <c r="Z256" s="5"/>
      <c r="AA256" s="5"/>
      <c r="AB256" s="5"/>
    </row>
    <row r="257" spans="1:206" ht="13.05" customHeight="1" x14ac:dyDescent="0.25">
      <c r="A257" s="5">
        <v>50</v>
      </c>
      <c r="B257" s="5">
        <v>1</v>
      </c>
      <c r="C257" s="5">
        <v>0</v>
      </c>
      <c r="D257" s="5">
        <v>1</v>
      </c>
      <c r="E257" s="5">
        <v>211</v>
      </c>
      <c r="F257" s="5">
        <f>ROUND(Source!Y230,O257)</f>
        <v>2157.69</v>
      </c>
      <c r="G257" s="5" t="s">
        <v>154</v>
      </c>
      <c r="H257" s="5" t="s">
        <v>155</v>
      </c>
      <c r="I257" s="5"/>
      <c r="J257" s="5"/>
      <c r="K257" s="5">
        <v>211</v>
      </c>
      <c r="L257" s="5">
        <v>26</v>
      </c>
      <c r="M257" s="5">
        <v>0</v>
      </c>
      <c r="N257" s="5" t="s">
        <v>3</v>
      </c>
      <c r="O257" s="5">
        <v>2</v>
      </c>
      <c r="P257" s="5"/>
      <c r="Q257" s="5"/>
      <c r="R257" s="5"/>
      <c r="S257" s="5"/>
      <c r="T257" s="5"/>
      <c r="U257" s="5"/>
      <c r="V257" s="5"/>
      <c r="W257" s="5">
        <v>2157.69</v>
      </c>
      <c r="X257" s="5">
        <v>1</v>
      </c>
      <c r="Y257" s="5">
        <v>2157.69</v>
      </c>
      <c r="Z257" s="5"/>
      <c r="AA257" s="5"/>
      <c r="AB257" s="5"/>
    </row>
    <row r="258" spans="1:206" ht="13.05" customHeight="1" x14ac:dyDescent="0.25">
      <c r="A258" s="5">
        <v>50</v>
      </c>
      <c r="B258" s="5">
        <v>1</v>
      </c>
      <c r="C258" s="5">
        <v>0</v>
      </c>
      <c r="D258" s="5">
        <v>1</v>
      </c>
      <c r="E258" s="5">
        <v>224</v>
      </c>
      <c r="F258" s="5">
        <f>ROUND(Source!AR230,O258)</f>
        <v>13955.71</v>
      </c>
      <c r="G258" s="5" t="s">
        <v>156</v>
      </c>
      <c r="H258" s="5" t="s">
        <v>157</v>
      </c>
      <c r="I258" s="5"/>
      <c r="J258" s="5"/>
      <c r="K258" s="5">
        <v>224</v>
      </c>
      <c r="L258" s="5">
        <v>27</v>
      </c>
      <c r="M258" s="5">
        <v>0</v>
      </c>
      <c r="N258" s="5" t="s">
        <v>3</v>
      </c>
      <c r="O258" s="5">
        <v>2</v>
      </c>
      <c r="P258" s="5"/>
      <c r="Q258" s="5"/>
      <c r="R258" s="5"/>
      <c r="S258" s="5"/>
      <c r="T258" s="5"/>
      <c r="U258" s="5"/>
      <c r="V258" s="5"/>
      <c r="W258" s="5">
        <v>13955.71</v>
      </c>
      <c r="X258" s="5">
        <v>1</v>
      </c>
      <c r="Y258" s="5">
        <v>13955.71</v>
      </c>
      <c r="Z258" s="5"/>
      <c r="AA258" s="5"/>
      <c r="AB258" s="5"/>
    </row>
    <row r="259" spans="1:206" ht="13.05" customHeight="1" x14ac:dyDescent="0.25">
      <c r="A259" s="5">
        <v>50</v>
      </c>
      <c r="B259" s="5">
        <v>1</v>
      </c>
      <c r="C259" s="5">
        <v>0</v>
      </c>
      <c r="D259" s="5">
        <v>2</v>
      </c>
      <c r="E259" s="5">
        <v>0</v>
      </c>
      <c r="F259" s="5">
        <f>ROUND(F258*0.22,O259)</f>
        <v>3070.26</v>
      </c>
      <c r="G259" s="5" t="s">
        <v>158</v>
      </c>
      <c r="H259" s="5" t="s">
        <v>158</v>
      </c>
      <c r="I259" s="5"/>
      <c r="J259" s="5"/>
      <c r="K259" s="5">
        <v>212</v>
      </c>
      <c r="L259" s="5">
        <v>28</v>
      </c>
      <c r="M259" s="5">
        <v>0</v>
      </c>
      <c r="N259" s="5" t="s">
        <v>3</v>
      </c>
      <c r="O259" s="5">
        <v>2</v>
      </c>
      <c r="P259" s="5"/>
      <c r="Q259" s="5"/>
      <c r="R259" s="5"/>
      <c r="S259" s="5"/>
      <c r="T259" s="5"/>
      <c r="U259" s="5"/>
      <c r="V259" s="5"/>
      <c r="W259" s="5">
        <v>3070.26</v>
      </c>
      <c r="X259" s="5">
        <v>1</v>
      </c>
      <c r="Y259" s="5">
        <v>3070.26</v>
      </c>
      <c r="Z259" s="5"/>
      <c r="AA259" s="5"/>
      <c r="AB259" s="5"/>
    </row>
    <row r="260" spans="1:206" ht="13.05" customHeight="1" x14ac:dyDescent="0.25">
      <c r="A260" s="5">
        <v>50</v>
      </c>
      <c r="B260" s="5">
        <v>1</v>
      </c>
      <c r="C260" s="5">
        <v>0</v>
      </c>
      <c r="D260" s="5">
        <v>2</v>
      </c>
      <c r="E260" s="5">
        <v>0</v>
      </c>
      <c r="F260" s="5">
        <f>ROUND(F258*1.22,O260)</f>
        <v>17025.97</v>
      </c>
      <c r="G260" s="5" t="s">
        <v>159</v>
      </c>
      <c r="H260" s="5" t="s">
        <v>159</v>
      </c>
      <c r="I260" s="5"/>
      <c r="J260" s="5"/>
      <c r="K260" s="5">
        <v>212</v>
      </c>
      <c r="L260" s="5">
        <v>29</v>
      </c>
      <c r="M260" s="5">
        <v>0</v>
      </c>
      <c r="N260" s="5" t="s">
        <v>3</v>
      </c>
      <c r="O260" s="5">
        <v>2</v>
      </c>
      <c r="P260" s="5"/>
      <c r="Q260" s="5"/>
      <c r="R260" s="5"/>
      <c r="S260" s="5"/>
      <c r="T260" s="5"/>
      <c r="U260" s="5"/>
      <c r="V260" s="5"/>
      <c r="W260" s="5">
        <v>17025.97</v>
      </c>
      <c r="X260" s="5">
        <v>1</v>
      </c>
      <c r="Y260" s="5">
        <v>17025.97</v>
      </c>
      <c r="Z260" s="5"/>
      <c r="AA260" s="5"/>
      <c r="AB260" s="5"/>
    </row>
    <row r="261" spans="1:206" ht="13.05" customHeight="1" x14ac:dyDescent="0.25"/>
    <row r="262" spans="1:206" ht="13.05" customHeight="1" x14ac:dyDescent="0.25">
      <c r="A262" s="3">
        <v>51</v>
      </c>
      <c r="B262" s="3">
        <f>B20</f>
        <v>1</v>
      </c>
      <c r="C262" s="3">
        <f>A20</f>
        <v>3</v>
      </c>
      <c r="D262" s="3">
        <f>ROW(A20)</f>
        <v>20</v>
      </c>
      <c r="E262" s="3"/>
      <c r="F262" s="3" t="str">
        <f>IF(F20&lt;&gt;"",F20,"")</f>
        <v>Новая локальная смета</v>
      </c>
      <c r="G262" s="3" t="str">
        <f>IF(G20&lt;&gt;"",G20,"")</f>
        <v>Аварийный ремонт систмы теплоснабжения и ГВС к общежитию ФГБОУ «Рязанский государственный агротехнологический университет имени П.А. Костычева»</v>
      </c>
      <c r="H262" s="3">
        <v>0</v>
      </c>
      <c r="I262" s="3"/>
      <c r="J262" s="3"/>
      <c r="K262" s="3"/>
      <c r="L262" s="3"/>
      <c r="M262" s="3"/>
      <c r="N262" s="3"/>
      <c r="O262" s="3">
        <f t="shared" ref="O262:T262" si="88">ROUND(O51+O106+O188+O230+AB262,2)</f>
        <v>227644.87</v>
      </c>
      <c r="P262" s="3">
        <f t="shared" si="88"/>
        <v>69684.17</v>
      </c>
      <c r="Q262" s="3">
        <f t="shared" si="88"/>
        <v>29754.47</v>
      </c>
      <c r="R262" s="3">
        <f t="shared" si="88"/>
        <v>10155.61</v>
      </c>
      <c r="S262" s="3">
        <f t="shared" si="88"/>
        <v>118050.62</v>
      </c>
      <c r="T262" s="3">
        <f t="shared" si="88"/>
        <v>0</v>
      </c>
      <c r="U262" s="3">
        <f>U51+U106+U188+U230+AH262</f>
        <v>345.98412399999995</v>
      </c>
      <c r="V262" s="3">
        <f>V51+V106+V188+V230+AI262</f>
        <v>24.553015800000001</v>
      </c>
      <c r="W262" s="3">
        <f>ROUND(W51+W106+W188+W230+AJ262,2)</f>
        <v>0</v>
      </c>
      <c r="X262" s="3">
        <f>ROUND(X51+X106+X188+X230+AK262,2)</f>
        <v>128707.19</v>
      </c>
      <c r="Y262" s="3">
        <f>ROUND(Y51+Y106+Y188+Y230+AL262,2)</f>
        <v>72131.88</v>
      </c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>
        <f t="shared" ref="AO262:BD262" si="89">ROUND(AO51+AO106+AO188+AO230+BX262,2)</f>
        <v>0</v>
      </c>
      <c r="AP262" s="3">
        <f t="shared" si="89"/>
        <v>0</v>
      </c>
      <c r="AQ262" s="3">
        <f t="shared" si="89"/>
        <v>0</v>
      </c>
      <c r="AR262" s="3">
        <f t="shared" si="89"/>
        <v>491721.49</v>
      </c>
      <c r="AS262" s="3">
        <f t="shared" si="89"/>
        <v>454034.8</v>
      </c>
      <c r="AT262" s="3">
        <f t="shared" si="89"/>
        <v>37686.69</v>
      </c>
      <c r="AU262" s="3">
        <f t="shared" si="89"/>
        <v>0</v>
      </c>
      <c r="AV262" s="3">
        <f t="shared" si="89"/>
        <v>69684.17</v>
      </c>
      <c r="AW262" s="3">
        <f t="shared" si="89"/>
        <v>69684.17</v>
      </c>
      <c r="AX262" s="3">
        <f t="shared" si="89"/>
        <v>0</v>
      </c>
      <c r="AY262" s="3">
        <f t="shared" si="89"/>
        <v>69684.17</v>
      </c>
      <c r="AZ262" s="3">
        <f t="shared" si="89"/>
        <v>0</v>
      </c>
      <c r="BA262" s="3">
        <f t="shared" si="89"/>
        <v>0</v>
      </c>
      <c r="BB262" s="3">
        <f t="shared" si="89"/>
        <v>0</v>
      </c>
      <c r="BC262" s="3">
        <f t="shared" si="89"/>
        <v>0</v>
      </c>
      <c r="BD262" s="3">
        <f t="shared" si="89"/>
        <v>63237.55</v>
      </c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3"/>
      <c r="DC262" s="3"/>
      <c r="DD262" s="3"/>
      <c r="DE262" s="3"/>
      <c r="DF262" s="3"/>
      <c r="DG262" s="4"/>
      <c r="DH262" s="4"/>
      <c r="DI262" s="4"/>
      <c r="DJ262" s="4"/>
      <c r="DK262" s="4"/>
      <c r="DL262" s="4"/>
      <c r="DM262" s="4"/>
      <c r="DN262" s="4"/>
      <c r="DO262" s="4"/>
      <c r="DP262" s="4"/>
      <c r="DQ262" s="4"/>
      <c r="DR262" s="4"/>
      <c r="DS262" s="4"/>
      <c r="DT262" s="4"/>
      <c r="DU262" s="4"/>
      <c r="DV262" s="4"/>
      <c r="DW262" s="4"/>
      <c r="DX262" s="4"/>
      <c r="DY262" s="4"/>
      <c r="DZ262" s="4"/>
      <c r="EA262" s="4"/>
      <c r="EB262" s="4"/>
      <c r="EC262" s="4"/>
      <c r="ED262" s="4"/>
      <c r="EE262" s="4"/>
      <c r="EF262" s="4"/>
      <c r="EG262" s="4"/>
      <c r="EH262" s="4"/>
      <c r="EI262" s="4"/>
      <c r="EJ262" s="4"/>
      <c r="EK262" s="4"/>
      <c r="EL262" s="4"/>
      <c r="EM262" s="4"/>
      <c r="EN262" s="4"/>
      <c r="EO262" s="4"/>
      <c r="EP262" s="4"/>
      <c r="EQ262" s="4"/>
      <c r="ER262" s="4"/>
      <c r="ES262" s="4"/>
      <c r="ET262" s="4"/>
      <c r="EU262" s="4"/>
      <c r="EV262" s="4"/>
      <c r="EW262" s="4"/>
      <c r="EX262" s="4"/>
      <c r="EY262" s="4"/>
      <c r="EZ262" s="4"/>
      <c r="FA262" s="4"/>
      <c r="FB262" s="4"/>
      <c r="FC262" s="4"/>
      <c r="FD262" s="4"/>
      <c r="FE262" s="4"/>
      <c r="FF262" s="4"/>
      <c r="FG262" s="4"/>
      <c r="FH262" s="4"/>
      <c r="FI262" s="4"/>
      <c r="FJ262" s="4"/>
      <c r="FK262" s="4"/>
      <c r="FL262" s="4"/>
      <c r="FM262" s="4"/>
      <c r="FN262" s="4"/>
      <c r="FO262" s="4"/>
      <c r="FP262" s="4"/>
      <c r="FQ262" s="4"/>
      <c r="FR262" s="4"/>
      <c r="FS262" s="4"/>
      <c r="FT262" s="4"/>
      <c r="FU262" s="4"/>
      <c r="FV262" s="4"/>
      <c r="FW262" s="4"/>
      <c r="FX262" s="4"/>
      <c r="FY262" s="4"/>
      <c r="FZ262" s="4"/>
      <c r="GA262" s="4"/>
      <c r="GB262" s="4"/>
      <c r="GC262" s="4"/>
      <c r="GD262" s="4"/>
      <c r="GE262" s="4"/>
      <c r="GF262" s="4"/>
      <c r="GG262" s="4"/>
      <c r="GH262" s="4"/>
      <c r="GI262" s="4"/>
      <c r="GJ262" s="4"/>
      <c r="GK262" s="4"/>
      <c r="GL262" s="4"/>
      <c r="GM262" s="4"/>
      <c r="GN262" s="4"/>
      <c r="GO262" s="4"/>
      <c r="GP262" s="4"/>
      <c r="GQ262" s="4"/>
      <c r="GR262" s="4"/>
      <c r="GS262" s="4"/>
      <c r="GT262" s="4"/>
      <c r="GU262" s="4"/>
      <c r="GV262" s="4"/>
      <c r="GW262" s="4"/>
      <c r="GX262" s="4">
        <v>0</v>
      </c>
    </row>
    <row r="263" spans="1:206" ht="13.05" customHeight="1" x14ac:dyDescent="0.25"/>
    <row r="264" spans="1:206" ht="13.05" customHeight="1" x14ac:dyDescent="0.25">
      <c r="A264" s="5">
        <v>50</v>
      </c>
      <c r="B264" s="5">
        <v>1</v>
      </c>
      <c r="C264" s="5">
        <v>0</v>
      </c>
      <c r="D264" s="5">
        <v>1</v>
      </c>
      <c r="E264" s="5">
        <v>201</v>
      </c>
      <c r="F264" s="5">
        <f>ROUND(Source!O262,O264)</f>
        <v>227644.87</v>
      </c>
      <c r="G264" s="5" t="s">
        <v>104</v>
      </c>
      <c r="H264" s="5" t="s">
        <v>105</v>
      </c>
      <c r="I264" s="5"/>
      <c r="J264" s="5"/>
      <c r="K264" s="5">
        <v>201</v>
      </c>
      <c r="L264" s="5">
        <v>1</v>
      </c>
      <c r="M264" s="5">
        <v>0</v>
      </c>
      <c r="N264" s="5" t="s">
        <v>3</v>
      </c>
      <c r="O264" s="5">
        <v>2</v>
      </c>
      <c r="P264" s="5"/>
      <c r="Q264" s="5"/>
      <c r="R264" s="5"/>
      <c r="S264" s="5"/>
      <c r="T264" s="5"/>
      <c r="U264" s="5"/>
      <c r="V264" s="5"/>
      <c r="W264" s="5">
        <v>290882.42</v>
      </c>
      <c r="X264" s="5">
        <v>1</v>
      </c>
      <c r="Y264" s="5">
        <v>290882.42</v>
      </c>
      <c r="Z264" s="5"/>
      <c r="AA264" s="5"/>
      <c r="AB264" s="5"/>
    </row>
    <row r="265" spans="1:206" ht="13.05" customHeight="1" x14ac:dyDescent="0.25">
      <c r="A265" s="5">
        <v>50</v>
      </c>
      <c r="B265" s="5">
        <v>1</v>
      </c>
      <c r="C265" s="5">
        <v>0</v>
      </c>
      <c r="D265" s="5">
        <v>1</v>
      </c>
      <c r="E265" s="5">
        <v>202</v>
      </c>
      <c r="F265" s="5">
        <f>ROUND(Source!P262,O265)</f>
        <v>69684.17</v>
      </c>
      <c r="G265" s="5" t="s">
        <v>106</v>
      </c>
      <c r="H265" s="5" t="s">
        <v>107</v>
      </c>
      <c r="I265" s="5"/>
      <c r="J265" s="5"/>
      <c r="K265" s="5">
        <v>202</v>
      </c>
      <c r="L265" s="5">
        <v>2</v>
      </c>
      <c r="M265" s="5">
        <v>1</v>
      </c>
      <c r="N265" s="5" t="s">
        <v>3</v>
      </c>
      <c r="O265" s="5">
        <v>2</v>
      </c>
      <c r="P265" s="5"/>
      <c r="Q265" s="5"/>
      <c r="R265" s="5"/>
      <c r="S265" s="5"/>
      <c r="T265" s="5"/>
      <c r="U265" s="5"/>
      <c r="V265" s="5"/>
      <c r="W265" s="5">
        <v>69684.17</v>
      </c>
      <c r="X265" s="5">
        <v>1</v>
      </c>
      <c r="Y265" s="5">
        <v>69684.17</v>
      </c>
      <c r="Z265" s="5"/>
      <c r="AA265" s="5"/>
      <c r="AB265" s="5"/>
    </row>
    <row r="266" spans="1:206" ht="13.05" customHeight="1" x14ac:dyDescent="0.25">
      <c r="A266" s="5">
        <v>50</v>
      </c>
      <c r="B266" s="5">
        <v>0</v>
      </c>
      <c r="C266" s="5">
        <v>0</v>
      </c>
      <c r="D266" s="5">
        <v>1</v>
      </c>
      <c r="E266" s="5">
        <v>222</v>
      </c>
      <c r="F266" s="5">
        <f>ROUND(Source!AO262,O266)</f>
        <v>0</v>
      </c>
      <c r="G266" s="5" t="s">
        <v>108</v>
      </c>
      <c r="H266" s="5" t="s">
        <v>109</v>
      </c>
      <c r="I266" s="5"/>
      <c r="J266" s="5"/>
      <c r="K266" s="5">
        <v>222</v>
      </c>
      <c r="L266" s="5">
        <v>3</v>
      </c>
      <c r="M266" s="5">
        <v>3</v>
      </c>
      <c r="N266" s="5" t="s">
        <v>3</v>
      </c>
      <c r="O266" s="5">
        <v>2</v>
      </c>
      <c r="P266" s="5"/>
      <c r="Q266" s="5"/>
      <c r="R266" s="5"/>
      <c r="S266" s="5"/>
      <c r="T266" s="5"/>
      <c r="U266" s="5"/>
      <c r="V266" s="5"/>
      <c r="W266" s="5">
        <v>0</v>
      </c>
      <c r="X266" s="5">
        <v>1</v>
      </c>
      <c r="Y266" s="5">
        <v>0</v>
      </c>
      <c r="Z266" s="5"/>
      <c r="AA266" s="5"/>
      <c r="AB266" s="5"/>
    </row>
    <row r="267" spans="1:206" ht="13.05" customHeight="1" x14ac:dyDescent="0.25">
      <c r="A267" s="5">
        <v>50</v>
      </c>
      <c r="B267" s="5">
        <v>0</v>
      </c>
      <c r="C267" s="5">
        <v>0</v>
      </c>
      <c r="D267" s="5">
        <v>1</v>
      </c>
      <c r="E267" s="5">
        <v>225</v>
      </c>
      <c r="F267" s="5">
        <f>ROUND(Source!AV262,O267)</f>
        <v>69684.17</v>
      </c>
      <c r="G267" s="5" t="s">
        <v>110</v>
      </c>
      <c r="H267" s="5" t="s">
        <v>111</v>
      </c>
      <c r="I267" s="5"/>
      <c r="J267" s="5"/>
      <c r="K267" s="5">
        <v>225</v>
      </c>
      <c r="L267" s="5">
        <v>4</v>
      </c>
      <c r="M267" s="5">
        <v>3</v>
      </c>
      <c r="N267" s="5" t="s">
        <v>3</v>
      </c>
      <c r="O267" s="5">
        <v>2</v>
      </c>
      <c r="P267" s="5"/>
      <c r="Q267" s="5"/>
      <c r="R267" s="5"/>
      <c r="S267" s="5"/>
      <c r="T267" s="5"/>
      <c r="U267" s="5"/>
      <c r="V267" s="5"/>
      <c r="W267" s="5">
        <v>69684.17</v>
      </c>
      <c r="X267" s="5">
        <v>1</v>
      </c>
      <c r="Y267" s="5">
        <v>69684.17</v>
      </c>
      <c r="Z267" s="5"/>
      <c r="AA267" s="5"/>
      <c r="AB267" s="5"/>
    </row>
    <row r="268" spans="1:206" ht="13.05" customHeight="1" x14ac:dyDescent="0.25">
      <c r="A268" s="5">
        <v>50</v>
      </c>
      <c r="B268" s="5">
        <v>1</v>
      </c>
      <c r="C268" s="5">
        <v>0</v>
      </c>
      <c r="D268" s="5">
        <v>1</v>
      </c>
      <c r="E268" s="5">
        <v>226</v>
      </c>
      <c r="F268" s="5">
        <f>ROUND(Source!AW262,O268)</f>
        <v>69684.17</v>
      </c>
      <c r="G268" s="5" t="s">
        <v>112</v>
      </c>
      <c r="H268" s="5" t="s">
        <v>113</v>
      </c>
      <c r="I268" s="5"/>
      <c r="J268" s="5"/>
      <c r="K268" s="5">
        <v>226</v>
      </c>
      <c r="L268" s="5">
        <v>5</v>
      </c>
      <c r="M268" s="5">
        <v>1</v>
      </c>
      <c r="N268" s="5" t="s">
        <v>3</v>
      </c>
      <c r="O268" s="5">
        <v>2</v>
      </c>
      <c r="P268" s="5"/>
      <c r="Q268" s="5"/>
      <c r="R268" s="5"/>
      <c r="S268" s="5"/>
      <c r="T268" s="5"/>
      <c r="U268" s="5"/>
      <c r="V268" s="5"/>
      <c r="W268" s="5">
        <v>69684.17</v>
      </c>
      <c r="X268" s="5">
        <v>1</v>
      </c>
      <c r="Y268" s="5">
        <v>69684.17</v>
      </c>
      <c r="Z268" s="5"/>
      <c r="AA268" s="5"/>
      <c r="AB268" s="5"/>
    </row>
    <row r="269" spans="1:206" ht="13.05" customHeight="1" x14ac:dyDescent="0.25">
      <c r="A269" s="5">
        <v>50</v>
      </c>
      <c r="B269" s="5">
        <v>0</v>
      </c>
      <c r="C269" s="5">
        <v>0</v>
      </c>
      <c r="D269" s="5">
        <v>1</v>
      </c>
      <c r="E269" s="5">
        <v>227</v>
      </c>
      <c r="F269" s="5">
        <f>ROUND(Source!AX262,O269)</f>
        <v>0</v>
      </c>
      <c r="G269" s="5" t="s">
        <v>114</v>
      </c>
      <c r="H269" s="5" t="s">
        <v>115</v>
      </c>
      <c r="I269" s="5"/>
      <c r="J269" s="5"/>
      <c r="K269" s="5">
        <v>227</v>
      </c>
      <c r="L269" s="5">
        <v>6</v>
      </c>
      <c r="M269" s="5">
        <v>1</v>
      </c>
      <c r="N269" s="5" t="s">
        <v>3</v>
      </c>
      <c r="O269" s="5">
        <v>2</v>
      </c>
      <c r="P269" s="5"/>
      <c r="Q269" s="5"/>
      <c r="R269" s="5"/>
      <c r="S269" s="5"/>
      <c r="T269" s="5"/>
      <c r="U269" s="5"/>
      <c r="V269" s="5"/>
      <c r="W269" s="5">
        <v>0</v>
      </c>
      <c r="X269" s="5">
        <v>1</v>
      </c>
      <c r="Y269" s="5">
        <v>0</v>
      </c>
      <c r="Z269" s="5"/>
      <c r="AA269" s="5"/>
      <c r="AB269" s="5"/>
    </row>
    <row r="270" spans="1:206" ht="13.05" customHeight="1" x14ac:dyDescent="0.25">
      <c r="A270" s="5">
        <v>50</v>
      </c>
      <c r="B270" s="5">
        <v>0</v>
      </c>
      <c r="C270" s="5">
        <v>0</v>
      </c>
      <c r="D270" s="5">
        <v>1</v>
      </c>
      <c r="E270" s="5">
        <v>228</v>
      </c>
      <c r="F270" s="5">
        <f>ROUND(Source!AY262,O270)</f>
        <v>69684.17</v>
      </c>
      <c r="G270" s="5" t="s">
        <v>116</v>
      </c>
      <c r="H270" s="5" t="s">
        <v>117</v>
      </c>
      <c r="I270" s="5"/>
      <c r="J270" s="5"/>
      <c r="K270" s="5">
        <v>228</v>
      </c>
      <c r="L270" s="5">
        <v>7</v>
      </c>
      <c r="M270" s="5">
        <v>3</v>
      </c>
      <c r="N270" s="5" t="s">
        <v>3</v>
      </c>
      <c r="O270" s="5">
        <v>2</v>
      </c>
      <c r="P270" s="5"/>
      <c r="Q270" s="5"/>
      <c r="R270" s="5"/>
      <c r="S270" s="5"/>
      <c r="T270" s="5"/>
      <c r="U270" s="5"/>
      <c r="V270" s="5"/>
      <c r="W270" s="5">
        <v>69684.17</v>
      </c>
      <c r="X270" s="5">
        <v>1</v>
      </c>
      <c r="Y270" s="5">
        <v>69684.17</v>
      </c>
      <c r="Z270" s="5"/>
      <c r="AA270" s="5"/>
      <c r="AB270" s="5"/>
    </row>
    <row r="271" spans="1:206" ht="13.05" customHeight="1" x14ac:dyDescent="0.25">
      <c r="A271" s="5">
        <v>50</v>
      </c>
      <c r="B271" s="5">
        <v>0</v>
      </c>
      <c r="C271" s="5">
        <v>0</v>
      </c>
      <c r="D271" s="5">
        <v>1</v>
      </c>
      <c r="E271" s="5">
        <v>216</v>
      </c>
      <c r="F271" s="5">
        <f>ROUND(Source!AP262,O271)</f>
        <v>0</v>
      </c>
      <c r="G271" s="5" t="s">
        <v>118</v>
      </c>
      <c r="H271" s="5" t="s">
        <v>119</v>
      </c>
      <c r="I271" s="5"/>
      <c r="J271" s="5"/>
      <c r="K271" s="5">
        <v>216</v>
      </c>
      <c r="L271" s="5">
        <v>8</v>
      </c>
      <c r="M271" s="5">
        <v>1</v>
      </c>
      <c r="N271" s="5" t="s">
        <v>3</v>
      </c>
      <c r="O271" s="5">
        <v>2</v>
      </c>
      <c r="P271" s="5"/>
      <c r="Q271" s="5"/>
      <c r="R271" s="5"/>
      <c r="S271" s="5"/>
      <c r="T271" s="5"/>
      <c r="U271" s="5"/>
      <c r="V271" s="5"/>
      <c r="W271" s="5">
        <v>0</v>
      </c>
      <c r="X271" s="5">
        <v>1</v>
      </c>
      <c r="Y271" s="5">
        <v>0</v>
      </c>
      <c r="Z271" s="5"/>
      <c r="AA271" s="5"/>
      <c r="AB271" s="5"/>
    </row>
    <row r="272" spans="1:206" ht="13.05" customHeight="1" x14ac:dyDescent="0.25">
      <c r="A272" s="5">
        <v>50</v>
      </c>
      <c r="B272" s="5">
        <v>0</v>
      </c>
      <c r="C272" s="5">
        <v>0</v>
      </c>
      <c r="D272" s="5">
        <v>1</v>
      </c>
      <c r="E272" s="5">
        <v>223</v>
      </c>
      <c r="F272" s="5">
        <f>ROUND(Source!AQ262,O272)</f>
        <v>0</v>
      </c>
      <c r="G272" s="5" t="s">
        <v>120</v>
      </c>
      <c r="H272" s="5" t="s">
        <v>121</v>
      </c>
      <c r="I272" s="5"/>
      <c r="J272" s="5"/>
      <c r="K272" s="5">
        <v>223</v>
      </c>
      <c r="L272" s="5">
        <v>9</v>
      </c>
      <c r="M272" s="5">
        <v>1</v>
      </c>
      <c r="N272" s="5" t="s">
        <v>3</v>
      </c>
      <c r="O272" s="5">
        <v>2</v>
      </c>
      <c r="P272" s="5"/>
      <c r="Q272" s="5"/>
      <c r="R272" s="5"/>
      <c r="S272" s="5"/>
      <c r="T272" s="5"/>
      <c r="U272" s="5"/>
      <c r="V272" s="5"/>
      <c r="W272" s="5">
        <v>0</v>
      </c>
      <c r="X272" s="5">
        <v>1</v>
      </c>
      <c r="Y272" s="5">
        <v>0</v>
      </c>
      <c r="Z272" s="5"/>
      <c r="AA272" s="5"/>
      <c r="AB272" s="5"/>
    </row>
    <row r="273" spans="1:28" ht="13.05" customHeight="1" x14ac:dyDescent="0.25">
      <c r="A273" s="5">
        <v>50</v>
      </c>
      <c r="B273" s="5">
        <v>0</v>
      </c>
      <c r="C273" s="5">
        <v>0</v>
      </c>
      <c r="D273" s="5">
        <v>1</v>
      </c>
      <c r="E273" s="5">
        <v>229</v>
      </c>
      <c r="F273" s="5">
        <f>ROUND(Source!AZ262,O273)</f>
        <v>0</v>
      </c>
      <c r="G273" s="5" t="s">
        <v>122</v>
      </c>
      <c r="H273" s="5" t="s">
        <v>123</v>
      </c>
      <c r="I273" s="5"/>
      <c r="J273" s="5"/>
      <c r="K273" s="5">
        <v>229</v>
      </c>
      <c r="L273" s="5">
        <v>10</v>
      </c>
      <c r="M273" s="5">
        <v>3</v>
      </c>
      <c r="N273" s="5" t="s">
        <v>3</v>
      </c>
      <c r="O273" s="5">
        <v>2</v>
      </c>
      <c r="P273" s="5"/>
      <c r="Q273" s="5"/>
      <c r="R273" s="5"/>
      <c r="S273" s="5"/>
      <c r="T273" s="5"/>
      <c r="U273" s="5"/>
      <c r="V273" s="5"/>
      <c r="W273" s="5">
        <v>0</v>
      </c>
      <c r="X273" s="5">
        <v>1</v>
      </c>
      <c r="Y273" s="5">
        <v>0</v>
      </c>
      <c r="Z273" s="5"/>
      <c r="AA273" s="5"/>
      <c r="AB273" s="5"/>
    </row>
    <row r="274" spans="1:28" ht="13.05" customHeight="1" x14ac:dyDescent="0.25">
      <c r="A274" s="5">
        <v>50</v>
      </c>
      <c r="B274" s="5">
        <v>1</v>
      </c>
      <c r="C274" s="5">
        <v>0</v>
      </c>
      <c r="D274" s="5">
        <v>1</v>
      </c>
      <c r="E274" s="5">
        <v>203</v>
      </c>
      <c r="F274" s="5">
        <f>ROUND(Source!Q262,O274)</f>
        <v>29754.47</v>
      </c>
      <c r="G274" s="5" t="s">
        <v>124</v>
      </c>
      <c r="H274" s="5" t="s">
        <v>125</v>
      </c>
      <c r="I274" s="5"/>
      <c r="J274" s="5"/>
      <c r="K274" s="5">
        <v>203</v>
      </c>
      <c r="L274" s="5">
        <v>11</v>
      </c>
      <c r="M274" s="5">
        <v>0</v>
      </c>
      <c r="N274" s="5" t="s">
        <v>3</v>
      </c>
      <c r="O274" s="5">
        <v>2</v>
      </c>
      <c r="P274" s="5"/>
      <c r="Q274" s="5"/>
      <c r="R274" s="5"/>
      <c r="S274" s="5"/>
      <c r="T274" s="5"/>
      <c r="U274" s="5"/>
      <c r="V274" s="5"/>
      <c r="W274" s="5">
        <v>29754.47</v>
      </c>
      <c r="X274" s="5">
        <v>1</v>
      </c>
      <c r="Y274" s="5">
        <v>29754.47</v>
      </c>
      <c r="Z274" s="5"/>
      <c r="AA274" s="5"/>
      <c r="AB274" s="5"/>
    </row>
    <row r="275" spans="1:28" ht="13.05" customHeight="1" x14ac:dyDescent="0.25">
      <c r="A275" s="5">
        <v>50</v>
      </c>
      <c r="B275" s="5">
        <v>0</v>
      </c>
      <c r="C275" s="5">
        <v>0</v>
      </c>
      <c r="D275" s="5">
        <v>1</v>
      </c>
      <c r="E275" s="5">
        <v>231</v>
      </c>
      <c r="F275" s="5">
        <f>ROUND(Source!BB262,O275)</f>
        <v>0</v>
      </c>
      <c r="G275" s="5" t="s">
        <v>126</v>
      </c>
      <c r="H275" s="5" t="s">
        <v>127</v>
      </c>
      <c r="I275" s="5"/>
      <c r="J275" s="5"/>
      <c r="K275" s="5">
        <v>231</v>
      </c>
      <c r="L275" s="5">
        <v>12</v>
      </c>
      <c r="M275" s="5">
        <v>3</v>
      </c>
      <c r="N275" s="5" t="s">
        <v>3</v>
      </c>
      <c r="O275" s="5">
        <v>2</v>
      </c>
      <c r="P275" s="5"/>
      <c r="Q275" s="5"/>
      <c r="R275" s="5"/>
      <c r="S275" s="5"/>
      <c r="T275" s="5"/>
      <c r="U275" s="5"/>
      <c r="V275" s="5"/>
      <c r="W275" s="5">
        <v>0</v>
      </c>
      <c r="X275" s="5">
        <v>1</v>
      </c>
      <c r="Y275" s="5">
        <v>0</v>
      </c>
      <c r="Z275" s="5"/>
      <c r="AA275" s="5"/>
      <c r="AB275" s="5"/>
    </row>
    <row r="276" spans="1:28" ht="13.05" customHeight="1" x14ac:dyDescent="0.25">
      <c r="A276" s="5">
        <v>50</v>
      </c>
      <c r="B276" s="5">
        <v>1</v>
      </c>
      <c r="C276" s="5">
        <v>0</v>
      </c>
      <c r="D276" s="5">
        <v>1</v>
      </c>
      <c r="E276" s="5">
        <v>204</v>
      </c>
      <c r="F276" s="5">
        <f>ROUND(Source!R262,O276)</f>
        <v>10155.61</v>
      </c>
      <c r="G276" s="5" t="s">
        <v>128</v>
      </c>
      <c r="H276" s="5" t="s">
        <v>129</v>
      </c>
      <c r="I276" s="5"/>
      <c r="J276" s="5"/>
      <c r="K276" s="5">
        <v>204</v>
      </c>
      <c r="L276" s="5">
        <v>13</v>
      </c>
      <c r="M276" s="5">
        <v>0</v>
      </c>
      <c r="N276" s="5" t="s">
        <v>3</v>
      </c>
      <c r="O276" s="5">
        <v>2</v>
      </c>
      <c r="P276" s="5"/>
      <c r="Q276" s="5"/>
      <c r="R276" s="5"/>
      <c r="S276" s="5"/>
      <c r="T276" s="5"/>
      <c r="U276" s="5"/>
      <c r="V276" s="5"/>
      <c r="W276" s="5">
        <v>10155.609999999999</v>
      </c>
      <c r="X276" s="5">
        <v>1</v>
      </c>
      <c r="Y276" s="5">
        <v>10155.609999999999</v>
      </c>
      <c r="Z276" s="5"/>
      <c r="AA276" s="5"/>
      <c r="AB276" s="5"/>
    </row>
    <row r="277" spans="1:28" ht="13.05" customHeight="1" x14ac:dyDescent="0.25">
      <c r="A277" s="5">
        <v>50</v>
      </c>
      <c r="B277" s="5">
        <v>1</v>
      </c>
      <c r="C277" s="5">
        <v>0</v>
      </c>
      <c r="D277" s="5">
        <v>1</v>
      </c>
      <c r="E277" s="5">
        <v>205</v>
      </c>
      <c r="F277" s="5">
        <f>ROUND(Source!S262,O277)</f>
        <v>118050.62</v>
      </c>
      <c r="G277" s="5" t="s">
        <v>130</v>
      </c>
      <c r="H277" s="5" t="s">
        <v>131</v>
      </c>
      <c r="I277" s="5"/>
      <c r="J277" s="5"/>
      <c r="K277" s="5">
        <v>205</v>
      </c>
      <c r="L277" s="5">
        <v>14</v>
      </c>
      <c r="M277" s="5">
        <v>0</v>
      </c>
      <c r="N277" s="5" t="s">
        <v>3</v>
      </c>
      <c r="O277" s="5">
        <v>2</v>
      </c>
      <c r="P277" s="5"/>
      <c r="Q277" s="5"/>
      <c r="R277" s="5"/>
      <c r="S277" s="5"/>
      <c r="T277" s="5"/>
      <c r="U277" s="5"/>
      <c r="V277" s="5"/>
      <c r="W277" s="5">
        <v>118050.62000000001</v>
      </c>
      <c r="X277" s="5">
        <v>1</v>
      </c>
      <c r="Y277" s="5">
        <v>118050.62000000001</v>
      </c>
      <c r="Z277" s="5"/>
      <c r="AA277" s="5"/>
      <c r="AB277" s="5"/>
    </row>
    <row r="278" spans="1:28" ht="13.05" customHeight="1" x14ac:dyDescent="0.25">
      <c r="A278" s="5">
        <v>50</v>
      </c>
      <c r="B278" s="5">
        <v>0</v>
      </c>
      <c r="C278" s="5">
        <v>0</v>
      </c>
      <c r="D278" s="5">
        <v>1</v>
      </c>
      <c r="E278" s="5">
        <v>232</v>
      </c>
      <c r="F278" s="5">
        <f>ROUND(Source!BC262,O278)</f>
        <v>0</v>
      </c>
      <c r="G278" s="5" t="s">
        <v>132</v>
      </c>
      <c r="H278" s="5" t="s">
        <v>133</v>
      </c>
      <c r="I278" s="5"/>
      <c r="J278" s="5"/>
      <c r="K278" s="5">
        <v>232</v>
      </c>
      <c r="L278" s="5">
        <v>15</v>
      </c>
      <c r="M278" s="5">
        <v>3</v>
      </c>
      <c r="N278" s="5" t="s">
        <v>3</v>
      </c>
      <c r="O278" s="5">
        <v>2</v>
      </c>
      <c r="P278" s="5"/>
      <c r="Q278" s="5"/>
      <c r="R278" s="5"/>
      <c r="S278" s="5"/>
      <c r="T278" s="5"/>
      <c r="U278" s="5"/>
      <c r="V278" s="5"/>
      <c r="W278" s="5">
        <v>0</v>
      </c>
      <c r="X278" s="5">
        <v>1</v>
      </c>
      <c r="Y278" s="5">
        <v>0</v>
      </c>
      <c r="Z278" s="5"/>
      <c r="AA278" s="5"/>
      <c r="AB278" s="5"/>
    </row>
    <row r="279" spans="1:28" ht="13.05" customHeight="1" x14ac:dyDescent="0.25">
      <c r="A279" s="5">
        <v>50</v>
      </c>
      <c r="B279" s="5">
        <v>0</v>
      </c>
      <c r="C279" s="5">
        <v>0</v>
      </c>
      <c r="D279" s="5">
        <v>1</v>
      </c>
      <c r="E279" s="5">
        <v>214</v>
      </c>
      <c r="F279" s="5">
        <f>ROUND(Source!AS262,O279)</f>
        <v>454034.8</v>
      </c>
      <c r="G279" s="5" t="s">
        <v>134</v>
      </c>
      <c r="H279" s="5" t="s">
        <v>135</v>
      </c>
      <c r="I279" s="5"/>
      <c r="J279" s="5"/>
      <c r="K279" s="5">
        <v>214</v>
      </c>
      <c r="L279" s="5">
        <v>16</v>
      </c>
      <c r="M279" s="5">
        <v>3</v>
      </c>
      <c r="N279" s="5" t="s">
        <v>3</v>
      </c>
      <c r="O279" s="5">
        <v>2</v>
      </c>
      <c r="P279" s="5"/>
      <c r="Q279" s="5"/>
      <c r="R279" s="5"/>
      <c r="S279" s="5"/>
      <c r="T279" s="5"/>
      <c r="U279" s="5"/>
      <c r="V279" s="5"/>
      <c r="W279" s="5">
        <v>454034.8</v>
      </c>
      <c r="X279" s="5">
        <v>1</v>
      </c>
      <c r="Y279" s="5">
        <v>454034.8</v>
      </c>
      <c r="Z279" s="5"/>
      <c r="AA279" s="5"/>
      <c r="AB279" s="5"/>
    </row>
    <row r="280" spans="1:28" ht="13.05" customHeight="1" x14ac:dyDescent="0.25">
      <c r="A280" s="5">
        <v>50</v>
      </c>
      <c r="B280" s="5">
        <v>0</v>
      </c>
      <c r="C280" s="5">
        <v>0</v>
      </c>
      <c r="D280" s="5">
        <v>1</v>
      </c>
      <c r="E280" s="5">
        <v>215</v>
      </c>
      <c r="F280" s="5">
        <f>ROUND(Source!AT262,O280)</f>
        <v>37686.69</v>
      </c>
      <c r="G280" s="5" t="s">
        <v>136</v>
      </c>
      <c r="H280" s="5" t="s">
        <v>137</v>
      </c>
      <c r="I280" s="5"/>
      <c r="J280" s="5"/>
      <c r="K280" s="5">
        <v>215</v>
      </c>
      <c r="L280" s="5">
        <v>17</v>
      </c>
      <c r="M280" s="5">
        <v>3</v>
      </c>
      <c r="N280" s="5" t="s">
        <v>3</v>
      </c>
      <c r="O280" s="5">
        <v>2</v>
      </c>
      <c r="P280" s="5"/>
      <c r="Q280" s="5"/>
      <c r="R280" s="5"/>
      <c r="S280" s="5"/>
      <c r="T280" s="5"/>
      <c r="U280" s="5"/>
      <c r="V280" s="5"/>
      <c r="W280" s="5">
        <v>37686.69</v>
      </c>
      <c r="X280" s="5">
        <v>1</v>
      </c>
      <c r="Y280" s="5">
        <v>37686.69</v>
      </c>
      <c r="Z280" s="5"/>
      <c r="AA280" s="5"/>
      <c r="AB280" s="5"/>
    </row>
    <row r="281" spans="1:28" ht="13.05" customHeight="1" x14ac:dyDescent="0.25">
      <c r="A281" s="5">
        <v>50</v>
      </c>
      <c r="B281" s="5">
        <v>0</v>
      </c>
      <c r="C281" s="5">
        <v>0</v>
      </c>
      <c r="D281" s="5">
        <v>1</v>
      </c>
      <c r="E281" s="5">
        <v>217</v>
      </c>
      <c r="F281" s="5">
        <f>ROUND(Source!AU262,O281)</f>
        <v>0</v>
      </c>
      <c r="G281" s="5" t="s">
        <v>138</v>
      </c>
      <c r="H281" s="5" t="s">
        <v>139</v>
      </c>
      <c r="I281" s="5"/>
      <c r="J281" s="5"/>
      <c r="K281" s="5">
        <v>217</v>
      </c>
      <c r="L281" s="5">
        <v>18</v>
      </c>
      <c r="M281" s="5">
        <v>3</v>
      </c>
      <c r="N281" s="5" t="s">
        <v>3</v>
      </c>
      <c r="O281" s="5">
        <v>2</v>
      </c>
      <c r="P281" s="5"/>
      <c r="Q281" s="5"/>
      <c r="R281" s="5"/>
      <c r="S281" s="5"/>
      <c r="T281" s="5"/>
      <c r="U281" s="5"/>
      <c r="V281" s="5"/>
      <c r="W281" s="5">
        <v>0</v>
      </c>
      <c r="X281" s="5">
        <v>1</v>
      </c>
      <c r="Y281" s="5">
        <v>0</v>
      </c>
      <c r="Z281" s="5"/>
      <c r="AA281" s="5"/>
      <c r="AB281" s="5"/>
    </row>
    <row r="282" spans="1:28" ht="13.05" customHeight="1" x14ac:dyDescent="0.25">
      <c r="A282" s="5">
        <v>50</v>
      </c>
      <c r="B282" s="5">
        <v>0</v>
      </c>
      <c r="C282" s="5">
        <v>0</v>
      </c>
      <c r="D282" s="5">
        <v>1</v>
      </c>
      <c r="E282" s="5">
        <v>230</v>
      </c>
      <c r="F282" s="5">
        <f>ROUND(Source!BA262,O282)</f>
        <v>0</v>
      </c>
      <c r="G282" s="5" t="s">
        <v>140</v>
      </c>
      <c r="H282" s="5" t="s">
        <v>141</v>
      </c>
      <c r="I282" s="5"/>
      <c r="J282" s="5"/>
      <c r="K282" s="5">
        <v>230</v>
      </c>
      <c r="L282" s="5">
        <v>19</v>
      </c>
      <c r="M282" s="5">
        <v>3</v>
      </c>
      <c r="N282" s="5" t="s">
        <v>3</v>
      </c>
      <c r="O282" s="5">
        <v>2</v>
      </c>
      <c r="P282" s="5"/>
      <c r="Q282" s="5"/>
      <c r="R282" s="5"/>
      <c r="S282" s="5"/>
      <c r="T282" s="5"/>
      <c r="U282" s="5"/>
      <c r="V282" s="5"/>
      <c r="W282" s="5">
        <v>0</v>
      </c>
      <c r="X282" s="5">
        <v>1</v>
      </c>
      <c r="Y282" s="5">
        <v>0</v>
      </c>
      <c r="Z282" s="5"/>
      <c r="AA282" s="5"/>
      <c r="AB282" s="5"/>
    </row>
    <row r="283" spans="1:28" ht="13.05" customHeight="1" x14ac:dyDescent="0.25">
      <c r="A283" s="5">
        <v>50</v>
      </c>
      <c r="B283" s="5">
        <v>0</v>
      </c>
      <c r="C283" s="5">
        <v>0</v>
      </c>
      <c r="D283" s="5">
        <v>1</v>
      </c>
      <c r="E283" s="5">
        <v>206</v>
      </c>
      <c r="F283" s="5">
        <f>ROUND(Source!T262,O283)</f>
        <v>0</v>
      </c>
      <c r="G283" s="5" t="s">
        <v>142</v>
      </c>
      <c r="H283" s="5" t="s">
        <v>143</v>
      </c>
      <c r="I283" s="5"/>
      <c r="J283" s="5"/>
      <c r="K283" s="5">
        <v>206</v>
      </c>
      <c r="L283" s="5">
        <v>20</v>
      </c>
      <c r="M283" s="5">
        <v>1</v>
      </c>
      <c r="N283" s="5" t="s">
        <v>3</v>
      </c>
      <c r="O283" s="5">
        <v>2</v>
      </c>
      <c r="P283" s="5"/>
      <c r="Q283" s="5"/>
      <c r="R283" s="5"/>
      <c r="S283" s="5"/>
      <c r="T283" s="5"/>
      <c r="U283" s="5"/>
      <c r="V283" s="5"/>
      <c r="W283" s="5">
        <v>0</v>
      </c>
      <c r="X283" s="5">
        <v>1</v>
      </c>
      <c r="Y283" s="5">
        <v>0</v>
      </c>
      <c r="Z283" s="5"/>
      <c r="AA283" s="5"/>
      <c r="AB283" s="5"/>
    </row>
    <row r="284" spans="1:28" ht="13.05" customHeight="1" x14ac:dyDescent="0.25">
      <c r="A284" s="5">
        <v>50</v>
      </c>
      <c r="B284" s="5">
        <v>1</v>
      </c>
      <c r="C284" s="5">
        <v>0</v>
      </c>
      <c r="D284" s="5">
        <v>1</v>
      </c>
      <c r="E284" s="5">
        <v>207</v>
      </c>
      <c r="F284" s="5">
        <f>ROUND(Source!U262,O284)</f>
        <v>345.98412400000001</v>
      </c>
      <c r="G284" s="5" t="s">
        <v>144</v>
      </c>
      <c r="H284" s="5" t="s">
        <v>145</v>
      </c>
      <c r="I284" s="5"/>
      <c r="J284" s="5"/>
      <c r="K284" s="5">
        <v>207</v>
      </c>
      <c r="L284" s="5">
        <v>21</v>
      </c>
      <c r="M284" s="5">
        <v>0</v>
      </c>
      <c r="N284" s="5" t="s">
        <v>3</v>
      </c>
      <c r="O284" s="5">
        <v>7</v>
      </c>
      <c r="P284" s="5"/>
      <c r="Q284" s="5"/>
      <c r="R284" s="5"/>
      <c r="S284" s="5"/>
      <c r="T284" s="5"/>
      <c r="U284" s="5"/>
      <c r="V284" s="5"/>
      <c r="W284" s="5">
        <v>345.98412400000001</v>
      </c>
      <c r="X284" s="5">
        <v>1</v>
      </c>
      <c r="Y284" s="5">
        <v>345.98412400000001</v>
      </c>
      <c r="Z284" s="5"/>
      <c r="AA284" s="5"/>
      <c r="AB284" s="5"/>
    </row>
    <row r="285" spans="1:28" ht="13.05" customHeight="1" x14ac:dyDescent="0.25">
      <c r="A285" s="5">
        <v>50</v>
      </c>
      <c r="B285" s="5">
        <v>1</v>
      </c>
      <c r="C285" s="5">
        <v>0</v>
      </c>
      <c r="D285" s="5">
        <v>1</v>
      </c>
      <c r="E285" s="5">
        <v>208</v>
      </c>
      <c r="F285" s="5">
        <f>ROUND(Source!V262,O285)</f>
        <v>24.553015800000001</v>
      </c>
      <c r="G285" s="5" t="s">
        <v>146</v>
      </c>
      <c r="H285" s="5" t="s">
        <v>147</v>
      </c>
      <c r="I285" s="5"/>
      <c r="J285" s="5"/>
      <c r="K285" s="5">
        <v>208</v>
      </c>
      <c r="L285" s="5">
        <v>22</v>
      </c>
      <c r="M285" s="5">
        <v>0</v>
      </c>
      <c r="N285" s="5" t="s">
        <v>3</v>
      </c>
      <c r="O285" s="5">
        <v>7</v>
      </c>
      <c r="P285" s="5"/>
      <c r="Q285" s="5"/>
      <c r="R285" s="5"/>
      <c r="S285" s="5"/>
      <c r="T285" s="5"/>
      <c r="U285" s="5"/>
      <c r="V285" s="5"/>
      <c r="W285" s="5">
        <v>24.553015800000001</v>
      </c>
      <c r="X285" s="5">
        <v>1</v>
      </c>
      <c r="Y285" s="5">
        <v>24.553015800000001</v>
      </c>
      <c r="Z285" s="5"/>
      <c r="AA285" s="5"/>
      <c r="AB285" s="5"/>
    </row>
    <row r="286" spans="1:28" ht="13.05" customHeight="1" x14ac:dyDescent="0.25">
      <c r="A286" s="5">
        <v>50</v>
      </c>
      <c r="B286" s="5">
        <v>0</v>
      </c>
      <c r="C286" s="5">
        <v>0</v>
      </c>
      <c r="D286" s="5">
        <v>1</v>
      </c>
      <c r="E286" s="5">
        <v>209</v>
      </c>
      <c r="F286" s="5">
        <f>ROUND(Source!W262,O286)</f>
        <v>0</v>
      </c>
      <c r="G286" s="5" t="s">
        <v>148</v>
      </c>
      <c r="H286" s="5" t="s">
        <v>149</v>
      </c>
      <c r="I286" s="5"/>
      <c r="J286" s="5"/>
      <c r="K286" s="5">
        <v>209</v>
      </c>
      <c r="L286" s="5">
        <v>23</v>
      </c>
      <c r="M286" s="5">
        <v>3</v>
      </c>
      <c r="N286" s="5" t="s">
        <v>3</v>
      </c>
      <c r="O286" s="5">
        <v>2</v>
      </c>
      <c r="P286" s="5"/>
      <c r="Q286" s="5"/>
      <c r="R286" s="5"/>
      <c r="S286" s="5"/>
      <c r="T286" s="5"/>
      <c r="U286" s="5"/>
      <c r="V286" s="5"/>
      <c r="W286" s="5">
        <v>0</v>
      </c>
      <c r="X286" s="5">
        <v>1</v>
      </c>
      <c r="Y286" s="5">
        <v>0</v>
      </c>
      <c r="Z286" s="5"/>
      <c r="AA286" s="5"/>
      <c r="AB286" s="5"/>
    </row>
    <row r="287" spans="1:28" ht="13.05" customHeight="1" x14ac:dyDescent="0.25">
      <c r="A287" s="5">
        <v>50</v>
      </c>
      <c r="B287" s="5">
        <v>1</v>
      </c>
      <c r="C287" s="5">
        <v>0</v>
      </c>
      <c r="D287" s="5">
        <v>1</v>
      </c>
      <c r="E287" s="5">
        <v>233</v>
      </c>
      <c r="F287" s="5">
        <f>ROUND(Source!BD262,O287)</f>
        <v>63237.55</v>
      </c>
      <c r="G287" s="5" t="s">
        <v>150</v>
      </c>
      <c r="H287" s="5" t="s">
        <v>151</v>
      </c>
      <c r="I287" s="5"/>
      <c r="J287" s="5"/>
      <c r="K287" s="5">
        <v>233</v>
      </c>
      <c r="L287" s="5">
        <v>24</v>
      </c>
      <c r="M287" s="5">
        <v>1</v>
      </c>
      <c r="N287" s="5" t="s">
        <v>3</v>
      </c>
      <c r="O287" s="5">
        <v>2</v>
      </c>
      <c r="P287" s="5"/>
      <c r="Q287" s="5"/>
      <c r="R287" s="5"/>
      <c r="S287" s="5"/>
      <c r="T287" s="5"/>
      <c r="U287" s="5"/>
      <c r="V287" s="5"/>
      <c r="W287" s="5">
        <v>63237.55</v>
      </c>
      <c r="X287" s="5">
        <v>1</v>
      </c>
      <c r="Y287" s="5">
        <v>63237.55</v>
      </c>
      <c r="Z287" s="5"/>
      <c r="AA287" s="5"/>
      <c r="AB287" s="5"/>
    </row>
    <row r="288" spans="1:28" ht="13.05" customHeight="1" x14ac:dyDescent="0.25">
      <c r="A288" s="5">
        <v>50</v>
      </c>
      <c r="B288" s="5">
        <v>1</v>
      </c>
      <c r="C288" s="5">
        <v>0</v>
      </c>
      <c r="D288" s="5">
        <v>1</v>
      </c>
      <c r="E288" s="5">
        <v>210</v>
      </c>
      <c r="F288" s="5">
        <f>ROUND(Source!X262,O288)</f>
        <v>128707.19</v>
      </c>
      <c r="G288" s="5" t="s">
        <v>152</v>
      </c>
      <c r="H288" s="5" t="s">
        <v>153</v>
      </c>
      <c r="I288" s="5"/>
      <c r="J288" s="5"/>
      <c r="K288" s="5">
        <v>210</v>
      </c>
      <c r="L288" s="5">
        <v>25</v>
      </c>
      <c r="M288" s="5">
        <v>0</v>
      </c>
      <c r="N288" s="5" t="s">
        <v>3</v>
      </c>
      <c r="O288" s="5">
        <v>2</v>
      </c>
      <c r="P288" s="5"/>
      <c r="Q288" s="5"/>
      <c r="R288" s="5"/>
      <c r="S288" s="5"/>
      <c r="T288" s="5"/>
      <c r="U288" s="5"/>
      <c r="V288" s="5"/>
      <c r="W288" s="5">
        <v>128707.19</v>
      </c>
      <c r="X288" s="5">
        <v>1</v>
      </c>
      <c r="Y288" s="5">
        <v>128707.19</v>
      </c>
      <c r="Z288" s="5"/>
      <c r="AA288" s="5"/>
      <c r="AB288" s="5"/>
    </row>
    <row r="289" spans="1:206" ht="13.05" customHeight="1" x14ac:dyDescent="0.25">
      <c r="A289" s="5">
        <v>50</v>
      </c>
      <c r="B289" s="5">
        <v>1</v>
      </c>
      <c r="C289" s="5">
        <v>0</v>
      </c>
      <c r="D289" s="5">
        <v>1</v>
      </c>
      <c r="E289" s="5">
        <v>211</v>
      </c>
      <c r="F289" s="5">
        <f>ROUND(Source!Y262,O289)</f>
        <v>72131.88</v>
      </c>
      <c r="G289" s="5" t="s">
        <v>154</v>
      </c>
      <c r="H289" s="5" t="s">
        <v>155</v>
      </c>
      <c r="I289" s="5"/>
      <c r="J289" s="5"/>
      <c r="K289" s="5">
        <v>211</v>
      </c>
      <c r="L289" s="5">
        <v>26</v>
      </c>
      <c r="M289" s="5">
        <v>0</v>
      </c>
      <c r="N289" s="5" t="s">
        <v>3</v>
      </c>
      <c r="O289" s="5">
        <v>2</v>
      </c>
      <c r="P289" s="5"/>
      <c r="Q289" s="5"/>
      <c r="R289" s="5"/>
      <c r="S289" s="5"/>
      <c r="T289" s="5"/>
      <c r="U289" s="5"/>
      <c r="V289" s="5"/>
      <c r="W289" s="5">
        <v>72131.88</v>
      </c>
      <c r="X289" s="5">
        <v>1</v>
      </c>
      <c r="Y289" s="5">
        <v>72131.88</v>
      </c>
      <c r="Z289" s="5"/>
      <c r="AA289" s="5"/>
      <c r="AB289" s="5"/>
    </row>
    <row r="290" spans="1:206" ht="13.05" customHeight="1" x14ac:dyDescent="0.25">
      <c r="A290" s="5">
        <v>50</v>
      </c>
      <c r="B290" s="5">
        <v>1</v>
      </c>
      <c r="C290" s="5">
        <v>0</v>
      </c>
      <c r="D290" s="5">
        <v>1</v>
      </c>
      <c r="E290" s="5">
        <v>224</v>
      </c>
      <c r="F290" s="5">
        <f>ROUND(Source!AR262,O290)</f>
        <v>491721.49</v>
      </c>
      <c r="G290" s="5" t="s">
        <v>156</v>
      </c>
      <c r="H290" s="5" t="s">
        <v>157</v>
      </c>
      <c r="I290" s="5"/>
      <c r="J290" s="5"/>
      <c r="K290" s="5">
        <v>224</v>
      </c>
      <c r="L290" s="5">
        <v>27</v>
      </c>
      <c r="M290" s="5">
        <v>0</v>
      </c>
      <c r="N290" s="5" t="s">
        <v>3</v>
      </c>
      <c r="O290" s="5">
        <v>2</v>
      </c>
      <c r="P290" s="5"/>
      <c r="Q290" s="5"/>
      <c r="R290" s="5"/>
      <c r="S290" s="5"/>
      <c r="T290" s="5"/>
      <c r="U290" s="5"/>
      <c r="V290" s="5"/>
      <c r="W290" s="5">
        <v>491721.49</v>
      </c>
      <c r="X290" s="5">
        <v>1</v>
      </c>
      <c r="Y290" s="5">
        <v>491721.49</v>
      </c>
      <c r="Z290" s="5"/>
      <c r="AA290" s="5"/>
      <c r="AB290" s="5"/>
    </row>
    <row r="291" spans="1:206" ht="13.05" customHeight="1" x14ac:dyDescent="0.25"/>
    <row r="292" spans="1:206" ht="13.05" customHeight="1" x14ac:dyDescent="0.25">
      <c r="A292" s="3">
        <v>51</v>
      </c>
      <c r="B292" s="3">
        <f>B12</f>
        <v>351</v>
      </c>
      <c r="C292" s="3">
        <f>A12</f>
        <v>1</v>
      </c>
      <c r="D292" s="3">
        <f>ROW(A12)</f>
        <v>12</v>
      </c>
      <c r="E292" s="3"/>
      <c r="F292" s="3" t="str">
        <f>IF(F12&lt;&gt;"",F12,"")</f>
        <v>01-02-01</v>
      </c>
      <c r="G292" s="3" t="str">
        <f>IF(G12&lt;&gt;"",G12,"")</f>
        <v/>
      </c>
      <c r="H292" s="3">
        <v>0</v>
      </c>
      <c r="I292" s="3"/>
      <c r="J292" s="3"/>
      <c r="K292" s="3"/>
      <c r="L292" s="3"/>
      <c r="M292" s="3"/>
      <c r="N292" s="3"/>
      <c r="O292" s="3">
        <f t="shared" ref="O292:T292" si="90">ROUND(O262,2)</f>
        <v>227644.87</v>
      </c>
      <c r="P292" s="3">
        <f t="shared" si="90"/>
        <v>69684.17</v>
      </c>
      <c r="Q292" s="3">
        <f t="shared" si="90"/>
        <v>29754.47</v>
      </c>
      <c r="R292" s="3">
        <f t="shared" si="90"/>
        <v>10155.61</v>
      </c>
      <c r="S292" s="3">
        <f t="shared" si="90"/>
        <v>118050.62</v>
      </c>
      <c r="T292" s="3">
        <f t="shared" si="90"/>
        <v>0</v>
      </c>
      <c r="U292" s="3">
        <f>U262</f>
        <v>345.98412399999995</v>
      </c>
      <c r="V292" s="3">
        <f>V262</f>
        <v>24.553015800000001</v>
      </c>
      <c r="W292" s="3">
        <f>ROUND(W262,2)</f>
        <v>0</v>
      </c>
      <c r="X292" s="3">
        <f>ROUND(X262,2)</f>
        <v>128707.19</v>
      </c>
      <c r="Y292" s="3">
        <f>ROUND(Y262,2)</f>
        <v>72131.88</v>
      </c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>
        <f t="shared" ref="AO292:BD292" si="91">ROUND(AO262,2)</f>
        <v>0</v>
      </c>
      <c r="AP292" s="3">
        <f t="shared" si="91"/>
        <v>0</v>
      </c>
      <c r="AQ292" s="3">
        <f t="shared" si="91"/>
        <v>0</v>
      </c>
      <c r="AR292" s="3">
        <f t="shared" si="91"/>
        <v>491721.49</v>
      </c>
      <c r="AS292" s="3">
        <f t="shared" si="91"/>
        <v>454034.8</v>
      </c>
      <c r="AT292" s="3">
        <f t="shared" si="91"/>
        <v>37686.69</v>
      </c>
      <c r="AU292" s="3">
        <f t="shared" si="91"/>
        <v>0</v>
      </c>
      <c r="AV292" s="3">
        <f t="shared" si="91"/>
        <v>69684.17</v>
      </c>
      <c r="AW292" s="3">
        <f t="shared" si="91"/>
        <v>69684.17</v>
      </c>
      <c r="AX292" s="3">
        <f t="shared" si="91"/>
        <v>0</v>
      </c>
      <c r="AY292" s="3">
        <f t="shared" si="91"/>
        <v>69684.17</v>
      </c>
      <c r="AZ292" s="3">
        <f t="shared" si="91"/>
        <v>0</v>
      </c>
      <c r="BA292" s="3">
        <f t="shared" si="91"/>
        <v>0</v>
      </c>
      <c r="BB292" s="3">
        <f t="shared" si="91"/>
        <v>0</v>
      </c>
      <c r="BC292" s="3">
        <f t="shared" si="91"/>
        <v>0</v>
      </c>
      <c r="BD292" s="3">
        <f t="shared" si="91"/>
        <v>63237.55</v>
      </c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  <c r="CX292" s="3"/>
      <c r="CY292" s="3"/>
      <c r="CZ292" s="3"/>
      <c r="DA292" s="3"/>
      <c r="DB292" s="3"/>
      <c r="DC292" s="3"/>
      <c r="DD292" s="3"/>
      <c r="DE292" s="3"/>
      <c r="DF292" s="3"/>
      <c r="DG292" s="4"/>
      <c r="DH292" s="4"/>
      <c r="DI292" s="4"/>
      <c r="DJ292" s="4"/>
      <c r="DK292" s="4"/>
      <c r="DL292" s="4"/>
      <c r="DM292" s="4"/>
      <c r="DN292" s="4"/>
      <c r="DO292" s="4"/>
      <c r="DP292" s="4"/>
      <c r="DQ292" s="4"/>
      <c r="DR292" s="4"/>
      <c r="DS292" s="4"/>
      <c r="DT292" s="4"/>
      <c r="DU292" s="4"/>
      <c r="DV292" s="4"/>
      <c r="DW292" s="4"/>
      <c r="DX292" s="4"/>
      <c r="DY292" s="4"/>
      <c r="DZ292" s="4"/>
      <c r="EA292" s="4"/>
      <c r="EB292" s="4"/>
      <c r="EC292" s="4"/>
      <c r="ED292" s="4"/>
      <c r="EE292" s="4"/>
      <c r="EF292" s="4"/>
      <c r="EG292" s="4"/>
      <c r="EH292" s="4"/>
      <c r="EI292" s="4"/>
      <c r="EJ292" s="4"/>
      <c r="EK292" s="4"/>
      <c r="EL292" s="4"/>
      <c r="EM292" s="4"/>
      <c r="EN292" s="4"/>
      <c r="EO292" s="4"/>
      <c r="EP292" s="4"/>
      <c r="EQ292" s="4"/>
      <c r="ER292" s="4"/>
      <c r="ES292" s="4"/>
      <c r="ET292" s="4"/>
      <c r="EU292" s="4"/>
      <c r="EV292" s="4"/>
      <c r="EW292" s="4"/>
      <c r="EX292" s="4"/>
      <c r="EY292" s="4"/>
      <c r="EZ292" s="4"/>
      <c r="FA292" s="4"/>
      <c r="FB292" s="4"/>
      <c r="FC292" s="4"/>
      <c r="FD292" s="4"/>
      <c r="FE292" s="4"/>
      <c r="FF292" s="4"/>
      <c r="FG292" s="4"/>
      <c r="FH292" s="4"/>
      <c r="FI292" s="4"/>
      <c r="FJ292" s="4"/>
      <c r="FK292" s="4"/>
      <c r="FL292" s="4"/>
      <c r="FM292" s="4"/>
      <c r="FN292" s="4"/>
      <c r="FO292" s="4"/>
      <c r="FP292" s="4"/>
      <c r="FQ292" s="4"/>
      <c r="FR292" s="4"/>
      <c r="FS292" s="4"/>
      <c r="FT292" s="4"/>
      <c r="FU292" s="4"/>
      <c r="FV292" s="4"/>
      <c r="FW292" s="4"/>
      <c r="FX292" s="4"/>
      <c r="FY292" s="4"/>
      <c r="FZ292" s="4"/>
      <c r="GA292" s="4"/>
      <c r="GB292" s="4"/>
      <c r="GC292" s="4"/>
      <c r="GD292" s="4"/>
      <c r="GE292" s="4"/>
      <c r="GF292" s="4"/>
      <c r="GG292" s="4"/>
      <c r="GH292" s="4"/>
      <c r="GI292" s="4"/>
      <c r="GJ292" s="4"/>
      <c r="GK292" s="4"/>
      <c r="GL292" s="4"/>
      <c r="GM292" s="4"/>
      <c r="GN292" s="4"/>
      <c r="GO292" s="4"/>
      <c r="GP292" s="4"/>
      <c r="GQ292" s="4"/>
      <c r="GR292" s="4"/>
      <c r="GS292" s="4"/>
      <c r="GT292" s="4"/>
      <c r="GU292" s="4"/>
      <c r="GV292" s="4"/>
      <c r="GW292" s="4"/>
      <c r="GX292" s="4">
        <v>0</v>
      </c>
    </row>
    <row r="293" spans="1:206" ht="13.05" customHeight="1" x14ac:dyDescent="0.25"/>
    <row r="294" spans="1:206" ht="13.05" customHeight="1" x14ac:dyDescent="0.25">
      <c r="A294" s="5">
        <v>50</v>
      </c>
      <c r="B294" s="5">
        <v>1</v>
      </c>
      <c r="C294" s="5">
        <v>0</v>
      </c>
      <c r="D294" s="5">
        <v>1</v>
      </c>
      <c r="E294" s="5">
        <v>201</v>
      </c>
      <c r="F294" s="5">
        <f>ROUND(Source!O292,O294)</f>
        <v>227644.87</v>
      </c>
      <c r="G294" s="5" t="s">
        <v>104</v>
      </c>
      <c r="H294" s="5" t="s">
        <v>105</v>
      </c>
      <c r="I294" s="5"/>
      <c r="J294" s="5"/>
      <c r="K294" s="5">
        <v>201</v>
      </c>
      <c r="L294" s="5">
        <v>1</v>
      </c>
      <c r="M294" s="5">
        <v>0</v>
      </c>
      <c r="N294" s="5" t="s">
        <v>3</v>
      </c>
      <c r="O294" s="5">
        <v>2</v>
      </c>
      <c r="P294" s="5"/>
      <c r="Q294" s="5"/>
      <c r="R294" s="5"/>
      <c r="S294" s="5"/>
      <c r="T294" s="5"/>
      <c r="U294" s="5"/>
      <c r="V294" s="5"/>
      <c r="W294" s="5">
        <v>290882.42000000004</v>
      </c>
      <c r="X294" s="5">
        <v>1</v>
      </c>
      <c r="Y294" s="5">
        <v>290882.42000000004</v>
      </c>
      <c r="Z294" s="5"/>
      <c r="AA294" s="5"/>
      <c r="AB294" s="5"/>
    </row>
    <row r="295" spans="1:206" ht="13.05" customHeight="1" x14ac:dyDescent="0.25">
      <c r="A295" s="5">
        <v>50</v>
      </c>
      <c r="B295" s="5">
        <v>0</v>
      </c>
      <c r="C295" s="5">
        <v>0</v>
      </c>
      <c r="D295" s="5">
        <v>1</v>
      </c>
      <c r="E295" s="5">
        <v>202</v>
      </c>
      <c r="F295" s="5">
        <f>ROUND(Source!P292,O295)</f>
        <v>69684.17</v>
      </c>
      <c r="G295" s="5" t="s">
        <v>106</v>
      </c>
      <c r="H295" s="5" t="s">
        <v>107</v>
      </c>
      <c r="I295" s="5"/>
      <c r="J295" s="5"/>
      <c r="K295" s="5">
        <v>202</v>
      </c>
      <c r="L295" s="5">
        <v>2</v>
      </c>
      <c r="M295" s="5">
        <v>1</v>
      </c>
      <c r="N295" s="5" t="s">
        <v>3</v>
      </c>
      <c r="O295" s="5">
        <v>2</v>
      </c>
      <c r="P295" s="5"/>
      <c r="Q295" s="5"/>
      <c r="R295" s="5"/>
      <c r="S295" s="5"/>
      <c r="T295" s="5"/>
      <c r="U295" s="5"/>
      <c r="V295" s="5"/>
      <c r="W295" s="5">
        <v>69684.17</v>
      </c>
      <c r="X295" s="5">
        <v>1</v>
      </c>
      <c r="Y295" s="5">
        <v>69684.17</v>
      </c>
      <c r="Z295" s="5"/>
      <c r="AA295" s="5"/>
      <c r="AB295" s="5"/>
    </row>
    <row r="296" spans="1:206" ht="13.05" customHeight="1" x14ac:dyDescent="0.25">
      <c r="A296" s="5">
        <v>50</v>
      </c>
      <c r="B296" s="5">
        <v>0</v>
      </c>
      <c r="C296" s="5">
        <v>0</v>
      </c>
      <c r="D296" s="5">
        <v>1</v>
      </c>
      <c r="E296" s="5">
        <v>222</v>
      </c>
      <c r="F296" s="5">
        <f>ROUND(Source!AO292,O296)</f>
        <v>0</v>
      </c>
      <c r="G296" s="5" t="s">
        <v>108</v>
      </c>
      <c r="H296" s="5" t="s">
        <v>109</v>
      </c>
      <c r="I296" s="5"/>
      <c r="J296" s="5"/>
      <c r="K296" s="5">
        <v>222</v>
      </c>
      <c r="L296" s="5">
        <v>3</v>
      </c>
      <c r="M296" s="5">
        <v>3</v>
      </c>
      <c r="N296" s="5" t="s">
        <v>3</v>
      </c>
      <c r="O296" s="5">
        <v>2</v>
      </c>
      <c r="P296" s="5"/>
      <c r="Q296" s="5"/>
      <c r="R296" s="5"/>
      <c r="S296" s="5"/>
      <c r="T296" s="5"/>
      <c r="U296" s="5"/>
      <c r="V296" s="5"/>
      <c r="W296" s="5">
        <v>0</v>
      </c>
      <c r="X296" s="5">
        <v>1</v>
      </c>
      <c r="Y296" s="5">
        <v>0</v>
      </c>
      <c r="Z296" s="5"/>
      <c r="AA296" s="5"/>
      <c r="AB296" s="5"/>
    </row>
    <row r="297" spans="1:206" ht="13.05" customHeight="1" x14ac:dyDescent="0.25">
      <c r="A297" s="5">
        <v>50</v>
      </c>
      <c r="B297" s="5">
        <v>0</v>
      </c>
      <c r="C297" s="5">
        <v>0</v>
      </c>
      <c r="D297" s="5">
        <v>1</v>
      </c>
      <c r="E297" s="5">
        <v>225</v>
      </c>
      <c r="F297" s="5">
        <f>ROUND(Source!AV292,O297)</f>
        <v>69684.17</v>
      </c>
      <c r="G297" s="5" t="s">
        <v>110</v>
      </c>
      <c r="H297" s="5" t="s">
        <v>111</v>
      </c>
      <c r="I297" s="5"/>
      <c r="J297" s="5"/>
      <c r="K297" s="5">
        <v>225</v>
      </c>
      <c r="L297" s="5">
        <v>4</v>
      </c>
      <c r="M297" s="5">
        <v>3</v>
      </c>
      <c r="N297" s="5" t="s">
        <v>3</v>
      </c>
      <c r="O297" s="5">
        <v>2</v>
      </c>
      <c r="P297" s="5"/>
      <c r="Q297" s="5"/>
      <c r="R297" s="5"/>
      <c r="S297" s="5"/>
      <c r="T297" s="5"/>
      <c r="U297" s="5"/>
      <c r="V297" s="5"/>
      <c r="W297" s="5">
        <v>69684.17</v>
      </c>
      <c r="X297" s="5">
        <v>1</v>
      </c>
      <c r="Y297" s="5">
        <v>69684.17</v>
      </c>
      <c r="Z297" s="5"/>
      <c r="AA297" s="5"/>
      <c r="AB297" s="5"/>
    </row>
    <row r="298" spans="1:206" ht="13.05" customHeight="1" x14ac:dyDescent="0.25">
      <c r="A298" s="5">
        <v>50</v>
      </c>
      <c r="B298" s="5">
        <v>0</v>
      </c>
      <c r="C298" s="5">
        <v>0</v>
      </c>
      <c r="D298" s="5">
        <v>1</v>
      </c>
      <c r="E298" s="5">
        <v>226</v>
      </c>
      <c r="F298" s="5">
        <f>ROUND(Source!AW292,O298)</f>
        <v>69684.17</v>
      </c>
      <c r="G298" s="5" t="s">
        <v>112</v>
      </c>
      <c r="H298" s="5" t="s">
        <v>113</v>
      </c>
      <c r="I298" s="5"/>
      <c r="J298" s="5"/>
      <c r="K298" s="5">
        <v>226</v>
      </c>
      <c r="L298" s="5">
        <v>5</v>
      </c>
      <c r="M298" s="5">
        <v>1</v>
      </c>
      <c r="N298" s="5" t="s">
        <v>3</v>
      </c>
      <c r="O298" s="5">
        <v>2</v>
      </c>
      <c r="P298" s="5"/>
      <c r="Q298" s="5"/>
      <c r="R298" s="5"/>
      <c r="S298" s="5"/>
      <c r="T298" s="5"/>
      <c r="U298" s="5"/>
      <c r="V298" s="5"/>
      <c r="W298" s="5">
        <v>69684.17</v>
      </c>
      <c r="X298" s="5">
        <v>1</v>
      </c>
      <c r="Y298" s="5">
        <v>69684.17</v>
      </c>
      <c r="Z298" s="5"/>
      <c r="AA298" s="5"/>
      <c r="AB298" s="5"/>
    </row>
    <row r="299" spans="1:206" ht="13.05" customHeight="1" x14ac:dyDescent="0.25">
      <c r="A299" s="5">
        <v>50</v>
      </c>
      <c r="B299" s="5">
        <v>0</v>
      </c>
      <c r="C299" s="5">
        <v>0</v>
      </c>
      <c r="D299" s="5">
        <v>1</v>
      </c>
      <c r="E299" s="5">
        <v>227</v>
      </c>
      <c r="F299" s="5">
        <f>ROUND(Source!AX292,O299)</f>
        <v>0</v>
      </c>
      <c r="G299" s="5" t="s">
        <v>114</v>
      </c>
      <c r="H299" s="5" t="s">
        <v>115</v>
      </c>
      <c r="I299" s="5"/>
      <c r="J299" s="5"/>
      <c r="K299" s="5">
        <v>227</v>
      </c>
      <c r="L299" s="5">
        <v>6</v>
      </c>
      <c r="M299" s="5">
        <v>1</v>
      </c>
      <c r="N299" s="5" t="s">
        <v>3</v>
      </c>
      <c r="O299" s="5">
        <v>2</v>
      </c>
      <c r="P299" s="5"/>
      <c r="Q299" s="5"/>
      <c r="R299" s="5"/>
      <c r="S299" s="5"/>
      <c r="T299" s="5"/>
      <c r="U299" s="5"/>
      <c r="V299" s="5"/>
      <c r="W299" s="5">
        <v>0</v>
      </c>
      <c r="X299" s="5">
        <v>1</v>
      </c>
      <c r="Y299" s="5">
        <v>0</v>
      </c>
      <c r="Z299" s="5"/>
      <c r="AA299" s="5"/>
      <c r="AB299" s="5"/>
    </row>
    <row r="300" spans="1:206" ht="13.05" customHeight="1" x14ac:dyDescent="0.25">
      <c r="A300" s="5">
        <v>50</v>
      </c>
      <c r="B300" s="5">
        <v>0</v>
      </c>
      <c r="C300" s="5">
        <v>0</v>
      </c>
      <c r="D300" s="5">
        <v>1</v>
      </c>
      <c r="E300" s="5">
        <v>228</v>
      </c>
      <c r="F300" s="5">
        <f>ROUND(Source!AY292,O300)</f>
        <v>69684.17</v>
      </c>
      <c r="G300" s="5" t="s">
        <v>116</v>
      </c>
      <c r="H300" s="5" t="s">
        <v>117</v>
      </c>
      <c r="I300" s="5"/>
      <c r="J300" s="5"/>
      <c r="K300" s="5">
        <v>228</v>
      </c>
      <c r="L300" s="5">
        <v>7</v>
      </c>
      <c r="M300" s="5">
        <v>3</v>
      </c>
      <c r="N300" s="5" t="s">
        <v>3</v>
      </c>
      <c r="O300" s="5">
        <v>2</v>
      </c>
      <c r="P300" s="5"/>
      <c r="Q300" s="5"/>
      <c r="R300" s="5"/>
      <c r="S300" s="5"/>
      <c r="T300" s="5"/>
      <c r="U300" s="5"/>
      <c r="V300" s="5"/>
      <c r="W300" s="5">
        <v>69684.17</v>
      </c>
      <c r="X300" s="5">
        <v>1</v>
      </c>
      <c r="Y300" s="5">
        <v>69684.17</v>
      </c>
      <c r="Z300" s="5"/>
      <c r="AA300" s="5"/>
      <c r="AB300" s="5"/>
    </row>
    <row r="301" spans="1:206" ht="13.05" customHeight="1" x14ac:dyDescent="0.25">
      <c r="A301" s="5">
        <v>50</v>
      </c>
      <c r="B301" s="5">
        <v>0</v>
      </c>
      <c r="C301" s="5">
        <v>0</v>
      </c>
      <c r="D301" s="5">
        <v>1</v>
      </c>
      <c r="E301" s="5">
        <v>216</v>
      </c>
      <c r="F301" s="5">
        <f>ROUND(Source!AP292,O301)</f>
        <v>0</v>
      </c>
      <c r="G301" s="5" t="s">
        <v>118</v>
      </c>
      <c r="H301" s="5" t="s">
        <v>119</v>
      </c>
      <c r="I301" s="5"/>
      <c r="J301" s="5"/>
      <c r="K301" s="5">
        <v>216</v>
      </c>
      <c r="L301" s="5">
        <v>8</v>
      </c>
      <c r="M301" s="5">
        <v>1</v>
      </c>
      <c r="N301" s="5" t="s">
        <v>3</v>
      </c>
      <c r="O301" s="5">
        <v>2</v>
      </c>
      <c r="P301" s="5"/>
      <c r="Q301" s="5"/>
      <c r="R301" s="5"/>
      <c r="S301" s="5"/>
      <c r="T301" s="5"/>
      <c r="U301" s="5"/>
      <c r="V301" s="5"/>
      <c r="W301" s="5">
        <v>0</v>
      </c>
      <c r="X301" s="5">
        <v>1</v>
      </c>
      <c r="Y301" s="5">
        <v>0</v>
      </c>
      <c r="Z301" s="5"/>
      <c r="AA301" s="5"/>
      <c r="AB301" s="5"/>
    </row>
    <row r="302" spans="1:206" ht="13.05" customHeight="1" x14ac:dyDescent="0.25">
      <c r="A302" s="5">
        <v>50</v>
      </c>
      <c r="B302" s="5">
        <v>0</v>
      </c>
      <c r="C302" s="5">
        <v>0</v>
      </c>
      <c r="D302" s="5">
        <v>1</v>
      </c>
      <c r="E302" s="5">
        <v>223</v>
      </c>
      <c r="F302" s="5">
        <f>ROUND(Source!AQ292,O302)</f>
        <v>0</v>
      </c>
      <c r="G302" s="5" t="s">
        <v>120</v>
      </c>
      <c r="H302" s="5" t="s">
        <v>121</v>
      </c>
      <c r="I302" s="5"/>
      <c r="J302" s="5"/>
      <c r="K302" s="5">
        <v>223</v>
      </c>
      <c r="L302" s="5">
        <v>9</v>
      </c>
      <c r="M302" s="5">
        <v>1</v>
      </c>
      <c r="N302" s="5" t="s">
        <v>3</v>
      </c>
      <c r="O302" s="5">
        <v>2</v>
      </c>
      <c r="P302" s="5"/>
      <c r="Q302" s="5"/>
      <c r="R302" s="5"/>
      <c r="S302" s="5"/>
      <c r="T302" s="5"/>
      <c r="U302" s="5"/>
      <c r="V302" s="5"/>
      <c r="W302" s="5">
        <v>0</v>
      </c>
      <c r="X302" s="5">
        <v>1</v>
      </c>
      <c r="Y302" s="5">
        <v>0</v>
      </c>
      <c r="Z302" s="5"/>
      <c r="AA302" s="5"/>
      <c r="AB302" s="5"/>
    </row>
    <row r="303" spans="1:206" ht="13.05" customHeight="1" x14ac:dyDescent="0.25">
      <c r="A303" s="5">
        <v>50</v>
      </c>
      <c r="B303" s="5">
        <v>0</v>
      </c>
      <c r="C303" s="5">
        <v>0</v>
      </c>
      <c r="D303" s="5">
        <v>1</v>
      </c>
      <c r="E303" s="5">
        <v>229</v>
      </c>
      <c r="F303" s="5">
        <f>ROUND(Source!AZ292,O303)</f>
        <v>0</v>
      </c>
      <c r="G303" s="5" t="s">
        <v>122</v>
      </c>
      <c r="H303" s="5" t="s">
        <v>123</v>
      </c>
      <c r="I303" s="5"/>
      <c r="J303" s="5"/>
      <c r="K303" s="5">
        <v>229</v>
      </c>
      <c r="L303" s="5">
        <v>10</v>
      </c>
      <c r="M303" s="5">
        <v>3</v>
      </c>
      <c r="N303" s="5" t="s">
        <v>3</v>
      </c>
      <c r="O303" s="5">
        <v>2</v>
      </c>
      <c r="P303" s="5"/>
      <c r="Q303" s="5"/>
      <c r="R303" s="5"/>
      <c r="S303" s="5"/>
      <c r="T303" s="5"/>
      <c r="U303" s="5"/>
      <c r="V303" s="5"/>
      <c r="W303" s="5">
        <v>0</v>
      </c>
      <c r="X303" s="5">
        <v>1</v>
      </c>
      <c r="Y303" s="5">
        <v>0</v>
      </c>
      <c r="Z303" s="5"/>
      <c r="AA303" s="5"/>
      <c r="AB303" s="5"/>
    </row>
    <row r="304" spans="1:206" ht="13.05" customHeight="1" x14ac:dyDescent="0.25">
      <c r="A304" s="5">
        <v>50</v>
      </c>
      <c r="B304" s="5">
        <v>1</v>
      </c>
      <c r="C304" s="5">
        <v>0</v>
      </c>
      <c r="D304" s="5">
        <v>1</v>
      </c>
      <c r="E304" s="5">
        <v>203</v>
      </c>
      <c r="F304" s="5">
        <f>ROUND(Source!Q292,O304)</f>
        <v>29754.47</v>
      </c>
      <c r="G304" s="5" t="s">
        <v>124</v>
      </c>
      <c r="H304" s="5" t="s">
        <v>125</v>
      </c>
      <c r="I304" s="5"/>
      <c r="J304" s="5"/>
      <c r="K304" s="5">
        <v>203</v>
      </c>
      <c r="L304" s="5">
        <v>11</v>
      </c>
      <c r="M304" s="5">
        <v>0</v>
      </c>
      <c r="N304" s="5" t="s">
        <v>3</v>
      </c>
      <c r="O304" s="5">
        <v>2</v>
      </c>
      <c r="P304" s="5"/>
      <c r="Q304" s="5"/>
      <c r="R304" s="5"/>
      <c r="S304" s="5"/>
      <c r="T304" s="5"/>
      <c r="U304" s="5"/>
      <c r="V304" s="5"/>
      <c r="W304" s="5">
        <v>29754.47</v>
      </c>
      <c r="X304" s="5">
        <v>1</v>
      </c>
      <c r="Y304" s="5">
        <v>29754.47</v>
      </c>
      <c r="Z304" s="5"/>
      <c r="AA304" s="5"/>
      <c r="AB304" s="5"/>
    </row>
    <row r="305" spans="1:28" ht="13.05" customHeight="1" x14ac:dyDescent="0.25">
      <c r="A305" s="5">
        <v>50</v>
      </c>
      <c r="B305" s="5">
        <v>0</v>
      </c>
      <c r="C305" s="5">
        <v>0</v>
      </c>
      <c r="D305" s="5">
        <v>1</v>
      </c>
      <c r="E305" s="5">
        <v>231</v>
      </c>
      <c r="F305" s="5">
        <f>ROUND(Source!BB292,O305)</f>
        <v>0</v>
      </c>
      <c r="G305" s="5" t="s">
        <v>126</v>
      </c>
      <c r="H305" s="5" t="s">
        <v>127</v>
      </c>
      <c r="I305" s="5"/>
      <c r="J305" s="5"/>
      <c r="K305" s="5">
        <v>231</v>
      </c>
      <c r="L305" s="5">
        <v>12</v>
      </c>
      <c r="M305" s="5">
        <v>3</v>
      </c>
      <c r="N305" s="5" t="s">
        <v>3</v>
      </c>
      <c r="O305" s="5">
        <v>2</v>
      </c>
      <c r="P305" s="5"/>
      <c r="Q305" s="5"/>
      <c r="R305" s="5"/>
      <c r="S305" s="5"/>
      <c r="T305" s="5"/>
      <c r="U305" s="5"/>
      <c r="V305" s="5"/>
      <c r="W305" s="5">
        <v>0</v>
      </c>
      <c r="X305" s="5">
        <v>1</v>
      </c>
      <c r="Y305" s="5">
        <v>0</v>
      </c>
      <c r="Z305" s="5"/>
      <c r="AA305" s="5"/>
      <c r="AB305" s="5"/>
    </row>
    <row r="306" spans="1:28" ht="13.05" customHeight="1" x14ac:dyDescent="0.25">
      <c r="A306" s="5">
        <v>50</v>
      </c>
      <c r="B306" s="5">
        <v>1</v>
      </c>
      <c r="C306" s="5">
        <v>0</v>
      </c>
      <c r="D306" s="5">
        <v>1</v>
      </c>
      <c r="E306" s="5">
        <v>204</v>
      </c>
      <c r="F306" s="5">
        <f>ROUND(Source!R292,O306)</f>
        <v>10155.61</v>
      </c>
      <c r="G306" s="5" t="s">
        <v>128</v>
      </c>
      <c r="H306" s="5" t="s">
        <v>129</v>
      </c>
      <c r="I306" s="5"/>
      <c r="J306" s="5"/>
      <c r="K306" s="5">
        <v>204</v>
      </c>
      <c r="L306" s="5">
        <v>13</v>
      </c>
      <c r="M306" s="5">
        <v>0</v>
      </c>
      <c r="N306" s="5" t="s">
        <v>3</v>
      </c>
      <c r="O306" s="5">
        <v>2</v>
      </c>
      <c r="P306" s="5"/>
      <c r="Q306" s="5"/>
      <c r="R306" s="5"/>
      <c r="S306" s="5"/>
      <c r="T306" s="5"/>
      <c r="U306" s="5"/>
      <c r="V306" s="5"/>
      <c r="W306" s="5">
        <v>10155.61</v>
      </c>
      <c r="X306" s="5">
        <v>1</v>
      </c>
      <c r="Y306" s="5">
        <v>10155.61</v>
      </c>
      <c r="Z306" s="5"/>
      <c r="AA306" s="5"/>
      <c r="AB306" s="5"/>
    </row>
    <row r="307" spans="1:28" ht="13.05" customHeight="1" x14ac:dyDescent="0.25">
      <c r="A307" s="5">
        <v>50</v>
      </c>
      <c r="B307" s="5">
        <v>1</v>
      </c>
      <c r="C307" s="5">
        <v>0</v>
      </c>
      <c r="D307" s="5">
        <v>1</v>
      </c>
      <c r="E307" s="5">
        <v>205</v>
      </c>
      <c r="F307" s="5">
        <f>ROUND(Source!S292,O307)</f>
        <v>118050.62</v>
      </c>
      <c r="G307" s="5" t="s">
        <v>130</v>
      </c>
      <c r="H307" s="5" t="s">
        <v>131</v>
      </c>
      <c r="I307" s="5"/>
      <c r="J307" s="5"/>
      <c r="K307" s="5">
        <v>205</v>
      </c>
      <c r="L307" s="5">
        <v>14</v>
      </c>
      <c r="M307" s="5">
        <v>0</v>
      </c>
      <c r="N307" s="5" t="s">
        <v>3</v>
      </c>
      <c r="O307" s="5">
        <v>2</v>
      </c>
      <c r="P307" s="5"/>
      <c r="Q307" s="5"/>
      <c r="R307" s="5"/>
      <c r="S307" s="5"/>
      <c r="T307" s="5"/>
      <c r="U307" s="5"/>
      <c r="V307" s="5"/>
      <c r="W307" s="5">
        <v>118050.62000000004</v>
      </c>
      <c r="X307" s="5">
        <v>1</v>
      </c>
      <c r="Y307" s="5">
        <v>118050.62000000004</v>
      </c>
      <c r="Z307" s="5"/>
      <c r="AA307" s="5"/>
      <c r="AB307" s="5"/>
    </row>
    <row r="308" spans="1:28" ht="13.05" customHeight="1" x14ac:dyDescent="0.25">
      <c r="A308" s="5">
        <v>50</v>
      </c>
      <c r="B308" s="5">
        <v>0</v>
      </c>
      <c r="C308" s="5">
        <v>0</v>
      </c>
      <c r="D308" s="5">
        <v>1</v>
      </c>
      <c r="E308" s="5">
        <v>232</v>
      </c>
      <c r="F308" s="5">
        <f>ROUND(Source!BC292,O308)</f>
        <v>0</v>
      </c>
      <c r="G308" s="5" t="s">
        <v>132</v>
      </c>
      <c r="H308" s="5" t="s">
        <v>133</v>
      </c>
      <c r="I308" s="5"/>
      <c r="J308" s="5"/>
      <c r="K308" s="5">
        <v>232</v>
      </c>
      <c r="L308" s="5">
        <v>15</v>
      </c>
      <c r="M308" s="5">
        <v>3</v>
      </c>
      <c r="N308" s="5" t="s">
        <v>3</v>
      </c>
      <c r="O308" s="5">
        <v>2</v>
      </c>
      <c r="P308" s="5"/>
      <c r="Q308" s="5"/>
      <c r="R308" s="5"/>
      <c r="S308" s="5"/>
      <c r="T308" s="5"/>
      <c r="U308" s="5"/>
      <c r="V308" s="5"/>
      <c r="W308" s="5">
        <v>0</v>
      </c>
      <c r="X308" s="5">
        <v>1</v>
      </c>
      <c r="Y308" s="5">
        <v>0</v>
      </c>
      <c r="Z308" s="5"/>
      <c r="AA308" s="5"/>
      <c r="AB308" s="5"/>
    </row>
    <row r="309" spans="1:28" ht="13.05" customHeight="1" x14ac:dyDescent="0.25">
      <c r="A309" s="5">
        <v>50</v>
      </c>
      <c r="B309" s="5">
        <v>0</v>
      </c>
      <c r="C309" s="5">
        <v>0</v>
      </c>
      <c r="D309" s="5">
        <v>1</v>
      </c>
      <c r="E309" s="5">
        <v>214</v>
      </c>
      <c r="F309" s="5">
        <f>ROUND(Source!AS292,O309)</f>
        <v>454034.8</v>
      </c>
      <c r="G309" s="5" t="s">
        <v>134</v>
      </c>
      <c r="H309" s="5" t="s">
        <v>135</v>
      </c>
      <c r="I309" s="5"/>
      <c r="J309" s="5"/>
      <c r="K309" s="5">
        <v>214</v>
      </c>
      <c r="L309" s="5">
        <v>16</v>
      </c>
      <c r="M309" s="5">
        <v>3</v>
      </c>
      <c r="N309" s="5" t="s">
        <v>3</v>
      </c>
      <c r="O309" s="5">
        <v>2</v>
      </c>
      <c r="P309" s="5"/>
      <c r="Q309" s="5"/>
      <c r="R309" s="5"/>
      <c r="S309" s="5"/>
      <c r="T309" s="5"/>
      <c r="U309" s="5"/>
      <c r="V309" s="5"/>
      <c r="W309" s="5">
        <v>454034.8</v>
      </c>
      <c r="X309" s="5">
        <v>1</v>
      </c>
      <c r="Y309" s="5">
        <v>454034.8</v>
      </c>
      <c r="Z309" s="5"/>
      <c r="AA309" s="5"/>
      <c r="AB309" s="5"/>
    </row>
    <row r="310" spans="1:28" ht="13.05" customHeight="1" x14ac:dyDescent="0.25">
      <c r="A310" s="5">
        <v>50</v>
      </c>
      <c r="B310" s="5">
        <v>0</v>
      </c>
      <c r="C310" s="5">
        <v>0</v>
      </c>
      <c r="D310" s="5">
        <v>1</v>
      </c>
      <c r="E310" s="5">
        <v>215</v>
      </c>
      <c r="F310" s="5">
        <f>ROUND(Source!AT292,O310)</f>
        <v>37686.69</v>
      </c>
      <c r="G310" s="5" t="s">
        <v>136</v>
      </c>
      <c r="H310" s="5" t="s">
        <v>137</v>
      </c>
      <c r="I310" s="5"/>
      <c r="J310" s="5"/>
      <c r="K310" s="5">
        <v>215</v>
      </c>
      <c r="L310" s="5">
        <v>17</v>
      </c>
      <c r="M310" s="5">
        <v>3</v>
      </c>
      <c r="N310" s="5" t="s">
        <v>3</v>
      </c>
      <c r="O310" s="5">
        <v>2</v>
      </c>
      <c r="P310" s="5"/>
      <c r="Q310" s="5"/>
      <c r="R310" s="5"/>
      <c r="S310" s="5"/>
      <c r="T310" s="5"/>
      <c r="U310" s="5"/>
      <c r="V310" s="5"/>
      <c r="W310" s="5">
        <v>37686.69</v>
      </c>
      <c r="X310" s="5">
        <v>1</v>
      </c>
      <c r="Y310" s="5">
        <v>37686.69</v>
      </c>
      <c r="Z310" s="5"/>
      <c r="AA310" s="5"/>
      <c r="AB310" s="5"/>
    </row>
    <row r="311" spans="1:28" ht="13.05" customHeight="1" x14ac:dyDescent="0.25">
      <c r="A311" s="5">
        <v>50</v>
      </c>
      <c r="B311" s="5">
        <v>0</v>
      </c>
      <c r="C311" s="5">
        <v>0</v>
      </c>
      <c r="D311" s="5">
        <v>1</v>
      </c>
      <c r="E311" s="5">
        <v>217</v>
      </c>
      <c r="F311" s="5">
        <f>ROUND(Source!AU292,O311)</f>
        <v>0</v>
      </c>
      <c r="G311" s="5" t="s">
        <v>138</v>
      </c>
      <c r="H311" s="5" t="s">
        <v>139</v>
      </c>
      <c r="I311" s="5"/>
      <c r="J311" s="5"/>
      <c r="K311" s="5">
        <v>217</v>
      </c>
      <c r="L311" s="5">
        <v>18</v>
      </c>
      <c r="M311" s="5">
        <v>3</v>
      </c>
      <c r="N311" s="5" t="s">
        <v>3</v>
      </c>
      <c r="O311" s="5">
        <v>2</v>
      </c>
      <c r="P311" s="5"/>
      <c r="Q311" s="5"/>
      <c r="R311" s="5"/>
      <c r="S311" s="5"/>
      <c r="T311" s="5"/>
      <c r="U311" s="5"/>
      <c r="V311" s="5"/>
      <c r="W311" s="5">
        <v>0</v>
      </c>
      <c r="X311" s="5">
        <v>1</v>
      </c>
      <c r="Y311" s="5">
        <v>0</v>
      </c>
      <c r="Z311" s="5"/>
      <c r="AA311" s="5"/>
      <c r="AB311" s="5"/>
    </row>
    <row r="312" spans="1:28" ht="13.05" customHeight="1" x14ac:dyDescent="0.25">
      <c r="A312" s="5">
        <v>50</v>
      </c>
      <c r="B312" s="5">
        <v>0</v>
      </c>
      <c r="C312" s="5">
        <v>0</v>
      </c>
      <c r="D312" s="5">
        <v>1</v>
      </c>
      <c r="E312" s="5">
        <v>230</v>
      </c>
      <c r="F312" s="5">
        <f>ROUND(Source!BA292,O312)</f>
        <v>0</v>
      </c>
      <c r="G312" s="5" t="s">
        <v>140</v>
      </c>
      <c r="H312" s="5" t="s">
        <v>141</v>
      </c>
      <c r="I312" s="5"/>
      <c r="J312" s="5"/>
      <c r="K312" s="5">
        <v>230</v>
      </c>
      <c r="L312" s="5">
        <v>19</v>
      </c>
      <c r="M312" s="5">
        <v>3</v>
      </c>
      <c r="N312" s="5" t="s">
        <v>3</v>
      </c>
      <c r="O312" s="5">
        <v>2</v>
      </c>
      <c r="P312" s="5"/>
      <c r="Q312" s="5"/>
      <c r="R312" s="5"/>
      <c r="S312" s="5"/>
      <c r="T312" s="5"/>
      <c r="U312" s="5"/>
      <c r="V312" s="5"/>
      <c r="W312" s="5">
        <v>0</v>
      </c>
      <c r="X312" s="5">
        <v>1</v>
      </c>
      <c r="Y312" s="5">
        <v>0</v>
      </c>
      <c r="Z312" s="5"/>
      <c r="AA312" s="5"/>
      <c r="AB312" s="5"/>
    </row>
    <row r="313" spans="1:28" ht="13.05" customHeight="1" x14ac:dyDescent="0.25">
      <c r="A313" s="5">
        <v>50</v>
      </c>
      <c r="B313" s="5">
        <v>0</v>
      </c>
      <c r="C313" s="5">
        <v>0</v>
      </c>
      <c r="D313" s="5">
        <v>1</v>
      </c>
      <c r="E313" s="5">
        <v>206</v>
      </c>
      <c r="F313" s="5">
        <f>ROUND(Source!T292,O313)</f>
        <v>0</v>
      </c>
      <c r="G313" s="5" t="s">
        <v>142</v>
      </c>
      <c r="H313" s="5" t="s">
        <v>143</v>
      </c>
      <c r="I313" s="5"/>
      <c r="J313" s="5"/>
      <c r="K313" s="5">
        <v>206</v>
      </c>
      <c r="L313" s="5">
        <v>20</v>
      </c>
      <c r="M313" s="5">
        <v>1</v>
      </c>
      <c r="N313" s="5" t="s">
        <v>3</v>
      </c>
      <c r="O313" s="5">
        <v>2</v>
      </c>
      <c r="P313" s="5"/>
      <c r="Q313" s="5"/>
      <c r="R313" s="5"/>
      <c r="S313" s="5"/>
      <c r="T313" s="5"/>
      <c r="U313" s="5"/>
      <c r="V313" s="5"/>
      <c r="W313" s="5">
        <v>0</v>
      </c>
      <c r="X313" s="5">
        <v>1</v>
      </c>
      <c r="Y313" s="5">
        <v>0</v>
      </c>
      <c r="Z313" s="5"/>
      <c r="AA313" s="5"/>
      <c r="AB313" s="5"/>
    </row>
    <row r="314" spans="1:28" ht="13.05" customHeight="1" x14ac:dyDescent="0.25">
      <c r="A314" s="5">
        <v>50</v>
      </c>
      <c r="B314" s="5">
        <v>1</v>
      </c>
      <c r="C314" s="5">
        <v>0</v>
      </c>
      <c r="D314" s="5">
        <v>1</v>
      </c>
      <c r="E314" s="5">
        <v>207</v>
      </c>
      <c r="F314" s="5">
        <f>ROUND(Source!U292,O314)</f>
        <v>345.98412400000001</v>
      </c>
      <c r="G314" s="5" t="s">
        <v>144</v>
      </c>
      <c r="H314" s="5" t="s">
        <v>145</v>
      </c>
      <c r="I314" s="5"/>
      <c r="J314" s="5"/>
      <c r="K314" s="5">
        <v>207</v>
      </c>
      <c r="L314" s="5">
        <v>21</v>
      </c>
      <c r="M314" s="5">
        <v>0</v>
      </c>
      <c r="N314" s="5" t="s">
        <v>3</v>
      </c>
      <c r="O314" s="5">
        <v>7</v>
      </c>
      <c r="P314" s="5"/>
      <c r="Q314" s="5"/>
      <c r="R314" s="5"/>
      <c r="S314" s="5"/>
      <c r="T314" s="5"/>
      <c r="U314" s="5"/>
      <c r="V314" s="5"/>
      <c r="W314" s="5">
        <v>345.98412400000001</v>
      </c>
      <c r="X314" s="5">
        <v>1</v>
      </c>
      <c r="Y314" s="5">
        <v>345.98412400000001</v>
      </c>
      <c r="Z314" s="5"/>
      <c r="AA314" s="5"/>
      <c r="AB314" s="5"/>
    </row>
    <row r="315" spans="1:28" ht="13.05" customHeight="1" x14ac:dyDescent="0.25">
      <c r="A315" s="5">
        <v>50</v>
      </c>
      <c r="B315" s="5">
        <v>1</v>
      </c>
      <c r="C315" s="5">
        <v>0</v>
      </c>
      <c r="D315" s="5">
        <v>1</v>
      </c>
      <c r="E315" s="5">
        <v>208</v>
      </c>
      <c r="F315" s="5">
        <f>ROUND(Source!V292,O315)</f>
        <v>24.553015800000001</v>
      </c>
      <c r="G315" s="5" t="s">
        <v>146</v>
      </c>
      <c r="H315" s="5" t="s">
        <v>147</v>
      </c>
      <c r="I315" s="5"/>
      <c r="J315" s="5"/>
      <c r="K315" s="5">
        <v>208</v>
      </c>
      <c r="L315" s="5">
        <v>22</v>
      </c>
      <c r="M315" s="5">
        <v>0</v>
      </c>
      <c r="N315" s="5" t="s">
        <v>3</v>
      </c>
      <c r="O315" s="5">
        <v>7</v>
      </c>
      <c r="P315" s="5"/>
      <c r="Q315" s="5"/>
      <c r="R315" s="5"/>
      <c r="S315" s="5"/>
      <c r="T315" s="5"/>
      <c r="U315" s="5"/>
      <c r="V315" s="5"/>
      <c r="W315" s="5">
        <v>24.553015800000001</v>
      </c>
      <c r="X315" s="5">
        <v>1</v>
      </c>
      <c r="Y315" s="5">
        <v>24.553015800000001</v>
      </c>
      <c r="Z315" s="5"/>
      <c r="AA315" s="5"/>
      <c r="AB315" s="5"/>
    </row>
    <row r="316" spans="1:28" ht="13.05" customHeight="1" x14ac:dyDescent="0.25">
      <c r="A316" s="5">
        <v>50</v>
      </c>
      <c r="B316" s="5">
        <v>0</v>
      </c>
      <c r="C316" s="5">
        <v>0</v>
      </c>
      <c r="D316" s="5">
        <v>1</v>
      </c>
      <c r="E316" s="5">
        <v>209</v>
      </c>
      <c r="F316" s="5">
        <f>ROUND(Source!W292,O316)</f>
        <v>0</v>
      </c>
      <c r="G316" s="5" t="s">
        <v>148</v>
      </c>
      <c r="H316" s="5" t="s">
        <v>149</v>
      </c>
      <c r="I316" s="5"/>
      <c r="J316" s="5"/>
      <c r="K316" s="5">
        <v>209</v>
      </c>
      <c r="L316" s="5">
        <v>23</v>
      </c>
      <c r="M316" s="5">
        <v>3</v>
      </c>
      <c r="N316" s="5" t="s">
        <v>3</v>
      </c>
      <c r="O316" s="5">
        <v>2</v>
      </c>
      <c r="P316" s="5"/>
      <c r="Q316" s="5"/>
      <c r="R316" s="5"/>
      <c r="S316" s="5"/>
      <c r="T316" s="5"/>
      <c r="U316" s="5"/>
      <c r="V316" s="5"/>
      <c r="W316" s="5">
        <v>0</v>
      </c>
      <c r="X316" s="5">
        <v>1</v>
      </c>
      <c r="Y316" s="5">
        <v>0</v>
      </c>
      <c r="Z316" s="5"/>
      <c r="AA316" s="5"/>
      <c r="AB316" s="5"/>
    </row>
    <row r="317" spans="1:28" ht="13.05" customHeight="1" x14ac:dyDescent="0.25">
      <c r="A317" s="5">
        <v>50</v>
      </c>
      <c r="B317" s="5">
        <v>0</v>
      </c>
      <c r="C317" s="5">
        <v>0</v>
      </c>
      <c r="D317" s="5">
        <v>1</v>
      </c>
      <c r="E317" s="5">
        <v>233</v>
      </c>
      <c r="F317" s="5">
        <f>ROUND(Source!BD292,O317)</f>
        <v>63237.55</v>
      </c>
      <c r="G317" s="5" t="s">
        <v>150</v>
      </c>
      <c r="H317" s="5" t="s">
        <v>151</v>
      </c>
      <c r="I317" s="5"/>
      <c r="J317" s="5"/>
      <c r="K317" s="5">
        <v>233</v>
      </c>
      <c r="L317" s="5">
        <v>24</v>
      </c>
      <c r="M317" s="5">
        <v>1</v>
      </c>
      <c r="N317" s="5" t="s">
        <v>3</v>
      </c>
      <c r="O317" s="5">
        <v>2</v>
      </c>
      <c r="P317" s="5"/>
      <c r="Q317" s="5"/>
      <c r="R317" s="5"/>
      <c r="S317" s="5"/>
      <c r="T317" s="5"/>
      <c r="U317" s="5"/>
      <c r="V317" s="5"/>
      <c r="W317" s="5">
        <v>63237.55</v>
      </c>
      <c r="X317" s="5">
        <v>1</v>
      </c>
      <c r="Y317" s="5">
        <v>63237.55</v>
      </c>
      <c r="Z317" s="5"/>
      <c r="AA317" s="5"/>
      <c r="AB317" s="5"/>
    </row>
    <row r="318" spans="1:28" ht="13.05" customHeight="1" x14ac:dyDescent="0.25">
      <c r="A318" s="5">
        <v>50</v>
      </c>
      <c r="B318" s="5">
        <v>1</v>
      </c>
      <c r="C318" s="5">
        <v>0</v>
      </c>
      <c r="D318" s="5">
        <v>1</v>
      </c>
      <c r="E318" s="5">
        <v>210</v>
      </c>
      <c r="F318" s="5">
        <f>ROUND(Source!X292,O318)</f>
        <v>128707.19</v>
      </c>
      <c r="G318" s="5" t="s">
        <v>152</v>
      </c>
      <c r="H318" s="5" t="s">
        <v>153</v>
      </c>
      <c r="I318" s="5"/>
      <c r="J318" s="5"/>
      <c r="K318" s="5">
        <v>210</v>
      </c>
      <c r="L318" s="5">
        <v>25</v>
      </c>
      <c r="M318" s="5">
        <v>0</v>
      </c>
      <c r="N318" s="5" t="s">
        <v>3</v>
      </c>
      <c r="O318" s="5">
        <v>2</v>
      </c>
      <c r="P318" s="5"/>
      <c r="Q318" s="5"/>
      <c r="R318" s="5"/>
      <c r="S318" s="5"/>
      <c r="T318" s="5"/>
      <c r="U318" s="5"/>
      <c r="V318" s="5"/>
      <c r="W318" s="5">
        <v>128707.19</v>
      </c>
      <c r="X318" s="5">
        <v>1</v>
      </c>
      <c r="Y318" s="5">
        <v>128707.19</v>
      </c>
      <c r="Z318" s="5"/>
      <c r="AA318" s="5"/>
      <c r="AB318" s="5"/>
    </row>
    <row r="319" spans="1:28" ht="13.05" customHeight="1" x14ac:dyDescent="0.25">
      <c r="A319" s="5">
        <v>50</v>
      </c>
      <c r="B319" s="5">
        <v>1</v>
      </c>
      <c r="C319" s="5">
        <v>0</v>
      </c>
      <c r="D319" s="5">
        <v>1</v>
      </c>
      <c r="E319" s="5">
        <v>211</v>
      </c>
      <c r="F319" s="5">
        <f>ROUND(Source!Y292,O319)</f>
        <v>72131.88</v>
      </c>
      <c r="G319" s="5" t="s">
        <v>154</v>
      </c>
      <c r="H319" s="5" t="s">
        <v>155</v>
      </c>
      <c r="I319" s="5"/>
      <c r="J319" s="5"/>
      <c r="K319" s="5">
        <v>211</v>
      </c>
      <c r="L319" s="5">
        <v>26</v>
      </c>
      <c r="M319" s="5">
        <v>0</v>
      </c>
      <c r="N319" s="5" t="s">
        <v>3</v>
      </c>
      <c r="O319" s="5">
        <v>2</v>
      </c>
      <c r="P319" s="5"/>
      <c r="Q319" s="5"/>
      <c r="R319" s="5"/>
      <c r="S319" s="5"/>
      <c r="T319" s="5"/>
      <c r="U319" s="5"/>
      <c r="V319" s="5"/>
      <c r="W319" s="5">
        <v>72131.88</v>
      </c>
      <c r="X319" s="5">
        <v>1</v>
      </c>
      <c r="Y319" s="5">
        <v>72131.88</v>
      </c>
      <c r="Z319" s="5"/>
      <c r="AA319" s="5"/>
      <c r="AB319" s="5"/>
    </row>
    <row r="320" spans="1:28" ht="13.05" customHeight="1" x14ac:dyDescent="0.25">
      <c r="A320" s="5">
        <v>50</v>
      </c>
      <c r="B320" s="5">
        <v>1</v>
      </c>
      <c r="C320" s="5">
        <v>0</v>
      </c>
      <c r="D320" s="5">
        <v>1</v>
      </c>
      <c r="E320" s="5">
        <v>224</v>
      </c>
      <c r="F320" s="5">
        <f>ROUND(Source!AR292,O320)</f>
        <v>491721.49</v>
      </c>
      <c r="G320" s="5" t="s">
        <v>156</v>
      </c>
      <c r="H320" s="5" t="s">
        <v>157</v>
      </c>
      <c r="I320" s="5"/>
      <c r="J320" s="5"/>
      <c r="K320" s="5">
        <v>224</v>
      </c>
      <c r="L320" s="5">
        <v>27</v>
      </c>
      <c r="M320" s="5">
        <v>0</v>
      </c>
      <c r="N320" s="5" t="s">
        <v>3</v>
      </c>
      <c r="O320" s="5">
        <v>2</v>
      </c>
      <c r="P320" s="5"/>
      <c r="Q320" s="5"/>
      <c r="R320" s="5"/>
      <c r="S320" s="5"/>
      <c r="T320" s="5"/>
      <c r="U320" s="5"/>
      <c r="V320" s="5"/>
      <c r="W320" s="5">
        <v>491721.49</v>
      </c>
      <c r="X320" s="5">
        <v>1</v>
      </c>
      <c r="Y320" s="5">
        <v>491721.49</v>
      </c>
      <c r="Z320" s="5"/>
      <c r="AA320" s="5"/>
      <c r="AB320" s="5"/>
    </row>
    <row r="321" spans="1:28" ht="13.05" customHeight="1" x14ac:dyDescent="0.25">
      <c r="A321" s="5">
        <v>50</v>
      </c>
      <c r="B321" s="5">
        <v>1</v>
      </c>
      <c r="C321" s="5">
        <v>0</v>
      </c>
      <c r="D321" s="5">
        <v>2</v>
      </c>
      <c r="E321" s="5">
        <v>0</v>
      </c>
      <c r="F321" s="5">
        <f>ROUND(F320*0.22,O321)</f>
        <v>108178.73</v>
      </c>
      <c r="G321" s="5" t="s">
        <v>158</v>
      </c>
      <c r="H321" s="5" t="s">
        <v>158</v>
      </c>
      <c r="I321" s="5"/>
      <c r="J321" s="5"/>
      <c r="K321" s="5">
        <v>212</v>
      </c>
      <c r="L321" s="5">
        <v>28</v>
      </c>
      <c r="M321" s="5">
        <v>0</v>
      </c>
      <c r="N321" s="5" t="s">
        <v>3</v>
      </c>
      <c r="O321" s="5">
        <v>2</v>
      </c>
      <c r="P321" s="5"/>
      <c r="Q321" s="5"/>
      <c r="R321" s="5"/>
      <c r="S321" s="5"/>
      <c r="T321" s="5"/>
      <c r="U321" s="5"/>
      <c r="V321" s="5"/>
      <c r="W321" s="5">
        <v>108178.73</v>
      </c>
      <c r="X321" s="5">
        <v>1</v>
      </c>
      <c r="Y321" s="5">
        <v>108178.73</v>
      </c>
      <c r="Z321" s="5"/>
      <c r="AA321" s="5"/>
      <c r="AB321" s="5"/>
    </row>
    <row r="322" spans="1:28" ht="13.05" customHeight="1" x14ac:dyDescent="0.25">
      <c r="A322" s="5">
        <v>50</v>
      </c>
      <c r="B322" s="5">
        <v>1</v>
      </c>
      <c r="C322" s="5">
        <v>0</v>
      </c>
      <c r="D322" s="5">
        <v>2</v>
      </c>
      <c r="E322" s="5">
        <v>0</v>
      </c>
      <c r="F322" s="5">
        <f>ROUND(F320*1.22,O322)</f>
        <v>599900.22</v>
      </c>
      <c r="G322" s="5" t="s">
        <v>159</v>
      </c>
      <c r="H322" s="5" t="s">
        <v>159</v>
      </c>
      <c r="I322" s="5"/>
      <c r="J322" s="5"/>
      <c r="K322" s="5">
        <v>212</v>
      </c>
      <c r="L322" s="5">
        <v>29</v>
      </c>
      <c r="M322" s="5">
        <v>0</v>
      </c>
      <c r="N322" s="5" t="s">
        <v>3</v>
      </c>
      <c r="O322" s="5">
        <v>2</v>
      </c>
      <c r="P322" s="5"/>
      <c r="Q322" s="5"/>
      <c r="R322" s="5"/>
      <c r="S322" s="5"/>
      <c r="T322" s="5"/>
      <c r="U322" s="5"/>
      <c r="V322" s="5"/>
      <c r="W322" s="5">
        <v>599900.22</v>
      </c>
      <c r="X322" s="5">
        <v>1</v>
      </c>
      <c r="Y322" s="5">
        <v>599900.22</v>
      </c>
      <c r="Z322" s="5"/>
      <c r="AA322" s="5"/>
      <c r="AB322" s="5"/>
    </row>
    <row r="323" spans="1:28" ht="13.05" customHeight="1" x14ac:dyDescent="0.25"/>
    <row r="324" spans="1:28" ht="13.05" customHeight="1" x14ac:dyDescent="0.25"/>
    <row r="325" spans="1:28" ht="13.05" customHeight="1" x14ac:dyDescent="0.25">
      <c r="A325">
        <v>70</v>
      </c>
      <c r="B325">
        <v>1</v>
      </c>
      <c r="D325">
        <v>1</v>
      </c>
      <c r="E325" t="s">
        <v>422</v>
      </c>
      <c r="F325" t="s">
        <v>423</v>
      </c>
      <c r="G325">
        <v>0</v>
      </c>
      <c r="H325">
        <v>0</v>
      </c>
      <c r="I325" t="s">
        <v>3</v>
      </c>
      <c r="J325">
        <v>1</v>
      </c>
      <c r="K325">
        <v>0</v>
      </c>
      <c r="L325" t="s">
        <v>3</v>
      </c>
      <c r="M325" t="s">
        <v>3</v>
      </c>
      <c r="N325">
        <v>0</v>
      </c>
      <c r="P325" t="s">
        <v>424</v>
      </c>
    </row>
    <row r="326" spans="1:28" ht="13.05" customHeight="1" x14ac:dyDescent="0.25">
      <c r="A326">
        <v>70</v>
      </c>
      <c r="B326">
        <v>1</v>
      </c>
      <c r="D326">
        <v>2</v>
      </c>
      <c r="E326" t="s">
        <v>425</v>
      </c>
      <c r="F326" t="s">
        <v>426</v>
      </c>
      <c r="G326">
        <v>0</v>
      </c>
      <c r="H326">
        <v>0</v>
      </c>
      <c r="I326" t="s">
        <v>3</v>
      </c>
      <c r="J326">
        <v>1</v>
      </c>
      <c r="K326">
        <v>0</v>
      </c>
      <c r="L326" t="s">
        <v>3</v>
      </c>
      <c r="M326" t="s">
        <v>3</v>
      </c>
      <c r="N326">
        <v>0</v>
      </c>
      <c r="P326" t="s">
        <v>427</v>
      </c>
    </row>
    <row r="327" spans="1:28" ht="13.05" customHeight="1" x14ac:dyDescent="0.25">
      <c r="A327">
        <v>70</v>
      </c>
      <c r="B327">
        <v>1</v>
      </c>
      <c r="D327">
        <v>3</v>
      </c>
      <c r="E327" t="s">
        <v>428</v>
      </c>
      <c r="F327" t="s">
        <v>429</v>
      </c>
      <c r="G327">
        <v>1</v>
      </c>
      <c r="H327">
        <v>0</v>
      </c>
      <c r="I327" t="s">
        <v>3</v>
      </c>
      <c r="J327">
        <v>1</v>
      </c>
      <c r="K327">
        <v>0</v>
      </c>
      <c r="L327" t="s">
        <v>3</v>
      </c>
      <c r="M327" t="s">
        <v>3</v>
      </c>
      <c r="N327">
        <v>0</v>
      </c>
      <c r="P327" t="s">
        <v>430</v>
      </c>
    </row>
    <row r="328" spans="1:28" ht="13.05" customHeight="1" x14ac:dyDescent="0.25">
      <c r="A328">
        <v>70</v>
      </c>
      <c r="B328">
        <v>1</v>
      </c>
      <c r="D328">
        <v>4</v>
      </c>
      <c r="E328" t="s">
        <v>431</v>
      </c>
      <c r="F328" t="s">
        <v>432</v>
      </c>
      <c r="G328">
        <v>1</v>
      </c>
      <c r="H328">
        <v>0</v>
      </c>
      <c r="I328" t="s">
        <v>3</v>
      </c>
      <c r="J328">
        <v>2</v>
      </c>
      <c r="K328">
        <v>0</v>
      </c>
      <c r="L328" t="s">
        <v>3</v>
      </c>
      <c r="M328" t="s">
        <v>3</v>
      </c>
      <c r="N328">
        <v>0</v>
      </c>
      <c r="P328" t="s">
        <v>3</v>
      </c>
    </row>
    <row r="329" spans="1:28" ht="13.05" customHeight="1" x14ac:dyDescent="0.25">
      <c r="A329">
        <v>70</v>
      </c>
      <c r="B329">
        <v>1</v>
      </c>
      <c r="D329">
        <v>5</v>
      </c>
      <c r="E329" t="s">
        <v>433</v>
      </c>
      <c r="F329" t="s">
        <v>434</v>
      </c>
      <c r="G329">
        <v>0</v>
      </c>
      <c r="H329">
        <v>0</v>
      </c>
      <c r="I329" t="s">
        <v>3</v>
      </c>
      <c r="J329">
        <v>2</v>
      </c>
      <c r="K329">
        <v>0</v>
      </c>
      <c r="L329" t="s">
        <v>3</v>
      </c>
      <c r="M329" t="s">
        <v>3</v>
      </c>
      <c r="N329">
        <v>0</v>
      </c>
      <c r="P329" t="s">
        <v>3</v>
      </c>
    </row>
    <row r="330" spans="1:28" ht="13.05" customHeight="1" x14ac:dyDescent="0.25">
      <c r="A330">
        <v>70</v>
      </c>
      <c r="B330">
        <v>1</v>
      </c>
      <c r="D330">
        <v>6</v>
      </c>
      <c r="E330" t="s">
        <v>435</v>
      </c>
      <c r="F330" t="s">
        <v>436</v>
      </c>
      <c r="G330">
        <v>0</v>
      </c>
      <c r="H330">
        <v>0</v>
      </c>
      <c r="I330" t="s">
        <v>3</v>
      </c>
      <c r="J330">
        <v>2</v>
      </c>
      <c r="K330">
        <v>0</v>
      </c>
      <c r="L330" t="s">
        <v>3</v>
      </c>
      <c r="M330" t="s">
        <v>3</v>
      </c>
      <c r="N330">
        <v>0</v>
      </c>
      <c r="P330" t="s">
        <v>3</v>
      </c>
    </row>
    <row r="331" spans="1:28" ht="13.05" customHeight="1" x14ac:dyDescent="0.25">
      <c r="A331">
        <v>70</v>
      </c>
      <c r="B331">
        <v>1</v>
      </c>
      <c r="D331">
        <v>7</v>
      </c>
      <c r="E331" t="s">
        <v>437</v>
      </c>
      <c r="F331" t="s">
        <v>438</v>
      </c>
      <c r="G331">
        <v>0</v>
      </c>
      <c r="H331">
        <v>0</v>
      </c>
      <c r="I331" t="s">
        <v>439</v>
      </c>
      <c r="J331">
        <v>0</v>
      </c>
      <c r="K331">
        <v>0</v>
      </c>
      <c r="L331" t="s">
        <v>3</v>
      </c>
      <c r="M331" t="s">
        <v>3</v>
      </c>
      <c r="N331">
        <v>0</v>
      </c>
      <c r="P331" t="s">
        <v>440</v>
      </c>
    </row>
    <row r="332" spans="1:28" ht="13.05" customHeight="1" x14ac:dyDescent="0.25">
      <c r="A332">
        <v>70</v>
      </c>
      <c r="B332">
        <v>1</v>
      </c>
      <c r="D332">
        <v>8</v>
      </c>
      <c r="E332" t="s">
        <v>441</v>
      </c>
      <c r="F332" t="s">
        <v>442</v>
      </c>
      <c r="G332">
        <v>1</v>
      </c>
      <c r="H332">
        <v>0</v>
      </c>
      <c r="I332" t="s">
        <v>3</v>
      </c>
      <c r="J332">
        <v>5</v>
      </c>
      <c r="K332">
        <v>0</v>
      </c>
      <c r="L332" t="s">
        <v>3</v>
      </c>
      <c r="M332" t="s">
        <v>3</v>
      </c>
      <c r="N332">
        <v>0</v>
      </c>
      <c r="P332" t="s">
        <v>3</v>
      </c>
    </row>
    <row r="333" spans="1:28" ht="13.05" customHeight="1" x14ac:dyDescent="0.25">
      <c r="A333">
        <v>70</v>
      </c>
      <c r="B333">
        <v>1</v>
      </c>
      <c r="D333">
        <v>9</v>
      </c>
      <c r="E333" t="s">
        <v>443</v>
      </c>
      <c r="F333" t="s">
        <v>444</v>
      </c>
      <c r="G333">
        <v>0</v>
      </c>
      <c r="H333">
        <v>0</v>
      </c>
      <c r="I333" t="s">
        <v>3</v>
      </c>
      <c r="J333">
        <v>5</v>
      </c>
      <c r="K333">
        <v>0</v>
      </c>
      <c r="L333" t="s">
        <v>3</v>
      </c>
      <c r="M333" t="s">
        <v>3</v>
      </c>
      <c r="N333">
        <v>0</v>
      </c>
      <c r="P333" t="s">
        <v>445</v>
      </c>
    </row>
    <row r="334" spans="1:28" ht="13.05" customHeight="1" x14ac:dyDescent="0.25">
      <c r="A334">
        <v>70</v>
      </c>
      <c r="B334">
        <v>1</v>
      </c>
      <c r="D334">
        <v>10</v>
      </c>
      <c r="E334" t="s">
        <v>446</v>
      </c>
      <c r="F334" t="s">
        <v>447</v>
      </c>
      <c r="G334">
        <v>0</v>
      </c>
      <c r="H334">
        <v>0</v>
      </c>
      <c r="I334" t="s">
        <v>448</v>
      </c>
      <c r="J334">
        <v>5</v>
      </c>
      <c r="K334">
        <v>0</v>
      </c>
      <c r="L334" t="s">
        <v>3</v>
      </c>
      <c r="M334" t="s">
        <v>3</v>
      </c>
      <c r="N334">
        <v>0</v>
      </c>
      <c r="P334" t="s">
        <v>449</v>
      </c>
    </row>
    <row r="335" spans="1:28" ht="13.05" customHeight="1" x14ac:dyDescent="0.25">
      <c r="A335">
        <v>70</v>
      </c>
      <c r="B335">
        <v>1</v>
      </c>
      <c r="D335">
        <v>11</v>
      </c>
      <c r="E335" t="s">
        <v>450</v>
      </c>
      <c r="F335" t="s">
        <v>451</v>
      </c>
      <c r="G335">
        <v>0</v>
      </c>
      <c r="H335">
        <v>0</v>
      </c>
      <c r="I335" t="s">
        <v>452</v>
      </c>
      <c r="J335">
        <v>0</v>
      </c>
      <c r="K335">
        <v>0</v>
      </c>
      <c r="L335" t="s">
        <v>3</v>
      </c>
      <c r="M335" t="s">
        <v>3</v>
      </c>
      <c r="N335">
        <v>0</v>
      </c>
      <c r="P335" t="s">
        <v>453</v>
      </c>
    </row>
    <row r="336" spans="1:28" ht="13.05" customHeight="1" x14ac:dyDescent="0.25">
      <c r="A336">
        <v>70</v>
      </c>
      <c r="B336">
        <v>1</v>
      </c>
      <c r="D336">
        <v>12</v>
      </c>
      <c r="E336" t="s">
        <v>454</v>
      </c>
      <c r="F336" t="s">
        <v>455</v>
      </c>
      <c r="G336">
        <v>0</v>
      </c>
      <c r="H336">
        <v>0</v>
      </c>
      <c r="I336" t="s">
        <v>456</v>
      </c>
      <c r="J336">
        <v>0</v>
      </c>
      <c r="K336">
        <v>0</v>
      </c>
      <c r="L336" t="s">
        <v>3</v>
      </c>
      <c r="M336" t="s">
        <v>3</v>
      </c>
      <c r="N336">
        <v>0</v>
      </c>
      <c r="P336" t="s">
        <v>457</v>
      </c>
    </row>
    <row r="337" spans="1:40" ht="13.05" customHeight="1" x14ac:dyDescent="0.25">
      <c r="A337">
        <v>70</v>
      </c>
      <c r="B337">
        <v>1</v>
      </c>
      <c r="D337">
        <v>13</v>
      </c>
      <c r="E337" t="s">
        <v>458</v>
      </c>
      <c r="F337" t="s">
        <v>459</v>
      </c>
      <c r="G337">
        <v>0</v>
      </c>
      <c r="H337">
        <v>0</v>
      </c>
      <c r="I337" t="s">
        <v>460</v>
      </c>
      <c r="J337">
        <v>0</v>
      </c>
      <c r="K337">
        <v>0</v>
      </c>
      <c r="L337" t="s">
        <v>3</v>
      </c>
      <c r="M337" t="s">
        <v>3</v>
      </c>
      <c r="N337">
        <v>0</v>
      </c>
      <c r="P337" t="s">
        <v>461</v>
      </c>
    </row>
    <row r="338" spans="1:40" ht="13.05" customHeight="1" x14ac:dyDescent="0.25">
      <c r="A338">
        <v>70</v>
      </c>
      <c r="B338">
        <v>1</v>
      </c>
      <c r="D338">
        <v>14</v>
      </c>
      <c r="E338" t="s">
        <v>462</v>
      </c>
      <c r="F338" t="s">
        <v>463</v>
      </c>
      <c r="G338">
        <v>0</v>
      </c>
      <c r="H338">
        <v>0</v>
      </c>
      <c r="I338" t="s">
        <v>3</v>
      </c>
      <c r="J338">
        <v>0</v>
      </c>
      <c r="K338">
        <v>0</v>
      </c>
      <c r="L338" t="s">
        <v>3</v>
      </c>
      <c r="M338" t="s">
        <v>3</v>
      </c>
      <c r="N338">
        <v>0</v>
      </c>
      <c r="P338" t="s">
        <v>3</v>
      </c>
    </row>
    <row r="339" spans="1:40" ht="13.05" customHeight="1" x14ac:dyDescent="0.25">
      <c r="A339">
        <v>70</v>
      </c>
      <c r="B339">
        <v>1</v>
      </c>
      <c r="D339">
        <v>15</v>
      </c>
      <c r="E339" t="s">
        <v>464</v>
      </c>
      <c r="F339" t="s">
        <v>465</v>
      </c>
      <c r="G339">
        <v>0</v>
      </c>
      <c r="H339">
        <v>0</v>
      </c>
      <c r="I339" t="s">
        <v>3</v>
      </c>
      <c r="J339">
        <v>0</v>
      </c>
      <c r="K339">
        <v>0</v>
      </c>
      <c r="L339" t="s">
        <v>3</v>
      </c>
      <c r="M339" t="s">
        <v>3</v>
      </c>
      <c r="N339">
        <v>0</v>
      </c>
      <c r="P339" t="s">
        <v>466</v>
      </c>
    </row>
    <row r="340" spans="1:40" ht="13.05" customHeight="1" x14ac:dyDescent="0.25">
      <c r="A340">
        <v>70</v>
      </c>
      <c r="B340">
        <v>1</v>
      </c>
      <c r="D340">
        <v>16</v>
      </c>
      <c r="E340" t="s">
        <v>467</v>
      </c>
      <c r="F340" t="s">
        <v>468</v>
      </c>
      <c r="G340">
        <v>0</v>
      </c>
      <c r="H340">
        <v>0</v>
      </c>
      <c r="I340" t="s">
        <v>3</v>
      </c>
      <c r="J340">
        <v>3</v>
      </c>
      <c r="K340">
        <v>0</v>
      </c>
      <c r="L340" t="s">
        <v>3</v>
      </c>
      <c r="M340" t="s">
        <v>3</v>
      </c>
      <c r="N340">
        <v>0</v>
      </c>
      <c r="P340" t="s">
        <v>3</v>
      </c>
    </row>
    <row r="341" spans="1:40" ht="13.05" customHeight="1" x14ac:dyDescent="0.25">
      <c r="A341">
        <v>70</v>
      </c>
      <c r="B341">
        <v>1</v>
      </c>
      <c r="D341">
        <v>17</v>
      </c>
      <c r="E341" t="s">
        <v>469</v>
      </c>
      <c r="F341" t="s">
        <v>470</v>
      </c>
      <c r="G341">
        <v>1</v>
      </c>
      <c r="H341">
        <v>0</v>
      </c>
      <c r="I341" t="s">
        <v>3</v>
      </c>
      <c r="J341">
        <v>3</v>
      </c>
      <c r="K341">
        <v>0</v>
      </c>
      <c r="L341" t="s">
        <v>3</v>
      </c>
      <c r="M341" t="s">
        <v>3</v>
      </c>
      <c r="N341">
        <v>0</v>
      </c>
      <c r="P341" t="s">
        <v>3</v>
      </c>
    </row>
    <row r="342" spans="1:40" ht="13.05" customHeight="1" x14ac:dyDescent="0.25">
      <c r="A342">
        <v>70</v>
      </c>
      <c r="B342">
        <v>1</v>
      </c>
      <c r="D342">
        <v>1</v>
      </c>
      <c r="E342" t="s">
        <v>471</v>
      </c>
      <c r="F342" t="s">
        <v>472</v>
      </c>
      <c r="G342">
        <v>0.9</v>
      </c>
      <c r="H342">
        <v>1</v>
      </c>
      <c r="I342" t="s">
        <v>473</v>
      </c>
      <c r="J342">
        <v>0</v>
      </c>
      <c r="K342">
        <v>0</v>
      </c>
      <c r="L342" t="s">
        <v>3</v>
      </c>
      <c r="M342" t="s">
        <v>3</v>
      </c>
      <c r="N342">
        <v>0</v>
      </c>
      <c r="P342" t="s">
        <v>474</v>
      </c>
    </row>
    <row r="343" spans="1:40" ht="13.05" customHeight="1" x14ac:dyDescent="0.25">
      <c r="A343">
        <v>70</v>
      </c>
      <c r="B343">
        <v>1</v>
      </c>
      <c r="D343">
        <v>2</v>
      </c>
      <c r="E343" t="s">
        <v>475</v>
      </c>
      <c r="F343" t="s">
        <v>476</v>
      </c>
      <c r="G343">
        <v>0.85</v>
      </c>
      <c r="H343">
        <v>1</v>
      </c>
      <c r="I343" t="s">
        <v>477</v>
      </c>
      <c r="J343">
        <v>0</v>
      </c>
      <c r="K343">
        <v>0</v>
      </c>
      <c r="L343" t="s">
        <v>3</v>
      </c>
      <c r="M343" t="s">
        <v>3</v>
      </c>
      <c r="N343">
        <v>0</v>
      </c>
      <c r="P343" t="s">
        <v>478</v>
      </c>
    </row>
    <row r="344" spans="1:40" ht="13.05" customHeight="1" x14ac:dyDescent="0.25">
      <c r="A344">
        <v>70</v>
      </c>
      <c r="B344">
        <v>1</v>
      </c>
      <c r="D344">
        <v>3</v>
      </c>
      <c r="E344" t="s">
        <v>479</v>
      </c>
      <c r="F344" t="s">
        <v>480</v>
      </c>
      <c r="G344">
        <v>1.03</v>
      </c>
      <c r="H344">
        <v>0</v>
      </c>
      <c r="I344" t="s">
        <v>3</v>
      </c>
      <c r="J344">
        <v>0</v>
      </c>
      <c r="K344">
        <v>0</v>
      </c>
      <c r="L344" t="s">
        <v>3</v>
      </c>
      <c r="M344" t="s">
        <v>3</v>
      </c>
      <c r="N344">
        <v>0</v>
      </c>
      <c r="P344" t="s">
        <v>481</v>
      </c>
    </row>
    <row r="345" spans="1:40" ht="13.05" customHeight="1" x14ac:dyDescent="0.25">
      <c r="A345">
        <v>70</v>
      </c>
      <c r="B345">
        <v>1</v>
      </c>
      <c r="D345">
        <v>4</v>
      </c>
      <c r="E345" t="s">
        <v>482</v>
      </c>
      <c r="F345" t="s">
        <v>483</v>
      </c>
      <c r="G345">
        <v>1.1499999999999999</v>
      </c>
      <c r="H345">
        <v>0</v>
      </c>
      <c r="I345" t="s">
        <v>3</v>
      </c>
      <c r="J345">
        <v>0</v>
      </c>
      <c r="K345">
        <v>0</v>
      </c>
      <c r="L345" t="s">
        <v>3</v>
      </c>
      <c r="M345" t="s">
        <v>3</v>
      </c>
      <c r="N345">
        <v>0</v>
      </c>
      <c r="P345" t="s">
        <v>484</v>
      </c>
    </row>
    <row r="346" spans="1:40" ht="13.05" customHeight="1" x14ac:dyDescent="0.25">
      <c r="A346">
        <v>70</v>
      </c>
      <c r="B346">
        <v>1</v>
      </c>
      <c r="D346">
        <v>5</v>
      </c>
      <c r="E346" t="s">
        <v>485</v>
      </c>
      <c r="F346" t="s">
        <v>486</v>
      </c>
      <c r="G346">
        <v>7</v>
      </c>
      <c r="H346">
        <v>0</v>
      </c>
      <c r="I346" t="s">
        <v>3</v>
      </c>
      <c r="J346">
        <v>0</v>
      </c>
      <c r="K346">
        <v>0</v>
      </c>
      <c r="L346" t="s">
        <v>3</v>
      </c>
      <c r="M346" t="s">
        <v>3</v>
      </c>
      <c r="N346">
        <v>0</v>
      </c>
      <c r="P346" t="s">
        <v>3</v>
      </c>
    </row>
    <row r="347" spans="1:40" ht="13.05" customHeight="1" x14ac:dyDescent="0.25">
      <c r="A347">
        <v>70</v>
      </c>
      <c r="B347">
        <v>1</v>
      </c>
      <c r="D347">
        <v>6</v>
      </c>
      <c r="E347" t="s">
        <v>487</v>
      </c>
      <c r="F347" t="s">
        <v>3</v>
      </c>
      <c r="G347">
        <v>2</v>
      </c>
      <c r="H347">
        <v>0</v>
      </c>
      <c r="I347" t="s">
        <v>3</v>
      </c>
      <c r="J347">
        <v>0</v>
      </c>
      <c r="K347">
        <v>0</v>
      </c>
      <c r="L347" t="s">
        <v>3</v>
      </c>
      <c r="M347" t="s">
        <v>3</v>
      </c>
      <c r="N347">
        <v>0</v>
      </c>
      <c r="P347" t="s">
        <v>3</v>
      </c>
    </row>
    <row r="348" spans="1:40" ht="13.05" customHeight="1" x14ac:dyDescent="0.25"/>
    <row r="349" spans="1:40" ht="13.05" customHeight="1" x14ac:dyDescent="0.25">
      <c r="A349">
        <v>-1</v>
      </c>
    </row>
    <row r="350" spans="1:40" ht="13.05" customHeight="1" x14ac:dyDescent="0.25"/>
    <row r="351" spans="1:40" ht="13.05" customHeight="1" x14ac:dyDescent="0.25">
      <c r="A351" s="4">
        <v>75</v>
      </c>
      <c r="B351" s="4" t="s">
        <v>488</v>
      </c>
      <c r="C351" s="4">
        <v>2026</v>
      </c>
      <c r="D351" s="4">
        <v>0</v>
      </c>
      <c r="E351" s="4">
        <v>6</v>
      </c>
      <c r="F351" s="4">
        <v>1</v>
      </c>
      <c r="G351" s="4">
        <v>0</v>
      </c>
      <c r="H351" s="4">
        <v>1</v>
      </c>
      <c r="I351" s="4">
        <v>0</v>
      </c>
      <c r="J351" s="4">
        <v>1</v>
      </c>
      <c r="K351" s="4">
        <v>0</v>
      </c>
      <c r="L351" s="4">
        <v>0</v>
      </c>
      <c r="M351" s="4">
        <v>0</v>
      </c>
      <c r="N351" s="4">
        <v>75604747</v>
      </c>
      <c r="O351" s="4">
        <v>1</v>
      </c>
    </row>
    <row r="352" spans="1:40" ht="13.05" customHeight="1" x14ac:dyDescent="0.25">
      <c r="A352" s="6">
        <v>2</v>
      </c>
      <c r="B352" s="6" t="s">
        <v>489</v>
      </c>
      <c r="C352" s="6" t="s">
        <v>490</v>
      </c>
      <c r="D352" s="6">
        <v>0</v>
      </c>
      <c r="E352" s="6">
        <v>0</v>
      </c>
      <c r="F352" s="6">
        <v>0</v>
      </c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>
        <v>75604748</v>
      </c>
    </row>
    <row r="353" spans="1:50" ht="13.05" customHeight="1" x14ac:dyDescent="0.25">
      <c r="A353" s="6">
        <v>1</v>
      </c>
      <c r="B353" s="6" t="s">
        <v>491</v>
      </c>
      <c r="C353" s="6" t="s">
        <v>492</v>
      </c>
      <c r="D353" s="6">
        <v>2026</v>
      </c>
      <c r="E353" s="6">
        <v>6</v>
      </c>
      <c r="F353" s="6">
        <v>1</v>
      </c>
      <c r="G353" s="6">
        <v>1</v>
      </c>
      <c r="H353" s="6">
        <v>0</v>
      </c>
      <c r="I353" s="6">
        <v>2</v>
      </c>
      <c r="J353" s="6">
        <v>1</v>
      </c>
      <c r="K353" s="6">
        <v>1</v>
      </c>
      <c r="L353" s="6">
        <v>1</v>
      </c>
      <c r="M353" s="6">
        <v>1</v>
      </c>
      <c r="N353" s="6">
        <v>1</v>
      </c>
      <c r="O353" s="6">
        <v>1</v>
      </c>
      <c r="P353" s="6">
        <v>1</v>
      </c>
      <c r="Q353" s="6">
        <v>1</v>
      </c>
      <c r="R353" s="6" t="s">
        <v>3</v>
      </c>
      <c r="S353" s="6" t="s">
        <v>3</v>
      </c>
      <c r="T353" s="6" t="s">
        <v>3</v>
      </c>
      <c r="U353" s="6" t="s">
        <v>3</v>
      </c>
      <c r="V353" s="6" t="s">
        <v>3</v>
      </c>
      <c r="W353" s="6" t="s">
        <v>3</v>
      </c>
      <c r="X353" s="6" t="s">
        <v>3</v>
      </c>
      <c r="Y353" s="6" t="s">
        <v>3</v>
      </c>
      <c r="Z353" s="6" t="s">
        <v>3</v>
      </c>
      <c r="AA353" s="6" t="s">
        <v>3</v>
      </c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>
        <v>75604749</v>
      </c>
      <c r="AO353" s="6" t="s">
        <v>493</v>
      </c>
      <c r="AP353" s="6" t="s">
        <v>494</v>
      </c>
      <c r="AQ353" s="6">
        <v>46164</v>
      </c>
      <c r="AR353" s="6">
        <v>417</v>
      </c>
      <c r="AS353" s="6" t="s">
        <v>495</v>
      </c>
      <c r="AT353" s="6" t="s">
        <v>496</v>
      </c>
      <c r="AU353" s="6" t="s">
        <v>494</v>
      </c>
      <c r="AV353" s="6">
        <v>46101</v>
      </c>
      <c r="AW353" s="6">
        <v>215</v>
      </c>
      <c r="AX353" s="6" t="s">
        <v>497</v>
      </c>
    </row>
    <row r="354" spans="1:50" ht="13.05" customHeight="1" x14ac:dyDescent="0.25"/>
    <row r="355" spans="1:50" ht="13.05" customHeight="1" x14ac:dyDescent="0.25"/>
    <row r="356" spans="1:50" ht="13.05" customHeight="1" x14ac:dyDescent="0.25"/>
    <row r="357" spans="1:50" ht="13.05" customHeight="1" x14ac:dyDescent="0.25">
      <c r="A357">
        <v>65</v>
      </c>
      <c r="C357">
        <v>1</v>
      </c>
      <c r="D357">
        <v>0</v>
      </c>
      <c r="E357">
        <v>245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C55"/>
  <sheetViews>
    <sheetView workbookViewId="0"/>
  </sheetViews>
  <sheetFormatPr defaultColWidth="9.21875" defaultRowHeight="13.2" x14ac:dyDescent="0.25"/>
  <cols>
    <col min="1" max="256" width="9.21875" style="2" customWidth="1"/>
    <col min="257" max="16384" width="9.21875" style="2"/>
  </cols>
  <sheetData>
    <row r="1" spans="1:133" x14ac:dyDescent="0.25">
      <c r="A1" s="2">
        <v>0</v>
      </c>
      <c r="B1" s="2" t="s">
        <v>0</v>
      </c>
      <c r="D1" s="2" t="s">
        <v>498</v>
      </c>
      <c r="F1" s="2">
        <v>0</v>
      </c>
      <c r="G1" s="2">
        <v>0</v>
      </c>
      <c r="H1" s="2">
        <v>0</v>
      </c>
      <c r="I1" s="2" t="s">
        <v>2</v>
      </c>
      <c r="J1" s="2" t="s">
        <v>3</v>
      </c>
      <c r="K1" s="2">
        <v>1</v>
      </c>
      <c r="L1" s="2">
        <v>73345</v>
      </c>
      <c r="M1" s="2">
        <v>10</v>
      </c>
      <c r="N1" s="2">
        <v>12</v>
      </c>
      <c r="O1" s="2">
        <v>1</v>
      </c>
      <c r="P1" s="2">
        <v>0</v>
      </c>
      <c r="Q1" s="2">
        <v>4</v>
      </c>
    </row>
    <row r="4" spans="1:133" x14ac:dyDescent="0.25">
      <c r="A4" s="8">
        <v>8</v>
      </c>
      <c r="B4" s="8">
        <v>1</v>
      </c>
      <c r="C4" s="8">
        <v>-1</v>
      </c>
      <c r="D4" s="8"/>
      <c r="E4" s="8"/>
      <c r="F4" s="8" t="s">
        <v>4</v>
      </c>
      <c r="G4" s="8" t="s">
        <v>5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>
        <v>0</v>
      </c>
    </row>
    <row r="12" spans="1:133" x14ac:dyDescent="0.25">
      <c r="A12" s="8">
        <v>1</v>
      </c>
      <c r="B12" s="8">
        <v>53</v>
      </c>
      <c r="C12" s="8">
        <v>0</v>
      </c>
      <c r="D12" s="8"/>
      <c r="E12" s="8">
        <v>0</v>
      </c>
      <c r="F12" s="8" t="s">
        <v>6</v>
      </c>
      <c r="G12" s="8" t="s">
        <v>7</v>
      </c>
      <c r="H12" s="8" t="s">
        <v>3</v>
      </c>
      <c r="I12" s="8">
        <v>0</v>
      </c>
      <c r="J12" s="8" t="s">
        <v>3</v>
      </c>
      <c r="K12" s="8">
        <v>0</v>
      </c>
      <c r="L12" s="8">
        <v>0</v>
      </c>
      <c r="M12" s="8">
        <v>523</v>
      </c>
      <c r="N12" s="8"/>
      <c r="O12" s="8">
        <v>0</v>
      </c>
      <c r="P12" s="8">
        <v>0</v>
      </c>
      <c r="Q12" s="8">
        <v>7</v>
      </c>
      <c r="R12" s="8">
        <v>0</v>
      </c>
      <c r="S12" s="8"/>
      <c r="T12" s="8">
        <v>4</v>
      </c>
      <c r="U12" s="8" t="s">
        <v>3</v>
      </c>
      <c r="V12" s="8">
        <v>0</v>
      </c>
      <c r="W12" s="8" t="s">
        <v>3</v>
      </c>
      <c r="X12" s="8" t="s">
        <v>3</v>
      </c>
      <c r="Y12" s="8" t="s">
        <v>3</v>
      </c>
      <c r="Z12" s="8"/>
      <c r="AA12" s="8" t="s">
        <v>3</v>
      </c>
      <c r="AB12" s="8" t="s">
        <v>3</v>
      </c>
      <c r="AC12" s="8" t="s">
        <v>3</v>
      </c>
      <c r="AD12" s="8" t="s">
        <v>3</v>
      </c>
      <c r="AE12" s="8" t="s">
        <v>3</v>
      </c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>
        <v>0</v>
      </c>
      <c r="BC12" s="8"/>
      <c r="BD12" s="8"/>
      <c r="BE12" s="8"/>
      <c r="BF12" s="8"/>
      <c r="BG12" s="8"/>
      <c r="BH12" s="8" t="s">
        <v>8</v>
      </c>
      <c r="BI12" s="8" t="s">
        <v>9</v>
      </c>
      <c r="BJ12" s="8">
        <v>1</v>
      </c>
      <c r="BK12" s="8">
        <v>1</v>
      </c>
      <c r="BL12" s="8">
        <v>0</v>
      </c>
      <c r="BM12" s="8">
        <v>0</v>
      </c>
      <c r="BN12" s="8">
        <v>1</v>
      </c>
      <c r="BO12" s="8">
        <v>0</v>
      </c>
      <c r="BP12" s="8">
        <v>6</v>
      </c>
      <c r="BQ12" s="8">
        <v>2</v>
      </c>
      <c r="BR12" s="8">
        <v>1</v>
      </c>
      <c r="BS12" s="8">
        <v>1</v>
      </c>
      <c r="BT12" s="8">
        <v>0</v>
      </c>
      <c r="BU12" s="8">
        <v>0</v>
      </c>
      <c r="BV12" s="8">
        <v>1</v>
      </c>
      <c r="BW12" s="8">
        <v>0</v>
      </c>
      <c r="BX12" s="8">
        <v>0</v>
      </c>
      <c r="BY12" s="8" t="s">
        <v>10</v>
      </c>
      <c r="BZ12" s="8" t="s">
        <v>11</v>
      </c>
      <c r="CA12" s="8" t="s">
        <v>12</v>
      </c>
      <c r="CB12" s="8" t="s">
        <v>12</v>
      </c>
      <c r="CC12" s="8" t="s">
        <v>12</v>
      </c>
      <c r="CD12" s="8" t="s">
        <v>12</v>
      </c>
      <c r="CE12" s="8" t="s">
        <v>13</v>
      </c>
      <c r="CF12" s="8">
        <v>0</v>
      </c>
      <c r="CG12" s="8">
        <v>0</v>
      </c>
      <c r="CH12" s="8">
        <v>487096328</v>
      </c>
      <c r="CI12" s="8" t="s">
        <v>3</v>
      </c>
      <c r="CJ12" s="8" t="s">
        <v>3</v>
      </c>
      <c r="CK12" s="8">
        <v>18</v>
      </c>
      <c r="CL12" s="8"/>
      <c r="CM12" s="8"/>
      <c r="CN12" s="8"/>
      <c r="CO12" s="8"/>
      <c r="CP12" s="8"/>
      <c r="CQ12" s="8" t="s">
        <v>14</v>
      </c>
      <c r="CR12" s="8" t="s">
        <v>15</v>
      </c>
      <c r="CS12" s="8">
        <v>46161</v>
      </c>
      <c r="CT12" s="8">
        <v>567</v>
      </c>
      <c r="CU12" s="8">
        <v>18</v>
      </c>
      <c r="CV12" s="8" t="s">
        <v>800</v>
      </c>
      <c r="CW12" s="8"/>
      <c r="CX12" s="8"/>
      <c r="CY12" s="8">
        <v>0</v>
      </c>
      <c r="CZ12" s="8" t="s">
        <v>3</v>
      </c>
      <c r="DA12" s="8" t="s">
        <v>3</v>
      </c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>
        <v>0</v>
      </c>
    </row>
    <row r="14" spans="1:133" x14ac:dyDescent="0.25">
      <c r="A14" s="8">
        <v>22</v>
      </c>
      <c r="B14" s="8">
        <v>1</v>
      </c>
      <c r="C14" s="8">
        <v>0</v>
      </c>
      <c r="D14" s="8">
        <v>75604747</v>
      </c>
      <c r="E14" s="8">
        <v>0</v>
      </c>
      <c r="F14" s="8">
        <v>2</v>
      </c>
      <c r="G14" s="8">
        <v>1</v>
      </c>
      <c r="H14" s="8"/>
      <c r="I14" s="8"/>
      <c r="J14" s="8"/>
      <c r="K14" s="8"/>
      <c r="L14" s="8"/>
      <c r="M14" s="8"/>
      <c r="N14" s="8"/>
      <c r="O14" s="8"/>
    </row>
    <row r="16" spans="1:133" x14ac:dyDescent="0.25">
      <c r="A16" s="9">
        <v>3</v>
      </c>
      <c r="B16" s="9">
        <v>1</v>
      </c>
      <c r="C16" s="9" t="s">
        <v>16</v>
      </c>
      <c r="D16" s="9" t="s">
        <v>17</v>
      </c>
      <c r="E16" s="10">
        <f>ROUND((Source!F279)/1000,2)</f>
        <v>454.03</v>
      </c>
      <c r="F16" s="10">
        <f>ROUND((Source!F280)/1000,2)</f>
        <v>37.69</v>
      </c>
      <c r="G16" s="10">
        <f>ROUND((Source!F271)/1000,2)</f>
        <v>0</v>
      </c>
      <c r="H16" s="10">
        <f>ROUND((Source!F281)/1000+(Source!F282)/1000,2)</f>
        <v>0</v>
      </c>
      <c r="I16" s="10">
        <f>E16+F16+G16+H16</f>
        <v>491.71999999999997</v>
      </c>
      <c r="J16" s="10">
        <f>ROUND((Source!F277+Source!F276)/1000,2)</f>
        <v>128.21</v>
      </c>
      <c r="K16" s="10">
        <v>297.33</v>
      </c>
      <c r="L16" s="10">
        <v>0</v>
      </c>
      <c r="M16" s="10">
        <v>0</v>
      </c>
      <c r="N16" s="10">
        <f>I16+L16+M16</f>
        <v>491.71999999999997</v>
      </c>
      <c r="AI16" s="9">
        <v>0</v>
      </c>
      <c r="AJ16" s="9">
        <v>0</v>
      </c>
      <c r="AK16" s="9" t="s">
        <v>3</v>
      </c>
      <c r="AL16" s="9" t="s">
        <v>3</v>
      </c>
      <c r="AM16" s="9" t="s">
        <v>3</v>
      </c>
      <c r="AN16" s="9">
        <v>0</v>
      </c>
      <c r="AO16" s="9" t="s">
        <v>3</v>
      </c>
      <c r="AP16" s="9" t="s">
        <v>3</v>
      </c>
      <c r="AT16" s="10">
        <v>290882.42</v>
      </c>
      <c r="AU16" s="10">
        <v>69684.17</v>
      </c>
      <c r="AV16" s="10">
        <v>0</v>
      </c>
      <c r="AW16" s="10">
        <v>0</v>
      </c>
      <c r="AX16" s="10">
        <v>0</v>
      </c>
      <c r="AY16" s="10">
        <v>29754.47</v>
      </c>
      <c r="AZ16" s="10">
        <v>10155.609999999999</v>
      </c>
      <c r="BA16" s="10">
        <v>118050.62000000001</v>
      </c>
      <c r="BB16" s="10">
        <v>454034.8</v>
      </c>
      <c r="BC16" s="10">
        <v>37686.69</v>
      </c>
      <c r="BD16" s="10">
        <v>0</v>
      </c>
      <c r="BE16" s="10">
        <v>0</v>
      </c>
      <c r="BF16" s="10">
        <v>345.98412400000001</v>
      </c>
      <c r="BG16" s="10">
        <v>24.553015800000001</v>
      </c>
      <c r="BH16" s="10">
        <v>0</v>
      </c>
      <c r="BI16" s="10">
        <v>128707.19</v>
      </c>
      <c r="BJ16" s="10">
        <v>72131.88</v>
      </c>
      <c r="BK16" s="10">
        <v>491721.49</v>
      </c>
    </row>
    <row r="18" spans="1:16" x14ac:dyDescent="0.25">
      <c r="A18" s="2">
        <v>51</v>
      </c>
      <c r="E18" s="2">
        <v>454.03</v>
      </c>
      <c r="F18" s="2">
        <v>37.69</v>
      </c>
      <c r="G18" s="2">
        <v>0</v>
      </c>
      <c r="H18" s="2">
        <v>0</v>
      </c>
      <c r="I18" s="2">
        <v>491.72</v>
      </c>
      <c r="J18" s="2">
        <v>128.21</v>
      </c>
      <c r="K18" s="2">
        <v>297.33</v>
      </c>
      <c r="L18" s="2">
        <v>0</v>
      </c>
      <c r="M18" s="2">
        <v>0</v>
      </c>
      <c r="N18" s="2">
        <v>491.72</v>
      </c>
    </row>
    <row r="20" spans="1:16" x14ac:dyDescent="0.25">
      <c r="A20" s="11">
        <v>50</v>
      </c>
      <c r="B20" s="11">
        <v>1</v>
      </c>
      <c r="C20" s="11">
        <v>0</v>
      </c>
      <c r="D20" s="11">
        <v>1</v>
      </c>
      <c r="E20" s="11">
        <v>201</v>
      </c>
      <c r="F20" s="11">
        <v>290882.42000000004</v>
      </c>
      <c r="G20" s="11" t="s">
        <v>104</v>
      </c>
      <c r="H20" s="11" t="s">
        <v>105</v>
      </c>
      <c r="I20" s="11"/>
      <c r="J20" s="11"/>
      <c r="K20" s="11">
        <v>201</v>
      </c>
      <c r="L20" s="11">
        <v>1</v>
      </c>
      <c r="M20" s="11">
        <v>0</v>
      </c>
      <c r="N20" s="11" t="s">
        <v>3</v>
      </c>
      <c r="O20" s="11">
        <v>2</v>
      </c>
      <c r="P20" s="11"/>
    </row>
    <row r="21" spans="1:16" x14ac:dyDescent="0.25">
      <c r="A21" s="11">
        <v>50</v>
      </c>
      <c r="B21" s="11">
        <f>IF(SourceObSm!F21&lt;&gt;0,1,0)</f>
        <v>1</v>
      </c>
      <c r="C21" s="11">
        <v>0</v>
      </c>
      <c r="D21" s="11">
        <v>1</v>
      </c>
      <c r="E21" s="11">
        <v>202</v>
      </c>
      <c r="F21" s="11">
        <v>69684.17</v>
      </c>
      <c r="G21" s="11" t="s">
        <v>106</v>
      </c>
      <c r="H21" s="11" t="s">
        <v>107</v>
      </c>
      <c r="I21" s="11"/>
      <c r="J21" s="11"/>
      <c r="K21" s="11">
        <v>202</v>
      </c>
      <c r="L21" s="11">
        <v>2</v>
      </c>
      <c r="M21" s="11">
        <v>1</v>
      </c>
      <c r="N21" s="11" t="s">
        <v>3</v>
      </c>
      <c r="O21" s="11">
        <v>2</v>
      </c>
      <c r="P21" s="11"/>
    </row>
    <row r="22" spans="1:16" x14ac:dyDescent="0.25">
      <c r="A22" s="11">
        <v>50</v>
      </c>
      <c r="B22" s="11">
        <v>0</v>
      </c>
      <c r="C22" s="11">
        <v>0</v>
      </c>
      <c r="D22" s="11">
        <v>1</v>
      </c>
      <c r="E22" s="11">
        <v>222</v>
      </c>
      <c r="F22" s="11">
        <v>0</v>
      </c>
      <c r="G22" s="11" t="s">
        <v>108</v>
      </c>
      <c r="H22" s="11" t="s">
        <v>109</v>
      </c>
      <c r="I22" s="11"/>
      <c r="J22" s="11"/>
      <c r="K22" s="11">
        <v>222</v>
      </c>
      <c r="L22" s="11">
        <v>3</v>
      </c>
      <c r="M22" s="11">
        <v>3</v>
      </c>
      <c r="N22" s="11" t="s">
        <v>3</v>
      </c>
      <c r="O22" s="11">
        <v>2</v>
      </c>
      <c r="P22" s="11"/>
    </row>
    <row r="23" spans="1:16" x14ac:dyDescent="0.25">
      <c r="A23" s="11">
        <v>50</v>
      </c>
      <c r="B23" s="11">
        <v>0</v>
      </c>
      <c r="C23" s="11">
        <v>0</v>
      </c>
      <c r="D23" s="11">
        <v>1</v>
      </c>
      <c r="E23" s="11">
        <v>225</v>
      </c>
      <c r="F23" s="11">
        <v>69684.17</v>
      </c>
      <c r="G23" s="11" t="s">
        <v>110</v>
      </c>
      <c r="H23" s="11" t="s">
        <v>111</v>
      </c>
      <c r="I23" s="11"/>
      <c r="J23" s="11"/>
      <c r="K23" s="11">
        <v>225</v>
      </c>
      <c r="L23" s="11">
        <v>4</v>
      </c>
      <c r="M23" s="11">
        <v>3</v>
      </c>
      <c r="N23" s="11" t="s">
        <v>3</v>
      </c>
      <c r="O23" s="11">
        <v>2</v>
      </c>
      <c r="P23" s="11"/>
    </row>
    <row r="24" spans="1:16" x14ac:dyDescent="0.25">
      <c r="A24" s="11">
        <v>50</v>
      </c>
      <c r="B24" s="11">
        <f>IF(SourceObSm!F24&lt;&gt;0,1,0)</f>
        <v>1</v>
      </c>
      <c r="C24" s="11">
        <v>0</v>
      </c>
      <c r="D24" s="11">
        <v>1</v>
      </c>
      <c r="E24" s="11">
        <v>226</v>
      </c>
      <c r="F24" s="11">
        <v>69684.17</v>
      </c>
      <c r="G24" s="11" t="s">
        <v>112</v>
      </c>
      <c r="H24" s="11" t="s">
        <v>113</v>
      </c>
      <c r="I24" s="11"/>
      <c r="J24" s="11"/>
      <c r="K24" s="11">
        <v>226</v>
      </c>
      <c r="L24" s="11">
        <v>5</v>
      </c>
      <c r="M24" s="11">
        <v>1</v>
      </c>
      <c r="N24" s="11" t="s">
        <v>3</v>
      </c>
      <c r="O24" s="11">
        <v>2</v>
      </c>
      <c r="P24" s="11"/>
    </row>
    <row r="25" spans="1:16" x14ac:dyDescent="0.25">
      <c r="A25" s="11">
        <v>50</v>
      </c>
      <c r="B25" s="11">
        <f>IF(SourceObSm!F25&lt;&gt;0,1,0)</f>
        <v>0</v>
      </c>
      <c r="C25" s="11">
        <v>0</v>
      </c>
      <c r="D25" s="11">
        <v>1</v>
      </c>
      <c r="E25" s="11">
        <v>227</v>
      </c>
      <c r="F25" s="11">
        <v>0</v>
      </c>
      <c r="G25" s="11" t="s">
        <v>114</v>
      </c>
      <c r="H25" s="11" t="s">
        <v>115</v>
      </c>
      <c r="I25" s="11"/>
      <c r="J25" s="11"/>
      <c r="K25" s="11">
        <v>227</v>
      </c>
      <c r="L25" s="11">
        <v>6</v>
      </c>
      <c r="M25" s="11">
        <v>1</v>
      </c>
      <c r="N25" s="11" t="s">
        <v>3</v>
      </c>
      <c r="O25" s="11">
        <v>2</v>
      </c>
      <c r="P25" s="11"/>
    </row>
    <row r="26" spans="1:16" x14ac:dyDescent="0.25">
      <c r="A26" s="11">
        <v>50</v>
      </c>
      <c r="B26" s="11">
        <v>0</v>
      </c>
      <c r="C26" s="11">
        <v>0</v>
      </c>
      <c r="D26" s="11">
        <v>1</v>
      </c>
      <c r="E26" s="11">
        <v>228</v>
      </c>
      <c r="F26" s="11">
        <v>69684.17</v>
      </c>
      <c r="G26" s="11" t="s">
        <v>116</v>
      </c>
      <c r="H26" s="11" t="s">
        <v>117</v>
      </c>
      <c r="I26" s="11"/>
      <c r="J26" s="11"/>
      <c r="K26" s="11">
        <v>228</v>
      </c>
      <c r="L26" s="11">
        <v>7</v>
      </c>
      <c r="M26" s="11">
        <v>3</v>
      </c>
      <c r="N26" s="11" t="s">
        <v>3</v>
      </c>
      <c r="O26" s="11">
        <v>2</v>
      </c>
      <c r="P26" s="11"/>
    </row>
    <row r="27" spans="1:16" x14ac:dyDescent="0.25">
      <c r="A27" s="11">
        <v>50</v>
      </c>
      <c r="B27" s="11">
        <f>IF(SourceObSm!F27&lt;&gt;0,1,0)</f>
        <v>0</v>
      </c>
      <c r="C27" s="11">
        <v>0</v>
      </c>
      <c r="D27" s="11">
        <v>1</v>
      </c>
      <c r="E27" s="11">
        <v>216</v>
      </c>
      <c r="F27" s="11">
        <v>0</v>
      </c>
      <c r="G27" s="11" t="s">
        <v>118</v>
      </c>
      <c r="H27" s="11" t="s">
        <v>119</v>
      </c>
      <c r="I27" s="11"/>
      <c r="J27" s="11"/>
      <c r="K27" s="11">
        <v>216</v>
      </c>
      <c r="L27" s="11">
        <v>8</v>
      </c>
      <c r="M27" s="11">
        <v>1</v>
      </c>
      <c r="N27" s="11" t="s">
        <v>3</v>
      </c>
      <c r="O27" s="11">
        <v>2</v>
      </c>
      <c r="P27" s="11"/>
    </row>
    <row r="28" spans="1:16" x14ac:dyDescent="0.25">
      <c r="A28" s="11">
        <v>50</v>
      </c>
      <c r="B28" s="11">
        <f>IF(SourceObSm!F28&lt;&gt;0,1,0)</f>
        <v>0</v>
      </c>
      <c r="C28" s="11">
        <v>0</v>
      </c>
      <c r="D28" s="11">
        <v>1</v>
      </c>
      <c r="E28" s="11">
        <v>223</v>
      </c>
      <c r="F28" s="11">
        <v>0</v>
      </c>
      <c r="G28" s="11" t="s">
        <v>120</v>
      </c>
      <c r="H28" s="11" t="s">
        <v>121</v>
      </c>
      <c r="I28" s="11"/>
      <c r="J28" s="11"/>
      <c r="K28" s="11">
        <v>223</v>
      </c>
      <c r="L28" s="11">
        <v>9</v>
      </c>
      <c r="M28" s="11">
        <v>1</v>
      </c>
      <c r="N28" s="11" t="s">
        <v>3</v>
      </c>
      <c r="O28" s="11">
        <v>2</v>
      </c>
      <c r="P28" s="11"/>
    </row>
    <row r="29" spans="1:16" x14ac:dyDescent="0.25">
      <c r="A29" s="11">
        <v>50</v>
      </c>
      <c r="B29" s="11">
        <v>0</v>
      </c>
      <c r="C29" s="11">
        <v>0</v>
      </c>
      <c r="D29" s="11">
        <v>1</v>
      </c>
      <c r="E29" s="11">
        <v>229</v>
      </c>
      <c r="F29" s="11">
        <v>0</v>
      </c>
      <c r="G29" s="11" t="s">
        <v>122</v>
      </c>
      <c r="H29" s="11" t="s">
        <v>123</v>
      </c>
      <c r="I29" s="11"/>
      <c r="J29" s="11"/>
      <c r="K29" s="11">
        <v>229</v>
      </c>
      <c r="L29" s="11">
        <v>10</v>
      </c>
      <c r="M29" s="11">
        <v>3</v>
      </c>
      <c r="N29" s="11" t="s">
        <v>3</v>
      </c>
      <c r="O29" s="11">
        <v>2</v>
      </c>
      <c r="P29" s="11"/>
    </row>
    <row r="30" spans="1:16" x14ac:dyDescent="0.25">
      <c r="A30" s="11">
        <v>50</v>
      </c>
      <c r="B30" s="11">
        <v>1</v>
      </c>
      <c r="C30" s="11">
        <v>0</v>
      </c>
      <c r="D30" s="11">
        <v>1</v>
      </c>
      <c r="E30" s="11">
        <v>203</v>
      </c>
      <c r="F30" s="11">
        <v>29754.47</v>
      </c>
      <c r="G30" s="11" t="s">
        <v>124</v>
      </c>
      <c r="H30" s="11" t="s">
        <v>125</v>
      </c>
      <c r="I30" s="11"/>
      <c r="J30" s="11"/>
      <c r="K30" s="11">
        <v>203</v>
      </c>
      <c r="L30" s="11">
        <v>11</v>
      </c>
      <c r="M30" s="11">
        <v>0</v>
      </c>
      <c r="N30" s="11" t="s">
        <v>3</v>
      </c>
      <c r="O30" s="11">
        <v>2</v>
      </c>
      <c r="P30" s="11"/>
    </row>
    <row r="31" spans="1:16" x14ac:dyDescent="0.25">
      <c r="A31" s="11">
        <v>50</v>
      </c>
      <c r="B31" s="11">
        <v>0</v>
      </c>
      <c r="C31" s="11">
        <v>0</v>
      </c>
      <c r="D31" s="11">
        <v>1</v>
      </c>
      <c r="E31" s="11">
        <v>231</v>
      </c>
      <c r="F31" s="11">
        <v>0</v>
      </c>
      <c r="G31" s="11" t="s">
        <v>126</v>
      </c>
      <c r="H31" s="11" t="s">
        <v>127</v>
      </c>
      <c r="I31" s="11"/>
      <c r="J31" s="11"/>
      <c r="K31" s="11">
        <v>231</v>
      </c>
      <c r="L31" s="11">
        <v>12</v>
      </c>
      <c r="M31" s="11">
        <v>3</v>
      </c>
      <c r="N31" s="11" t="s">
        <v>3</v>
      </c>
      <c r="O31" s="11">
        <v>2</v>
      </c>
      <c r="P31" s="11"/>
    </row>
    <row r="32" spans="1:16" x14ac:dyDescent="0.25">
      <c r="A32" s="11">
        <v>50</v>
      </c>
      <c r="B32" s="11">
        <v>1</v>
      </c>
      <c r="C32" s="11">
        <v>0</v>
      </c>
      <c r="D32" s="11">
        <v>1</v>
      </c>
      <c r="E32" s="11">
        <v>204</v>
      </c>
      <c r="F32" s="11">
        <v>10155.61</v>
      </c>
      <c r="G32" s="11" t="s">
        <v>128</v>
      </c>
      <c r="H32" s="11" t="s">
        <v>129</v>
      </c>
      <c r="I32" s="11"/>
      <c r="J32" s="11"/>
      <c r="K32" s="11">
        <v>204</v>
      </c>
      <c r="L32" s="11">
        <v>13</v>
      </c>
      <c r="M32" s="11">
        <v>0</v>
      </c>
      <c r="N32" s="11" t="s">
        <v>3</v>
      </c>
      <c r="O32" s="11">
        <v>2</v>
      </c>
      <c r="P32" s="11"/>
    </row>
    <row r="33" spans="1:16" x14ac:dyDescent="0.25">
      <c r="A33" s="11">
        <v>50</v>
      </c>
      <c r="B33" s="11">
        <v>1</v>
      </c>
      <c r="C33" s="11">
        <v>0</v>
      </c>
      <c r="D33" s="11">
        <v>1</v>
      </c>
      <c r="E33" s="11">
        <v>205</v>
      </c>
      <c r="F33" s="11">
        <v>118050.62000000004</v>
      </c>
      <c r="G33" s="11" t="s">
        <v>130</v>
      </c>
      <c r="H33" s="11" t="s">
        <v>131</v>
      </c>
      <c r="I33" s="11"/>
      <c r="J33" s="11"/>
      <c r="K33" s="11">
        <v>205</v>
      </c>
      <c r="L33" s="11">
        <v>14</v>
      </c>
      <c r="M33" s="11">
        <v>0</v>
      </c>
      <c r="N33" s="11" t="s">
        <v>3</v>
      </c>
      <c r="O33" s="11">
        <v>2</v>
      </c>
      <c r="P33" s="11"/>
    </row>
    <row r="34" spans="1:16" x14ac:dyDescent="0.25">
      <c r="A34" s="11">
        <v>50</v>
      </c>
      <c r="B34" s="11">
        <v>0</v>
      </c>
      <c r="C34" s="11">
        <v>0</v>
      </c>
      <c r="D34" s="11">
        <v>1</v>
      </c>
      <c r="E34" s="11">
        <v>232</v>
      </c>
      <c r="F34" s="11">
        <v>0</v>
      </c>
      <c r="G34" s="11" t="s">
        <v>132</v>
      </c>
      <c r="H34" s="11" t="s">
        <v>133</v>
      </c>
      <c r="I34" s="11"/>
      <c r="J34" s="11"/>
      <c r="K34" s="11">
        <v>232</v>
      </c>
      <c r="L34" s="11">
        <v>15</v>
      </c>
      <c r="M34" s="11">
        <v>3</v>
      </c>
      <c r="N34" s="11" t="s">
        <v>3</v>
      </c>
      <c r="O34" s="11">
        <v>2</v>
      </c>
      <c r="P34" s="11"/>
    </row>
    <row r="35" spans="1:16" x14ac:dyDescent="0.25">
      <c r="A35" s="11">
        <v>50</v>
      </c>
      <c r="B35" s="11">
        <v>0</v>
      </c>
      <c r="C35" s="11">
        <v>0</v>
      </c>
      <c r="D35" s="11">
        <v>1</v>
      </c>
      <c r="E35" s="11">
        <v>214</v>
      </c>
      <c r="F35" s="11">
        <v>454034.8</v>
      </c>
      <c r="G35" s="11" t="s">
        <v>134</v>
      </c>
      <c r="H35" s="11" t="s">
        <v>135</v>
      </c>
      <c r="I35" s="11"/>
      <c r="J35" s="11"/>
      <c r="K35" s="11">
        <v>214</v>
      </c>
      <c r="L35" s="11">
        <v>16</v>
      </c>
      <c r="M35" s="11">
        <v>3</v>
      </c>
      <c r="N35" s="11" t="s">
        <v>3</v>
      </c>
      <c r="O35" s="11">
        <v>2</v>
      </c>
      <c r="P35" s="11"/>
    </row>
    <row r="36" spans="1:16" x14ac:dyDescent="0.25">
      <c r="A36" s="11">
        <v>50</v>
      </c>
      <c r="B36" s="11">
        <v>0</v>
      </c>
      <c r="C36" s="11">
        <v>0</v>
      </c>
      <c r="D36" s="11">
        <v>1</v>
      </c>
      <c r="E36" s="11">
        <v>215</v>
      </c>
      <c r="F36" s="11">
        <v>37686.69</v>
      </c>
      <c r="G36" s="11" t="s">
        <v>136</v>
      </c>
      <c r="H36" s="11" t="s">
        <v>137</v>
      </c>
      <c r="I36" s="11"/>
      <c r="J36" s="11"/>
      <c r="K36" s="11">
        <v>215</v>
      </c>
      <c r="L36" s="11">
        <v>17</v>
      </c>
      <c r="M36" s="11">
        <v>3</v>
      </c>
      <c r="N36" s="11" t="s">
        <v>3</v>
      </c>
      <c r="O36" s="11">
        <v>2</v>
      </c>
      <c r="P36" s="11"/>
    </row>
    <row r="37" spans="1:16" x14ac:dyDescent="0.25">
      <c r="A37" s="11">
        <v>50</v>
      </c>
      <c r="B37" s="11">
        <v>0</v>
      </c>
      <c r="C37" s="11">
        <v>0</v>
      </c>
      <c r="D37" s="11">
        <v>1</v>
      </c>
      <c r="E37" s="11">
        <v>217</v>
      </c>
      <c r="F37" s="11">
        <v>0</v>
      </c>
      <c r="G37" s="11" t="s">
        <v>138</v>
      </c>
      <c r="H37" s="11" t="s">
        <v>139</v>
      </c>
      <c r="I37" s="11"/>
      <c r="J37" s="11"/>
      <c r="K37" s="11">
        <v>217</v>
      </c>
      <c r="L37" s="11">
        <v>18</v>
      </c>
      <c r="M37" s="11">
        <v>3</v>
      </c>
      <c r="N37" s="11" t="s">
        <v>3</v>
      </c>
      <c r="O37" s="11">
        <v>2</v>
      </c>
      <c r="P37" s="11"/>
    </row>
    <row r="38" spans="1:16" x14ac:dyDescent="0.25">
      <c r="A38" s="11">
        <v>50</v>
      </c>
      <c r="B38" s="11">
        <v>0</v>
      </c>
      <c r="C38" s="11">
        <v>0</v>
      </c>
      <c r="D38" s="11">
        <v>1</v>
      </c>
      <c r="E38" s="11">
        <v>230</v>
      </c>
      <c r="F38" s="11">
        <v>0</v>
      </c>
      <c r="G38" s="11" t="s">
        <v>140</v>
      </c>
      <c r="H38" s="11" t="s">
        <v>141</v>
      </c>
      <c r="I38" s="11"/>
      <c r="J38" s="11"/>
      <c r="K38" s="11">
        <v>230</v>
      </c>
      <c r="L38" s="11">
        <v>19</v>
      </c>
      <c r="M38" s="11">
        <v>3</v>
      </c>
      <c r="N38" s="11" t="s">
        <v>3</v>
      </c>
      <c r="O38" s="11">
        <v>2</v>
      </c>
      <c r="P38" s="11"/>
    </row>
    <row r="39" spans="1:16" x14ac:dyDescent="0.25">
      <c r="A39" s="11">
        <v>50</v>
      </c>
      <c r="B39" s="11">
        <f>IF(SourceObSm!F39&lt;&gt;0,1,0)</f>
        <v>0</v>
      </c>
      <c r="C39" s="11">
        <v>0</v>
      </c>
      <c r="D39" s="11">
        <v>1</v>
      </c>
      <c r="E39" s="11">
        <v>206</v>
      </c>
      <c r="F39" s="11">
        <v>0</v>
      </c>
      <c r="G39" s="11" t="s">
        <v>142</v>
      </c>
      <c r="H39" s="11" t="s">
        <v>143</v>
      </c>
      <c r="I39" s="11"/>
      <c r="J39" s="11"/>
      <c r="K39" s="11">
        <v>206</v>
      </c>
      <c r="L39" s="11">
        <v>20</v>
      </c>
      <c r="M39" s="11">
        <v>1</v>
      </c>
      <c r="N39" s="11" t="s">
        <v>3</v>
      </c>
      <c r="O39" s="11">
        <v>2</v>
      </c>
      <c r="P39" s="11"/>
    </row>
    <row r="40" spans="1:16" x14ac:dyDescent="0.25">
      <c r="A40" s="11">
        <v>50</v>
      </c>
      <c r="B40" s="11">
        <v>1</v>
      </c>
      <c r="C40" s="11">
        <v>0</v>
      </c>
      <c r="D40" s="11">
        <v>1</v>
      </c>
      <c r="E40" s="11">
        <v>207</v>
      </c>
      <c r="F40" s="11">
        <v>345.98412400000001</v>
      </c>
      <c r="G40" s="11" t="s">
        <v>144</v>
      </c>
      <c r="H40" s="11" t="s">
        <v>145</v>
      </c>
      <c r="I40" s="11"/>
      <c r="J40" s="11"/>
      <c r="K40" s="11">
        <v>207</v>
      </c>
      <c r="L40" s="11">
        <v>21</v>
      </c>
      <c r="M40" s="11">
        <v>0</v>
      </c>
      <c r="N40" s="11" t="s">
        <v>3</v>
      </c>
      <c r="O40" s="11">
        <v>-1</v>
      </c>
      <c r="P40" s="11"/>
    </row>
    <row r="41" spans="1:16" x14ac:dyDescent="0.25">
      <c r="A41" s="11">
        <v>50</v>
      </c>
      <c r="B41" s="11">
        <v>1</v>
      </c>
      <c r="C41" s="11">
        <v>0</v>
      </c>
      <c r="D41" s="11">
        <v>1</v>
      </c>
      <c r="E41" s="11">
        <v>208</v>
      </c>
      <c r="F41" s="11">
        <v>24.553015800000001</v>
      </c>
      <c r="G41" s="11" t="s">
        <v>146</v>
      </c>
      <c r="H41" s="11" t="s">
        <v>147</v>
      </c>
      <c r="I41" s="11"/>
      <c r="J41" s="11"/>
      <c r="K41" s="11">
        <v>208</v>
      </c>
      <c r="L41" s="11">
        <v>22</v>
      </c>
      <c r="M41" s="11">
        <v>0</v>
      </c>
      <c r="N41" s="11" t="s">
        <v>3</v>
      </c>
      <c r="O41" s="11">
        <v>-1</v>
      </c>
      <c r="P41" s="11"/>
    </row>
    <row r="42" spans="1:16" x14ac:dyDescent="0.25">
      <c r="A42" s="11">
        <v>50</v>
      </c>
      <c r="B42" s="11">
        <v>0</v>
      </c>
      <c r="C42" s="11">
        <v>0</v>
      </c>
      <c r="D42" s="11">
        <v>1</v>
      </c>
      <c r="E42" s="11">
        <v>209</v>
      </c>
      <c r="F42" s="11">
        <v>0</v>
      </c>
      <c r="G42" s="11" t="s">
        <v>148</v>
      </c>
      <c r="H42" s="11" t="s">
        <v>149</v>
      </c>
      <c r="I42" s="11"/>
      <c r="J42" s="11"/>
      <c r="K42" s="11">
        <v>209</v>
      </c>
      <c r="L42" s="11">
        <v>23</v>
      </c>
      <c r="M42" s="11">
        <v>3</v>
      </c>
      <c r="N42" s="11" t="s">
        <v>3</v>
      </c>
      <c r="O42" s="11">
        <v>2</v>
      </c>
      <c r="P42" s="11"/>
    </row>
    <row r="43" spans="1:16" x14ac:dyDescent="0.25">
      <c r="A43" s="11">
        <v>50</v>
      </c>
      <c r="B43" s="11">
        <f>IF(SourceObSm!F43&lt;&gt;0,1,0)</f>
        <v>1</v>
      </c>
      <c r="C43" s="11">
        <v>0</v>
      </c>
      <c r="D43" s="11">
        <v>1</v>
      </c>
      <c r="E43" s="11">
        <v>233</v>
      </c>
      <c r="F43" s="11">
        <v>63237.55</v>
      </c>
      <c r="G43" s="11" t="s">
        <v>150</v>
      </c>
      <c r="H43" s="11" t="s">
        <v>151</v>
      </c>
      <c r="I43" s="11"/>
      <c r="J43" s="11"/>
      <c r="K43" s="11">
        <v>233</v>
      </c>
      <c r="L43" s="11">
        <v>24</v>
      </c>
      <c r="M43" s="11">
        <v>1</v>
      </c>
      <c r="N43" s="11" t="s">
        <v>3</v>
      </c>
      <c r="O43" s="11">
        <v>2</v>
      </c>
      <c r="P43" s="11"/>
    </row>
    <row r="44" spans="1:16" x14ac:dyDescent="0.25">
      <c r="A44" s="11">
        <v>50</v>
      </c>
      <c r="B44" s="11">
        <v>1</v>
      </c>
      <c r="C44" s="11">
        <v>0</v>
      </c>
      <c r="D44" s="11">
        <v>1</v>
      </c>
      <c r="E44" s="11">
        <v>210</v>
      </c>
      <c r="F44" s="11">
        <v>128707.19</v>
      </c>
      <c r="G44" s="11" t="s">
        <v>152</v>
      </c>
      <c r="H44" s="11" t="s">
        <v>153</v>
      </c>
      <c r="I44" s="11"/>
      <c r="J44" s="11"/>
      <c r="K44" s="11">
        <v>210</v>
      </c>
      <c r="L44" s="11">
        <v>25</v>
      </c>
      <c r="M44" s="11">
        <v>0</v>
      </c>
      <c r="N44" s="11" t="s">
        <v>3</v>
      </c>
      <c r="O44" s="11">
        <v>2</v>
      </c>
      <c r="P44" s="11"/>
    </row>
    <row r="45" spans="1:16" x14ac:dyDescent="0.25">
      <c r="A45" s="11">
        <v>50</v>
      </c>
      <c r="B45" s="11">
        <v>1</v>
      </c>
      <c r="C45" s="11">
        <v>0</v>
      </c>
      <c r="D45" s="11">
        <v>1</v>
      </c>
      <c r="E45" s="11">
        <v>211</v>
      </c>
      <c r="F45" s="11">
        <v>72131.88</v>
      </c>
      <c r="G45" s="11" t="s">
        <v>154</v>
      </c>
      <c r="H45" s="11" t="s">
        <v>155</v>
      </c>
      <c r="I45" s="11"/>
      <c r="J45" s="11"/>
      <c r="K45" s="11">
        <v>211</v>
      </c>
      <c r="L45" s="11">
        <v>26</v>
      </c>
      <c r="M45" s="11">
        <v>0</v>
      </c>
      <c r="N45" s="11" t="s">
        <v>3</v>
      </c>
      <c r="O45" s="11">
        <v>2</v>
      </c>
      <c r="P45" s="11"/>
    </row>
    <row r="46" spans="1:16" x14ac:dyDescent="0.25">
      <c r="A46" s="11">
        <v>50</v>
      </c>
      <c r="B46" s="11">
        <v>1</v>
      </c>
      <c r="C46" s="11">
        <v>0</v>
      </c>
      <c r="D46" s="11">
        <v>1</v>
      </c>
      <c r="E46" s="11">
        <v>224</v>
      </c>
      <c r="F46" s="11">
        <v>491721.49</v>
      </c>
      <c r="G46" s="11" t="s">
        <v>156</v>
      </c>
      <c r="H46" s="11" t="s">
        <v>157</v>
      </c>
      <c r="I46" s="11"/>
      <c r="J46" s="11"/>
      <c r="K46" s="11">
        <v>224</v>
      </c>
      <c r="L46" s="11">
        <v>27</v>
      </c>
      <c r="M46" s="11">
        <v>0</v>
      </c>
      <c r="N46" s="11" t="s">
        <v>3</v>
      </c>
      <c r="O46" s="11">
        <v>2</v>
      </c>
      <c r="P46" s="11"/>
    </row>
    <row r="47" spans="1:16" x14ac:dyDescent="0.25">
      <c r="A47" s="11">
        <v>50</v>
      </c>
      <c r="B47" s="11">
        <v>1</v>
      </c>
      <c r="C47" s="11">
        <v>0</v>
      </c>
      <c r="D47" s="11">
        <v>2</v>
      </c>
      <c r="E47" s="11">
        <v>0</v>
      </c>
      <c r="F47" s="11">
        <v>108178.73</v>
      </c>
      <c r="G47" s="11" t="s">
        <v>158</v>
      </c>
      <c r="H47" s="11" t="s">
        <v>158</v>
      </c>
      <c r="I47" s="11"/>
      <c r="J47" s="11"/>
      <c r="K47" s="11">
        <v>212</v>
      </c>
      <c r="L47" s="11">
        <v>28</v>
      </c>
      <c r="M47" s="11">
        <v>0</v>
      </c>
      <c r="N47" s="11" t="s">
        <v>3</v>
      </c>
      <c r="O47" s="11">
        <v>2</v>
      </c>
      <c r="P47" s="11"/>
    </row>
    <row r="48" spans="1:16" x14ac:dyDescent="0.25">
      <c r="A48" s="11">
        <v>50</v>
      </c>
      <c r="B48" s="11">
        <v>1</v>
      </c>
      <c r="C48" s="11">
        <v>0</v>
      </c>
      <c r="D48" s="11">
        <v>2</v>
      </c>
      <c r="E48" s="11">
        <v>0</v>
      </c>
      <c r="F48" s="11">
        <v>599900.22</v>
      </c>
      <c r="G48" s="11" t="s">
        <v>159</v>
      </c>
      <c r="H48" s="11" t="s">
        <v>159</v>
      </c>
      <c r="I48" s="11"/>
      <c r="J48" s="11"/>
      <c r="K48" s="11">
        <v>212</v>
      </c>
      <c r="L48" s="11">
        <v>29</v>
      </c>
      <c r="M48" s="11">
        <v>0</v>
      </c>
      <c r="N48" s="11" t="s">
        <v>3</v>
      </c>
      <c r="O48" s="11">
        <v>-1</v>
      </c>
      <c r="P48" s="11"/>
    </row>
    <row r="50" spans="1:50" x14ac:dyDescent="0.25">
      <c r="A50" s="2">
        <v>-1</v>
      </c>
    </row>
    <row r="53" spans="1:50" x14ac:dyDescent="0.25">
      <c r="A53" s="12">
        <v>75</v>
      </c>
      <c r="B53" s="12" t="s">
        <v>488</v>
      </c>
      <c r="C53" s="12">
        <v>2026</v>
      </c>
      <c r="D53" s="12">
        <v>0</v>
      </c>
      <c r="E53" s="12">
        <v>6</v>
      </c>
      <c r="F53" s="12">
        <v>1</v>
      </c>
      <c r="G53" s="12">
        <v>0</v>
      </c>
      <c r="H53" s="12">
        <v>1</v>
      </c>
      <c r="I53" s="12">
        <v>0</v>
      </c>
      <c r="J53" s="12">
        <v>1</v>
      </c>
      <c r="K53" s="12">
        <v>0</v>
      </c>
      <c r="L53" s="12">
        <v>0</v>
      </c>
      <c r="M53" s="12">
        <v>0</v>
      </c>
      <c r="N53" s="12">
        <v>75604747</v>
      </c>
      <c r="O53" s="12">
        <v>1</v>
      </c>
    </row>
    <row r="54" spans="1:50" x14ac:dyDescent="0.25">
      <c r="A54" s="13">
        <v>2</v>
      </c>
      <c r="B54" s="13" t="s">
        <v>489</v>
      </c>
      <c r="C54" s="13" t="s">
        <v>490</v>
      </c>
      <c r="D54" s="13">
        <v>0</v>
      </c>
      <c r="E54" s="13">
        <v>0</v>
      </c>
      <c r="F54" s="13">
        <v>0</v>
      </c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>
        <v>75604748</v>
      </c>
    </row>
    <row r="55" spans="1:50" x14ac:dyDescent="0.25">
      <c r="A55" s="13">
        <v>1</v>
      </c>
      <c r="B55" s="13" t="s">
        <v>491</v>
      </c>
      <c r="C55" s="13" t="s">
        <v>492</v>
      </c>
      <c r="D55" s="13">
        <v>2026</v>
      </c>
      <c r="E55" s="13">
        <v>6</v>
      </c>
      <c r="F55" s="13">
        <v>1</v>
      </c>
      <c r="G55" s="13">
        <v>1</v>
      </c>
      <c r="H55" s="13">
        <v>0</v>
      </c>
      <c r="I55" s="13">
        <v>2</v>
      </c>
      <c r="J55" s="13">
        <v>1</v>
      </c>
      <c r="K55" s="13">
        <v>1</v>
      </c>
      <c r="L55" s="13">
        <v>1</v>
      </c>
      <c r="M55" s="13">
        <v>1</v>
      </c>
      <c r="N55" s="13">
        <v>1</v>
      </c>
      <c r="O55" s="13">
        <v>1</v>
      </c>
      <c r="P55" s="13">
        <v>1</v>
      </c>
      <c r="Q55" s="13">
        <v>1</v>
      </c>
      <c r="R55" s="13" t="s">
        <v>3</v>
      </c>
      <c r="S55" s="13" t="s">
        <v>3</v>
      </c>
      <c r="T55" s="13" t="s">
        <v>3</v>
      </c>
      <c r="U55" s="13" t="s">
        <v>3</v>
      </c>
      <c r="V55" s="13" t="s">
        <v>3</v>
      </c>
      <c r="W55" s="13" t="s">
        <v>3</v>
      </c>
      <c r="X55" s="13" t="s">
        <v>3</v>
      </c>
      <c r="Y55" s="13" t="s">
        <v>3</v>
      </c>
      <c r="Z55" s="13" t="s">
        <v>3</v>
      </c>
      <c r="AA55" s="13" t="s">
        <v>3</v>
      </c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>
        <v>75604749</v>
      </c>
      <c r="AO55" s="13" t="s">
        <v>493</v>
      </c>
      <c r="AP55" s="13" t="s">
        <v>494</v>
      </c>
      <c r="AQ55" s="13">
        <v>46164</v>
      </c>
      <c r="AR55" s="13">
        <v>417</v>
      </c>
      <c r="AS55" s="13" t="s">
        <v>495</v>
      </c>
      <c r="AT55" s="13" t="s">
        <v>496</v>
      </c>
      <c r="AU55" s="13" t="s">
        <v>494</v>
      </c>
      <c r="AV55" s="13">
        <v>46101</v>
      </c>
      <c r="AW55" s="13">
        <v>215</v>
      </c>
      <c r="AX55" s="13" t="s">
        <v>497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O261"/>
  <sheetViews>
    <sheetView workbookViewId="0"/>
  </sheetViews>
  <sheetFormatPr defaultColWidth="9.21875" defaultRowHeight="13.2" x14ac:dyDescent="0.25"/>
  <cols>
    <col min="1" max="256" width="9.21875" customWidth="1"/>
  </cols>
  <sheetData>
    <row r="1" spans="1:119" x14ac:dyDescent="0.25">
      <c r="A1">
        <f>ROW(Source!A31)</f>
        <v>31</v>
      </c>
      <c r="B1">
        <v>75604747</v>
      </c>
      <c r="C1">
        <v>75604876</v>
      </c>
      <c r="D1">
        <v>74182223</v>
      </c>
      <c r="E1">
        <v>118</v>
      </c>
      <c r="F1">
        <v>1</v>
      </c>
      <c r="G1">
        <v>1</v>
      </c>
      <c r="H1">
        <v>1</v>
      </c>
      <c r="I1" t="s">
        <v>499</v>
      </c>
      <c r="J1" t="s">
        <v>3</v>
      </c>
      <c r="K1" t="s">
        <v>500</v>
      </c>
      <c r="L1">
        <v>1191</v>
      </c>
      <c r="N1">
        <v>1013</v>
      </c>
      <c r="O1" t="s">
        <v>501</v>
      </c>
      <c r="P1" t="s">
        <v>501</v>
      </c>
      <c r="Q1">
        <v>1</v>
      </c>
      <c r="W1">
        <v>0</v>
      </c>
      <c r="X1">
        <v>370475345</v>
      </c>
      <c r="Y1">
        <f>(AT1*ROUND(((0.15+1)*1.15),7))</f>
        <v>203.66499999999999</v>
      </c>
      <c r="AA1">
        <v>0</v>
      </c>
      <c r="AB1">
        <v>0</v>
      </c>
      <c r="AC1">
        <v>0</v>
      </c>
      <c r="AD1">
        <v>299.36</v>
      </c>
      <c r="AE1">
        <v>0</v>
      </c>
      <c r="AF1">
        <v>0</v>
      </c>
      <c r="AG1">
        <v>0</v>
      </c>
      <c r="AH1">
        <v>299.36</v>
      </c>
      <c r="AI1">
        <v>1</v>
      </c>
      <c r="AJ1">
        <v>1</v>
      </c>
      <c r="AK1">
        <v>1</v>
      </c>
      <c r="AL1">
        <v>1</v>
      </c>
      <c r="AM1">
        <v>-2</v>
      </c>
      <c r="AN1">
        <v>0</v>
      </c>
      <c r="AO1">
        <v>0</v>
      </c>
      <c r="AP1">
        <v>1</v>
      </c>
      <c r="AQ1">
        <v>1</v>
      </c>
      <c r="AR1">
        <v>0</v>
      </c>
      <c r="AS1" t="s">
        <v>3</v>
      </c>
      <c r="AT1">
        <v>154</v>
      </c>
      <c r="AU1" t="s">
        <v>28</v>
      </c>
      <c r="AV1">
        <v>1</v>
      </c>
      <c r="AW1">
        <v>2</v>
      </c>
      <c r="AX1">
        <v>75604878</v>
      </c>
      <c r="AY1">
        <v>1</v>
      </c>
      <c r="AZ1">
        <v>0</v>
      </c>
      <c r="BA1">
        <v>1</v>
      </c>
      <c r="BB1">
        <v>1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46101.440000000002</v>
      </c>
      <c r="BN1">
        <v>154</v>
      </c>
      <c r="BO1">
        <v>0</v>
      </c>
      <c r="BP1">
        <v>1</v>
      </c>
      <c r="BQ1">
        <v>0</v>
      </c>
      <c r="BR1">
        <v>0</v>
      </c>
      <c r="BS1">
        <v>0</v>
      </c>
      <c r="BT1">
        <v>60969.154399999992</v>
      </c>
      <c r="BU1">
        <v>203.66499999999996</v>
      </c>
      <c r="BV1">
        <v>0</v>
      </c>
      <c r="BW1">
        <v>1</v>
      </c>
      <c r="CU1">
        <f>ROUND(AT1*Source!I31*AH1*AL1,2)</f>
        <v>2305.0700000000002</v>
      </c>
      <c r="CV1">
        <f>ROUND(Y1*Source!I31,7)</f>
        <v>10.183249999999999</v>
      </c>
      <c r="CW1">
        <v>0</v>
      </c>
      <c r="CX1">
        <f>ROUND(Y1*Source!I31,7)</f>
        <v>10.183249999999999</v>
      </c>
      <c r="CY1">
        <f>AD1</f>
        <v>299.36</v>
      </c>
      <c r="CZ1">
        <f>AH1</f>
        <v>299.36</v>
      </c>
      <c r="DA1">
        <f>AL1</f>
        <v>1</v>
      </c>
      <c r="DB1">
        <f>ROUND((ROUND(AT1*CZ1,2)*ROUND(((0.15+1)*1.15),7)),6)</f>
        <v>60969.154399999999</v>
      </c>
      <c r="DC1">
        <f>ROUND((ROUND(AT1*AG1,2)*ROUND(((0.15+1)*1.15),7)),6)</f>
        <v>0</v>
      </c>
      <c r="DD1" t="s">
        <v>3</v>
      </c>
      <c r="DE1" t="s">
        <v>3</v>
      </c>
      <c r="DF1">
        <f t="shared" ref="DF1:DF22" si="0">ROUND(ROUND(AE1,2)*CX1,2)</f>
        <v>0</v>
      </c>
      <c r="DG1">
        <f>ROUND(ROUND(AF1,2)*CX1,2)</f>
        <v>0</v>
      </c>
      <c r="DH1">
        <f t="shared" ref="DH1:DH64" si="1">ROUND(ROUND(AG1,2)*CX1,2)</f>
        <v>0</v>
      </c>
      <c r="DI1">
        <f t="shared" ref="DI1:DI64" si="2">ROUND(ROUND(AH1,2)*CX1,2)</f>
        <v>3048.46</v>
      </c>
      <c r="DJ1">
        <f>DI1</f>
        <v>3048.46</v>
      </c>
      <c r="DK1">
        <v>1</v>
      </c>
      <c r="DL1" t="s">
        <v>3</v>
      </c>
      <c r="DM1">
        <v>0</v>
      </c>
      <c r="DN1" t="s">
        <v>3</v>
      </c>
      <c r="DO1">
        <v>0</v>
      </c>
    </row>
    <row r="2" spans="1:119" x14ac:dyDescent="0.25">
      <c r="A2">
        <f>ROW(Source!A32)</f>
        <v>32</v>
      </c>
      <c r="B2">
        <v>75604747</v>
      </c>
      <c r="C2">
        <v>75604882</v>
      </c>
      <c r="D2">
        <v>74182213</v>
      </c>
      <c r="E2">
        <v>118</v>
      </c>
      <c r="F2">
        <v>1</v>
      </c>
      <c r="G2">
        <v>1</v>
      </c>
      <c r="H2">
        <v>1</v>
      </c>
      <c r="I2" t="s">
        <v>502</v>
      </c>
      <c r="J2" t="s">
        <v>3</v>
      </c>
      <c r="K2" t="s">
        <v>503</v>
      </c>
      <c r="L2">
        <v>1191</v>
      </c>
      <c r="N2">
        <v>1013</v>
      </c>
      <c r="O2" t="s">
        <v>501</v>
      </c>
      <c r="P2" t="s">
        <v>501</v>
      </c>
      <c r="Q2">
        <v>1</v>
      </c>
      <c r="W2">
        <v>0</v>
      </c>
      <c r="X2">
        <v>-267883188</v>
      </c>
      <c r="Y2">
        <f>(AT2*ROUND((0.15+1),7))</f>
        <v>61.594000000000001</v>
      </c>
      <c r="AA2">
        <v>0</v>
      </c>
      <c r="AB2">
        <v>0</v>
      </c>
      <c r="AC2">
        <v>0</v>
      </c>
      <c r="AD2">
        <v>287</v>
      </c>
      <c r="AE2">
        <v>0</v>
      </c>
      <c r="AF2">
        <v>0</v>
      </c>
      <c r="AG2">
        <v>0</v>
      </c>
      <c r="AH2">
        <v>287</v>
      </c>
      <c r="AI2">
        <v>1</v>
      </c>
      <c r="AJ2">
        <v>1</v>
      </c>
      <c r="AK2">
        <v>1</v>
      </c>
      <c r="AL2">
        <v>1</v>
      </c>
      <c r="AM2">
        <v>-2</v>
      </c>
      <c r="AN2">
        <v>0</v>
      </c>
      <c r="AO2">
        <v>0</v>
      </c>
      <c r="AP2">
        <v>1</v>
      </c>
      <c r="AQ2">
        <v>1</v>
      </c>
      <c r="AR2">
        <v>0</v>
      </c>
      <c r="AS2" t="s">
        <v>3</v>
      </c>
      <c r="AT2">
        <v>53.56</v>
      </c>
      <c r="AU2" t="s">
        <v>27</v>
      </c>
      <c r="AV2">
        <v>1</v>
      </c>
      <c r="AW2">
        <v>2</v>
      </c>
      <c r="AX2">
        <v>75604884</v>
      </c>
      <c r="AY2">
        <v>1</v>
      </c>
      <c r="AZ2">
        <v>0</v>
      </c>
      <c r="BA2">
        <v>2</v>
      </c>
      <c r="BB2">
        <v>1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15371.720000000001</v>
      </c>
      <c r="BN2">
        <v>53.56</v>
      </c>
      <c r="BO2">
        <v>0</v>
      </c>
      <c r="BP2">
        <v>1</v>
      </c>
      <c r="BQ2">
        <v>0</v>
      </c>
      <c r="BR2">
        <v>0</v>
      </c>
      <c r="BS2">
        <v>0</v>
      </c>
      <c r="BT2">
        <v>17677.477999999999</v>
      </c>
      <c r="BU2">
        <v>61.594000000000001</v>
      </c>
      <c r="BV2">
        <v>0</v>
      </c>
      <c r="BW2">
        <v>1</v>
      </c>
      <c r="CU2">
        <f>ROUND(AT2*Source!I32*AH2*AL2,2)</f>
        <v>768.59</v>
      </c>
      <c r="CV2">
        <f>ROUND(Y2*Source!I32,7)</f>
        <v>3.0796999999999999</v>
      </c>
      <c r="CW2">
        <v>0</v>
      </c>
      <c r="CX2">
        <f>ROUND(Y2*Source!I32,7)</f>
        <v>3.0796999999999999</v>
      </c>
      <c r="CY2">
        <f>AD2</f>
        <v>287</v>
      </c>
      <c r="CZ2">
        <f>AH2</f>
        <v>287</v>
      </c>
      <c r="DA2">
        <f>AL2</f>
        <v>1</v>
      </c>
      <c r="DB2">
        <f>ROUND((ROUND(AT2*CZ2,2)*ROUND((0.15+1),7)),6)</f>
        <v>17677.477999999999</v>
      </c>
      <c r="DC2">
        <f>ROUND((ROUND(AT2*AG2,2)*ROUND((0.15+1),7)),6)</f>
        <v>0</v>
      </c>
      <c r="DD2" t="s">
        <v>3</v>
      </c>
      <c r="DE2" t="s">
        <v>3</v>
      </c>
      <c r="DF2">
        <f t="shared" si="0"/>
        <v>0</v>
      </c>
      <c r="DG2">
        <f>ROUND(ROUND(AF2,2)*CX2,2)</f>
        <v>0</v>
      </c>
      <c r="DH2">
        <f t="shared" si="1"/>
        <v>0</v>
      </c>
      <c r="DI2">
        <f t="shared" si="2"/>
        <v>883.87</v>
      </c>
      <c r="DJ2">
        <f>DI2</f>
        <v>883.87</v>
      </c>
      <c r="DK2">
        <v>1</v>
      </c>
      <c r="DL2" t="s">
        <v>3</v>
      </c>
      <c r="DM2">
        <v>0</v>
      </c>
      <c r="DN2" t="s">
        <v>3</v>
      </c>
      <c r="DO2">
        <v>0</v>
      </c>
    </row>
    <row r="3" spans="1:119" x14ac:dyDescent="0.25">
      <c r="A3">
        <f>ROW(Source!A35)</f>
        <v>35</v>
      </c>
      <c r="B3">
        <v>75604747</v>
      </c>
      <c r="C3">
        <v>75604888</v>
      </c>
      <c r="D3">
        <v>74182464</v>
      </c>
      <c r="E3">
        <v>118</v>
      </c>
      <c r="F3">
        <v>1</v>
      </c>
      <c r="G3">
        <v>1</v>
      </c>
      <c r="H3">
        <v>1</v>
      </c>
      <c r="I3" t="s">
        <v>504</v>
      </c>
      <c r="J3" t="s">
        <v>3</v>
      </c>
      <c r="K3" t="s">
        <v>505</v>
      </c>
      <c r="L3">
        <v>1191</v>
      </c>
      <c r="N3">
        <v>1013</v>
      </c>
      <c r="O3" t="s">
        <v>501</v>
      </c>
      <c r="P3" t="s">
        <v>501</v>
      </c>
      <c r="Q3">
        <v>1</v>
      </c>
      <c r="W3">
        <v>0</v>
      </c>
      <c r="X3">
        <v>-1417349443</v>
      </c>
      <c r="Y3">
        <f>(AT3*ROUND((0.15+1),7))</f>
        <v>60.949999999999996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1</v>
      </c>
      <c r="AJ3">
        <v>1</v>
      </c>
      <c r="AK3">
        <v>1</v>
      </c>
      <c r="AL3">
        <v>1</v>
      </c>
      <c r="AM3">
        <v>-2</v>
      </c>
      <c r="AN3">
        <v>0</v>
      </c>
      <c r="AO3">
        <v>0</v>
      </c>
      <c r="AP3">
        <v>1</v>
      </c>
      <c r="AQ3">
        <v>1</v>
      </c>
      <c r="AR3">
        <v>0</v>
      </c>
      <c r="AS3" t="s">
        <v>3</v>
      </c>
      <c r="AT3">
        <v>53</v>
      </c>
      <c r="AU3" t="s">
        <v>27</v>
      </c>
      <c r="AV3">
        <v>2</v>
      </c>
      <c r="AW3">
        <v>2</v>
      </c>
      <c r="AX3">
        <v>75604891</v>
      </c>
      <c r="AY3">
        <v>1</v>
      </c>
      <c r="AZ3">
        <v>0</v>
      </c>
      <c r="BA3">
        <v>3</v>
      </c>
      <c r="BB3">
        <v>1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CV3">
        <v>0</v>
      </c>
      <c r="CW3">
        <v>0</v>
      </c>
      <c r="CX3">
        <f>ROUND(Y3*Source!I35,7)</f>
        <v>3.657</v>
      </c>
      <c r="CY3">
        <f>AD3</f>
        <v>0</v>
      </c>
      <c r="CZ3">
        <f>AH3</f>
        <v>0</v>
      </c>
      <c r="DA3">
        <f>AL3</f>
        <v>1</v>
      </c>
      <c r="DB3">
        <f>ROUND((ROUND(AT3*CZ3,2)*ROUND((0.15+1),7)),6)</f>
        <v>0</v>
      </c>
      <c r="DC3">
        <f>ROUND((ROUND(AT3*AG3,2)*ROUND((0.15+1),7)),6)</f>
        <v>0</v>
      </c>
      <c r="DD3" t="s">
        <v>3</v>
      </c>
      <c r="DE3" t="s">
        <v>3</v>
      </c>
      <c r="DF3">
        <f t="shared" si="0"/>
        <v>0</v>
      </c>
      <c r="DG3">
        <f>ROUND(ROUND(AF3,2)*CX3,2)</f>
        <v>0</v>
      </c>
      <c r="DH3">
        <f t="shared" si="1"/>
        <v>0</v>
      </c>
      <c r="DI3">
        <f t="shared" si="2"/>
        <v>0</v>
      </c>
      <c r="DJ3">
        <f>DI3</f>
        <v>0</v>
      </c>
      <c r="DK3">
        <v>0</v>
      </c>
      <c r="DL3" t="s">
        <v>3</v>
      </c>
      <c r="DM3">
        <v>0</v>
      </c>
      <c r="DN3" t="s">
        <v>3</v>
      </c>
      <c r="DO3">
        <v>0</v>
      </c>
    </row>
    <row r="4" spans="1:119" x14ac:dyDescent="0.25">
      <c r="A4">
        <f>ROW(Source!A35)</f>
        <v>35</v>
      </c>
      <c r="B4">
        <v>75604747</v>
      </c>
      <c r="C4">
        <v>75604888</v>
      </c>
      <c r="D4">
        <v>74308540</v>
      </c>
      <c r="E4">
        <v>1</v>
      </c>
      <c r="F4">
        <v>1</v>
      </c>
      <c r="G4">
        <v>1</v>
      </c>
      <c r="H4">
        <v>2</v>
      </c>
      <c r="I4" t="s">
        <v>506</v>
      </c>
      <c r="J4" t="s">
        <v>507</v>
      </c>
      <c r="K4" t="s">
        <v>508</v>
      </c>
      <c r="L4">
        <v>1368</v>
      </c>
      <c r="N4">
        <v>1011</v>
      </c>
      <c r="O4" t="s">
        <v>509</v>
      </c>
      <c r="P4" t="s">
        <v>509</v>
      </c>
      <c r="Q4">
        <v>1</v>
      </c>
      <c r="W4">
        <v>0</v>
      </c>
      <c r="X4">
        <v>1569939493</v>
      </c>
      <c r="Y4">
        <f>(AT4*ROUND((0.15+1),7))</f>
        <v>60.949999999999996</v>
      </c>
      <c r="AA4">
        <v>0</v>
      </c>
      <c r="AB4">
        <v>960.44</v>
      </c>
      <c r="AC4">
        <v>422.95</v>
      </c>
      <c r="AD4">
        <v>0</v>
      </c>
      <c r="AE4">
        <v>0</v>
      </c>
      <c r="AF4">
        <v>800.37</v>
      </c>
      <c r="AG4">
        <v>422.95</v>
      </c>
      <c r="AH4">
        <v>0</v>
      </c>
      <c r="AI4">
        <v>1</v>
      </c>
      <c r="AJ4">
        <v>1.2</v>
      </c>
      <c r="AK4">
        <v>1</v>
      </c>
      <c r="AL4">
        <v>1</v>
      </c>
      <c r="AM4">
        <v>2</v>
      </c>
      <c r="AN4">
        <v>0</v>
      </c>
      <c r="AO4">
        <v>0</v>
      </c>
      <c r="AP4">
        <v>1</v>
      </c>
      <c r="AQ4">
        <v>1</v>
      </c>
      <c r="AR4">
        <v>0</v>
      </c>
      <c r="AS4" t="s">
        <v>3</v>
      </c>
      <c r="AT4">
        <v>53</v>
      </c>
      <c r="AU4" t="s">
        <v>27</v>
      </c>
      <c r="AV4">
        <v>1</v>
      </c>
      <c r="AW4">
        <v>2</v>
      </c>
      <c r="AX4">
        <v>75604892</v>
      </c>
      <c r="AY4">
        <v>1</v>
      </c>
      <c r="AZ4">
        <v>0</v>
      </c>
      <c r="BA4">
        <v>4</v>
      </c>
      <c r="BB4">
        <v>1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42419.61</v>
      </c>
      <c r="BL4">
        <v>22416.35</v>
      </c>
      <c r="BM4">
        <v>0</v>
      </c>
      <c r="BN4">
        <v>0</v>
      </c>
      <c r="BO4">
        <v>53</v>
      </c>
      <c r="BP4">
        <v>1</v>
      </c>
      <c r="BQ4">
        <v>0</v>
      </c>
      <c r="BR4">
        <v>48782.551499999994</v>
      </c>
      <c r="BS4">
        <v>25778.802499999998</v>
      </c>
      <c r="BT4">
        <v>0</v>
      </c>
      <c r="BU4">
        <v>0</v>
      </c>
      <c r="BV4">
        <v>60.949999999999996</v>
      </c>
      <c r="BW4">
        <v>1</v>
      </c>
      <c r="CV4">
        <v>0</v>
      </c>
      <c r="CW4">
        <f>ROUND(Y4*Source!I35*DO4,7)</f>
        <v>3.657</v>
      </c>
      <c r="CX4">
        <f>ROUND(Y4*Source!I35,7)</f>
        <v>3.657</v>
      </c>
      <c r="CY4">
        <f>AB4</f>
        <v>960.44</v>
      </c>
      <c r="CZ4">
        <f>AF4</f>
        <v>800.37</v>
      </c>
      <c r="DA4">
        <f>AJ4</f>
        <v>1.2</v>
      </c>
      <c r="DB4">
        <f>ROUND((ROUND(AT4*CZ4,2)*ROUND((0.15+1),7)),6)</f>
        <v>48782.551500000001</v>
      </c>
      <c r="DC4">
        <f>ROUND((ROUND(AT4*AG4,2)*ROUND((0.15+1),7)),6)</f>
        <v>25778.802500000002</v>
      </c>
      <c r="DD4" t="s">
        <v>3</v>
      </c>
      <c r="DE4" t="s">
        <v>3</v>
      </c>
      <c r="DF4">
        <f t="shared" si="0"/>
        <v>0</v>
      </c>
      <c r="DG4">
        <f>ROUND(ROUND(AF4*AJ4,2)*CX4,2)</f>
        <v>3512.33</v>
      </c>
      <c r="DH4">
        <f t="shared" si="1"/>
        <v>1546.73</v>
      </c>
      <c r="DI4">
        <f t="shared" si="2"/>
        <v>0</v>
      </c>
      <c r="DJ4">
        <f>DG4+DH4</f>
        <v>5059.0599999999995</v>
      </c>
      <c r="DK4">
        <v>0</v>
      </c>
      <c r="DL4" t="s">
        <v>510</v>
      </c>
      <c r="DM4">
        <v>5</v>
      </c>
      <c r="DN4" t="s">
        <v>501</v>
      </c>
      <c r="DO4">
        <v>1</v>
      </c>
    </row>
    <row r="5" spans="1:119" x14ac:dyDescent="0.25">
      <c r="A5">
        <f>ROW(Source!A36)</f>
        <v>36</v>
      </c>
      <c r="B5">
        <v>75604747</v>
      </c>
      <c r="C5">
        <v>75604893</v>
      </c>
      <c r="D5">
        <v>74182223</v>
      </c>
      <c r="E5">
        <v>118</v>
      </c>
      <c r="F5">
        <v>1</v>
      </c>
      <c r="G5">
        <v>1</v>
      </c>
      <c r="H5">
        <v>1</v>
      </c>
      <c r="I5" t="s">
        <v>499</v>
      </c>
      <c r="J5" t="s">
        <v>3</v>
      </c>
      <c r="K5" t="s">
        <v>500</v>
      </c>
      <c r="L5">
        <v>1191</v>
      </c>
      <c r="N5">
        <v>1013</v>
      </c>
      <c r="O5" t="s">
        <v>501</v>
      </c>
      <c r="P5" t="s">
        <v>501</v>
      </c>
      <c r="Q5">
        <v>1</v>
      </c>
      <c r="W5">
        <v>0</v>
      </c>
      <c r="X5">
        <v>370475345</v>
      </c>
      <c r="Y5">
        <f>(AT5*ROUND(((0.15+1)*1.2),7))</f>
        <v>212.51999999999998</v>
      </c>
      <c r="AA5">
        <v>0</v>
      </c>
      <c r="AB5">
        <v>0</v>
      </c>
      <c r="AC5">
        <v>0</v>
      </c>
      <c r="AD5">
        <v>299.36</v>
      </c>
      <c r="AE5">
        <v>0</v>
      </c>
      <c r="AF5">
        <v>0</v>
      </c>
      <c r="AG5">
        <v>0</v>
      </c>
      <c r="AH5">
        <v>299.36</v>
      </c>
      <c r="AI5">
        <v>1</v>
      </c>
      <c r="AJ5">
        <v>1</v>
      </c>
      <c r="AK5">
        <v>1</v>
      </c>
      <c r="AL5">
        <v>1</v>
      </c>
      <c r="AM5">
        <v>-2</v>
      </c>
      <c r="AN5">
        <v>0</v>
      </c>
      <c r="AO5">
        <v>0</v>
      </c>
      <c r="AP5">
        <v>1</v>
      </c>
      <c r="AQ5">
        <v>1</v>
      </c>
      <c r="AR5">
        <v>0</v>
      </c>
      <c r="AS5" t="s">
        <v>3</v>
      </c>
      <c r="AT5">
        <v>154</v>
      </c>
      <c r="AU5" t="s">
        <v>60</v>
      </c>
      <c r="AV5">
        <v>1</v>
      </c>
      <c r="AW5">
        <v>2</v>
      </c>
      <c r="AX5">
        <v>75604895</v>
      </c>
      <c r="AY5">
        <v>1</v>
      </c>
      <c r="AZ5">
        <v>0</v>
      </c>
      <c r="BA5">
        <v>5</v>
      </c>
      <c r="BB5">
        <v>1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46101.440000000002</v>
      </c>
      <c r="BN5">
        <v>154</v>
      </c>
      <c r="BO5">
        <v>0</v>
      </c>
      <c r="BP5">
        <v>1</v>
      </c>
      <c r="BQ5">
        <v>0</v>
      </c>
      <c r="BR5">
        <v>0</v>
      </c>
      <c r="BS5">
        <v>0</v>
      </c>
      <c r="BT5">
        <v>63619.987199999996</v>
      </c>
      <c r="BU5">
        <v>212.51999999999998</v>
      </c>
      <c r="BV5">
        <v>0</v>
      </c>
      <c r="BW5">
        <v>1</v>
      </c>
      <c r="CU5">
        <f>ROUND(AT5*Source!I36*AH5*AL5,2)</f>
        <v>1844.06</v>
      </c>
      <c r="CV5">
        <f>ROUND(Y5*Source!I36,7)</f>
        <v>8.5007999999999999</v>
      </c>
      <c r="CW5">
        <v>0</v>
      </c>
      <c r="CX5">
        <f>ROUND(Y5*Source!I36,7)</f>
        <v>8.5007999999999999</v>
      </c>
      <c r="CY5">
        <f>AD5</f>
        <v>299.36</v>
      </c>
      <c r="CZ5">
        <f>AH5</f>
        <v>299.36</v>
      </c>
      <c r="DA5">
        <f>AL5</f>
        <v>1</v>
      </c>
      <c r="DB5">
        <f>ROUND((ROUND(AT5*CZ5,2)*ROUND(((0.15+1)*1.2),7)),6)</f>
        <v>63619.987200000003</v>
      </c>
      <c r="DC5">
        <f>ROUND((ROUND(AT5*AG5,2)*ROUND(((0.15+1)*1.2),7)),6)</f>
        <v>0</v>
      </c>
      <c r="DD5" t="s">
        <v>3</v>
      </c>
      <c r="DE5" t="s">
        <v>3</v>
      </c>
      <c r="DF5">
        <f t="shared" si="0"/>
        <v>0</v>
      </c>
      <c r="DG5">
        <f>ROUND(ROUND(AF5,2)*CX5,2)</f>
        <v>0</v>
      </c>
      <c r="DH5">
        <f t="shared" si="1"/>
        <v>0</v>
      </c>
      <c r="DI5">
        <f t="shared" si="2"/>
        <v>2544.8000000000002</v>
      </c>
      <c r="DJ5">
        <f>DI5</f>
        <v>2544.8000000000002</v>
      </c>
      <c r="DK5">
        <v>1</v>
      </c>
      <c r="DL5" t="s">
        <v>3</v>
      </c>
      <c r="DM5">
        <v>0</v>
      </c>
      <c r="DN5" t="s">
        <v>3</v>
      </c>
      <c r="DO5">
        <v>0</v>
      </c>
    </row>
    <row r="6" spans="1:119" x14ac:dyDescent="0.25">
      <c r="A6">
        <f>ROW(Source!A37)</f>
        <v>37</v>
      </c>
      <c r="B6">
        <v>75604747</v>
      </c>
      <c r="C6">
        <v>75604896</v>
      </c>
      <c r="D6">
        <v>74182213</v>
      </c>
      <c r="E6">
        <v>118</v>
      </c>
      <c r="F6">
        <v>1</v>
      </c>
      <c r="G6">
        <v>1</v>
      </c>
      <c r="H6">
        <v>1</v>
      </c>
      <c r="I6" t="s">
        <v>502</v>
      </c>
      <c r="J6" t="s">
        <v>3</v>
      </c>
      <c r="K6" t="s">
        <v>503</v>
      </c>
      <c r="L6">
        <v>1191</v>
      </c>
      <c r="N6">
        <v>1013</v>
      </c>
      <c r="O6" t="s">
        <v>501</v>
      </c>
      <c r="P6" t="s">
        <v>501</v>
      </c>
      <c r="Q6">
        <v>1</v>
      </c>
      <c r="W6">
        <v>0</v>
      </c>
      <c r="X6">
        <v>-267883188</v>
      </c>
      <c r="Y6">
        <f>(AT6*ROUND((0.15+1),7))</f>
        <v>61.594000000000001</v>
      </c>
      <c r="AA6">
        <v>0</v>
      </c>
      <c r="AB6">
        <v>0</v>
      </c>
      <c r="AC6">
        <v>0</v>
      </c>
      <c r="AD6">
        <v>287</v>
      </c>
      <c r="AE6">
        <v>0</v>
      </c>
      <c r="AF6">
        <v>0</v>
      </c>
      <c r="AG6">
        <v>0</v>
      </c>
      <c r="AH6">
        <v>287</v>
      </c>
      <c r="AI6">
        <v>1</v>
      </c>
      <c r="AJ6">
        <v>1</v>
      </c>
      <c r="AK6">
        <v>1</v>
      </c>
      <c r="AL6">
        <v>1</v>
      </c>
      <c r="AM6">
        <v>-2</v>
      </c>
      <c r="AN6">
        <v>0</v>
      </c>
      <c r="AO6">
        <v>0</v>
      </c>
      <c r="AP6">
        <v>1</v>
      </c>
      <c r="AQ6">
        <v>1</v>
      </c>
      <c r="AR6">
        <v>0</v>
      </c>
      <c r="AS6" t="s">
        <v>3</v>
      </c>
      <c r="AT6">
        <v>53.56</v>
      </c>
      <c r="AU6" t="s">
        <v>27</v>
      </c>
      <c r="AV6">
        <v>1</v>
      </c>
      <c r="AW6">
        <v>2</v>
      </c>
      <c r="AX6">
        <v>75604898</v>
      </c>
      <c r="AY6">
        <v>1</v>
      </c>
      <c r="AZ6">
        <v>0</v>
      </c>
      <c r="BA6">
        <v>6</v>
      </c>
      <c r="BB6">
        <v>1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15371.720000000001</v>
      </c>
      <c r="BN6">
        <v>53.56</v>
      </c>
      <c r="BO6">
        <v>0</v>
      </c>
      <c r="BP6">
        <v>1</v>
      </c>
      <c r="BQ6">
        <v>0</v>
      </c>
      <c r="BR6">
        <v>0</v>
      </c>
      <c r="BS6">
        <v>0</v>
      </c>
      <c r="BT6">
        <v>17677.477999999999</v>
      </c>
      <c r="BU6">
        <v>61.594000000000001</v>
      </c>
      <c r="BV6">
        <v>0</v>
      </c>
      <c r="BW6">
        <v>1</v>
      </c>
      <c r="CU6">
        <f>ROUND(AT6*Source!I37*AH6*AL6,2)</f>
        <v>614.87</v>
      </c>
      <c r="CV6">
        <f>ROUND(Y6*Source!I37,7)</f>
        <v>2.4637600000000002</v>
      </c>
      <c r="CW6">
        <v>0</v>
      </c>
      <c r="CX6">
        <f>ROUND(Y6*Source!I37,7)</f>
        <v>2.4637600000000002</v>
      </c>
      <c r="CY6">
        <f>AD6</f>
        <v>287</v>
      </c>
      <c r="CZ6">
        <f>AH6</f>
        <v>287</v>
      </c>
      <c r="DA6">
        <f>AL6</f>
        <v>1</v>
      </c>
      <c r="DB6">
        <f>ROUND((ROUND(AT6*CZ6,2)*ROUND((0.15+1),7)),6)</f>
        <v>17677.477999999999</v>
      </c>
      <c r="DC6">
        <f>ROUND((ROUND(AT6*AG6,2)*ROUND((0.15+1),7)),6)</f>
        <v>0</v>
      </c>
      <c r="DD6" t="s">
        <v>3</v>
      </c>
      <c r="DE6" t="s">
        <v>3</v>
      </c>
      <c r="DF6">
        <f t="shared" si="0"/>
        <v>0</v>
      </c>
      <c r="DG6">
        <f>ROUND(ROUND(AF6,2)*CX6,2)</f>
        <v>0</v>
      </c>
      <c r="DH6">
        <f t="shared" si="1"/>
        <v>0</v>
      </c>
      <c r="DI6">
        <f t="shared" si="2"/>
        <v>707.1</v>
      </c>
      <c r="DJ6">
        <f>DI6</f>
        <v>707.1</v>
      </c>
      <c r="DK6">
        <v>1</v>
      </c>
      <c r="DL6" t="s">
        <v>3</v>
      </c>
      <c r="DM6">
        <v>0</v>
      </c>
      <c r="DN6" t="s">
        <v>3</v>
      </c>
      <c r="DO6">
        <v>0</v>
      </c>
    </row>
    <row r="7" spans="1:119" x14ac:dyDescent="0.25">
      <c r="A7">
        <f>ROW(Source!A41)</f>
        <v>41</v>
      </c>
      <c r="B7">
        <v>75604747</v>
      </c>
      <c r="C7">
        <v>75604901</v>
      </c>
      <c r="D7">
        <v>74182464</v>
      </c>
      <c r="E7">
        <v>118</v>
      </c>
      <c r="F7">
        <v>1</v>
      </c>
      <c r="G7">
        <v>1</v>
      </c>
      <c r="H7">
        <v>1</v>
      </c>
      <c r="I7" t="s">
        <v>504</v>
      </c>
      <c r="J7" t="s">
        <v>3</v>
      </c>
      <c r="K7" t="s">
        <v>505</v>
      </c>
      <c r="L7">
        <v>1191</v>
      </c>
      <c r="N7">
        <v>1013</v>
      </c>
      <c r="O7" t="s">
        <v>501</v>
      </c>
      <c r="P7" t="s">
        <v>501</v>
      </c>
      <c r="Q7">
        <v>1</v>
      </c>
      <c r="W7">
        <v>0</v>
      </c>
      <c r="X7">
        <v>-1417349443</v>
      </c>
      <c r="Y7">
        <f>(AT7*ROUND((0.15+1),7))</f>
        <v>47.15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1</v>
      </c>
      <c r="AJ7">
        <v>1</v>
      </c>
      <c r="AK7">
        <v>1</v>
      </c>
      <c r="AL7">
        <v>1</v>
      </c>
      <c r="AM7">
        <v>-2</v>
      </c>
      <c r="AN7">
        <v>0</v>
      </c>
      <c r="AO7">
        <v>0</v>
      </c>
      <c r="AP7">
        <v>1</v>
      </c>
      <c r="AQ7">
        <v>1</v>
      </c>
      <c r="AR7">
        <v>0</v>
      </c>
      <c r="AS7" t="s">
        <v>3</v>
      </c>
      <c r="AT7">
        <v>41</v>
      </c>
      <c r="AU7" t="s">
        <v>27</v>
      </c>
      <c r="AV7">
        <v>2</v>
      </c>
      <c r="AW7">
        <v>2</v>
      </c>
      <c r="AX7">
        <v>75604908</v>
      </c>
      <c r="AY7">
        <v>1</v>
      </c>
      <c r="AZ7">
        <v>0</v>
      </c>
      <c r="BA7">
        <v>7</v>
      </c>
      <c r="BB7">
        <v>1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CV7">
        <v>0</v>
      </c>
      <c r="CW7">
        <v>0</v>
      </c>
      <c r="CX7">
        <f>ROUND(Y7*Source!I41,7)</f>
        <v>3.2533500000000002</v>
      </c>
      <c r="CY7">
        <f>AD7</f>
        <v>0</v>
      </c>
      <c r="CZ7">
        <f>AH7</f>
        <v>0</v>
      </c>
      <c r="DA7">
        <f>AL7</f>
        <v>1</v>
      </c>
      <c r="DB7">
        <f>ROUND((ROUND(AT7*CZ7,2)*ROUND((0.15+1),7)),6)</f>
        <v>0</v>
      </c>
      <c r="DC7">
        <f>ROUND((ROUND(AT7*AG7,2)*ROUND((0.15+1),7)),6)</f>
        <v>0</v>
      </c>
      <c r="DD7" t="s">
        <v>3</v>
      </c>
      <c r="DE7" t="s">
        <v>3</v>
      </c>
      <c r="DF7">
        <f t="shared" si="0"/>
        <v>0</v>
      </c>
      <c r="DG7">
        <f>ROUND(ROUND(AF7,2)*CX7,2)</f>
        <v>0</v>
      </c>
      <c r="DH7">
        <f t="shared" si="1"/>
        <v>0</v>
      </c>
      <c r="DI7">
        <f t="shared" si="2"/>
        <v>0</v>
      </c>
      <c r="DJ7">
        <f>DI7</f>
        <v>0</v>
      </c>
      <c r="DK7">
        <v>0</v>
      </c>
      <c r="DL7" t="s">
        <v>3</v>
      </c>
      <c r="DM7">
        <v>0</v>
      </c>
      <c r="DN7" t="s">
        <v>3</v>
      </c>
      <c r="DO7">
        <v>0</v>
      </c>
    </row>
    <row r="8" spans="1:119" x14ac:dyDescent="0.25">
      <c r="A8">
        <f>ROW(Source!A41)</f>
        <v>41</v>
      </c>
      <c r="B8">
        <v>75604747</v>
      </c>
      <c r="C8">
        <v>75604901</v>
      </c>
      <c r="D8">
        <v>74308540</v>
      </c>
      <c r="E8">
        <v>1</v>
      </c>
      <c r="F8">
        <v>1</v>
      </c>
      <c r="G8">
        <v>1</v>
      </c>
      <c r="H8">
        <v>2</v>
      </c>
      <c r="I8" t="s">
        <v>506</v>
      </c>
      <c r="J8" t="s">
        <v>507</v>
      </c>
      <c r="K8" t="s">
        <v>508</v>
      </c>
      <c r="L8">
        <v>1368</v>
      </c>
      <c r="N8">
        <v>1011</v>
      </c>
      <c r="O8" t="s">
        <v>509</v>
      </c>
      <c r="P8" t="s">
        <v>509</v>
      </c>
      <c r="Q8">
        <v>1</v>
      </c>
      <c r="W8">
        <v>0</v>
      </c>
      <c r="X8">
        <v>1569939493</v>
      </c>
      <c r="Y8">
        <f>(AT8*ROUND((0.15+1),7))</f>
        <v>47.15</v>
      </c>
      <c r="AA8">
        <v>0</v>
      </c>
      <c r="AB8">
        <v>960.44</v>
      </c>
      <c r="AC8">
        <v>422.95</v>
      </c>
      <c r="AD8">
        <v>0</v>
      </c>
      <c r="AE8">
        <v>0</v>
      </c>
      <c r="AF8">
        <v>800.37</v>
      </c>
      <c r="AG8">
        <v>422.95</v>
      </c>
      <c r="AH8">
        <v>0</v>
      </c>
      <c r="AI8">
        <v>1</v>
      </c>
      <c r="AJ8">
        <v>1.2</v>
      </c>
      <c r="AK8">
        <v>1</v>
      </c>
      <c r="AL8">
        <v>1</v>
      </c>
      <c r="AM8">
        <v>2</v>
      </c>
      <c r="AN8">
        <v>0</v>
      </c>
      <c r="AO8">
        <v>0</v>
      </c>
      <c r="AP8">
        <v>1</v>
      </c>
      <c r="AQ8">
        <v>1</v>
      </c>
      <c r="AR8">
        <v>0</v>
      </c>
      <c r="AS8" t="s">
        <v>3</v>
      </c>
      <c r="AT8">
        <v>41</v>
      </c>
      <c r="AU8" t="s">
        <v>27</v>
      </c>
      <c r="AV8">
        <v>1</v>
      </c>
      <c r="AW8">
        <v>2</v>
      </c>
      <c r="AX8">
        <v>75604909</v>
      </c>
      <c r="AY8">
        <v>1</v>
      </c>
      <c r="AZ8">
        <v>0</v>
      </c>
      <c r="BA8">
        <v>8</v>
      </c>
      <c r="BB8">
        <v>1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32815.17</v>
      </c>
      <c r="BL8">
        <v>17340.95</v>
      </c>
      <c r="BM8">
        <v>0</v>
      </c>
      <c r="BN8">
        <v>0</v>
      </c>
      <c r="BO8">
        <v>41</v>
      </c>
      <c r="BP8">
        <v>1</v>
      </c>
      <c r="BQ8">
        <v>0</v>
      </c>
      <c r="BR8">
        <v>37737.445500000002</v>
      </c>
      <c r="BS8">
        <v>19942.092499999999</v>
      </c>
      <c r="BT8">
        <v>0</v>
      </c>
      <c r="BU8">
        <v>0</v>
      </c>
      <c r="BV8">
        <v>47.15</v>
      </c>
      <c r="BW8">
        <v>1</v>
      </c>
      <c r="CV8">
        <v>0</v>
      </c>
      <c r="CW8">
        <f>ROUND(Y8*Source!I41*DO8,7)</f>
        <v>3.2533500000000002</v>
      </c>
      <c r="CX8">
        <f>ROUND(Y8*Source!I41,7)</f>
        <v>3.2533500000000002</v>
      </c>
      <c r="CY8">
        <f>AB8</f>
        <v>960.44</v>
      </c>
      <c r="CZ8">
        <f>AF8</f>
        <v>800.37</v>
      </c>
      <c r="DA8">
        <f>AJ8</f>
        <v>1.2</v>
      </c>
      <c r="DB8">
        <f>ROUND((ROUND(AT8*CZ8,2)*ROUND((0.15+1),7)),6)</f>
        <v>37737.445500000002</v>
      </c>
      <c r="DC8">
        <f>ROUND((ROUND(AT8*AG8,2)*ROUND((0.15+1),7)),6)</f>
        <v>19942.092499999999</v>
      </c>
      <c r="DD8" t="s">
        <v>3</v>
      </c>
      <c r="DE8" t="s">
        <v>3</v>
      </c>
      <c r="DF8">
        <f t="shared" si="0"/>
        <v>0</v>
      </c>
      <c r="DG8">
        <f>ROUND(ROUND(AF8*AJ8,2)*CX8,2)</f>
        <v>3124.65</v>
      </c>
      <c r="DH8">
        <f t="shared" si="1"/>
        <v>1376</v>
      </c>
      <c r="DI8">
        <f t="shared" si="2"/>
        <v>0</v>
      </c>
      <c r="DJ8">
        <f>DG8+DH8</f>
        <v>4500.6499999999996</v>
      </c>
      <c r="DK8">
        <v>0</v>
      </c>
      <c r="DL8" t="s">
        <v>510</v>
      </c>
      <c r="DM8">
        <v>5</v>
      </c>
      <c r="DN8" t="s">
        <v>501</v>
      </c>
      <c r="DO8">
        <v>1</v>
      </c>
    </row>
    <row r="9" spans="1:119" x14ac:dyDescent="0.25">
      <c r="A9">
        <f>ROW(Source!A43)</f>
        <v>43</v>
      </c>
      <c r="B9">
        <v>75604747</v>
      </c>
      <c r="C9">
        <v>75604911</v>
      </c>
      <c r="D9">
        <v>74182213</v>
      </c>
      <c r="E9">
        <v>118</v>
      </c>
      <c r="F9">
        <v>1</v>
      </c>
      <c r="G9">
        <v>1</v>
      </c>
      <c r="H9">
        <v>1</v>
      </c>
      <c r="I9" t="s">
        <v>502</v>
      </c>
      <c r="J9" t="s">
        <v>3</v>
      </c>
      <c r="K9" t="s">
        <v>503</v>
      </c>
      <c r="L9">
        <v>1191</v>
      </c>
      <c r="N9">
        <v>1013</v>
      </c>
      <c r="O9" t="s">
        <v>501</v>
      </c>
      <c r="P9" t="s">
        <v>501</v>
      </c>
      <c r="Q9">
        <v>1</v>
      </c>
      <c r="W9">
        <v>0</v>
      </c>
      <c r="X9">
        <v>-267883188</v>
      </c>
      <c r="Y9">
        <f>(AT9*ROUND((0.15+1),7))</f>
        <v>101.77499999999999</v>
      </c>
      <c r="AA9">
        <v>0</v>
      </c>
      <c r="AB9">
        <v>0</v>
      </c>
      <c r="AC9">
        <v>0</v>
      </c>
      <c r="AD9">
        <v>287</v>
      </c>
      <c r="AE9">
        <v>0</v>
      </c>
      <c r="AF9">
        <v>0</v>
      </c>
      <c r="AG9">
        <v>0</v>
      </c>
      <c r="AH9">
        <v>287</v>
      </c>
      <c r="AI9">
        <v>1</v>
      </c>
      <c r="AJ9">
        <v>1</v>
      </c>
      <c r="AK9">
        <v>1</v>
      </c>
      <c r="AL9">
        <v>1</v>
      </c>
      <c r="AM9">
        <v>-2</v>
      </c>
      <c r="AN9">
        <v>0</v>
      </c>
      <c r="AO9">
        <v>0</v>
      </c>
      <c r="AP9">
        <v>1</v>
      </c>
      <c r="AQ9">
        <v>1</v>
      </c>
      <c r="AR9">
        <v>0</v>
      </c>
      <c r="AS9" t="s">
        <v>3</v>
      </c>
      <c r="AT9">
        <v>88.5</v>
      </c>
      <c r="AU9" t="s">
        <v>27</v>
      </c>
      <c r="AV9">
        <v>1</v>
      </c>
      <c r="AW9">
        <v>2</v>
      </c>
      <c r="AX9">
        <v>75604913</v>
      </c>
      <c r="AY9">
        <v>1</v>
      </c>
      <c r="AZ9">
        <v>0</v>
      </c>
      <c r="BA9">
        <v>9</v>
      </c>
      <c r="BB9">
        <v>1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25399.5</v>
      </c>
      <c r="BN9">
        <v>88.5</v>
      </c>
      <c r="BO9">
        <v>0</v>
      </c>
      <c r="BP9">
        <v>1</v>
      </c>
      <c r="BQ9">
        <v>0</v>
      </c>
      <c r="BR9">
        <v>0</v>
      </c>
      <c r="BS9">
        <v>0</v>
      </c>
      <c r="BT9">
        <v>29209.424999999999</v>
      </c>
      <c r="BU9">
        <v>101.77499999999999</v>
      </c>
      <c r="BV9">
        <v>0</v>
      </c>
      <c r="BW9">
        <v>1</v>
      </c>
      <c r="CU9">
        <f>ROUND(AT9*Source!I43*AH9*AL9,2)</f>
        <v>1269.98</v>
      </c>
      <c r="CV9">
        <f>ROUND(Y9*Source!I43,7)</f>
        <v>5.0887500000000001</v>
      </c>
      <c r="CW9">
        <v>0</v>
      </c>
      <c r="CX9">
        <f>ROUND(Y9*Source!I43,7)</f>
        <v>5.0887500000000001</v>
      </c>
      <c r="CY9">
        <f>AD9</f>
        <v>287</v>
      </c>
      <c r="CZ9">
        <f>AH9</f>
        <v>287</v>
      </c>
      <c r="DA9">
        <f>AL9</f>
        <v>1</v>
      </c>
      <c r="DB9">
        <f>ROUND((ROUND(AT9*CZ9,2)*ROUND((0.15+1),7)),6)</f>
        <v>29209.424999999999</v>
      </c>
      <c r="DC9">
        <f>ROUND((ROUND(AT9*AG9,2)*ROUND((0.15+1),7)),6)</f>
        <v>0</v>
      </c>
      <c r="DD9" t="s">
        <v>3</v>
      </c>
      <c r="DE9" t="s">
        <v>3</v>
      </c>
      <c r="DF9">
        <f t="shared" si="0"/>
        <v>0</v>
      </c>
      <c r="DG9">
        <f>ROUND(ROUND(AF9,2)*CX9,2)</f>
        <v>0</v>
      </c>
      <c r="DH9">
        <f t="shared" si="1"/>
        <v>0</v>
      </c>
      <c r="DI9">
        <f t="shared" si="2"/>
        <v>1460.47</v>
      </c>
      <c r="DJ9">
        <f>DI9</f>
        <v>1460.47</v>
      </c>
      <c r="DK9">
        <v>1</v>
      </c>
      <c r="DL9" t="s">
        <v>3</v>
      </c>
      <c r="DM9">
        <v>0</v>
      </c>
      <c r="DN9" t="s">
        <v>3</v>
      </c>
      <c r="DO9">
        <v>0</v>
      </c>
    </row>
    <row r="10" spans="1:119" x14ac:dyDescent="0.25">
      <c r="A10">
        <f>ROW(Source!A44)</f>
        <v>44</v>
      </c>
      <c r="B10">
        <v>75604747</v>
      </c>
      <c r="C10">
        <v>75605789</v>
      </c>
      <c r="D10">
        <v>37071503</v>
      </c>
      <c r="E10">
        <v>118</v>
      </c>
      <c r="F10">
        <v>1</v>
      </c>
      <c r="G10">
        <v>1</v>
      </c>
      <c r="H10">
        <v>1</v>
      </c>
      <c r="I10" t="s">
        <v>502</v>
      </c>
      <c r="J10" t="s">
        <v>3</v>
      </c>
      <c r="K10" t="s">
        <v>503</v>
      </c>
      <c r="L10">
        <v>1191</v>
      </c>
      <c r="N10">
        <v>1013</v>
      </c>
      <c r="O10" t="s">
        <v>501</v>
      </c>
      <c r="P10" t="s">
        <v>501</v>
      </c>
      <c r="Q10">
        <v>1</v>
      </c>
      <c r="W10">
        <v>0</v>
      </c>
      <c r="X10">
        <v>-267883188</v>
      </c>
      <c r="Y10">
        <f>(AT10*ROUND((0.15+1),7))</f>
        <v>101.77499999999999</v>
      </c>
      <c r="AA10">
        <v>0</v>
      </c>
      <c r="AB10">
        <v>0</v>
      </c>
      <c r="AC10">
        <v>0</v>
      </c>
      <c r="AD10">
        <v>287</v>
      </c>
      <c r="AE10">
        <v>0</v>
      </c>
      <c r="AF10">
        <v>0</v>
      </c>
      <c r="AG10">
        <v>0</v>
      </c>
      <c r="AH10">
        <v>287</v>
      </c>
      <c r="AI10">
        <v>1</v>
      </c>
      <c r="AJ10">
        <v>1</v>
      </c>
      <c r="AK10">
        <v>1</v>
      </c>
      <c r="AL10">
        <v>1</v>
      </c>
      <c r="AM10">
        <v>-2</v>
      </c>
      <c r="AN10">
        <v>0</v>
      </c>
      <c r="AO10">
        <v>0</v>
      </c>
      <c r="AP10">
        <v>1</v>
      </c>
      <c r="AQ10">
        <v>1</v>
      </c>
      <c r="AR10">
        <v>0</v>
      </c>
      <c r="AS10" t="s">
        <v>3</v>
      </c>
      <c r="AT10">
        <v>88.5</v>
      </c>
      <c r="AU10" t="s">
        <v>27</v>
      </c>
      <c r="AV10">
        <v>1</v>
      </c>
      <c r="AW10">
        <v>2</v>
      </c>
      <c r="AX10">
        <v>75605791</v>
      </c>
      <c r="AY10">
        <v>1</v>
      </c>
      <c r="AZ10">
        <v>0</v>
      </c>
      <c r="BA10">
        <v>10</v>
      </c>
      <c r="BB10">
        <v>1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25399.5</v>
      </c>
      <c r="BN10">
        <v>88.5</v>
      </c>
      <c r="BO10">
        <v>0</v>
      </c>
      <c r="BP10">
        <v>1</v>
      </c>
      <c r="BQ10">
        <v>0</v>
      </c>
      <c r="BR10">
        <v>0</v>
      </c>
      <c r="BS10">
        <v>0</v>
      </c>
      <c r="BT10">
        <v>29209.424999999999</v>
      </c>
      <c r="BU10">
        <v>101.77499999999999</v>
      </c>
      <c r="BV10">
        <v>0</v>
      </c>
      <c r="BW10">
        <v>1</v>
      </c>
      <c r="CU10">
        <f>ROUND(AT10*Source!I44*AH10*AL10,2)</f>
        <v>1015.98</v>
      </c>
      <c r="CV10">
        <f>ROUND(Y10*Source!I44,7)</f>
        <v>4.0709999999999997</v>
      </c>
      <c r="CW10">
        <v>0</v>
      </c>
      <c r="CX10">
        <f>ROUND(Y10*Source!I44,7)</f>
        <v>4.0709999999999997</v>
      </c>
      <c r="CY10">
        <f>AD10</f>
        <v>287</v>
      </c>
      <c r="CZ10">
        <f>AH10</f>
        <v>287</v>
      </c>
      <c r="DA10">
        <f>AL10</f>
        <v>1</v>
      </c>
      <c r="DB10">
        <f>ROUND((ROUND(AT10*CZ10,2)*ROUND((0.15+1),7)),6)</f>
        <v>29209.424999999999</v>
      </c>
      <c r="DC10">
        <f>ROUND((ROUND(AT10*AG10,2)*ROUND((0.15+1),7)),6)</f>
        <v>0</v>
      </c>
      <c r="DD10" t="s">
        <v>3</v>
      </c>
      <c r="DE10" t="s">
        <v>3</v>
      </c>
      <c r="DF10">
        <f t="shared" si="0"/>
        <v>0</v>
      </c>
      <c r="DG10">
        <f>ROUND(ROUND(AF10,2)*CX10,2)</f>
        <v>0</v>
      </c>
      <c r="DH10">
        <f t="shared" si="1"/>
        <v>0</v>
      </c>
      <c r="DI10">
        <f t="shared" si="2"/>
        <v>1168.3800000000001</v>
      </c>
      <c r="DJ10">
        <f>DI10</f>
        <v>1168.3800000000001</v>
      </c>
      <c r="DK10">
        <v>1</v>
      </c>
      <c r="DL10" t="s">
        <v>3</v>
      </c>
      <c r="DM10">
        <v>0</v>
      </c>
      <c r="DN10" t="s">
        <v>3</v>
      </c>
      <c r="DO10">
        <v>0</v>
      </c>
    </row>
    <row r="11" spans="1:119" x14ac:dyDescent="0.25">
      <c r="A11">
        <f>ROW(Source!A46)</f>
        <v>46</v>
      </c>
      <c r="B11">
        <v>75604747</v>
      </c>
      <c r="C11">
        <v>75605777</v>
      </c>
      <c r="D11">
        <v>37064998</v>
      </c>
      <c r="E11">
        <v>118</v>
      </c>
      <c r="F11">
        <v>1</v>
      </c>
      <c r="G11">
        <v>1</v>
      </c>
      <c r="H11">
        <v>1</v>
      </c>
      <c r="I11" t="s">
        <v>499</v>
      </c>
      <c r="J11" t="s">
        <v>3</v>
      </c>
      <c r="K11" t="s">
        <v>500</v>
      </c>
      <c r="L11">
        <v>1191</v>
      </c>
      <c r="N11">
        <v>1013</v>
      </c>
      <c r="O11" t="s">
        <v>501</v>
      </c>
      <c r="P11" t="s">
        <v>501</v>
      </c>
      <c r="Q11">
        <v>1</v>
      </c>
      <c r="W11">
        <v>0</v>
      </c>
      <c r="X11">
        <v>370475345</v>
      </c>
      <c r="Y11">
        <f>(AT11*ROUND(((0.15+1)*0.5),7))</f>
        <v>4.1054999999999993</v>
      </c>
      <c r="AA11">
        <v>0</v>
      </c>
      <c r="AB11">
        <v>0</v>
      </c>
      <c r="AC11">
        <v>0</v>
      </c>
      <c r="AD11">
        <v>299.36</v>
      </c>
      <c r="AE11">
        <v>0</v>
      </c>
      <c r="AF11">
        <v>0</v>
      </c>
      <c r="AG11">
        <v>0</v>
      </c>
      <c r="AH11">
        <v>299.36</v>
      </c>
      <c r="AI11">
        <v>1</v>
      </c>
      <c r="AJ11">
        <v>1</v>
      </c>
      <c r="AK11">
        <v>1</v>
      </c>
      <c r="AL11">
        <v>1</v>
      </c>
      <c r="AM11">
        <v>-2</v>
      </c>
      <c r="AN11">
        <v>0</v>
      </c>
      <c r="AO11">
        <v>0</v>
      </c>
      <c r="AP11">
        <v>1</v>
      </c>
      <c r="AQ11">
        <v>1</v>
      </c>
      <c r="AR11">
        <v>0</v>
      </c>
      <c r="AS11" t="s">
        <v>3</v>
      </c>
      <c r="AT11">
        <v>7.14</v>
      </c>
      <c r="AU11" t="s">
        <v>81</v>
      </c>
      <c r="AV11">
        <v>1</v>
      </c>
      <c r="AW11">
        <v>2</v>
      </c>
      <c r="AX11">
        <v>75605781</v>
      </c>
      <c r="AY11">
        <v>1</v>
      </c>
      <c r="AZ11">
        <v>0</v>
      </c>
      <c r="BA11">
        <v>11</v>
      </c>
      <c r="BB11">
        <v>1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2137.4304000000002</v>
      </c>
      <c r="BN11">
        <v>7.14</v>
      </c>
      <c r="BO11">
        <v>0</v>
      </c>
      <c r="BP11">
        <v>1</v>
      </c>
      <c r="BQ11">
        <v>0</v>
      </c>
      <c r="BR11">
        <v>0</v>
      </c>
      <c r="BS11">
        <v>0</v>
      </c>
      <c r="BT11">
        <v>1229.0224799999999</v>
      </c>
      <c r="BU11">
        <v>4.1054999999999993</v>
      </c>
      <c r="BV11">
        <v>0</v>
      </c>
      <c r="BW11">
        <v>1</v>
      </c>
      <c r="CU11">
        <f>ROUND(AT11*Source!I46*AH11*AL11,2)</f>
        <v>128.25</v>
      </c>
      <c r="CV11">
        <f>ROUND(Y11*Source!I46,7)</f>
        <v>0.24632999999999999</v>
      </c>
      <c r="CW11">
        <v>0</v>
      </c>
      <c r="CX11">
        <f>ROUND(Y11*Source!I46,7)</f>
        <v>0.24632999999999999</v>
      </c>
      <c r="CY11">
        <f>AD11</f>
        <v>299.36</v>
      </c>
      <c r="CZ11">
        <f>AH11</f>
        <v>299.36</v>
      </c>
      <c r="DA11">
        <f>AL11</f>
        <v>1</v>
      </c>
      <c r="DB11">
        <f>ROUND((ROUND(AT11*CZ11,2)*ROUND(((0.15+1)*0.5),7)),6)</f>
        <v>1229.02225</v>
      </c>
      <c r="DC11">
        <f>ROUND((ROUND(AT11*AG11,2)*ROUND(((0.15+1)*0.5),7)),6)</f>
        <v>0</v>
      </c>
      <c r="DD11" t="s">
        <v>3</v>
      </c>
      <c r="DE11" t="s">
        <v>3</v>
      </c>
      <c r="DF11">
        <f t="shared" si="0"/>
        <v>0</v>
      </c>
      <c r="DG11">
        <f>ROUND(ROUND(AF11,2)*CX11,2)</f>
        <v>0</v>
      </c>
      <c r="DH11">
        <f t="shared" si="1"/>
        <v>0</v>
      </c>
      <c r="DI11">
        <f t="shared" si="2"/>
        <v>73.739999999999995</v>
      </c>
      <c r="DJ11">
        <f>DI11</f>
        <v>73.739999999999995</v>
      </c>
      <c r="DK11">
        <v>1</v>
      </c>
      <c r="DL11" t="s">
        <v>3</v>
      </c>
      <c r="DM11">
        <v>0</v>
      </c>
      <c r="DN11" t="s">
        <v>3</v>
      </c>
      <c r="DO11">
        <v>0</v>
      </c>
    </row>
    <row r="12" spans="1:119" x14ac:dyDescent="0.25">
      <c r="A12">
        <f>ROW(Source!A46)</f>
        <v>46</v>
      </c>
      <c r="B12">
        <v>75604747</v>
      </c>
      <c r="C12">
        <v>75605777</v>
      </c>
      <c r="D12">
        <v>37064876</v>
      </c>
      <c r="E12">
        <v>118</v>
      </c>
      <c r="F12">
        <v>1</v>
      </c>
      <c r="G12">
        <v>1</v>
      </c>
      <c r="H12">
        <v>1</v>
      </c>
      <c r="I12" t="s">
        <v>504</v>
      </c>
      <c r="J12" t="s">
        <v>3</v>
      </c>
      <c r="K12" t="s">
        <v>505</v>
      </c>
      <c r="L12">
        <v>1191</v>
      </c>
      <c r="N12">
        <v>1013</v>
      </c>
      <c r="O12" t="s">
        <v>501</v>
      </c>
      <c r="P12" t="s">
        <v>501</v>
      </c>
      <c r="Q12">
        <v>1</v>
      </c>
      <c r="W12">
        <v>0</v>
      </c>
      <c r="X12">
        <v>-1417349443</v>
      </c>
      <c r="Y12">
        <f>(AT12*ROUND(((0.15+1)*0.5),7))</f>
        <v>20.458499999999997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1</v>
      </c>
      <c r="AJ12">
        <v>1</v>
      </c>
      <c r="AK12">
        <v>1</v>
      </c>
      <c r="AL12">
        <v>1</v>
      </c>
      <c r="AM12">
        <v>-2</v>
      </c>
      <c r="AN12">
        <v>0</v>
      </c>
      <c r="AO12">
        <v>0</v>
      </c>
      <c r="AP12">
        <v>1</v>
      </c>
      <c r="AQ12">
        <v>1</v>
      </c>
      <c r="AR12">
        <v>0</v>
      </c>
      <c r="AS12" t="s">
        <v>3</v>
      </c>
      <c r="AT12">
        <v>35.58</v>
      </c>
      <c r="AU12" t="s">
        <v>81</v>
      </c>
      <c r="AV12">
        <v>2</v>
      </c>
      <c r="AW12">
        <v>2</v>
      </c>
      <c r="AX12">
        <v>75605782</v>
      </c>
      <c r="AY12">
        <v>1</v>
      </c>
      <c r="AZ12">
        <v>0</v>
      </c>
      <c r="BA12">
        <v>12</v>
      </c>
      <c r="BB12">
        <v>1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CV12">
        <v>0</v>
      </c>
      <c r="CW12">
        <v>0</v>
      </c>
      <c r="CX12">
        <f>ROUND(Y12*Source!I46,7)</f>
        <v>1.2275100000000001</v>
      </c>
      <c r="CY12">
        <f>AD12</f>
        <v>0</v>
      </c>
      <c r="CZ12">
        <f>AH12</f>
        <v>0</v>
      </c>
      <c r="DA12">
        <f>AL12</f>
        <v>1</v>
      </c>
      <c r="DB12">
        <f>ROUND((ROUND(AT12*CZ12,2)*ROUND(((0.15+1)*0.5),7)),6)</f>
        <v>0</v>
      </c>
      <c r="DC12">
        <f>ROUND((ROUND(AT12*AG12,2)*ROUND(((0.15+1)*0.5),7)),6)</f>
        <v>0</v>
      </c>
      <c r="DD12" t="s">
        <v>3</v>
      </c>
      <c r="DE12" t="s">
        <v>3</v>
      </c>
      <c r="DF12">
        <f t="shared" si="0"/>
        <v>0</v>
      </c>
      <c r="DG12">
        <f>ROUND(ROUND(AF12,2)*CX12,2)</f>
        <v>0</v>
      </c>
      <c r="DH12">
        <f t="shared" si="1"/>
        <v>0</v>
      </c>
      <c r="DI12">
        <f t="shared" si="2"/>
        <v>0</v>
      </c>
      <c r="DJ12">
        <f>DI12</f>
        <v>0</v>
      </c>
      <c r="DK12">
        <v>0</v>
      </c>
      <c r="DL12" t="s">
        <v>3</v>
      </c>
      <c r="DM12">
        <v>0</v>
      </c>
      <c r="DN12" t="s">
        <v>3</v>
      </c>
      <c r="DO12">
        <v>0</v>
      </c>
    </row>
    <row r="13" spans="1:119" x14ac:dyDescent="0.25">
      <c r="A13">
        <f>ROW(Source!A46)</f>
        <v>46</v>
      </c>
      <c r="B13">
        <v>75604747</v>
      </c>
      <c r="C13">
        <v>75605777</v>
      </c>
      <c r="D13">
        <v>74308522</v>
      </c>
      <c r="E13">
        <v>1</v>
      </c>
      <c r="F13">
        <v>1</v>
      </c>
      <c r="G13">
        <v>1</v>
      </c>
      <c r="H13">
        <v>2</v>
      </c>
      <c r="I13" t="s">
        <v>511</v>
      </c>
      <c r="J13" t="s">
        <v>512</v>
      </c>
      <c r="K13" t="s">
        <v>513</v>
      </c>
      <c r="L13">
        <v>1368</v>
      </c>
      <c r="N13">
        <v>1011</v>
      </c>
      <c r="O13" t="s">
        <v>509</v>
      </c>
      <c r="P13" t="s">
        <v>509</v>
      </c>
      <c r="Q13">
        <v>1</v>
      </c>
      <c r="W13">
        <v>0</v>
      </c>
      <c r="X13">
        <v>-1081498379</v>
      </c>
      <c r="Y13">
        <f>(AT13*ROUND(((0.15+1)*0.5),7))</f>
        <v>20.458499999999997</v>
      </c>
      <c r="AA13">
        <v>0</v>
      </c>
      <c r="AB13">
        <v>857.8</v>
      </c>
      <c r="AC13">
        <v>422.95</v>
      </c>
      <c r="AD13">
        <v>0</v>
      </c>
      <c r="AE13">
        <v>0</v>
      </c>
      <c r="AF13">
        <v>675.43</v>
      </c>
      <c r="AG13">
        <v>422.95</v>
      </c>
      <c r="AH13">
        <v>0</v>
      </c>
      <c r="AI13">
        <v>1</v>
      </c>
      <c r="AJ13">
        <v>1.27</v>
      </c>
      <c r="AK13">
        <v>1</v>
      </c>
      <c r="AL13">
        <v>1</v>
      </c>
      <c r="AM13">
        <v>2</v>
      </c>
      <c r="AN13">
        <v>0</v>
      </c>
      <c r="AO13">
        <v>0</v>
      </c>
      <c r="AP13">
        <v>1</v>
      </c>
      <c r="AQ13">
        <v>1</v>
      </c>
      <c r="AR13">
        <v>0</v>
      </c>
      <c r="AS13" t="s">
        <v>3</v>
      </c>
      <c r="AT13">
        <v>35.58</v>
      </c>
      <c r="AU13" t="s">
        <v>81</v>
      </c>
      <c r="AV13">
        <v>1</v>
      </c>
      <c r="AW13">
        <v>2</v>
      </c>
      <c r="AX13">
        <v>75605783</v>
      </c>
      <c r="AY13">
        <v>1</v>
      </c>
      <c r="AZ13">
        <v>0</v>
      </c>
      <c r="BA13">
        <v>13</v>
      </c>
      <c r="BB13">
        <v>1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24031.799399999996</v>
      </c>
      <c r="BL13">
        <v>15048.561</v>
      </c>
      <c r="BM13">
        <v>0</v>
      </c>
      <c r="BN13">
        <v>0</v>
      </c>
      <c r="BO13">
        <v>35.58</v>
      </c>
      <c r="BP13">
        <v>1</v>
      </c>
      <c r="BQ13">
        <v>0</v>
      </c>
      <c r="BR13">
        <v>13818.284654999998</v>
      </c>
      <c r="BS13">
        <v>8652.9225749999987</v>
      </c>
      <c r="BT13">
        <v>0</v>
      </c>
      <c r="BU13">
        <v>0</v>
      </c>
      <c r="BV13">
        <v>20.458499999999997</v>
      </c>
      <c r="BW13">
        <v>1</v>
      </c>
      <c r="CV13">
        <v>0</v>
      </c>
      <c r="CW13">
        <f>ROUND(Y13*Source!I46*DO13,7)</f>
        <v>1.2275100000000001</v>
      </c>
      <c r="CX13">
        <f>ROUND(Y13*Source!I46,7)</f>
        <v>1.2275100000000001</v>
      </c>
      <c r="CY13">
        <f>AB13</f>
        <v>857.8</v>
      </c>
      <c r="CZ13">
        <f>AF13</f>
        <v>675.43</v>
      </c>
      <c r="DA13">
        <f>AJ13</f>
        <v>1.27</v>
      </c>
      <c r="DB13">
        <f>ROUND((ROUND(AT13*CZ13,2)*ROUND(((0.15+1)*0.5),7)),6)</f>
        <v>13818.285</v>
      </c>
      <c r="DC13">
        <f>ROUND((ROUND(AT13*AG13,2)*ROUND(((0.15+1)*0.5),7)),6)</f>
        <v>8652.9220000000005</v>
      </c>
      <c r="DD13" t="s">
        <v>3</v>
      </c>
      <c r="DE13" t="s">
        <v>3</v>
      </c>
      <c r="DF13">
        <f t="shared" si="0"/>
        <v>0</v>
      </c>
      <c r="DG13">
        <f>ROUND(ROUND(AF13*AJ13,2)*CX13,2)</f>
        <v>1052.96</v>
      </c>
      <c r="DH13">
        <f t="shared" si="1"/>
        <v>519.17999999999995</v>
      </c>
      <c r="DI13">
        <f t="shared" si="2"/>
        <v>0</v>
      </c>
      <c r="DJ13">
        <f>DG13+DH13</f>
        <v>1572.1399999999999</v>
      </c>
      <c r="DK13">
        <v>0</v>
      </c>
      <c r="DL13" t="s">
        <v>510</v>
      </c>
      <c r="DM13">
        <v>5</v>
      </c>
      <c r="DN13" t="s">
        <v>501</v>
      </c>
      <c r="DO13">
        <v>1</v>
      </c>
    </row>
    <row r="14" spans="1:119" x14ac:dyDescent="0.25">
      <c r="A14">
        <f>ROW(Source!A47)</f>
        <v>47</v>
      </c>
      <c r="B14">
        <v>75604747</v>
      </c>
      <c r="C14">
        <v>75604919</v>
      </c>
      <c r="D14">
        <v>74182263</v>
      </c>
      <c r="E14">
        <v>118</v>
      </c>
      <c r="F14">
        <v>1</v>
      </c>
      <c r="G14">
        <v>1</v>
      </c>
      <c r="H14">
        <v>1</v>
      </c>
      <c r="I14" t="s">
        <v>514</v>
      </c>
      <c r="J14" t="s">
        <v>3</v>
      </c>
      <c r="K14" t="s">
        <v>515</v>
      </c>
      <c r="L14">
        <v>1191</v>
      </c>
      <c r="N14">
        <v>1013</v>
      </c>
      <c r="O14" t="s">
        <v>501</v>
      </c>
      <c r="P14" t="s">
        <v>501</v>
      </c>
      <c r="Q14">
        <v>1</v>
      </c>
      <c r="W14">
        <v>0</v>
      </c>
      <c r="X14">
        <v>-1833565283</v>
      </c>
      <c r="Y14">
        <f t="shared" ref="Y14:Y22" si="3">(AT14*ROUND((0.15+1),7))</f>
        <v>14.409499999999998</v>
      </c>
      <c r="AA14">
        <v>0</v>
      </c>
      <c r="AB14">
        <v>0</v>
      </c>
      <c r="AC14">
        <v>0</v>
      </c>
      <c r="AD14">
        <v>326.82</v>
      </c>
      <c r="AE14">
        <v>0</v>
      </c>
      <c r="AF14">
        <v>0</v>
      </c>
      <c r="AG14">
        <v>0</v>
      </c>
      <c r="AH14">
        <v>326.82</v>
      </c>
      <c r="AI14">
        <v>1</v>
      </c>
      <c r="AJ14">
        <v>1</v>
      </c>
      <c r="AK14">
        <v>1</v>
      </c>
      <c r="AL14">
        <v>1</v>
      </c>
      <c r="AM14">
        <v>-2</v>
      </c>
      <c r="AN14">
        <v>0</v>
      </c>
      <c r="AO14">
        <v>0</v>
      </c>
      <c r="AP14">
        <v>1</v>
      </c>
      <c r="AQ14">
        <v>1</v>
      </c>
      <c r="AR14">
        <v>0</v>
      </c>
      <c r="AS14" t="s">
        <v>3</v>
      </c>
      <c r="AT14">
        <v>12.53</v>
      </c>
      <c r="AU14" t="s">
        <v>27</v>
      </c>
      <c r="AV14">
        <v>1</v>
      </c>
      <c r="AW14">
        <v>2</v>
      </c>
      <c r="AX14">
        <v>75604924</v>
      </c>
      <c r="AY14">
        <v>1</v>
      </c>
      <c r="AZ14">
        <v>0</v>
      </c>
      <c r="BA14">
        <v>14</v>
      </c>
      <c r="BB14">
        <v>1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4095.0545999999995</v>
      </c>
      <c r="BN14">
        <v>12.53</v>
      </c>
      <c r="BO14">
        <v>0</v>
      </c>
      <c r="BP14">
        <v>1</v>
      </c>
      <c r="BQ14">
        <v>0</v>
      </c>
      <c r="BR14">
        <v>0</v>
      </c>
      <c r="BS14">
        <v>0</v>
      </c>
      <c r="BT14">
        <v>4709.312789999999</v>
      </c>
      <c r="BU14">
        <v>14.409499999999998</v>
      </c>
      <c r="BV14">
        <v>0</v>
      </c>
      <c r="BW14">
        <v>1</v>
      </c>
      <c r="CU14">
        <f>ROUND(AT14*Source!I47*AH14*AL14,2)</f>
        <v>2457.0300000000002</v>
      </c>
      <c r="CV14">
        <f>ROUND(Y14*Source!I47,7)</f>
        <v>8.6456999999999997</v>
      </c>
      <c r="CW14">
        <v>0</v>
      </c>
      <c r="CX14">
        <f>ROUND(Y14*Source!I47,7)</f>
        <v>8.6456999999999997</v>
      </c>
      <c r="CY14">
        <f>AD14</f>
        <v>326.82</v>
      </c>
      <c r="CZ14">
        <f>AH14</f>
        <v>326.82</v>
      </c>
      <c r="DA14">
        <f>AL14</f>
        <v>1</v>
      </c>
      <c r="DB14">
        <f t="shared" ref="DB14:DB22" si="4">ROUND((ROUND(AT14*CZ14,2)*ROUND((0.15+1),7)),6)</f>
        <v>4709.3074999999999</v>
      </c>
      <c r="DC14">
        <f t="shared" ref="DC14:DC22" si="5">ROUND((ROUND(AT14*AG14,2)*ROUND((0.15+1),7)),6)</f>
        <v>0</v>
      </c>
      <c r="DD14" t="s">
        <v>3</v>
      </c>
      <c r="DE14" t="s">
        <v>3</v>
      </c>
      <c r="DF14">
        <f t="shared" si="0"/>
        <v>0</v>
      </c>
      <c r="DG14">
        <f>ROUND(ROUND(AF14,2)*CX14,2)</f>
        <v>0</v>
      </c>
      <c r="DH14">
        <f t="shared" si="1"/>
        <v>0</v>
      </c>
      <c r="DI14">
        <f t="shared" si="2"/>
        <v>2825.59</v>
      </c>
      <c r="DJ14">
        <f>DI14</f>
        <v>2825.59</v>
      </c>
      <c r="DK14">
        <v>1</v>
      </c>
      <c r="DL14" t="s">
        <v>3</v>
      </c>
      <c r="DM14">
        <v>0</v>
      </c>
      <c r="DN14" t="s">
        <v>3</v>
      </c>
      <c r="DO14">
        <v>0</v>
      </c>
    </row>
    <row r="15" spans="1:119" x14ac:dyDescent="0.25">
      <c r="A15">
        <f>ROW(Source!A47)</f>
        <v>47</v>
      </c>
      <c r="B15">
        <v>75604747</v>
      </c>
      <c r="C15">
        <v>75604919</v>
      </c>
      <c r="D15">
        <v>74182464</v>
      </c>
      <c r="E15">
        <v>118</v>
      </c>
      <c r="F15">
        <v>1</v>
      </c>
      <c r="G15">
        <v>1</v>
      </c>
      <c r="H15">
        <v>1</v>
      </c>
      <c r="I15" t="s">
        <v>504</v>
      </c>
      <c r="J15" t="s">
        <v>3</v>
      </c>
      <c r="K15" t="s">
        <v>505</v>
      </c>
      <c r="L15">
        <v>1191</v>
      </c>
      <c r="N15">
        <v>1013</v>
      </c>
      <c r="O15" t="s">
        <v>501</v>
      </c>
      <c r="P15" t="s">
        <v>501</v>
      </c>
      <c r="Q15">
        <v>1</v>
      </c>
      <c r="W15">
        <v>0</v>
      </c>
      <c r="X15">
        <v>-1417349443</v>
      </c>
      <c r="Y15">
        <f t="shared" si="3"/>
        <v>3.0129999999999999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1</v>
      </c>
      <c r="AJ15">
        <v>1</v>
      </c>
      <c r="AK15">
        <v>1</v>
      </c>
      <c r="AL15">
        <v>1</v>
      </c>
      <c r="AM15">
        <v>-2</v>
      </c>
      <c r="AN15">
        <v>0</v>
      </c>
      <c r="AO15">
        <v>0</v>
      </c>
      <c r="AP15">
        <v>1</v>
      </c>
      <c r="AQ15">
        <v>1</v>
      </c>
      <c r="AR15">
        <v>0</v>
      </c>
      <c r="AS15" t="s">
        <v>3</v>
      </c>
      <c r="AT15">
        <v>2.62</v>
      </c>
      <c r="AU15" t="s">
        <v>27</v>
      </c>
      <c r="AV15">
        <v>2</v>
      </c>
      <c r="AW15">
        <v>2</v>
      </c>
      <c r="AX15">
        <v>75604925</v>
      </c>
      <c r="AY15">
        <v>1</v>
      </c>
      <c r="AZ15">
        <v>0</v>
      </c>
      <c r="BA15">
        <v>15</v>
      </c>
      <c r="BB15">
        <v>1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CV15">
        <v>0</v>
      </c>
      <c r="CW15">
        <v>0</v>
      </c>
      <c r="CX15">
        <f>ROUND(Y15*Source!I47,7)</f>
        <v>1.8078000000000001</v>
      </c>
      <c r="CY15">
        <f>AD15</f>
        <v>0</v>
      </c>
      <c r="CZ15">
        <f>AH15</f>
        <v>0</v>
      </c>
      <c r="DA15">
        <f>AL15</f>
        <v>1</v>
      </c>
      <c r="DB15">
        <f t="shared" si="4"/>
        <v>0</v>
      </c>
      <c r="DC15">
        <f t="shared" si="5"/>
        <v>0</v>
      </c>
      <c r="DD15" t="s">
        <v>3</v>
      </c>
      <c r="DE15" t="s">
        <v>3</v>
      </c>
      <c r="DF15">
        <f t="shared" si="0"/>
        <v>0</v>
      </c>
      <c r="DG15">
        <f>ROUND(ROUND(AF15,2)*CX15,2)</f>
        <v>0</v>
      </c>
      <c r="DH15">
        <f t="shared" si="1"/>
        <v>0</v>
      </c>
      <c r="DI15">
        <f t="shared" si="2"/>
        <v>0</v>
      </c>
      <c r="DJ15">
        <f>DI15</f>
        <v>0</v>
      </c>
      <c r="DK15">
        <v>0</v>
      </c>
      <c r="DL15" t="s">
        <v>3</v>
      </c>
      <c r="DM15">
        <v>0</v>
      </c>
      <c r="DN15" t="s">
        <v>3</v>
      </c>
      <c r="DO15">
        <v>0</v>
      </c>
    </row>
    <row r="16" spans="1:119" x14ac:dyDescent="0.25">
      <c r="A16">
        <f>ROW(Source!A47)</f>
        <v>47</v>
      </c>
      <c r="B16">
        <v>75604747</v>
      </c>
      <c r="C16">
        <v>75604919</v>
      </c>
      <c r="D16">
        <v>74309359</v>
      </c>
      <c r="E16">
        <v>1</v>
      </c>
      <c r="F16">
        <v>1</v>
      </c>
      <c r="G16">
        <v>1</v>
      </c>
      <c r="H16">
        <v>2</v>
      </c>
      <c r="I16" t="s">
        <v>516</v>
      </c>
      <c r="J16" t="s">
        <v>517</v>
      </c>
      <c r="K16" t="s">
        <v>518</v>
      </c>
      <c r="L16">
        <v>1368</v>
      </c>
      <c r="N16">
        <v>1011</v>
      </c>
      <c r="O16" t="s">
        <v>509</v>
      </c>
      <c r="P16" t="s">
        <v>509</v>
      </c>
      <c r="Q16">
        <v>1</v>
      </c>
      <c r="W16">
        <v>0</v>
      </c>
      <c r="X16">
        <v>-1845073234</v>
      </c>
      <c r="Y16">
        <f t="shared" si="3"/>
        <v>12.074999999999999</v>
      </c>
      <c r="AA16">
        <v>0</v>
      </c>
      <c r="AB16">
        <v>2.58</v>
      </c>
      <c r="AC16">
        <v>0</v>
      </c>
      <c r="AD16">
        <v>0</v>
      </c>
      <c r="AE16">
        <v>0</v>
      </c>
      <c r="AF16">
        <v>2.41</v>
      </c>
      <c r="AG16">
        <v>0</v>
      </c>
      <c r="AH16">
        <v>0</v>
      </c>
      <c r="AI16">
        <v>1</v>
      </c>
      <c r="AJ16">
        <v>1.07</v>
      </c>
      <c r="AK16">
        <v>1</v>
      </c>
      <c r="AL16">
        <v>1</v>
      </c>
      <c r="AM16">
        <v>2</v>
      </c>
      <c r="AN16">
        <v>0</v>
      </c>
      <c r="AO16">
        <v>0</v>
      </c>
      <c r="AP16">
        <v>1</v>
      </c>
      <c r="AQ16">
        <v>1</v>
      </c>
      <c r="AR16">
        <v>0</v>
      </c>
      <c r="AS16" t="s">
        <v>3</v>
      </c>
      <c r="AT16">
        <v>10.5</v>
      </c>
      <c r="AU16" t="s">
        <v>27</v>
      </c>
      <c r="AV16">
        <v>1</v>
      </c>
      <c r="AW16">
        <v>2</v>
      </c>
      <c r="AX16">
        <v>75604926</v>
      </c>
      <c r="AY16">
        <v>1</v>
      </c>
      <c r="AZ16">
        <v>0</v>
      </c>
      <c r="BA16">
        <v>16</v>
      </c>
      <c r="BB16">
        <v>1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25.305</v>
      </c>
      <c r="BL16">
        <v>0</v>
      </c>
      <c r="BM16">
        <v>0</v>
      </c>
      <c r="BN16">
        <v>0</v>
      </c>
      <c r="BO16">
        <v>0</v>
      </c>
      <c r="BP16">
        <v>1</v>
      </c>
      <c r="BQ16">
        <v>0</v>
      </c>
      <c r="BR16">
        <v>29.100750000000001</v>
      </c>
      <c r="BS16">
        <v>0</v>
      </c>
      <c r="BT16">
        <v>0</v>
      </c>
      <c r="BU16">
        <v>0</v>
      </c>
      <c r="BV16">
        <v>0</v>
      </c>
      <c r="BW16">
        <v>1</v>
      </c>
      <c r="CV16">
        <v>0</v>
      </c>
      <c r="CW16">
        <f>ROUND(Y16*Source!I47*DO16,7)</f>
        <v>0</v>
      </c>
      <c r="CX16">
        <f>ROUND(Y16*Source!I47,7)</f>
        <v>7.2450000000000001</v>
      </c>
      <c r="CY16">
        <f>AB16</f>
        <v>2.58</v>
      </c>
      <c r="CZ16">
        <f>AF16</f>
        <v>2.41</v>
      </c>
      <c r="DA16">
        <f>AJ16</f>
        <v>1.07</v>
      </c>
      <c r="DB16">
        <f t="shared" si="4"/>
        <v>29.1065</v>
      </c>
      <c r="DC16">
        <f t="shared" si="5"/>
        <v>0</v>
      </c>
      <c r="DD16" t="s">
        <v>3</v>
      </c>
      <c r="DE16" t="s">
        <v>3</v>
      </c>
      <c r="DF16">
        <f t="shared" si="0"/>
        <v>0</v>
      </c>
      <c r="DG16">
        <f>ROUND(ROUND(AF16*AJ16,2)*CX16,2)</f>
        <v>18.690000000000001</v>
      </c>
      <c r="DH16">
        <f t="shared" si="1"/>
        <v>0</v>
      </c>
      <c r="DI16">
        <f t="shared" si="2"/>
        <v>0</v>
      </c>
      <c r="DJ16">
        <f>DG16+DH16</f>
        <v>18.690000000000001</v>
      </c>
      <c r="DK16">
        <v>0</v>
      </c>
      <c r="DL16" t="s">
        <v>3</v>
      </c>
      <c r="DM16">
        <v>0</v>
      </c>
      <c r="DN16" t="s">
        <v>3</v>
      </c>
      <c r="DO16">
        <v>0</v>
      </c>
    </row>
    <row r="17" spans="1:119" x14ac:dyDescent="0.25">
      <c r="A17">
        <f>ROW(Source!A47)</f>
        <v>47</v>
      </c>
      <c r="B17">
        <v>75604747</v>
      </c>
      <c r="C17">
        <v>75604919</v>
      </c>
      <c r="D17">
        <v>74310033</v>
      </c>
      <c r="E17">
        <v>1</v>
      </c>
      <c r="F17">
        <v>1</v>
      </c>
      <c r="G17">
        <v>1</v>
      </c>
      <c r="H17">
        <v>2</v>
      </c>
      <c r="I17" t="s">
        <v>519</v>
      </c>
      <c r="J17" t="s">
        <v>520</v>
      </c>
      <c r="K17" t="s">
        <v>521</v>
      </c>
      <c r="L17">
        <v>1368</v>
      </c>
      <c r="N17">
        <v>1011</v>
      </c>
      <c r="O17" t="s">
        <v>509</v>
      </c>
      <c r="P17" t="s">
        <v>509</v>
      </c>
      <c r="Q17">
        <v>1</v>
      </c>
      <c r="W17">
        <v>0</v>
      </c>
      <c r="X17">
        <v>1818041354</v>
      </c>
      <c r="Y17">
        <f t="shared" si="3"/>
        <v>3.0129999999999999</v>
      </c>
      <c r="AA17">
        <v>0</v>
      </c>
      <c r="AB17">
        <v>385.61</v>
      </c>
      <c r="AC17">
        <v>368.02</v>
      </c>
      <c r="AD17">
        <v>0</v>
      </c>
      <c r="AE17">
        <v>0</v>
      </c>
      <c r="AF17">
        <v>385.61</v>
      </c>
      <c r="AG17">
        <v>368.02</v>
      </c>
      <c r="AH17">
        <v>0</v>
      </c>
      <c r="AI17">
        <v>1</v>
      </c>
      <c r="AJ17">
        <v>1</v>
      </c>
      <c r="AK17">
        <v>1</v>
      </c>
      <c r="AL17">
        <v>1</v>
      </c>
      <c r="AM17">
        <v>-2</v>
      </c>
      <c r="AN17">
        <v>0</v>
      </c>
      <c r="AO17">
        <v>0</v>
      </c>
      <c r="AP17">
        <v>1</v>
      </c>
      <c r="AQ17">
        <v>1</v>
      </c>
      <c r="AR17">
        <v>0</v>
      </c>
      <c r="AS17" t="s">
        <v>3</v>
      </c>
      <c r="AT17">
        <v>2.62</v>
      </c>
      <c r="AU17" t="s">
        <v>27</v>
      </c>
      <c r="AV17">
        <v>1</v>
      </c>
      <c r="AW17">
        <v>2</v>
      </c>
      <c r="AX17">
        <v>75604927</v>
      </c>
      <c r="AY17">
        <v>1</v>
      </c>
      <c r="AZ17">
        <v>0</v>
      </c>
      <c r="BA17">
        <v>17</v>
      </c>
      <c r="BB17">
        <v>1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1010.2982000000001</v>
      </c>
      <c r="BL17">
        <v>964.2124</v>
      </c>
      <c r="BM17">
        <v>0</v>
      </c>
      <c r="BN17">
        <v>0</v>
      </c>
      <c r="BO17">
        <v>2.62</v>
      </c>
      <c r="BP17">
        <v>1</v>
      </c>
      <c r="BQ17">
        <v>0</v>
      </c>
      <c r="BR17">
        <v>1161.84293</v>
      </c>
      <c r="BS17">
        <v>1108.8442599999998</v>
      </c>
      <c r="BT17">
        <v>0</v>
      </c>
      <c r="BU17">
        <v>0</v>
      </c>
      <c r="BV17">
        <v>3.0129999999999999</v>
      </c>
      <c r="BW17">
        <v>1</v>
      </c>
      <c r="CV17">
        <v>0</v>
      </c>
      <c r="CW17">
        <f>ROUND(Y17*Source!I47*DO17,7)</f>
        <v>1.8078000000000001</v>
      </c>
      <c r="CX17">
        <f>ROUND(Y17*Source!I47,7)</f>
        <v>1.8078000000000001</v>
      </c>
      <c r="CY17">
        <f>AB17</f>
        <v>385.61</v>
      </c>
      <c r="CZ17">
        <f>AF17</f>
        <v>385.61</v>
      </c>
      <c r="DA17">
        <f>AJ17</f>
        <v>1</v>
      </c>
      <c r="DB17">
        <f t="shared" si="4"/>
        <v>1161.845</v>
      </c>
      <c r="DC17">
        <f t="shared" si="5"/>
        <v>1108.8415</v>
      </c>
      <c r="DD17" t="s">
        <v>3</v>
      </c>
      <c r="DE17" t="s">
        <v>3</v>
      </c>
      <c r="DF17">
        <f t="shared" si="0"/>
        <v>0</v>
      </c>
      <c r="DG17">
        <f>ROUND(ROUND(AF17,2)*CX17,2)</f>
        <v>697.11</v>
      </c>
      <c r="DH17">
        <f t="shared" si="1"/>
        <v>665.31</v>
      </c>
      <c r="DI17">
        <f t="shared" si="2"/>
        <v>0</v>
      </c>
      <c r="DJ17">
        <f>DG17+DH17</f>
        <v>1362.42</v>
      </c>
      <c r="DK17">
        <v>1</v>
      </c>
      <c r="DL17" t="s">
        <v>522</v>
      </c>
      <c r="DM17">
        <v>4</v>
      </c>
      <c r="DN17" t="s">
        <v>501</v>
      </c>
      <c r="DO17">
        <v>1</v>
      </c>
    </row>
    <row r="18" spans="1:119" x14ac:dyDescent="0.25">
      <c r="A18">
        <f>ROW(Source!A48)</f>
        <v>48</v>
      </c>
      <c r="B18">
        <v>75604747</v>
      </c>
      <c r="C18">
        <v>75605769</v>
      </c>
      <c r="D18">
        <v>74182263</v>
      </c>
      <c r="E18">
        <v>118</v>
      </c>
      <c r="F18">
        <v>1</v>
      </c>
      <c r="G18">
        <v>1</v>
      </c>
      <c r="H18">
        <v>1</v>
      </c>
      <c r="I18" t="s">
        <v>514</v>
      </c>
      <c r="J18" t="s">
        <v>3</v>
      </c>
      <c r="K18" t="s">
        <v>515</v>
      </c>
      <c r="L18">
        <v>1191</v>
      </c>
      <c r="N18">
        <v>1013</v>
      </c>
      <c r="O18" t="s">
        <v>501</v>
      </c>
      <c r="P18" t="s">
        <v>501</v>
      </c>
      <c r="Q18">
        <v>1</v>
      </c>
      <c r="W18">
        <v>0</v>
      </c>
      <c r="X18">
        <v>-1833565283</v>
      </c>
      <c r="Y18">
        <f t="shared" si="3"/>
        <v>114.99999999999999</v>
      </c>
      <c r="AA18">
        <v>0</v>
      </c>
      <c r="AB18">
        <v>0</v>
      </c>
      <c r="AC18">
        <v>0</v>
      </c>
      <c r="AD18">
        <v>326.82</v>
      </c>
      <c r="AE18">
        <v>0</v>
      </c>
      <c r="AF18">
        <v>0</v>
      </c>
      <c r="AG18">
        <v>0</v>
      </c>
      <c r="AH18">
        <v>326.82</v>
      </c>
      <c r="AI18">
        <v>1</v>
      </c>
      <c r="AJ18">
        <v>1</v>
      </c>
      <c r="AK18">
        <v>1</v>
      </c>
      <c r="AL18">
        <v>1</v>
      </c>
      <c r="AM18">
        <v>-2</v>
      </c>
      <c r="AN18">
        <v>0</v>
      </c>
      <c r="AO18">
        <v>0</v>
      </c>
      <c r="AP18">
        <v>1</v>
      </c>
      <c r="AQ18">
        <v>1</v>
      </c>
      <c r="AR18">
        <v>0</v>
      </c>
      <c r="AS18" t="s">
        <v>3</v>
      </c>
      <c r="AT18">
        <v>100</v>
      </c>
      <c r="AU18" t="s">
        <v>27</v>
      </c>
      <c r="AV18">
        <v>1</v>
      </c>
      <c r="AW18">
        <v>2</v>
      </c>
      <c r="AX18">
        <v>75605771</v>
      </c>
      <c r="AY18">
        <v>1</v>
      </c>
      <c r="AZ18">
        <v>0</v>
      </c>
      <c r="BA18">
        <v>18</v>
      </c>
      <c r="BB18">
        <v>1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32682</v>
      </c>
      <c r="BN18">
        <v>100</v>
      </c>
      <c r="BO18">
        <v>0</v>
      </c>
      <c r="BP18">
        <v>1</v>
      </c>
      <c r="BQ18">
        <v>0</v>
      </c>
      <c r="BR18">
        <v>0</v>
      </c>
      <c r="BS18">
        <v>0</v>
      </c>
      <c r="BT18">
        <v>37584.299999999996</v>
      </c>
      <c r="BU18">
        <v>114.99999999999999</v>
      </c>
      <c r="BV18">
        <v>0</v>
      </c>
      <c r="BW18">
        <v>1</v>
      </c>
      <c r="CU18">
        <f>ROUND(AT18*Source!I48*AH18*AL18,2)</f>
        <v>3268.2</v>
      </c>
      <c r="CV18">
        <f>ROUND(Y18*Source!I48,7)</f>
        <v>11.5</v>
      </c>
      <c r="CW18">
        <v>0</v>
      </c>
      <c r="CX18">
        <f>ROUND(Y18*Source!I48,7)</f>
        <v>11.5</v>
      </c>
      <c r="CY18">
        <f>AD18</f>
        <v>326.82</v>
      </c>
      <c r="CZ18">
        <f>AH18</f>
        <v>326.82</v>
      </c>
      <c r="DA18">
        <f>AL18</f>
        <v>1</v>
      </c>
      <c r="DB18">
        <f t="shared" si="4"/>
        <v>37584.300000000003</v>
      </c>
      <c r="DC18">
        <f t="shared" si="5"/>
        <v>0</v>
      </c>
      <c r="DD18" t="s">
        <v>3</v>
      </c>
      <c r="DE18" t="s">
        <v>3</v>
      </c>
      <c r="DF18">
        <f t="shared" si="0"/>
        <v>0</v>
      </c>
      <c r="DG18">
        <f>ROUND(ROUND(AF18,2)*CX18,2)</f>
        <v>0</v>
      </c>
      <c r="DH18">
        <f t="shared" si="1"/>
        <v>0</v>
      </c>
      <c r="DI18">
        <f t="shared" si="2"/>
        <v>3758.43</v>
      </c>
      <c r="DJ18">
        <f>DI18</f>
        <v>3758.43</v>
      </c>
      <c r="DK18">
        <v>1</v>
      </c>
      <c r="DL18" t="s">
        <v>3</v>
      </c>
      <c r="DM18">
        <v>0</v>
      </c>
      <c r="DN18" t="s">
        <v>3</v>
      </c>
      <c r="DO18">
        <v>0</v>
      </c>
    </row>
    <row r="19" spans="1:119" x14ac:dyDescent="0.25">
      <c r="A19">
        <f>ROW(Source!A49)</f>
        <v>49</v>
      </c>
      <c r="B19">
        <v>75604747</v>
      </c>
      <c r="C19">
        <v>75604928</v>
      </c>
      <c r="D19">
        <v>74182263</v>
      </c>
      <c r="E19">
        <v>118</v>
      </c>
      <c r="F19">
        <v>1</v>
      </c>
      <c r="G19">
        <v>1</v>
      </c>
      <c r="H19">
        <v>1</v>
      </c>
      <c r="I19" t="s">
        <v>514</v>
      </c>
      <c r="J19" t="s">
        <v>3</v>
      </c>
      <c r="K19" t="s">
        <v>515</v>
      </c>
      <c r="L19">
        <v>1191</v>
      </c>
      <c r="N19">
        <v>1013</v>
      </c>
      <c r="O19" t="s">
        <v>501</v>
      </c>
      <c r="P19" t="s">
        <v>501</v>
      </c>
      <c r="Q19">
        <v>1</v>
      </c>
      <c r="W19">
        <v>0</v>
      </c>
      <c r="X19">
        <v>-1833565283</v>
      </c>
      <c r="Y19">
        <f t="shared" si="3"/>
        <v>1.6559999999999999</v>
      </c>
      <c r="AA19">
        <v>0</v>
      </c>
      <c r="AB19">
        <v>0</v>
      </c>
      <c r="AC19">
        <v>0</v>
      </c>
      <c r="AD19">
        <v>326.82</v>
      </c>
      <c r="AE19">
        <v>0</v>
      </c>
      <c r="AF19">
        <v>0</v>
      </c>
      <c r="AG19">
        <v>0</v>
      </c>
      <c r="AH19">
        <v>326.82</v>
      </c>
      <c r="AI19">
        <v>1</v>
      </c>
      <c r="AJ19">
        <v>1</v>
      </c>
      <c r="AK19">
        <v>1</v>
      </c>
      <c r="AL19">
        <v>1</v>
      </c>
      <c r="AM19">
        <v>-2</v>
      </c>
      <c r="AN19">
        <v>0</v>
      </c>
      <c r="AO19">
        <v>0</v>
      </c>
      <c r="AP19">
        <v>1</v>
      </c>
      <c r="AQ19">
        <v>1</v>
      </c>
      <c r="AR19">
        <v>0</v>
      </c>
      <c r="AS19" t="s">
        <v>3</v>
      </c>
      <c r="AT19">
        <v>1.44</v>
      </c>
      <c r="AU19" t="s">
        <v>27</v>
      </c>
      <c r="AV19">
        <v>1</v>
      </c>
      <c r="AW19">
        <v>2</v>
      </c>
      <c r="AX19">
        <v>75604938</v>
      </c>
      <c r="AY19">
        <v>1</v>
      </c>
      <c r="AZ19">
        <v>0</v>
      </c>
      <c r="BA19">
        <v>19</v>
      </c>
      <c r="BB19">
        <v>1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470.62079999999997</v>
      </c>
      <c r="BN19">
        <v>1.44</v>
      </c>
      <c r="BO19">
        <v>0</v>
      </c>
      <c r="BP19">
        <v>1</v>
      </c>
      <c r="BQ19">
        <v>0</v>
      </c>
      <c r="BR19">
        <v>0</v>
      </c>
      <c r="BS19">
        <v>0</v>
      </c>
      <c r="BT19">
        <v>541.21391999999992</v>
      </c>
      <c r="BU19">
        <v>1.6559999999999999</v>
      </c>
      <c r="BV19">
        <v>0</v>
      </c>
      <c r="BW19">
        <v>1</v>
      </c>
      <c r="CU19">
        <f>ROUND(AT19*Source!I49*AH19*AL19,2)</f>
        <v>2353.1</v>
      </c>
      <c r="CV19">
        <f>ROUND(Y19*Source!I49,7)</f>
        <v>8.2799999999999994</v>
      </c>
      <c r="CW19">
        <v>0</v>
      </c>
      <c r="CX19">
        <f>ROUND(Y19*Source!I49,7)</f>
        <v>8.2799999999999994</v>
      </c>
      <c r="CY19">
        <f>AD19</f>
        <v>326.82</v>
      </c>
      <c r="CZ19">
        <f>AH19</f>
        <v>326.82</v>
      </c>
      <c r="DA19">
        <f>AL19</f>
        <v>1</v>
      </c>
      <c r="DB19">
        <f t="shared" si="4"/>
        <v>541.21299999999997</v>
      </c>
      <c r="DC19">
        <f t="shared" si="5"/>
        <v>0</v>
      </c>
      <c r="DD19" t="s">
        <v>3</v>
      </c>
      <c r="DE19" t="s">
        <v>3</v>
      </c>
      <c r="DF19">
        <f t="shared" si="0"/>
        <v>0</v>
      </c>
      <c r="DG19">
        <f>ROUND(ROUND(AF19,2)*CX19,2)</f>
        <v>0</v>
      </c>
      <c r="DH19">
        <f t="shared" si="1"/>
        <v>0</v>
      </c>
      <c r="DI19">
        <f t="shared" si="2"/>
        <v>2706.07</v>
      </c>
      <c r="DJ19">
        <f>DI19</f>
        <v>2706.07</v>
      </c>
      <c r="DK19">
        <v>1</v>
      </c>
      <c r="DL19" t="s">
        <v>3</v>
      </c>
      <c r="DM19">
        <v>0</v>
      </c>
      <c r="DN19" t="s">
        <v>3</v>
      </c>
      <c r="DO19">
        <v>0</v>
      </c>
    </row>
    <row r="20" spans="1:119" x14ac:dyDescent="0.25">
      <c r="A20">
        <f>ROW(Source!A49)</f>
        <v>49</v>
      </c>
      <c r="B20">
        <v>75604747</v>
      </c>
      <c r="C20">
        <v>75604928</v>
      </c>
      <c r="D20">
        <v>74182464</v>
      </c>
      <c r="E20">
        <v>118</v>
      </c>
      <c r="F20">
        <v>1</v>
      </c>
      <c r="G20">
        <v>1</v>
      </c>
      <c r="H20">
        <v>1</v>
      </c>
      <c r="I20" t="s">
        <v>504</v>
      </c>
      <c r="J20" t="s">
        <v>3</v>
      </c>
      <c r="K20" t="s">
        <v>505</v>
      </c>
      <c r="L20">
        <v>1191</v>
      </c>
      <c r="N20">
        <v>1013</v>
      </c>
      <c r="O20" t="s">
        <v>501</v>
      </c>
      <c r="P20" t="s">
        <v>501</v>
      </c>
      <c r="Q20">
        <v>1</v>
      </c>
      <c r="W20">
        <v>0</v>
      </c>
      <c r="X20">
        <v>-1417349443</v>
      </c>
      <c r="Y20">
        <f t="shared" si="3"/>
        <v>0.3105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1</v>
      </c>
      <c r="AJ20">
        <v>1</v>
      </c>
      <c r="AK20">
        <v>1</v>
      </c>
      <c r="AL20">
        <v>1</v>
      </c>
      <c r="AM20">
        <v>-2</v>
      </c>
      <c r="AN20">
        <v>0</v>
      </c>
      <c r="AO20">
        <v>0</v>
      </c>
      <c r="AP20">
        <v>1</v>
      </c>
      <c r="AQ20">
        <v>1</v>
      </c>
      <c r="AR20">
        <v>0</v>
      </c>
      <c r="AS20" t="s">
        <v>3</v>
      </c>
      <c r="AT20">
        <v>0.27</v>
      </c>
      <c r="AU20" t="s">
        <v>27</v>
      </c>
      <c r="AV20">
        <v>2</v>
      </c>
      <c r="AW20">
        <v>2</v>
      </c>
      <c r="AX20">
        <v>75604939</v>
      </c>
      <c r="AY20">
        <v>1</v>
      </c>
      <c r="AZ20">
        <v>0</v>
      </c>
      <c r="BA20">
        <v>20</v>
      </c>
      <c r="BB20">
        <v>1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CV20">
        <v>0</v>
      </c>
      <c r="CW20">
        <v>0</v>
      </c>
      <c r="CX20">
        <f>ROUND(Y20*Source!I49,7)</f>
        <v>1.5525</v>
      </c>
      <c r="CY20">
        <f>AD20</f>
        <v>0</v>
      </c>
      <c r="CZ20">
        <f>AH20</f>
        <v>0</v>
      </c>
      <c r="DA20">
        <f>AL20</f>
        <v>1</v>
      </c>
      <c r="DB20">
        <f t="shared" si="4"/>
        <v>0</v>
      </c>
      <c r="DC20">
        <f t="shared" si="5"/>
        <v>0</v>
      </c>
      <c r="DD20" t="s">
        <v>3</v>
      </c>
      <c r="DE20" t="s">
        <v>3</v>
      </c>
      <c r="DF20">
        <f t="shared" si="0"/>
        <v>0</v>
      </c>
      <c r="DG20">
        <f>ROUND(ROUND(AF20,2)*CX20,2)</f>
        <v>0</v>
      </c>
      <c r="DH20">
        <f t="shared" si="1"/>
        <v>0</v>
      </c>
      <c r="DI20">
        <f t="shared" si="2"/>
        <v>0</v>
      </c>
      <c r="DJ20">
        <f>DI20</f>
        <v>0</v>
      </c>
      <c r="DK20">
        <v>0</v>
      </c>
      <c r="DL20" t="s">
        <v>3</v>
      </c>
      <c r="DM20">
        <v>0</v>
      </c>
      <c r="DN20" t="s">
        <v>3</v>
      </c>
      <c r="DO20">
        <v>0</v>
      </c>
    </row>
    <row r="21" spans="1:119" x14ac:dyDescent="0.25">
      <c r="A21">
        <f>ROW(Source!A49)</f>
        <v>49</v>
      </c>
      <c r="B21">
        <v>75604747</v>
      </c>
      <c r="C21">
        <v>75604928</v>
      </c>
      <c r="D21">
        <v>74309574</v>
      </c>
      <c r="E21">
        <v>1</v>
      </c>
      <c r="F21">
        <v>1</v>
      </c>
      <c r="G21">
        <v>1</v>
      </c>
      <c r="H21">
        <v>2</v>
      </c>
      <c r="I21" t="s">
        <v>523</v>
      </c>
      <c r="J21" t="s">
        <v>524</v>
      </c>
      <c r="K21" t="s">
        <v>525</v>
      </c>
      <c r="L21">
        <v>1368</v>
      </c>
      <c r="N21">
        <v>1011</v>
      </c>
      <c r="O21" t="s">
        <v>509</v>
      </c>
      <c r="P21" t="s">
        <v>509</v>
      </c>
      <c r="Q21">
        <v>1</v>
      </c>
      <c r="W21">
        <v>0</v>
      </c>
      <c r="X21">
        <v>2039451022</v>
      </c>
      <c r="Y21">
        <f t="shared" si="3"/>
        <v>0.1265</v>
      </c>
      <c r="AA21">
        <v>0</v>
      </c>
      <c r="AB21">
        <v>2552.84</v>
      </c>
      <c r="AC21">
        <v>527.30999999999995</v>
      </c>
      <c r="AD21">
        <v>0</v>
      </c>
      <c r="AE21">
        <v>0</v>
      </c>
      <c r="AF21">
        <v>2279.3200000000002</v>
      </c>
      <c r="AG21">
        <v>527.30999999999995</v>
      </c>
      <c r="AH21">
        <v>0</v>
      </c>
      <c r="AI21">
        <v>1</v>
      </c>
      <c r="AJ21">
        <v>1.1200000000000001</v>
      </c>
      <c r="AK21">
        <v>1</v>
      </c>
      <c r="AL21">
        <v>1</v>
      </c>
      <c r="AM21">
        <v>2</v>
      </c>
      <c r="AN21">
        <v>0</v>
      </c>
      <c r="AO21">
        <v>0</v>
      </c>
      <c r="AP21">
        <v>1</v>
      </c>
      <c r="AQ21">
        <v>1</v>
      </c>
      <c r="AR21">
        <v>0</v>
      </c>
      <c r="AS21" t="s">
        <v>3</v>
      </c>
      <c r="AT21">
        <v>0.11</v>
      </c>
      <c r="AU21" t="s">
        <v>27</v>
      </c>
      <c r="AV21">
        <v>1</v>
      </c>
      <c r="AW21">
        <v>2</v>
      </c>
      <c r="AX21">
        <v>75604940</v>
      </c>
      <c r="AY21">
        <v>1</v>
      </c>
      <c r="AZ21">
        <v>0</v>
      </c>
      <c r="BA21">
        <v>21</v>
      </c>
      <c r="BB21">
        <v>1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250.72520000000003</v>
      </c>
      <c r="BL21">
        <v>58.004099999999994</v>
      </c>
      <c r="BM21">
        <v>0</v>
      </c>
      <c r="BN21">
        <v>0</v>
      </c>
      <c r="BO21">
        <v>0.11</v>
      </c>
      <c r="BP21">
        <v>1</v>
      </c>
      <c r="BQ21">
        <v>0</v>
      </c>
      <c r="BR21">
        <v>288.33398</v>
      </c>
      <c r="BS21">
        <v>66.704714999999993</v>
      </c>
      <c r="BT21">
        <v>0</v>
      </c>
      <c r="BU21">
        <v>0</v>
      </c>
      <c r="BV21">
        <v>0.1265</v>
      </c>
      <c r="BW21">
        <v>1</v>
      </c>
      <c r="CV21">
        <v>0</v>
      </c>
      <c r="CW21">
        <f>ROUND(Y21*Source!I49*DO21,7)</f>
        <v>0.63249999999999995</v>
      </c>
      <c r="CX21">
        <f>ROUND(Y21*Source!I49,7)</f>
        <v>0.63249999999999995</v>
      </c>
      <c r="CY21">
        <f>AB21</f>
        <v>2552.84</v>
      </c>
      <c r="CZ21">
        <f>AF21</f>
        <v>2279.3200000000002</v>
      </c>
      <c r="DA21">
        <f>AJ21</f>
        <v>1.1200000000000001</v>
      </c>
      <c r="DB21">
        <f t="shared" si="4"/>
        <v>288.33949999999999</v>
      </c>
      <c r="DC21">
        <f t="shared" si="5"/>
        <v>66.7</v>
      </c>
      <c r="DD21" t="s">
        <v>3</v>
      </c>
      <c r="DE21" t="s">
        <v>3</v>
      </c>
      <c r="DF21">
        <f t="shared" si="0"/>
        <v>0</v>
      </c>
      <c r="DG21">
        <f>ROUND(ROUND(AF21*AJ21,2)*CX21,2)</f>
        <v>1614.67</v>
      </c>
      <c r="DH21">
        <f t="shared" si="1"/>
        <v>333.52</v>
      </c>
      <c r="DI21">
        <f t="shared" si="2"/>
        <v>0</v>
      </c>
      <c r="DJ21">
        <f>DG21+DH21</f>
        <v>1948.19</v>
      </c>
      <c r="DK21">
        <v>0</v>
      </c>
      <c r="DL21" t="s">
        <v>526</v>
      </c>
      <c r="DM21">
        <v>7</v>
      </c>
      <c r="DN21" t="s">
        <v>501</v>
      </c>
      <c r="DO21">
        <v>1</v>
      </c>
    </row>
    <row r="22" spans="1:119" x14ac:dyDescent="0.25">
      <c r="A22">
        <f>ROW(Source!A49)</f>
        <v>49</v>
      </c>
      <c r="B22">
        <v>75604747</v>
      </c>
      <c r="C22">
        <v>75604928</v>
      </c>
      <c r="D22">
        <v>74309824</v>
      </c>
      <c r="E22">
        <v>1</v>
      </c>
      <c r="F22">
        <v>1</v>
      </c>
      <c r="G22">
        <v>1</v>
      </c>
      <c r="H22">
        <v>2</v>
      </c>
      <c r="I22" t="s">
        <v>527</v>
      </c>
      <c r="J22" t="s">
        <v>528</v>
      </c>
      <c r="K22" t="s">
        <v>529</v>
      </c>
      <c r="L22">
        <v>1368</v>
      </c>
      <c r="N22">
        <v>1011</v>
      </c>
      <c r="O22" t="s">
        <v>509</v>
      </c>
      <c r="P22" t="s">
        <v>509</v>
      </c>
      <c r="Q22">
        <v>1</v>
      </c>
      <c r="W22">
        <v>0</v>
      </c>
      <c r="X22">
        <v>-312038840</v>
      </c>
      <c r="Y22">
        <f t="shared" si="3"/>
        <v>0.184</v>
      </c>
      <c r="AA22">
        <v>0</v>
      </c>
      <c r="AB22">
        <v>551.45000000000005</v>
      </c>
      <c r="AC22">
        <v>368.02</v>
      </c>
      <c r="AD22">
        <v>0</v>
      </c>
      <c r="AE22">
        <v>0</v>
      </c>
      <c r="AF22">
        <v>551.45000000000005</v>
      </c>
      <c r="AG22">
        <v>368.02</v>
      </c>
      <c r="AH22">
        <v>0</v>
      </c>
      <c r="AI22">
        <v>1</v>
      </c>
      <c r="AJ22">
        <v>1</v>
      </c>
      <c r="AK22">
        <v>1</v>
      </c>
      <c r="AL22">
        <v>1</v>
      </c>
      <c r="AM22">
        <v>-2</v>
      </c>
      <c r="AN22">
        <v>0</v>
      </c>
      <c r="AO22">
        <v>0</v>
      </c>
      <c r="AP22">
        <v>1</v>
      </c>
      <c r="AQ22">
        <v>1</v>
      </c>
      <c r="AR22">
        <v>0</v>
      </c>
      <c r="AS22" t="s">
        <v>3</v>
      </c>
      <c r="AT22">
        <v>0.16</v>
      </c>
      <c r="AU22" t="s">
        <v>27</v>
      </c>
      <c r="AV22">
        <v>1</v>
      </c>
      <c r="AW22">
        <v>2</v>
      </c>
      <c r="AX22">
        <v>75604941</v>
      </c>
      <c r="AY22">
        <v>1</v>
      </c>
      <c r="AZ22">
        <v>0</v>
      </c>
      <c r="BA22">
        <v>22</v>
      </c>
      <c r="BB22">
        <v>1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88.232000000000014</v>
      </c>
      <c r="BL22">
        <v>58.883199999999995</v>
      </c>
      <c r="BM22">
        <v>0</v>
      </c>
      <c r="BN22">
        <v>0</v>
      </c>
      <c r="BO22">
        <v>0.16</v>
      </c>
      <c r="BP22">
        <v>1</v>
      </c>
      <c r="BQ22">
        <v>0</v>
      </c>
      <c r="BR22">
        <v>101.46680000000001</v>
      </c>
      <c r="BS22">
        <v>67.715679999999992</v>
      </c>
      <c r="BT22">
        <v>0</v>
      </c>
      <c r="BU22">
        <v>0</v>
      </c>
      <c r="BV22">
        <v>0.184</v>
      </c>
      <c r="BW22">
        <v>1</v>
      </c>
      <c r="CV22">
        <v>0</v>
      </c>
      <c r="CW22">
        <f>ROUND(Y22*Source!I49*DO22,7)</f>
        <v>0.92</v>
      </c>
      <c r="CX22">
        <f>ROUND(Y22*Source!I49,7)</f>
        <v>0.92</v>
      </c>
      <c r="CY22">
        <f>AB22</f>
        <v>551.45000000000005</v>
      </c>
      <c r="CZ22">
        <f>AF22</f>
        <v>551.45000000000005</v>
      </c>
      <c r="DA22">
        <f>AJ22</f>
        <v>1</v>
      </c>
      <c r="DB22">
        <f t="shared" si="4"/>
        <v>101.4645</v>
      </c>
      <c r="DC22">
        <f t="shared" si="5"/>
        <v>67.712000000000003</v>
      </c>
      <c r="DD22" t="s">
        <v>3</v>
      </c>
      <c r="DE22" t="s">
        <v>3</v>
      </c>
      <c r="DF22">
        <f t="shared" si="0"/>
        <v>0</v>
      </c>
      <c r="DG22">
        <f t="shared" ref="DG22:DG28" si="6">ROUND(ROUND(AF22,2)*CX22,2)</f>
        <v>507.33</v>
      </c>
      <c r="DH22">
        <f t="shared" si="1"/>
        <v>338.58</v>
      </c>
      <c r="DI22">
        <f t="shared" si="2"/>
        <v>0</v>
      </c>
      <c r="DJ22">
        <f>DG22+DH22</f>
        <v>845.91</v>
      </c>
      <c r="DK22">
        <v>1</v>
      </c>
      <c r="DL22" t="s">
        <v>522</v>
      </c>
      <c r="DM22">
        <v>4</v>
      </c>
      <c r="DN22" t="s">
        <v>501</v>
      </c>
      <c r="DO22">
        <v>1</v>
      </c>
    </row>
    <row r="23" spans="1:119" x14ac:dyDescent="0.25">
      <c r="A23">
        <f>ROW(Source!A49)</f>
        <v>49</v>
      </c>
      <c r="B23">
        <v>75604747</v>
      </c>
      <c r="C23">
        <v>75604928</v>
      </c>
      <c r="D23">
        <v>74260587</v>
      </c>
      <c r="E23">
        <v>1</v>
      </c>
      <c r="F23">
        <v>1</v>
      </c>
      <c r="G23">
        <v>1</v>
      </c>
      <c r="H23">
        <v>3</v>
      </c>
      <c r="I23" t="s">
        <v>530</v>
      </c>
      <c r="J23" t="s">
        <v>531</v>
      </c>
      <c r="K23" t="s">
        <v>532</v>
      </c>
      <c r="L23">
        <v>1348</v>
      </c>
      <c r="N23">
        <v>1009</v>
      </c>
      <c r="O23" t="s">
        <v>174</v>
      </c>
      <c r="P23" t="s">
        <v>174</v>
      </c>
      <c r="Q23">
        <v>1000</v>
      </c>
      <c r="W23">
        <v>0</v>
      </c>
      <c r="X23">
        <v>1479353699</v>
      </c>
      <c r="Y23">
        <f>AT23</f>
        <v>2.7999999999999998E-4</v>
      </c>
      <c r="AA23">
        <v>92790.98</v>
      </c>
      <c r="AB23">
        <v>0</v>
      </c>
      <c r="AC23">
        <v>0</v>
      </c>
      <c r="AD23">
        <v>0</v>
      </c>
      <c r="AE23">
        <v>70296.2</v>
      </c>
      <c r="AF23">
        <v>0</v>
      </c>
      <c r="AG23">
        <v>0</v>
      </c>
      <c r="AH23">
        <v>0</v>
      </c>
      <c r="AI23">
        <v>1.32</v>
      </c>
      <c r="AJ23">
        <v>1</v>
      </c>
      <c r="AK23">
        <v>1</v>
      </c>
      <c r="AL23">
        <v>1</v>
      </c>
      <c r="AM23">
        <v>2</v>
      </c>
      <c r="AN23">
        <v>0</v>
      </c>
      <c r="AO23">
        <v>0</v>
      </c>
      <c r="AP23">
        <v>1</v>
      </c>
      <c r="AQ23">
        <v>1</v>
      </c>
      <c r="AR23">
        <v>0</v>
      </c>
      <c r="AS23" t="s">
        <v>3</v>
      </c>
      <c r="AT23">
        <v>2.7999999999999998E-4</v>
      </c>
      <c r="AU23" t="s">
        <v>3</v>
      </c>
      <c r="AV23">
        <v>0</v>
      </c>
      <c r="AW23">
        <v>2</v>
      </c>
      <c r="AX23">
        <v>75604942</v>
      </c>
      <c r="AY23">
        <v>1</v>
      </c>
      <c r="AZ23">
        <v>0</v>
      </c>
      <c r="BA23">
        <v>23</v>
      </c>
      <c r="BB23">
        <v>1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19.682935999999998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1</v>
      </c>
      <c r="BQ23">
        <v>19.682935999999998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1</v>
      </c>
      <c r="CV23">
        <v>0</v>
      </c>
      <c r="CW23">
        <v>0</v>
      </c>
      <c r="CX23">
        <f>ROUND(Y23*Source!I49,7)</f>
        <v>1.4E-3</v>
      </c>
      <c r="CY23">
        <f>AA23</f>
        <v>92790.98</v>
      </c>
      <c r="CZ23">
        <f>AE23</f>
        <v>70296.2</v>
      </c>
      <c r="DA23">
        <f>AI23</f>
        <v>1.32</v>
      </c>
      <c r="DB23">
        <f>ROUND(ROUND(AT23*CZ23,2),6)</f>
        <v>19.68</v>
      </c>
      <c r="DC23">
        <f>ROUND(ROUND(AT23*AG23,2),6)</f>
        <v>0</v>
      </c>
      <c r="DD23" t="s">
        <v>3</v>
      </c>
      <c r="DE23" t="s">
        <v>3</v>
      </c>
      <c r="DF23">
        <f>ROUND(ROUND(AE23*AI23,2)*CX23,2)</f>
        <v>129.91</v>
      </c>
      <c r="DG23">
        <f t="shared" si="6"/>
        <v>0</v>
      </c>
      <c r="DH23">
        <f t="shared" si="1"/>
        <v>0</v>
      </c>
      <c r="DI23">
        <f t="shared" si="2"/>
        <v>0</v>
      </c>
      <c r="DJ23">
        <f>DF23</f>
        <v>129.91</v>
      </c>
      <c r="DK23">
        <v>0</v>
      </c>
      <c r="DL23" t="s">
        <v>3</v>
      </c>
      <c r="DM23">
        <v>0</v>
      </c>
      <c r="DN23" t="s">
        <v>3</v>
      </c>
      <c r="DO23">
        <v>0</v>
      </c>
    </row>
    <row r="24" spans="1:119" x14ac:dyDescent="0.25">
      <c r="A24">
        <f>ROW(Source!A49)</f>
        <v>49</v>
      </c>
      <c r="B24">
        <v>75604747</v>
      </c>
      <c r="C24">
        <v>75604928</v>
      </c>
      <c r="D24">
        <v>74267758</v>
      </c>
      <c r="E24">
        <v>1</v>
      </c>
      <c r="F24">
        <v>1</v>
      </c>
      <c r="G24">
        <v>1</v>
      </c>
      <c r="H24">
        <v>3</v>
      </c>
      <c r="I24" t="s">
        <v>533</v>
      </c>
      <c r="J24" t="s">
        <v>534</v>
      </c>
      <c r="K24" t="s">
        <v>535</v>
      </c>
      <c r="L24">
        <v>1348</v>
      </c>
      <c r="N24">
        <v>1009</v>
      </c>
      <c r="O24" t="s">
        <v>174</v>
      </c>
      <c r="P24" t="s">
        <v>174</v>
      </c>
      <c r="Q24">
        <v>1000</v>
      </c>
      <c r="W24">
        <v>0</v>
      </c>
      <c r="X24">
        <v>1897739153</v>
      </c>
      <c r="Y24">
        <f>AT24</f>
        <v>2.0999999999999999E-3</v>
      </c>
      <c r="AA24">
        <v>52424.63</v>
      </c>
      <c r="AB24">
        <v>0</v>
      </c>
      <c r="AC24">
        <v>0</v>
      </c>
      <c r="AD24">
        <v>0</v>
      </c>
      <c r="AE24">
        <v>60258.2</v>
      </c>
      <c r="AF24">
        <v>0</v>
      </c>
      <c r="AG24">
        <v>0</v>
      </c>
      <c r="AH24">
        <v>0</v>
      </c>
      <c r="AI24">
        <v>0.87</v>
      </c>
      <c r="AJ24">
        <v>1</v>
      </c>
      <c r="AK24">
        <v>1</v>
      </c>
      <c r="AL24">
        <v>1</v>
      </c>
      <c r="AM24">
        <v>2</v>
      </c>
      <c r="AN24">
        <v>0</v>
      </c>
      <c r="AO24">
        <v>0</v>
      </c>
      <c r="AP24">
        <v>1</v>
      </c>
      <c r="AQ24">
        <v>1</v>
      </c>
      <c r="AR24">
        <v>0</v>
      </c>
      <c r="AS24" t="s">
        <v>3</v>
      </c>
      <c r="AT24">
        <v>2.0999999999999999E-3</v>
      </c>
      <c r="AU24" t="s">
        <v>3</v>
      </c>
      <c r="AV24">
        <v>0</v>
      </c>
      <c r="AW24">
        <v>2</v>
      </c>
      <c r="AX24">
        <v>75604943</v>
      </c>
      <c r="AY24">
        <v>1</v>
      </c>
      <c r="AZ24">
        <v>0</v>
      </c>
      <c r="BA24">
        <v>24</v>
      </c>
      <c r="BB24">
        <v>1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126.54221999999999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1</v>
      </c>
      <c r="BQ24">
        <v>126.54221999999999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1</v>
      </c>
      <c r="CV24">
        <v>0</v>
      </c>
      <c r="CW24">
        <v>0</v>
      </c>
      <c r="CX24">
        <f>ROUND(Y24*Source!I49,7)</f>
        <v>1.0500000000000001E-2</v>
      </c>
      <c r="CY24">
        <f>AA24</f>
        <v>52424.63</v>
      </c>
      <c r="CZ24">
        <f>AE24</f>
        <v>60258.2</v>
      </c>
      <c r="DA24">
        <f>AI24</f>
        <v>0.87</v>
      </c>
      <c r="DB24">
        <f>ROUND(ROUND(AT24*CZ24,2),6)</f>
        <v>126.54</v>
      </c>
      <c r="DC24">
        <f>ROUND(ROUND(AT24*AG24,2),6)</f>
        <v>0</v>
      </c>
      <c r="DD24" t="s">
        <v>3</v>
      </c>
      <c r="DE24" t="s">
        <v>3</v>
      </c>
      <c r="DF24">
        <f>ROUND(ROUND(AE24*AI24,2)*CX24,2)</f>
        <v>550.46</v>
      </c>
      <c r="DG24">
        <f t="shared" si="6"/>
        <v>0</v>
      </c>
      <c r="DH24">
        <f t="shared" si="1"/>
        <v>0</v>
      </c>
      <c r="DI24">
        <f t="shared" si="2"/>
        <v>0</v>
      </c>
      <c r="DJ24">
        <f>DF24</f>
        <v>550.46</v>
      </c>
      <c r="DK24">
        <v>0</v>
      </c>
      <c r="DL24" t="s">
        <v>3</v>
      </c>
      <c r="DM24">
        <v>0</v>
      </c>
      <c r="DN24" t="s">
        <v>3</v>
      </c>
      <c r="DO24">
        <v>0</v>
      </c>
    </row>
    <row r="25" spans="1:119" x14ac:dyDescent="0.25">
      <c r="A25">
        <f>ROW(Source!A49)</f>
        <v>49</v>
      </c>
      <c r="B25">
        <v>75604747</v>
      </c>
      <c r="C25">
        <v>75604928</v>
      </c>
      <c r="D25">
        <v>74269895</v>
      </c>
      <c r="E25">
        <v>1</v>
      </c>
      <c r="F25">
        <v>1</v>
      </c>
      <c r="G25">
        <v>1</v>
      </c>
      <c r="H25">
        <v>3</v>
      </c>
      <c r="I25" t="s">
        <v>536</v>
      </c>
      <c r="J25" t="s">
        <v>537</v>
      </c>
      <c r="K25" t="s">
        <v>538</v>
      </c>
      <c r="L25">
        <v>1339</v>
      </c>
      <c r="N25">
        <v>1007</v>
      </c>
      <c r="O25" t="s">
        <v>205</v>
      </c>
      <c r="P25" t="s">
        <v>205</v>
      </c>
      <c r="Q25">
        <v>1</v>
      </c>
      <c r="W25">
        <v>0</v>
      </c>
      <c r="X25">
        <v>-76269591</v>
      </c>
      <c r="Y25">
        <f>AT25</f>
        <v>3.5999999999999997E-2</v>
      </c>
      <c r="AA25">
        <v>5346.91</v>
      </c>
      <c r="AB25">
        <v>0</v>
      </c>
      <c r="AC25">
        <v>0</v>
      </c>
      <c r="AD25">
        <v>0</v>
      </c>
      <c r="AE25">
        <v>6442.06</v>
      </c>
      <c r="AF25">
        <v>0</v>
      </c>
      <c r="AG25">
        <v>0</v>
      </c>
      <c r="AH25">
        <v>0</v>
      </c>
      <c r="AI25">
        <v>0.83</v>
      </c>
      <c r="AJ25">
        <v>1</v>
      </c>
      <c r="AK25">
        <v>1</v>
      </c>
      <c r="AL25">
        <v>1</v>
      </c>
      <c r="AM25">
        <v>2</v>
      </c>
      <c r="AN25">
        <v>0</v>
      </c>
      <c r="AO25">
        <v>0</v>
      </c>
      <c r="AP25">
        <v>1</v>
      </c>
      <c r="AQ25">
        <v>1</v>
      </c>
      <c r="AR25">
        <v>0</v>
      </c>
      <c r="AS25" t="s">
        <v>3</v>
      </c>
      <c r="AT25">
        <v>3.5999999999999997E-2</v>
      </c>
      <c r="AU25" t="s">
        <v>3</v>
      </c>
      <c r="AV25">
        <v>0</v>
      </c>
      <c r="AW25">
        <v>2</v>
      </c>
      <c r="AX25">
        <v>75604944</v>
      </c>
      <c r="AY25">
        <v>1</v>
      </c>
      <c r="AZ25">
        <v>0</v>
      </c>
      <c r="BA25">
        <v>25</v>
      </c>
      <c r="BB25">
        <v>1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231.91416000000001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1</v>
      </c>
      <c r="BQ25">
        <v>231.91416000000001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1</v>
      </c>
      <c r="CV25">
        <v>0</v>
      </c>
      <c r="CW25">
        <v>0</v>
      </c>
      <c r="CX25">
        <f>ROUND(Y25*Source!I49,7)</f>
        <v>0.18</v>
      </c>
      <c r="CY25">
        <f>AA25</f>
        <v>5346.91</v>
      </c>
      <c r="CZ25">
        <f>AE25</f>
        <v>6442.06</v>
      </c>
      <c r="DA25">
        <f>AI25</f>
        <v>0.83</v>
      </c>
      <c r="DB25">
        <f>ROUND(ROUND(AT25*CZ25,2),6)</f>
        <v>231.91</v>
      </c>
      <c r="DC25">
        <f>ROUND(ROUND(AT25*AG25,2),6)</f>
        <v>0</v>
      </c>
      <c r="DD25" t="s">
        <v>3</v>
      </c>
      <c r="DE25" t="s">
        <v>3</v>
      </c>
      <c r="DF25">
        <f>ROUND(ROUND(AE25*AI25,2)*CX25,2)</f>
        <v>962.44</v>
      </c>
      <c r="DG25">
        <f t="shared" si="6"/>
        <v>0</v>
      </c>
      <c r="DH25">
        <f t="shared" si="1"/>
        <v>0</v>
      </c>
      <c r="DI25">
        <f t="shared" si="2"/>
        <v>0</v>
      </c>
      <c r="DJ25">
        <f>DF25</f>
        <v>962.44</v>
      </c>
      <c r="DK25">
        <v>0</v>
      </c>
      <c r="DL25" t="s">
        <v>3</v>
      </c>
      <c r="DM25">
        <v>0</v>
      </c>
      <c r="DN25" t="s">
        <v>3</v>
      </c>
      <c r="DO25">
        <v>0</v>
      </c>
    </row>
    <row r="26" spans="1:119" x14ac:dyDescent="0.25">
      <c r="A26">
        <f>ROW(Source!A49)</f>
        <v>49</v>
      </c>
      <c r="B26">
        <v>75604747</v>
      </c>
      <c r="C26">
        <v>75604928</v>
      </c>
      <c r="D26">
        <v>74269924</v>
      </c>
      <c r="E26">
        <v>1</v>
      </c>
      <c r="F26">
        <v>1</v>
      </c>
      <c r="G26">
        <v>1</v>
      </c>
      <c r="H26">
        <v>3</v>
      </c>
      <c r="I26" t="s">
        <v>539</v>
      </c>
      <c r="J26" t="s">
        <v>540</v>
      </c>
      <c r="K26" t="s">
        <v>541</v>
      </c>
      <c r="L26">
        <v>1339</v>
      </c>
      <c r="N26">
        <v>1007</v>
      </c>
      <c r="O26" t="s">
        <v>205</v>
      </c>
      <c r="P26" t="s">
        <v>205</v>
      </c>
      <c r="Q26">
        <v>1</v>
      </c>
      <c r="W26">
        <v>0</v>
      </c>
      <c r="X26">
        <v>-2070034117</v>
      </c>
      <c r="Y26">
        <f>AT26</f>
        <v>2.5000000000000001E-3</v>
      </c>
      <c r="AA26">
        <v>12701.94</v>
      </c>
      <c r="AB26">
        <v>0</v>
      </c>
      <c r="AC26">
        <v>0</v>
      </c>
      <c r="AD26">
        <v>0</v>
      </c>
      <c r="AE26">
        <v>16496.03</v>
      </c>
      <c r="AF26">
        <v>0</v>
      </c>
      <c r="AG26">
        <v>0</v>
      </c>
      <c r="AH26">
        <v>0</v>
      </c>
      <c r="AI26">
        <v>0.77</v>
      </c>
      <c r="AJ26">
        <v>1</v>
      </c>
      <c r="AK26">
        <v>1</v>
      </c>
      <c r="AL26">
        <v>1</v>
      </c>
      <c r="AM26">
        <v>2</v>
      </c>
      <c r="AN26">
        <v>0</v>
      </c>
      <c r="AO26">
        <v>0</v>
      </c>
      <c r="AP26">
        <v>1</v>
      </c>
      <c r="AQ26">
        <v>1</v>
      </c>
      <c r="AR26">
        <v>0</v>
      </c>
      <c r="AS26" t="s">
        <v>3</v>
      </c>
      <c r="AT26">
        <v>2.5000000000000001E-3</v>
      </c>
      <c r="AU26" t="s">
        <v>3</v>
      </c>
      <c r="AV26">
        <v>0</v>
      </c>
      <c r="AW26">
        <v>2</v>
      </c>
      <c r="AX26">
        <v>75604945</v>
      </c>
      <c r="AY26">
        <v>1</v>
      </c>
      <c r="AZ26">
        <v>0</v>
      </c>
      <c r="BA26">
        <v>26</v>
      </c>
      <c r="BB26">
        <v>1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41.240074999999997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1</v>
      </c>
      <c r="BQ26">
        <v>41.240074999999997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1</v>
      </c>
      <c r="CV26">
        <v>0</v>
      </c>
      <c r="CW26">
        <v>0</v>
      </c>
      <c r="CX26">
        <f>ROUND(Y26*Source!I49,7)</f>
        <v>1.2500000000000001E-2</v>
      </c>
      <c r="CY26">
        <f>AA26</f>
        <v>12701.94</v>
      </c>
      <c r="CZ26">
        <f>AE26</f>
        <v>16496.03</v>
      </c>
      <c r="DA26">
        <f>AI26</f>
        <v>0.77</v>
      </c>
      <c r="DB26">
        <f>ROUND(ROUND(AT26*CZ26,2),6)</f>
        <v>41.24</v>
      </c>
      <c r="DC26">
        <f>ROUND(ROUND(AT26*AG26,2),6)</f>
        <v>0</v>
      </c>
      <c r="DD26" t="s">
        <v>3</v>
      </c>
      <c r="DE26" t="s">
        <v>3</v>
      </c>
      <c r="DF26">
        <f>ROUND(ROUND(AE26*AI26,2)*CX26,2)</f>
        <v>158.77000000000001</v>
      </c>
      <c r="DG26">
        <f t="shared" si="6"/>
        <v>0</v>
      </c>
      <c r="DH26">
        <f t="shared" si="1"/>
        <v>0</v>
      </c>
      <c r="DI26">
        <f t="shared" si="2"/>
        <v>0</v>
      </c>
      <c r="DJ26">
        <f>DF26</f>
        <v>158.77000000000001</v>
      </c>
      <c r="DK26">
        <v>0</v>
      </c>
      <c r="DL26" t="s">
        <v>3</v>
      </c>
      <c r="DM26">
        <v>0</v>
      </c>
      <c r="DN26" t="s">
        <v>3</v>
      </c>
      <c r="DO26">
        <v>0</v>
      </c>
    </row>
    <row r="27" spans="1:119" x14ac:dyDescent="0.25">
      <c r="A27">
        <f>ROW(Source!A49)</f>
        <v>49</v>
      </c>
      <c r="B27">
        <v>75604747</v>
      </c>
      <c r="C27">
        <v>75604928</v>
      </c>
      <c r="D27">
        <v>74269970</v>
      </c>
      <c r="E27">
        <v>1</v>
      </c>
      <c r="F27">
        <v>1</v>
      </c>
      <c r="G27">
        <v>1</v>
      </c>
      <c r="H27">
        <v>3</v>
      </c>
      <c r="I27" t="s">
        <v>542</v>
      </c>
      <c r="J27" t="s">
        <v>543</v>
      </c>
      <c r="K27" t="s">
        <v>544</v>
      </c>
      <c r="L27">
        <v>1339</v>
      </c>
      <c r="N27">
        <v>1007</v>
      </c>
      <c r="O27" t="s">
        <v>205</v>
      </c>
      <c r="P27" t="s">
        <v>205</v>
      </c>
      <c r="Q27">
        <v>1</v>
      </c>
      <c r="W27">
        <v>0</v>
      </c>
      <c r="X27">
        <v>-808647739</v>
      </c>
      <c r="Y27">
        <f>AT27</f>
        <v>5.2999999999999999E-2</v>
      </c>
      <c r="AA27">
        <v>8934.85</v>
      </c>
      <c r="AB27">
        <v>0</v>
      </c>
      <c r="AC27">
        <v>0</v>
      </c>
      <c r="AD27">
        <v>0</v>
      </c>
      <c r="AE27">
        <v>5764.42</v>
      </c>
      <c r="AF27">
        <v>0</v>
      </c>
      <c r="AG27">
        <v>0</v>
      </c>
      <c r="AH27">
        <v>0</v>
      </c>
      <c r="AI27">
        <v>1.55</v>
      </c>
      <c r="AJ27">
        <v>1</v>
      </c>
      <c r="AK27">
        <v>1</v>
      </c>
      <c r="AL27">
        <v>1</v>
      </c>
      <c r="AM27">
        <v>2</v>
      </c>
      <c r="AN27">
        <v>0</v>
      </c>
      <c r="AO27">
        <v>0</v>
      </c>
      <c r="AP27">
        <v>1</v>
      </c>
      <c r="AQ27">
        <v>1</v>
      </c>
      <c r="AR27">
        <v>0</v>
      </c>
      <c r="AS27" t="s">
        <v>3</v>
      </c>
      <c r="AT27">
        <v>5.2999999999999999E-2</v>
      </c>
      <c r="AU27" t="s">
        <v>3</v>
      </c>
      <c r="AV27">
        <v>0</v>
      </c>
      <c r="AW27">
        <v>2</v>
      </c>
      <c r="AX27">
        <v>75604946</v>
      </c>
      <c r="AY27">
        <v>1</v>
      </c>
      <c r="AZ27">
        <v>0</v>
      </c>
      <c r="BA27">
        <v>27</v>
      </c>
      <c r="BB27">
        <v>1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305.51425999999998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1</v>
      </c>
      <c r="BQ27">
        <v>305.51425999999998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1</v>
      </c>
      <c r="CV27">
        <v>0</v>
      </c>
      <c r="CW27">
        <v>0</v>
      </c>
      <c r="CX27">
        <f>ROUND(Y27*Source!I49,7)</f>
        <v>0.26500000000000001</v>
      </c>
      <c r="CY27">
        <f>AA27</f>
        <v>8934.85</v>
      </c>
      <c r="CZ27">
        <f>AE27</f>
        <v>5764.42</v>
      </c>
      <c r="DA27">
        <f>AI27</f>
        <v>1.55</v>
      </c>
      <c r="DB27">
        <f>ROUND(ROUND(AT27*CZ27,2),6)</f>
        <v>305.51</v>
      </c>
      <c r="DC27">
        <f>ROUND(ROUND(AT27*AG27,2),6)</f>
        <v>0</v>
      </c>
      <c r="DD27" t="s">
        <v>3</v>
      </c>
      <c r="DE27" t="s">
        <v>3</v>
      </c>
      <c r="DF27">
        <f>ROUND(ROUND(AE27*AI27,2)*CX27,2)</f>
        <v>2367.7399999999998</v>
      </c>
      <c r="DG27">
        <f t="shared" si="6"/>
        <v>0</v>
      </c>
      <c r="DH27">
        <f t="shared" si="1"/>
        <v>0</v>
      </c>
      <c r="DI27">
        <f t="shared" si="2"/>
        <v>0</v>
      </c>
      <c r="DJ27">
        <f>DF27</f>
        <v>2367.7399999999998</v>
      </c>
      <c r="DK27">
        <v>0</v>
      </c>
      <c r="DL27" t="s">
        <v>3</v>
      </c>
      <c r="DM27">
        <v>0</v>
      </c>
      <c r="DN27" t="s">
        <v>3</v>
      </c>
      <c r="DO27">
        <v>0</v>
      </c>
    </row>
    <row r="28" spans="1:119" x14ac:dyDescent="0.25">
      <c r="A28">
        <f>ROW(Source!A87)</f>
        <v>87</v>
      </c>
      <c r="B28">
        <v>75604747</v>
      </c>
      <c r="C28">
        <v>75605213</v>
      </c>
      <c r="D28">
        <v>74182223</v>
      </c>
      <c r="E28">
        <v>118</v>
      </c>
      <c r="F28">
        <v>1</v>
      </c>
      <c r="G28">
        <v>1</v>
      </c>
      <c r="H28">
        <v>1</v>
      </c>
      <c r="I28" t="s">
        <v>499</v>
      </c>
      <c r="J28" t="s">
        <v>3</v>
      </c>
      <c r="K28" t="s">
        <v>500</v>
      </c>
      <c r="L28">
        <v>1191</v>
      </c>
      <c r="N28">
        <v>1013</v>
      </c>
      <c r="O28" t="s">
        <v>501</v>
      </c>
      <c r="P28" t="s">
        <v>501</v>
      </c>
      <c r="Q28">
        <v>1</v>
      </c>
      <c r="W28">
        <v>0</v>
      </c>
      <c r="X28">
        <v>370475345</v>
      </c>
      <c r="Y28">
        <f t="shared" ref="Y28:Y36" si="7">(AT28*ROUND((0.15+1),7))</f>
        <v>98.669999999999987</v>
      </c>
      <c r="AA28">
        <v>0</v>
      </c>
      <c r="AB28">
        <v>0</v>
      </c>
      <c r="AC28">
        <v>0</v>
      </c>
      <c r="AD28">
        <v>299.36</v>
      </c>
      <c r="AE28">
        <v>0</v>
      </c>
      <c r="AF28">
        <v>0</v>
      </c>
      <c r="AG28">
        <v>0</v>
      </c>
      <c r="AH28">
        <v>299.36</v>
      </c>
      <c r="AI28">
        <v>1</v>
      </c>
      <c r="AJ28">
        <v>1</v>
      </c>
      <c r="AK28">
        <v>1</v>
      </c>
      <c r="AL28">
        <v>1</v>
      </c>
      <c r="AM28">
        <v>-2</v>
      </c>
      <c r="AN28">
        <v>0</v>
      </c>
      <c r="AO28">
        <v>0</v>
      </c>
      <c r="AP28">
        <v>1</v>
      </c>
      <c r="AQ28">
        <v>1</v>
      </c>
      <c r="AR28">
        <v>0</v>
      </c>
      <c r="AS28" t="s">
        <v>3</v>
      </c>
      <c r="AT28">
        <v>85.8</v>
      </c>
      <c r="AU28" t="s">
        <v>27</v>
      </c>
      <c r="AV28">
        <v>1</v>
      </c>
      <c r="AW28">
        <v>2</v>
      </c>
      <c r="AX28">
        <v>75605216</v>
      </c>
      <c r="AY28">
        <v>1</v>
      </c>
      <c r="AZ28">
        <v>0</v>
      </c>
      <c r="BA28">
        <v>28</v>
      </c>
      <c r="BB28">
        <v>1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25685.088</v>
      </c>
      <c r="BN28">
        <v>85.8</v>
      </c>
      <c r="BO28">
        <v>0</v>
      </c>
      <c r="BP28">
        <v>1</v>
      </c>
      <c r="BQ28">
        <v>0</v>
      </c>
      <c r="BR28">
        <v>0</v>
      </c>
      <c r="BS28">
        <v>0</v>
      </c>
      <c r="BT28">
        <v>29537.851199999997</v>
      </c>
      <c r="BU28">
        <v>98.669999999999987</v>
      </c>
      <c r="BV28">
        <v>0</v>
      </c>
      <c r="BW28">
        <v>1</v>
      </c>
      <c r="CU28">
        <f>ROUND(AT28*Source!I87*AH28*AL28,2)</f>
        <v>9246.6299999999992</v>
      </c>
      <c r="CV28">
        <f>ROUND(Y28*Source!I87,7)</f>
        <v>35.5212</v>
      </c>
      <c r="CW28">
        <v>0</v>
      </c>
      <c r="CX28">
        <f>ROUND(Y28*Source!I87,7)</f>
        <v>35.5212</v>
      </c>
      <c r="CY28">
        <f>AD28</f>
        <v>299.36</v>
      </c>
      <c r="CZ28">
        <f>AH28</f>
        <v>299.36</v>
      </c>
      <c r="DA28">
        <f>AL28</f>
        <v>1</v>
      </c>
      <c r="DB28">
        <f t="shared" ref="DB28:DB36" si="8">ROUND((ROUND(AT28*CZ28,2)*ROUND((0.15+1),7)),6)</f>
        <v>29537.853500000001</v>
      </c>
      <c r="DC28">
        <f t="shared" ref="DC28:DC36" si="9">ROUND((ROUND(AT28*AG28,2)*ROUND((0.15+1),7)),6)</f>
        <v>0</v>
      </c>
      <c r="DD28" t="s">
        <v>3</v>
      </c>
      <c r="DE28" t="s">
        <v>3</v>
      </c>
      <c r="DF28">
        <f t="shared" ref="DF28:DF37" si="10">ROUND(ROUND(AE28,2)*CX28,2)</f>
        <v>0</v>
      </c>
      <c r="DG28">
        <f t="shared" si="6"/>
        <v>0</v>
      </c>
      <c r="DH28">
        <f t="shared" si="1"/>
        <v>0</v>
      </c>
      <c r="DI28">
        <f t="shared" si="2"/>
        <v>10633.63</v>
      </c>
      <c r="DJ28">
        <f>DI28</f>
        <v>10633.63</v>
      </c>
      <c r="DK28">
        <v>1</v>
      </c>
      <c r="DL28" t="s">
        <v>3</v>
      </c>
      <c r="DM28">
        <v>0</v>
      </c>
      <c r="DN28" t="s">
        <v>3</v>
      </c>
      <c r="DO28">
        <v>0</v>
      </c>
    </row>
    <row r="29" spans="1:119" x14ac:dyDescent="0.25">
      <c r="A29">
        <f>ROW(Source!A87)</f>
        <v>87</v>
      </c>
      <c r="B29">
        <v>75604747</v>
      </c>
      <c r="C29">
        <v>75605213</v>
      </c>
      <c r="D29">
        <v>74310122</v>
      </c>
      <c r="E29">
        <v>1</v>
      </c>
      <c r="F29">
        <v>1</v>
      </c>
      <c r="G29">
        <v>1</v>
      </c>
      <c r="H29">
        <v>2</v>
      </c>
      <c r="I29" t="s">
        <v>545</v>
      </c>
      <c r="J29" t="s">
        <v>546</v>
      </c>
      <c r="K29" t="s">
        <v>547</v>
      </c>
      <c r="L29">
        <v>1368</v>
      </c>
      <c r="N29">
        <v>1011</v>
      </c>
      <c r="O29" t="s">
        <v>509</v>
      </c>
      <c r="P29" t="s">
        <v>509</v>
      </c>
      <c r="Q29">
        <v>1</v>
      </c>
      <c r="W29">
        <v>0</v>
      </c>
      <c r="X29">
        <v>1833582133</v>
      </c>
      <c r="Y29">
        <f t="shared" si="7"/>
        <v>328.9</v>
      </c>
      <c r="AA29">
        <v>0</v>
      </c>
      <c r="AB29">
        <v>22.17</v>
      </c>
      <c r="AC29">
        <v>0</v>
      </c>
      <c r="AD29">
        <v>0</v>
      </c>
      <c r="AE29">
        <v>0</v>
      </c>
      <c r="AF29">
        <v>13.04</v>
      </c>
      <c r="AG29">
        <v>0</v>
      </c>
      <c r="AH29">
        <v>0</v>
      </c>
      <c r="AI29">
        <v>1</v>
      </c>
      <c r="AJ29">
        <v>1.7</v>
      </c>
      <c r="AK29">
        <v>1</v>
      </c>
      <c r="AL29">
        <v>1</v>
      </c>
      <c r="AM29">
        <v>2</v>
      </c>
      <c r="AN29">
        <v>0</v>
      </c>
      <c r="AO29">
        <v>0</v>
      </c>
      <c r="AP29">
        <v>1</v>
      </c>
      <c r="AQ29">
        <v>1</v>
      </c>
      <c r="AR29">
        <v>0</v>
      </c>
      <c r="AS29" t="s">
        <v>3</v>
      </c>
      <c r="AT29">
        <v>286</v>
      </c>
      <c r="AU29" t="s">
        <v>27</v>
      </c>
      <c r="AV29">
        <v>1</v>
      </c>
      <c r="AW29">
        <v>2</v>
      </c>
      <c r="AX29">
        <v>75605217</v>
      </c>
      <c r="AY29">
        <v>1</v>
      </c>
      <c r="AZ29">
        <v>0</v>
      </c>
      <c r="BA29">
        <v>29</v>
      </c>
      <c r="BB29">
        <v>1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3729.4399999999996</v>
      </c>
      <c r="BL29">
        <v>0</v>
      </c>
      <c r="BM29">
        <v>0</v>
      </c>
      <c r="BN29">
        <v>0</v>
      </c>
      <c r="BO29">
        <v>0</v>
      </c>
      <c r="BP29">
        <v>1</v>
      </c>
      <c r="BQ29">
        <v>0</v>
      </c>
      <c r="BR29">
        <v>4288.8559999999998</v>
      </c>
      <c r="BS29">
        <v>0</v>
      </c>
      <c r="BT29">
        <v>0</v>
      </c>
      <c r="BU29">
        <v>0</v>
      </c>
      <c r="BV29">
        <v>0</v>
      </c>
      <c r="BW29">
        <v>1</v>
      </c>
      <c r="CV29">
        <v>0</v>
      </c>
      <c r="CW29">
        <f>ROUND(Y29*Source!I87*DO29,7)</f>
        <v>0</v>
      </c>
      <c r="CX29">
        <f>ROUND(Y29*Source!I87,7)</f>
        <v>118.404</v>
      </c>
      <c r="CY29">
        <f>AB29</f>
        <v>22.17</v>
      </c>
      <c r="CZ29">
        <f>AF29</f>
        <v>13.04</v>
      </c>
      <c r="DA29">
        <f>AJ29</f>
        <v>1.7</v>
      </c>
      <c r="DB29">
        <f t="shared" si="8"/>
        <v>4288.8559999999998</v>
      </c>
      <c r="DC29">
        <f t="shared" si="9"/>
        <v>0</v>
      </c>
      <c r="DD29" t="s">
        <v>3</v>
      </c>
      <c r="DE29" t="s">
        <v>3</v>
      </c>
      <c r="DF29">
        <f t="shared" si="10"/>
        <v>0</v>
      </c>
      <c r="DG29">
        <f>ROUND(ROUND(AF29*AJ29,2)*CX29,2)</f>
        <v>2625.02</v>
      </c>
      <c r="DH29">
        <f t="shared" si="1"/>
        <v>0</v>
      </c>
      <c r="DI29">
        <f t="shared" si="2"/>
        <v>0</v>
      </c>
      <c r="DJ29">
        <f>DG29+DH29</f>
        <v>2625.02</v>
      </c>
      <c r="DK29">
        <v>0</v>
      </c>
      <c r="DL29" t="s">
        <v>3</v>
      </c>
      <c r="DM29">
        <v>0</v>
      </c>
      <c r="DN29" t="s">
        <v>3</v>
      </c>
      <c r="DO29">
        <v>0</v>
      </c>
    </row>
    <row r="30" spans="1:119" x14ac:dyDescent="0.25">
      <c r="A30">
        <f>ROW(Source!A89)</f>
        <v>89</v>
      </c>
      <c r="B30">
        <v>75604747</v>
      </c>
      <c r="C30">
        <v>75605362</v>
      </c>
      <c r="D30">
        <v>74182417</v>
      </c>
      <c r="E30">
        <v>118</v>
      </c>
      <c r="F30">
        <v>1</v>
      </c>
      <c r="G30">
        <v>1</v>
      </c>
      <c r="H30">
        <v>1</v>
      </c>
      <c r="I30" t="s">
        <v>548</v>
      </c>
      <c r="J30" t="s">
        <v>3</v>
      </c>
      <c r="K30" t="s">
        <v>549</v>
      </c>
      <c r="L30">
        <v>1369</v>
      </c>
      <c r="N30">
        <v>1013</v>
      </c>
      <c r="O30" t="s">
        <v>550</v>
      </c>
      <c r="P30" t="s">
        <v>550</v>
      </c>
      <c r="Q30">
        <v>1</v>
      </c>
      <c r="W30">
        <v>0</v>
      </c>
      <c r="X30">
        <v>1187391579</v>
      </c>
      <c r="Y30">
        <f t="shared" si="7"/>
        <v>2.3E-2</v>
      </c>
      <c r="AA30">
        <v>0</v>
      </c>
      <c r="AB30">
        <v>0</v>
      </c>
      <c r="AC30">
        <v>0</v>
      </c>
      <c r="AD30">
        <v>274.64</v>
      </c>
      <c r="AE30">
        <v>0</v>
      </c>
      <c r="AF30">
        <v>0</v>
      </c>
      <c r="AG30">
        <v>0</v>
      </c>
      <c r="AH30">
        <v>274.64</v>
      </c>
      <c r="AI30">
        <v>1</v>
      </c>
      <c r="AJ30">
        <v>1</v>
      </c>
      <c r="AK30">
        <v>1</v>
      </c>
      <c r="AL30">
        <v>1</v>
      </c>
      <c r="AM30">
        <v>-2</v>
      </c>
      <c r="AN30">
        <v>0</v>
      </c>
      <c r="AO30">
        <v>0</v>
      </c>
      <c r="AP30">
        <v>1</v>
      </c>
      <c r="AQ30">
        <v>1</v>
      </c>
      <c r="AR30">
        <v>0</v>
      </c>
      <c r="AS30" t="s">
        <v>3</v>
      </c>
      <c r="AT30">
        <v>0.02</v>
      </c>
      <c r="AU30" t="s">
        <v>27</v>
      </c>
      <c r="AV30">
        <v>1</v>
      </c>
      <c r="AW30">
        <v>2</v>
      </c>
      <c r="AX30">
        <v>75605375</v>
      </c>
      <c r="AY30">
        <v>1</v>
      </c>
      <c r="AZ30">
        <v>0</v>
      </c>
      <c r="BA30">
        <v>30</v>
      </c>
      <c r="BB30">
        <v>1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5.4927999999999999</v>
      </c>
      <c r="BN30">
        <v>0.02</v>
      </c>
      <c r="BO30">
        <v>0</v>
      </c>
      <c r="BP30">
        <v>1</v>
      </c>
      <c r="BQ30">
        <v>0</v>
      </c>
      <c r="BR30">
        <v>0</v>
      </c>
      <c r="BS30">
        <v>0</v>
      </c>
      <c r="BT30">
        <v>6.3167199999999992</v>
      </c>
      <c r="BU30">
        <v>2.3E-2</v>
      </c>
      <c r="BV30">
        <v>0</v>
      </c>
      <c r="BW30">
        <v>1</v>
      </c>
      <c r="CU30">
        <f>ROUND(AT30*Source!I89*AH30*AL30,2)</f>
        <v>2.2000000000000002</v>
      </c>
      <c r="CV30">
        <f>ROUND(Y30*Source!I89,7)</f>
        <v>9.1999999999999998E-3</v>
      </c>
      <c r="CW30">
        <v>0</v>
      </c>
      <c r="CX30">
        <f>ROUND(Y30*Source!I89,7)</f>
        <v>9.1999999999999998E-3</v>
      </c>
      <c r="CY30">
        <f>AD30</f>
        <v>274.64</v>
      </c>
      <c r="CZ30">
        <f>AH30</f>
        <v>274.64</v>
      </c>
      <c r="DA30">
        <f>AL30</f>
        <v>1</v>
      </c>
      <c r="DB30">
        <f t="shared" si="8"/>
        <v>6.3135000000000003</v>
      </c>
      <c r="DC30">
        <f t="shared" si="9"/>
        <v>0</v>
      </c>
      <c r="DD30" t="s">
        <v>3</v>
      </c>
      <c r="DE30" t="s">
        <v>3</v>
      </c>
      <c r="DF30">
        <f t="shared" si="10"/>
        <v>0</v>
      </c>
      <c r="DG30">
        <f t="shared" ref="DG30:DG35" si="11">ROUND(ROUND(AF30,2)*CX30,2)</f>
        <v>0</v>
      </c>
      <c r="DH30">
        <f t="shared" si="1"/>
        <v>0</v>
      </c>
      <c r="DI30">
        <f t="shared" si="2"/>
        <v>2.5299999999999998</v>
      </c>
      <c r="DJ30">
        <f>DI30</f>
        <v>2.5299999999999998</v>
      </c>
      <c r="DK30">
        <v>1</v>
      </c>
      <c r="DL30" t="s">
        <v>3</v>
      </c>
      <c r="DM30">
        <v>0</v>
      </c>
      <c r="DN30" t="s">
        <v>3</v>
      </c>
      <c r="DO30">
        <v>0</v>
      </c>
    </row>
    <row r="31" spans="1:119" x14ac:dyDescent="0.25">
      <c r="A31">
        <f>ROW(Source!A89)</f>
        <v>89</v>
      </c>
      <c r="B31">
        <v>75604747</v>
      </c>
      <c r="C31">
        <v>75605362</v>
      </c>
      <c r="D31">
        <v>74182421</v>
      </c>
      <c r="E31">
        <v>118</v>
      </c>
      <c r="F31">
        <v>1</v>
      </c>
      <c r="G31">
        <v>1</v>
      </c>
      <c r="H31">
        <v>1</v>
      </c>
      <c r="I31" t="s">
        <v>551</v>
      </c>
      <c r="J31" t="s">
        <v>3</v>
      </c>
      <c r="K31" t="s">
        <v>552</v>
      </c>
      <c r="L31">
        <v>1369</v>
      </c>
      <c r="N31">
        <v>1013</v>
      </c>
      <c r="O31" t="s">
        <v>550</v>
      </c>
      <c r="P31" t="s">
        <v>550</v>
      </c>
      <c r="Q31">
        <v>1</v>
      </c>
      <c r="W31">
        <v>0</v>
      </c>
      <c r="X31">
        <v>-587036825</v>
      </c>
      <c r="Y31">
        <f t="shared" si="7"/>
        <v>7.1069999999999993</v>
      </c>
      <c r="AA31">
        <v>0</v>
      </c>
      <c r="AB31">
        <v>0</v>
      </c>
      <c r="AC31">
        <v>0</v>
      </c>
      <c r="AD31">
        <v>326.82</v>
      </c>
      <c r="AE31">
        <v>0</v>
      </c>
      <c r="AF31">
        <v>0</v>
      </c>
      <c r="AG31">
        <v>0</v>
      </c>
      <c r="AH31">
        <v>326.82</v>
      </c>
      <c r="AI31">
        <v>1</v>
      </c>
      <c r="AJ31">
        <v>1</v>
      </c>
      <c r="AK31">
        <v>1</v>
      </c>
      <c r="AL31">
        <v>1</v>
      </c>
      <c r="AM31">
        <v>-2</v>
      </c>
      <c r="AN31">
        <v>0</v>
      </c>
      <c r="AO31">
        <v>0</v>
      </c>
      <c r="AP31">
        <v>1</v>
      </c>
      <c r="AQ31">
        <v>1</v>
      </c>
      <c r="AR31">
        <v>0</v>
      </c>
      <c r="AS31" t="s">
        <v>3</v>
      </c>
      <c r="AT31">
        <v>6.18</v>
      </c>
      <c r="AU31" t="s">
        <v>27</v>
      </c>
      <c r="AV31">
        <v>1</v>
      </c>
      <c r="AW31">
        <v>2</v>
      </c>
      <c r="AX31">
        <v>75605376</v>
      </c>
      <c r="AY31">
        <v>1</v>
      </c>
      <c r="AZ31">
        <v>0</v>
      </c>
      <c r="BA31">
        <v>31</v>
      </c>
      <c r="BB31">
        <v>1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2019.7475999999999</v>
      </c>
      <c r="BN31">
        <v>6.18</v>
      </c>
      <c r="BO31">
        <v>0</v>
      </c>
      <c r="BP31">
        <v>1</v>
      </c>
      <c r="BQ31">
        <v>0</v>
      </c>
      <c r="BR31">
        <v>0</v>
      </c>
      <c r="BS31">
        <v>0</v>
      </c>
      <c r="BT31">
        <v>2322.7097399999998</v>
      </c>
      <c r="BU31">
        <v>7.1069999999999993</v>
      </c>
      <c r="BV31">
        <v>0</v>
      </c>
      <c r="BW31">
        <v>1</v>
      </c>
      <c r="CU31">
        <f>ROUND(AT31*Source!I89*AH31*AL31,2)</f>
        <v>807.9</v>
      </c>
      <c r="CV31">
        <f>ROUND(Y31*Source!I89,7)</f>
        <v>2.8428</v>
      </c>
      <c r="CW31">
        <v>0</v>
      </c>
      <c r="CX31">
        <f>ROUND(Y31*Source!I89,7)</f>
        <v>2.8428</v>
      </c>
      <c r="CY31">
        <f>AD31</f>
        <v>326.82</v>
      </c>
      <c r="CZ31">
        <f>AH31</f>
        <v>326.82</v>
      </c>
      <c r="DA31">
        <f>AL31</f>
        <v>1</v>
      </c>
      <c r="DB31">
        <f t="shared" si="8"/>
        <v>2322.7125000000001</v>
      </c>
      <c r="DC31">
        <f t="shared" si="9"/>
        <v>0</v>
      </c>
      <c r="DD31" t="s">
        <v>3</v>
      </c>
      <c r="DE31" t="s">
        <v>3</v>
      </c>
      <c r="DF31">
        <f t="shared" si="10"/>
        <v>0</v>
      </c>
      <c r="DG31">
        <f t="shared" si="11"/>
        <v>0</v>
      </c>
      <c r="DH31">
        <f t="shared" si="1"/>
        <v>0</v>
      </c>
      <c r="DI31">
        <f t="shared" si="2"/>
        <v>929.08</v>
      </c>
      <c r="DJ31">
        <f>DI31</f>
        <v>929.08</v>
      </c>
      <c r="DK31">
        <v>1</v>
      </c>
      <c r="DL31" t="s">
        <v>3</v>
      </c>
      <c r="DM31">
        <v>0</v>
      </c>
      <c r="DN31" t="s">
        <v>3</v>
      </c>
      <c r="DO31">
        <v>0</v>
      </c>
    </row>
    <row r="32" spans="1:119" x14ac:dyDescent="0.25">
      <c r="A32">
        <f>ROW(Source!A89)</f>
        <v>89</v>
      </c>
      <c r="B32">
        <v>75604747</v>
      </c>
      <c r="C32">
        <v>75605362</v>
      </c>
      <c r="D32">
        <v>74182423</v>
      </c>
      <c r="E32">
        <v>118</v>
      </c>
      <c r="F32">
        <v>1</v>
      </c>
      <c r="G32">
        <v>1</v>
      </c>
      <c r="H32">
        <v>1</v>
      </c>
      <c r="I32" t="s">
        <v>553</v>
      </c>
      <c r="J32" t="s">
        <v>3</v>
      </c>
      <c r="K32" t="s">
        <v>554</v>
      </c>
      <c r="L32">
        <v>1369</v>
      </c>
      <c r="N32">
        <v>1013</v>
      </c>
      <c r="O32" t="s">
        <v>550</v>
      </c>
      <c r="P32" t="s">
        <v>550</v>
      </c>
      <c r="Q32">
        <v>1</v>
      </c>
      <c r="W32">
        <v>0</v>
      </c>
      <c r="X32">
        <v>-512803540</v>
      </c>
      <c r="Y32">
        <f t="shared" si="7"/>
        <v>1.6559999999999999</v>
      </c>
      <c r="AA32">
        <v>0</v>
      </c>
      <c r="AB32">
        <v>0</v>
      </c>
      <c r="AC32">
        <v>0</v>
      </c>
      <c r="AD32">
        <v>368.02</v>
      </c>
      <c r="AE32">
        <v>0</v>
      </c>
      <c r="AF32">
        <v>0</v>
      </c>
      <c r="AG32">
        <v>0</v>
      </c>
      <c r="AH32">
        <v>368.02</v>
      </c>
      <c r="AI32">
        <v>1</v>
      </c>
      <c r="AJ32">
        <v>1</v>
      </c>
      <c r="AK32">
        <v>1</v>
      </c>
      <c r="AL32">
        <v>1</v>
      </c>
      <c r="AM32">
        <v>-2</v>
      </c>
      <c r="AN32">
        <v>0</v>
      </c>
      <c r="AO32">
        <v>0</v>
      </c>
      <c r="AP32">
        <v>1</v>
      </c>
      <c r="AQ32">
        <v>1</v>
      </c>
      <c r="AR32">
        <v>0</v>
      </c>
      <c r="AS32" t="s">
        <v>3</v>
      </c>
      <c r="AT32">
        <v>1.44</v>
      </c>
      <c r="AU32" t="s">
        <v>27</v>
      </c>
      <c r="AV32">
        <v>1</v>
      </c>
      <c r="AW32">
        <v>2</v>
      </c>
      <c r="AX32">
        <v>75605377</v>
      </c>
      <c r="AY32">
        <v>1</v>
      </c>
      <c r="AZ32">
        <v>0</v>
      </c>
      <c r="BA32">
        <v>32</v>
      </c>
      <c r="BB32">
        <v>1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529.94880000000001</v>
      </c>
      <c r="BN32">
        <v>1.44</v>
      </c>
      <c r="BO32">
        <v>0</v>
      </c>
      <c r="BP32">
        <v>1</v>
      </c>
      <c r="BQ32">
        <v>0</v>
      </c>
      <c r="BR32">
        <v>0</v>
      </c>
      <c r="BS32">
        <v>0</v>
      </c>
      <c r="BT32">
        <v>609.44111999999996</v>
      </c>
      <c r="BU32">
        <v>1.6559999999999999</v>
      </c>
      <c r="BV32">
        <v>0</v>
      </c>
      <c r="BW32">
        <v>1</v>
      </c>
      <c r="CU32">
        <f>ROUND(AT32*Source!I89*AH32*AL32,2)</f>
        <v>211.98</v>
      </c>
      <c r="CV32">
        <f>ROUND(Y32*Source!I89,7)</f>
        <v>0.66239999999999999</v>
      </c>
      <c r="CW32">
        <v>0</v>
      </c>
      <c r="CX32">
        <f>ROUND(Y32*Source!I89,7)</f>
        <v>0.66239999999999999</v>
      </c>
      <c r="CY32">
        <f>AD32</f>
        <v>368.02</v>
      </c>
      <c r="CZ32">
        <f>AH32</f>
        <v>368.02</v>
      </c>
      <c r="DA32">
        <f>AL32</f>
        <v>1</v>
      </c>
      <c r="DB32">
        <f t="shared" si="8"/>
        <v>609.4425</v>
      </c>
      <c r="DC32">
        <f t="shared" si="9"/>
        <v>0</v>
      </c>
      <c r="DD32" t="s">
        <v>3</v>
      </c>
      <c r="DE32" t="s">
        <v>3</v>
      </c>
      <c r="DF32">
        <f t="shared" si="10"/>
        <v>0</v>
      </c>
      <c r="DG32">
        <f t="shared" si="11"/>
        <v>0</v>
      </c>
      <c r="DH32">
        <f t="shared" si="1"/>
        <v>0</v>
      </c>
      <c r="DI32">
        <f t="shared" si="2"/>
        <v>243.78</v>
      </c>
      <c r="DJ32">
        <f>DI32</f>
        <v>243.78</v>
      </c>
      <c r="DK32">
        <v>1</v>
      </c>
      <c r="DL32" t="s">
        <v>3</v>
      </c>
      <c r="DM32">
        <v>0</v>
      </c>
      <c r="DN32" t="s">
        <v>3</v>
      </c>
      <c r="DO32">
        <v>0</v>
      </c>
    </row>
    <row r="33" spans="1:119" x14ac:dyDescent="0.25">
      <c r="A33">
        <f>ROW(Source!A89)</f>
        <v>89</v>
      </c>
      <c r="B33">
        <v>75604747</v>
      </c>
      <c r="C33">
        <v>75605362</v>
      </c>
      <c r="D33">
        <v>74182425</v>
      </c>
      <c r="E33">
        <v>118</v>
      </c>
      <c r="F33">
        <v>1</v>
      </c>
      <c r="G33">
        <v>1</v>
      </c>
      <c r="H33">
        <v>1</v>
      </c>
      <c r="I33" t="s">
        <v>555</v>
      </c>
      <c r="J33" t="s">
        <v>3</v>
      </c>
      <c r="K33" t="s">
        <v>556</v>
      </c>
      <c r="L33">
        <v>1369</v>
      </c>
      <c r="N33">
        <v>1013</v>
      </c>
      <c r="O33" t="s">
        <v>550</v>
      </c>
      <c r="P33" t="s">
        <v>550</v>
      </c>
      <c r="Q33">
        <v>1</v>
      </c>
      <c r="W33">
        <v>0</v>
      </c>
      <c r="X33">
        <v>1518711480</v>
      </c>
      <c r="Y33">
        <f t="shared" si="7"/>
        <v>8.7169999999999987</v>
      </c>
      <c r="AA33">
        <v>0</v>
      </c>
      <c r="AB33">
        <v>0</v>
      </c>
      <c r="AC33">
        <v>0</v>
      </c>
      <c r="AD33">
        <v>422.95</v>
      </c>
      <c r="AE33">
        <v>0</v>
      </c>
      <c r="AF33">
        <v>0</v>
      </c>
      <c r="AG33">
        <v>0</v>
      </c>
      <c r="AH33">
        <v>422.95</v>
      </c>
      <c r="AI33">
        <v>1</v>
      </c>
      <c r="AJ33">
        <v>1</v>
      </c>
      <c r="AK33">
        <v>1</v>
      </c>
      <c r="AL33">
        <v>1</v>
      </c>
      <c r="AM33">
        <v>-2</v>
      </c>
      <c r="AN33">
        <v>0</v>
      </c>
      <c r="AO33">
        <v>0</v>
      </c>
      <c r="AP33">
        <v>1</v>
      </c>
      <c r="AQ33">
        <v>1</v>
      </c>
      <c r="AR33">
        <v>0</v>
      </c>
      <c r="AS33" t="s">
        <v>3</v>
      </c>
      <c r="AT33">
        <v>7.58</v>
      </c>
      <c r="AU33" t="s">
        <v>27</v>
      </c>
      <c r="AV33">
        <v>1</v>
      </c>
      <c r="AW33">
        <v>2</v>
      </c>
      <c r="AX33">
        <v>75605378</v>
      </c>
      <c r="AY33">
        <v>1</v>
      </c>
      <c r="AZ33">
        <v>0</v>
      </c>
      <c r="BA33">
        <v>33</v>
      </c>
      <c r="BB33">
        <v>1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3205.9609999999998</v>
      </c>
      <c r="BN33">
        <v>7.58</v>
      </c>
      <c r="BO33">
        <v>0</v>
      </c>
      <c r="BP33">
        <v>1</v>
      </c>
      <c r="BQ33">
        <v>0</v>
      </c>
      <c r="BR33">
        <v>0</v>
      </c>
      <c r="BS33">
        <v>0</v>
      </c>
      <c r="BT33">
        <v>3686.8551499999994</v>
      </c>
      <c r="BU33">
        <v>8.7169999999999987</v>
      </c>
      <c r="BV33">
        <v>0</v>
      </c>
      <c r="BW33">
        <v>1</v>
      </c>
      <c r="CU33">
        <f>ROUND(AT33*Source!I89*AH33*AL33,2)</f>
        <v>1282.3800000000001</v>
      </c>
      <c r="CV33">
        <f>ROUND(Y33*Source!I89,7)</f>
        <v>3.4868000000000001</v>
      </c>
      <c r="CW33">
        <v>0</v>
      </c>
      <c r="CX33">
        <f>ROUND(Y33*Source!I89,7)</f>
        <v>3.4868000000000001</v>
      </c>
      <c r="CY33">
        <f>AD33</f>
        <v>422.95</v>
      </c>
      <c r="CZ33">
        <f>AH33</f>
        <v>422.95</v>
      </c>
      <c r="DA33">
        <f>AL33</f>
        <v>1</v>
      </c>
      <c r="DB33">
        <f t="shared" si="8"/>
        <v>3686.8539999999998</v>
      </c>
      <c r="DC33">
        <f t="shared" si="9"/>
        <v>0</v>
      </c>
      <c r="DD33" t="s">
        <v>3</v>
      </c>
      <c r="DE33" t="s">
        <v>3</v>
      </c>
      <c r="DF33">
        <f t="shared" si="10"/>
        <v>0</v>
      </c>
      <c r="DG33">
        <f t="shared" si="11"/>
        <v>0</v>
      </c>
      <c r="DH33">
        <f t="shared" si="1"/>
        <v>0</v>
      </c>
      <c r="DI33">
        <f t="shared" si="2"/>
        <v>1474.74</v>
      </c>
      <c r="DJ33">
        <f>DI33</f>
        <v>1474.74</v>
      </c>
      <c r="DK33">
        <v>1</v>
      </c>
      <c r="DL33" t="s">
        <v>3</v>
      </c>
      <c r="DM33">
        <v>0</v>
      </c>
      <c r="DN33" t="s">
        <v>3</v>
      </c>
      <c r="DO33">
        <v>0</v>
      </c>
    </row>
    <row r="34" spans="1:119" x14ac:dyDescent="0.25">
      <c r="A34">
        <f>ROW(Source!A89)</f>
        <v>89</v>
      </c>
      <c r="B34">
        <v>75604747</v>
      </c>
      <c r="C34">
        <v>75605362</v>
      </c>
      <c r="D34">
        <v>74182464</v>
      </c>
      <c r="E34">
        <v>118</v>
      </c>
      <c r="F34">
        <v>1</v>
      </c>
      <c r="G34">
        <v>1</v>
      </c>
      <c r="H34">
        <v>1</v>
      </c>
      <c r="I34" t="s">
        <v>504</v>
      </c>
      <c r="J34" t="s">
        <v>3</v>
      </c>
      <c r="K34" t="s">
        <v>505</v>
      </c>
      <c r="L34">
        <v>1191</v>
      </c>
      <c r="N34">
        <v>1013</v>
      </c>
      <c r="O34" t="s">
        <v>501</v>
      </c>
      <c r="P34" t="s">
        <v>501</v>
      </c>
      <c r="Q34">
        <v>1</v>
      </c>
      <c r="W34">
        <v>0</v>
      </c>
      <c r="X34">
        <v>-1417349443</v>
      </c>
      <c r="Y34">
        <f t="shared" si="7"/>
        <v>8.4755000000000003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1</v>
      </c>
      <c r="AJ34">
        <v>1</v>
      </c>
      <c r="AK34">
        <v>1</v>
      </c>
      <c r="AL34">
        <v>1</v>
      </c>
      <c r="AM34">
        <v>-2</v>
      </c>
      <c r="AN34">
        <v>0</v>
      </c>
      <c r="AO34">
        <v>0</v>
      </c>
      <c r="AP34">
        <v>1</v>
      </c>
      <c r="AQ34">
        <v>1</v>
      </c>
      <c r="AR34">
        <v>0</v>
      </c>
      <c r="AS34" t="s">
        <v>3</v>
      </c>
      <c r="AT34">
        <v>7.37</v>
      </c>
      <c r="AU34" t="s">
        <v>27</v>
      </c>
      <c r="AV34">
        <v>2</v>
      </c>
      <c r="AW34">
        <v>2</v>
      </c>
      <c r="AX34">
        <v>75605379</v>
      </c>
      <c r="AY34">
        <v>1</v>
      </c>
      <c r="AZ34">
        <v>0</v>
      </c>
      <c r="BA34">
        <v>34</v>
      </c>
      <c r="BB34">
        <v>1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CV34">
        <v>0</v>
      </c>
      <c r="CW34">
        <v>0</v>
      </c>
      <c r="CX34">
        <f>ROUND(Y34*Source!I89,7)</f>
        <v>3.3902000000000001</v>
      </c>
      <c r="CY34">
        <f>AD34</f>
        <v>0</v>
      </c>
      <c r="CZ34">
        <f>AH34</f>
        <v>0</v>
      </c>
      <c r="DA34">
        <f>AL34</f>
        <v>1</v>
      </c>
      <c r="DB34">
        <f t="shared" si="8"/>
        <v>0</v>
      </c>
      <c r="DC34">
        <f t="shared" si="9"/>
        <v>0</v>
      </c>
      <c r="DD34" t="s">
        <v>3</v>
      </c>
      <c r="DE34" t="s">
        <v>3</v>
      </c>
      <c r="DF34">
        <f t="shared" si="10"/>
        <v>0</v>
      </c>
      <c r="DG34">
        <f t="shared" si="11"/>
        <v>0</v>
      </c>
      <c r="DH34">
        <f t="shared" si="1"/>
        <v>0</v>
      </c>
      <c r="DI34">
        <f t="shared" si="2"/>
        <v>0</v>
      </c>
      <c r="DJ34">
        <f>DI34</f>
        <v>0</v>
      </c>
      <c r="DK34">
        <v>0</v>
      </c>
      <c r="DL34" t="s">
        <v>3</v>
      </c>
      <c r="DM34">
        <v>0</v>
      </c>
      <c r="DN34" t="s">
        <v>3</v>
      </c>
      <c r="DO34">
        <v>0</v>
      </c>
    </row>
    <row r="35" spans="1:119" x14ac:dyDescent="0.25">
      <c r="A35">
        <f>ROW(Source!A89)</f>
        <v>89</v>
      </c>
      <c r="B35">
        <v>75604747</v>
      </c>
      <c r="C35">
        <v>75605362</v>
      </c>
      <c r="D35">
        <v>74309824</v>
      </c>
      <c r="E35">
        <v>1</v>
      </c>
      <c r="F35">
        <v>1</v>
      </c>
      <c r="G35">
        <v>1</v>
      </c>
      <c r="H35">
        <v>2</v>
      </c>
      <c r="I35" t="s">
        <v>527</v>
      </c>
      <c r="J35" t="s">
        <v>528</v>
      </c>
      <c r="K35" t="s">
        <v>529</v>
      </c>
      <c r="L35">
        <v>1368</v>
      </c>
      <c r="N35">
        <v>1011</v>
      </c>
      <c r="O35" t="s">
        <v>509</v>
      </c>
      <c r="P35" t="s">
        <v>509</v>
      </c>
      <c r="Q35">
        <v>1</v>
      </c>
      <c r="W35">
        <v>0</v>
      </c>
      <c r="X35">
        <v>-312038840</v>
      </c>
      <c r="Y35">
        <f t="shared" si="7"/>
        <v>1.15E-2</v>
      </c>
      <c r="AA35">
        <v>0</v>
      </c>
      <c r="AB35">
        <v>551.45000000000005</v>
      </c>
      <c r="AC35">
        <v>368.02</v>
      </c>
      <c r="AD35">
        <v>0</v>
      </c>
      <c r="AE35">
        <v>0</v>
      </c>
      <c r="AF35">
        <v>551.45000000000005</v>
      </c>
      <c r="AG35">
        <v>368.02</v>
      </c>
      <c r="AH35">
        <v>0</v>
      </c>
      <c r="AI35">
        <v>1</v>
      </c>
      <c r="AJ35">
        <v>1</v>
      </c>
      <c r="AK35">
        <v>1</v>
      </c>
      <c r="AL35">
        <v>1</v>
      </c>
      <c r="AM35">
        <v>-2</v>
      </c>
      <c r="AN35">
        <v>0</v>
      </c>
      <c r="AO35">
        <v>0</v>
      </c>
      <c r="AP35">
        <v>1</v>
      </c>
      <c r="AQ35">
        <v>1</v>
      </c>
      <c r="AR35">
        <v>0</v>
      </c>
      <c r="AS35" t="s">
        <v>3</v>
      </c>
      <c r="AT35">
        <v>0.01</v>
      </c>
      <c r="AU35" t="s">
        <v>27</v>
      </c>
      <c r="AV35">
        <v>1</v>
      </c>
      <c r="AW35">
        <v>2</v>
      </c>
      <c r="AX35">
        <v>75605380</v>
      </c>
      <c r="AY35">
        <v>1</v>
      </c>
      <c r="AZ35">
        <v>0</v>
      </c>
      <c r="BA35">
        <v>35</v>
      </c>
      <c r="BB35">
        <v>1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5.5145000000000008</v>
      </c>
      <c r="BL35">
        <v>3.6801999999999997</v>
      </c>
      <c r="BM35">
        <v>0</v>
      </c>
      <c r="BN35">
        <v>0</v>
      </c>
      <c r="BO35">
        <v>0.01</v>
      </c>
      <c r="BP35">
        <v>1</v>
      </c>
      <c r="BQ35">
        <v>0</v>
      </c>
      <c r="BR35">
        <v>6.3416750000000004</v>
      </c>
      <c r="BS35">
        <v>4.2322299999999995</v>
      </c>
      <c r="BT35">
        <v>0</v>
      </c>
      <c r="BU35">
        <v>0</v>
      </c>
      <c r="BV35">
        <v>1.15E-2</v>
      </c>
      <c r="BW35">
        <v>1</v>
      </c>
      <c r="CV35">
        <v>0</v>
      </c>
      <c r="CW35">
        <f>ROUND(Y35*Source!I89*DO35,7)</f>
        <v>4.5999999999999999E-3</v>
      </c>
      <c r="CX35">
        <f>ROUND(Y35*Source!I89,7)</f>
        <v>4.5999999999999999E-3</v>
      </c>
      <c r="CY35">
        <f>AB35</f>
        <v>551.45000000000005</v>
      </c>
      <c r="CZ35">
        <f>AF35</f>
        <v>551.45000000000005</v>
      </c>
      <c r="DA35">
        <f>AJ35</f>
        <v>1</v>
      </c>
      <c r="DB35">
        <f t="shared" si="8"/>
        <v>6.3365</v>
      </c>
      <c r="DC35">
        <f t="shared" si="9"/>
        <v>4.2320000000000002</v>
      </c>
      <c r="DD35" t="s">
        <v>3</v>
      </c>
      <c r="DE35" t="s">
        <v>3</v>
      </c>
      <c r="DF35">
        <f t="shared" si="10"/>
        <v>0</v>
      </c>
      <c r="DG35">
        <f t="shared" si="11"/>
        <v>2.54</v>
      </c>
      <c r="DH35">
        <f t="shared" si="1"/>
        <v>1.69</v>
      </c>
      <c r="DI35">
        <f t="shared" si="2"/>
        <v>0</v>
      </c>
      <c r="DJ35">
        <f>DG35+DH35</f>
        <v>4.2300000000000004</v>
      </c>
      <c r="DK35">
        <v>1</v>
      </c>
      <c r="DL35" t="s">
        <v>522</v>
      </c>
      <c r="DM35">
        <v>4</v>
      </c>
      <c r="DN35" t="s">
        <v>501</v>
      </c>
      <c r="DO35">
        <v>1</v>
      </c>
    </row>
    <row r="36" spans="1:119" x14ac:dyDescent="0.25">
      <c r="A36">
        <f>ROW(Source!A89)</f>
        <v>89</v>
      </c>
      <c r="B36">
        <v>75604747</v>
      </c>
      <c r="C36">
        <v>75605362</v>
      </c>
      <c r="D36">
        <v>74309978</v>
      </c>
      <c r="E36">
        <v>1</v>
      </c>
      <c r="F36">
        <v>1</v>
      </c>
      <c r="G36">
        <v>1</v>
      </c>
      <c r="H36">
        <v>2</v>
      </c>
      <c r="I36" t="s">
        <v>557</v>
      </c>
      <c r="J36" t="s">
        <v>558</v>
      </c>
      <c r="K36" t="s">
        <v>559</v>
      </c>
      <c r="L36">
        <v>1368</v>
      </c>
      <c r="N36">
        <v>1011</v>
      </c>
      <c r="O36" t="s">
        <v>509</v>
      </c>
      <c r="P36" t="s">
        <v>509</v>
      </c>
      <c r="Q36">
        <v>1</v>
      </c>
      <c r="W36">
        <v>0</v>
      </c>
      <c r="X36">
        <v>1246407639</v>
      </c>
      <c r="Y36">
        <f t="shared" si="7"/>
        <v>8.4640000000000004</v>
      </c>
      <c r="AA36">
        <v>0</v>
      </c>
      <c r="AB36">
        <v>1379.11</v>
      </c>
      <c r="AC36">
        <v>422.95</v>
      </c>
      <c r="AD36">
        <v>0</v>
      </c>
      <c r="AE36">
        <v>0</v>
      </c>
      <c r="AF36">
        <v>1069.08</v>
      </c>
      <c r="AG36">
        <v>422.95</v>
      </c>
      <c r="AH36">
        <v>0</v>
      </c>
      <c r="AI36">
        <v>1</v>
      </c>
      <c r="AJ36">
        <v>1.29</v>
      </c>
      <c r="AK36">
        <v>1</v>
      </c>
      <c r="AL36">
        <v>1</v>
      </c>
      <c r="AM36">
        <v>2</v>
      </c>
      <c r="AN36">
        <v>0</v>
      </c>
      <c r="AO36">
        <v>0</v>
      </c>
      <c r="AP36">
        <v>1</v>
      </c>
      <c r="AQ36">
        <v>1</v>
      </c>
      <c r="AR36">
        <v>0</v>
      </c>
      <c r="AS36" t="s">
        <v>3</v>
      </c>
      <c r="AT36">
        <v>7.36</v>
      </c>
      <c r="AU36" t="s">
        <v>27</v>
      </c>
      <c r="AV36">
        <v>1</v>
      </c>
      <c r="AW36">
        <v>2</v>
      </c>
      <c r="AX36">
        <v>75605381</v>
      </c>
      <c r="AY36">
        <v>1</v>
      </c>
      <c r="AZ36">
        <v>0</v>
      </c>
      <c r="BA36">
        <v>36</v>
      </c>
      <c r="BB36">
        <v>1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7868.4287999999997</v>
      </c>
      <c r="BL36">
        <v>3112.9120000000003</v>
      </c>
      <c r="BM36">
        <v>0</v>
      </c>
      <c r="BN36">
        <v>0</v>
      </c>
      <c r="BO36">
        <v>7.36</v>
      </c>
      <c r="BP36">
        <v>1</v>
      </c>
      <c r="BQ36">
        <v>0</v>
      </c>
      <c r="BR36">
        <v>9048.6931199999999</v>
      </c>
      <c r="BS36">
        <v>3579.8488000000002</v>
      </c>
      <c r="BT36">
        <v>0</v>
      </c>
      <c r="BU36">
        <v>0</v>
      </c>
      <c r="BV36">
        <v>8.4640000000000004</v>
      </c>
      <c r="BW36">
        <v>1</v>
      </c>
      <c r="CV36">
        <v>0</v>
      </c>
      <c r="CW36">
        <f>ROUND(Y36*Source!I89*DO36,7)</f>
        <v>3.3856000000000002</v>
      </c>
      <c r="CX36">
        <f>ROUND(Y36*Source!I89,7)</f>
        <v>3.3856000000000002</v>
      </c>
      <c r="CY36">
        <f>AB36</f>
        <v>1379.11</v>
      </c>
      <c r="CZ36">
        <f>AF36</f>
        <v>1069.08</v>
      </c>
      <c r="DA36">
        <f>AJ36</f>
        <v>1.29</v>
      </c>
      <c r="DB36">
        <f t="shared" si="8"/>
        <v>9048.6944999999996</v>
      </c>
      <c r="DC36">
        <f t="shared" si="9"/>
        <v>3579.8465000000001</v>
      </c>
      <c r="DD36" t="s">
        <v>3</v>
      </c>
      <c r="DE36" t="s">
        <v>3</v>
      </c>
      <c r="DF36">
        <f t="shared" si="10"/>
        <v>0</v>
      </c>
      <c r="DG36">
        <f>ROUND(ROUND(AF36*AJ36,2)*CX36,2)</f>
        <v>4669.1099999999997</v>
      </c>
      <c r="DH36">
        <f t="shared" si="1"/>
        <v>1431.94</v>
      </c>
      <c r="DI36">
        <f t="shared" si="2"/>
        <v>0</v>
      </c>
      <c r="DJ36">
        <f>DG36+DH36</f>
        <v>6101.0499999999993</v>
      </c>
      <c r="DK36">
        <v>0</v>
      </c>
      <c r="DL36" t="s">
        <v>510</v>
      </c>
      <c r="DM36">
        <v>5</v>
      </c>
      <c r="DN36" t="s">
        <v>501</v>
      </c>
      <c r="DO36">
        <v>1</v>
      </c>
    </row>
    <row r="37" spans="1:119" x14ac:dyDescent="0.25">
      <c r="A37">
        <f>ROW(Source!A89)</f>
        <v>89</v>
      </c>
      <c r="B37">
        <v>75604747</v>
      </c>
      <c r="C37">
        <v>75605362</v>
      </c>
      <c r="D37">
        <v>74259041</v>
      </c>
      <c r="E37">
        <v>1</v>
      </c>
      <c r="F37">
        <v>1</v>
      </c>
      <c r="G37">
        <v>1</v>
      </c>
      <c r="H37">
        <v>3</v>
      </c>
      <c r="I37" t="s">
        <v>560</v>
      </c>
      <c r="J37" t="s">
        <v>561</v>
      </c>
      <c r="K37" t="s">
        <v>562</v>
      </c>
      <c r="L37">
        <v>1383</v>
      </c>
      <c r="N37">
        <v>1013</v>
      </c>
      <c r="O37" t="s">
        <v>563</v>
      </c>
      <c r="P37" t="s">
        <v>563</v>
      </c>
      <c r="Q37">
        <v>1</v>
      </c>
      <c r="W37">
        <v>0</v>
      </c>
      <c r="X37">
        <v>-182421198</v>
      </c>
      <c r="Y37">
        <f>AT37</f>
        <v>3.4319999999999999</v>
      </c>
      <c r="AA37">
        <v>9.0399999999999991</v>
      </c>
      <c r="AB37">
        <v>0</v>
      </c>
      <c r="AC37">
        <v>0</v>
      </c>
      <c r="AD37">
        <v>0</v>
      </c>
      <c r="AE37">
        <v>9.0399999999999991</v>
      </c>
      <c r="AF37">
        <v>0</v>
      </c>
      <c r="AG37">
        <v>0</v>
      </c>
      <c r="AH37">
        <v>0</v>
      </c>
      <c r="AI37">
        <v>1</v>
      </c>
      <c r="AJ37">
        <v>1</v>
      </c>
      <c r="AK37">
        <v>1</v>
      </c>
      <c r="AL37">
        <v>1</v>
      </c>
      <c r="AM37">
        <v>-2</v>
      </c>
      <c r="AN37">
        <v>0</v>
      </c>
      <c r="AO37">
        <v>0</v>
      </c>
      <c r="AP37">
        <v>1</v>
      </c>
      <c r="AQ37">
        <v>1</v>
      </c>
      <c r="AR37">
        <v>0</v>
      </c>
      <c r="AS37" t="s">
        <v>3</v>
      </c>
      <c r="AT37">
        <v>3.4319999999999999</v>
      </c>
      <c r="AU37" t="s">
        <v>3</v>
      </c>
      <c r="AV37">
        <v>0</v>
      </c>
      <c r="AW37">
        <v>2</v>
      </c>
      <c r="AX37">
        <v>75605382</v>
      </c>
      <c r="AY37">
        <v>1</v>
      </c>
      <c r="AZ37">
        <v>0</v>
      </c>
      <c r="BA37">
        <v>37</v>
      </c>
      <c r="BB37">
        <v>1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31.025279999999995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1</v>
      </c>
      <c r="BQ37">
        <v>31.025279999999995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1</v>
      </c>
      <c r="CV37">
        <v>0</v>
      </c>
      <c r="CW37">
        <v>0</v>
      </c>
      <c r="CX37">
        <f>ROUND(Y37*Source!I89,7)</f>
        <v>1.3728</v>
      </c>
      <c r="CY37">
        <f>AA37</f>
        <v>9.0399999999999991</v>
      </c>
      <c r="CZ37">
        <f>AE37</f>
        <v>9.0399999999999991</v>
      </c>
      <c r="DA37">
        <f>AI37</f>
        <v>1</v>
      </c>
      <c r="DB37">
        <f>ROUND(ROUND(AT37*CZ37,2),6)</f>
        <v>31.03</v>
      </c>
      <c r="DC37">
        <f>ROUND(ROUND(AT37*AG37,2),6)</f>
        <v>0</v>
      </c>
      <c r="DD37" t="s">
        <v>3</v>
      </c>
      <c r="DE37" t="s">
        <v>3</v>
      </c>
      <c r="DF37">
        <f t="shared" si="10"/>
        <v>12.41</v>
      </c>
      <c r="DG37">
        <f t="shared" ref="DG37:DG46" si="12">ROUND(ROUND(AF37,2)*CX37,2)</f>
        <v>0</v>
      </c>
      <c r="DH37">
        <f t="shared" si="1"/>
        <v>0</v>
      </c>
      <c r="DI37">
        <f t="shared" si="2"/>
        <v>0</v>
      </c>
      <c r="DJ37">
        <f>DF37</f>
        <v>12.41</v>
      </c>
      <c r="DK37">
        <v>1</v>
      </c>
      <c r="DL37" t="s">
        <v>3</v>
      </c>
      <c r="DM37">
        <v>0</v>
      </c>
      <c r="DN37" t="s">
        <v>3</v>
      </c>
      <c r="DO37">
        <v>0</v>
      </c>
    </row>
    <row r="38" spans="1:119" x14ac:dyDescent="0.25">
      <c r="A38">
        <f>ROW(Source!A89)</f>
        <v>89</v>
      </c>
      <c r="B38">
        <v>75604747</v>
      </c>
      <c r="C38">
        <v>75605362</v>
      </c>
      <c r="D38">
        <v>74259724</v>
      </c>
      <c r="E38">
        <v>1</v>
      </c>
      <c r="F38">
        <v>1</v>
      </c>
      <c r="G38">
        <v>1</v>
      </c>
      <c r="H38">
        <v>3</v>
      </c>
      <c r="I38" t="s">
        <v>564</v>
      </c>
      <c r="J38" t="s">
        <v>565</v>
      </c>
      <c r="K38" t="s">
        <v>566</v>
      </c>
      <c r="L38">
        <v>1346</v>
      </c>
      <c r="N38">
        <v>1009</v>
      </c>
      <c r="O38" t="s">
        <v>240</v>
      </c>
      <c r="P38" t="s">
        <v>240</v>
      </c>
      <c r="Q38">
        <v>1</v>
      </c>
      <c r="W38">
        <v>0</v>
      </c>
      <c r="X38">
        <v>-1551431226</v>
      </c>
      <c r="Y38">
        <f>AT38</f>
        <v>2.2000000000000002</v>
      </c>
      <c r="AA38">
        <v>158.96</v>
      </c>
      <c r="AB38">
        <v>0</v>
      </c>
      <c r="AC38">
        <v>0</v>
      </c>
      <c r="AD38">
        <v>0</v>
      </c>
      <c r="AE38">
        <v>187.01</v>
      </c>
      <c r="AF38">
        <v>0</v>
      </c>
      <c r="AG38">
        <v>0</v>
      </c>
      <c r="AH38">
        <v>0</v>
      </c>
      <c r="AI38">
        <v>0.85</v>
      </c>
      <c r="AJ38">
        <v>1</v>
      </c>
      <c r="AK38">
        <v>1</v>
      </c>
      <c r="AL38">
        <v>1</v>
      </c>
      <c r="AM38">
        <v>2</v>
      </c>
      <c r="AN38">
        <v>0</v>
      </c>
      <c r="AO38">
        <v>0</v>
      </c>
      <c r="AP38">
        <v>1</v>
      </c>
      <c r="AQ38">
        <v>1</v>
      </c>
      <c r="AR38">
        <v>0</v>
      </c>
      <c r="AS38" t="s">
        <v>3</v>
      </c>
      <c r="AT38">
        <v>2.2000000000000002</v>
      </c>
      <c r="AU38" t="s">
        <v>3</v>
      </c>
      <c r="AV38">
        <v>0</v>
      </c>
      <c r="AW38">
        <v>2</v>
      </c>
      <c r="AX38">
        <v>75605383</v>
      </c>
      <c r="AY38">
        <v>1</v>
      </c>
      <c r="AZ38">
        <v>0</v>
      </c>
      <c r="BA38">
        <v>38</v>
      </c>
      <c r="BB38">
        <v>1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411.42200000000003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1</v>
      </c>
      <c r="BQ38">
        <v>411.42200000000003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1</v>
      </c>
      <c r="CV38">
        <v>0</v>
      </c>
      <c r="CW38">
        <v>0</v>
      </c>
      <c r="CX38">
        <f>ROUND(Y38*Source!I89,7)</f>
        <v>0.88</v>
      </c>
      <c r="CY38">
        <f>AA38</f>
        <v>158.96</v>
      </c>
      <c r="CZ38">
        <f>AE38</f>
        <v>187.01</v>
      </c>
      <c r="DA38">
        <f>AI38</f>
        <v>0.85</v>
      </c>
      <c r="DB38">
        <f>ROUND(ROUND(AT38*CZ38,2),6)</f>
        <v>411.42</v>
      </c>
      <c r="DC38">
        <f>ROUND(ROUND(AT38*AG38,2),6)</f>
        <v>0</v>
      </c>
      <c r="DD38" t="s">
        <v>3</v>
      </c>
      <c r="DE38" t="s">
        <v>3</v>
      </c>
      <c r="DF38">
        <f>ROUND(ROUND(AE38*AI38,2)*CX38,2)</f>
        <v>139.88</v>
      </c>
      <c r="DG38">
        <f t="shared" si="12"/>
        <v>0</v>
      </c>
      <c r="DH38">
        <f t="shared" si="1"/>
        <v>0</v>
      </c>
      <c r="DI38">
        <f t="shared" si="2"/>
        <v>0</v>
      </c>
      <c r="DJ38">
        <f>DF38</f>
        <v>139.88</v>
      </c>
      <c r="DK38">
        <v>0</v>
      </c>
      <c r="DL38" t="s">
        <v>3</v>
      </c>
      <c r="DM38">
        <v>0</v>
      </c>
      <c r="DN38" t="s">
        <v>3</v>
      </c>
      <c r="DO38">
        <v>0</v>
      </c>
    </row>
    <row r="39" spans="1:119" x14ac:dyDescent="0.25">
      <c r="A39">
        <f>ROW(Source!A89)</f>
        <v>89</v>
      </c>
      <c r="B39">
        <v>75604747</v>
      </c>
      <c r="C39">
        <v>75605362</v>
      </c>
      <c r="D39">
        <v>74261035</v>
      </c>
      <c r="E39">
        <v>1</v>
      </c>
      <c r="F39">
        <v>1</v>
      </c>
      <c r="G39">
        <v>1</v>
      </c>
      <c r="H39">
        <v>3</v>
      </c>
      <c r="I39" t="s">
        <v>567</v>
      </c>
      <c r="J39" t="s">
        <v>568</v>
      </c>
      <c r="K39" t="s">
        <v>569</v>
      </c>
      <c r="L39">
        <v>1371</v>
      </c>
      <c r="N39">
        <v>1013</v>
      </c>
      <c r="O39" t="s">
        <v>222</v>
      </c>
      <c r="P39" t="s">
        <v>222</v>
      </c>
      <c r="Q39">
        <v>1</v>
      </c>
      <c r="W39">
        <v>0</v>
      </c>
      <c r="X39">
        <v>-57438779</v>
      </c>
      <c r="Y39">
        <f>AT39</f>
        <v>0.24</v>
      </c>
      <c r="AA39">
        <v>123.37</v>
      </c>
      <c r="AB39">
        <v>0</v>
      </c>
      <c r="AC39">
        <v>0</v>
      </c>
      <c r="AD39">
        <v>0</v>
      </c>
      <c r="AE39">
        <v>101.12</v>
      </c>
      <c r="AF39">
        <v>0</v>
      </c>
      <c r="AG39">
        <v>0</v>
      </c>
      <c r="AH39">
        <v>0</v>
      </c>
      <c r="AI39">
        <v>1.22</v>
      </c>
      <c r="AJ39">
        <v>1</v>
      </c>
      <c r="AK39">
        <v>1</v>
      </c>
      <c r="AL39">
        <v>1</v>
      </c>
      <c r="AM39">
        <v>2</v>
      </c>
      <c r="AN39">
        <v>0</v>
      </c>
      <c r="AO39">
        <v>0</v>
      </c>
      <c r="AP39">
        <v>1</v>
      </c>
      <c r="AQ39">
        <v>1</v>
      </c>
      <c r="AR39">
        <v>0</v>
      </c>
      <c r="AS39" t="s">
        <v>3</v>
      </c>
      <c r="AT39">
        <v>0.24</v>
      </c>
      <c r="AU39" t="s">
        <v>3</v>
      </c>
      <c r="AV39">
        <v>0</v>
      </c>
      <c r="AW39">
        <v>2</v>
      </c>
      <c r="AX39">
        <v>75605384</v>
      </c>
      <c r="AY39">
        <v>1</v>
      </c>
      <c r="AZ39">
        <v>0</v>
      </c>
      <c r="BA39">
        <v>39</v>
      </c>
      <c r="BB39">
        <v>1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24.268799999999999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1</v>
      </c>
      <c r="BQ39">
        <v>24.268799999999999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1</v>
      </c>
      <c r="CV39">
        <v>0</v>
      </c>
      <c r="CW39">
        <v>0</v>
      </c>
      <c r="CX39">
        <f>ROUND(Y39*Source!I89,7)</f>
        <v>9.6000000000000002E-2</v>
      </c>
      <c r="CY39">
        <f>AA39</f>
        <v>123.37</v>
      </c>
      <c r="CZ39">
        <f>AE39</f>
        <v>101.12</v>
      </c>
      <c r="DA39">
        <f>AI39</f>
        <v>1.22</v>
      </c>
      <c r="DB39">
        <f>ROUND(ROUND(AT39*CZ39,2),6)</f>
        <v>24.27</v>
      </c>
      <c r="DC39">
        <f>ROUND(ROUND(AT39*AG39,2),6)</f>
        <v>0</v>
      </c>
      <c r="DD39" t="s">
        <v>3</v>
      </c>
      <c r="DE39" t="s">
        <v>3</v>
      </c>
      <c r="DF39">
        <f>ROUND(ROUND(AE39*AI39,2)*CX39,2)</f>
        <v>11.84</v>
      </c>
      <c r="DG39">
        <f t="shared" si="12"/>
        <v>0</v>
      </c>
      <c r="DH39">
        <f t="shared" si="1"/>
        <v>0</v>
      </c>
      <c r="DI39">
        <f t="shared" si="2"/>
        <v>0</v>
      </c>
      <c r="DJ39">
        <f>DF39</f>
        <v>11.84</v>
      </c>
      <c r="DK39">
        <v>0</v>
      </c>
      <c r="DL39" t="s">
        <v>3</v>
      </c>
      <c r="DM39">
        <v>0</v>
      </c>
      <c r="DN39" t="s">
        <v>3</v>
      </c>
      <c r="DO39">
        <v>0</v>
      </c>
    </row>
    <row r="40" spans="1:119" x14ac:dyDescent="0.25">
      <c r="A40">
        <f>ROW(Source!A89)</f>
        <v>89</v>
      </c>
      <c r="B40">
        <v>75604747</v>
      </c>
      <c r="C40">
        <v>75605362</v>
      </c>
      <c r="D40">
        <v>74267870</v>
      </c>
      <c r="E40">
        <v>1</v>
      </c>
      <c r="F40">
        <v>1</v>
      </c>
      <c r="G40">
        <v>1</v>
      </c>
      <c r="H40">
        <v>3</v>
      </c>
      <c r="I40" t="s">
        <v>172</v>
      </c>
      <c r="J40" t="s">
        <v>175</v>
      </c>
      <c r="K40" t="s">
        <v>173</v>
      </c>
      <c r="L40">
        <v>1348</v>
      </c>
      <c r="N40">
        <v>1009</v>
      </c>
      <c r="O40" t="s">
        <v>174</v>
      </c>
      <c r="P40" t="s">
        <v>174</v>
      </c>
      <c r="Q40">
        <v>1000</v>
      </c>
      <c r="W40">
        <v>0</v>
      </c>
      <c r="X40">
        <v>-1772181775</v>
      </c>
      <c r="Y40">
        <f>AT40</f>
        <v>1.2500000000000001E-2</v>
      </c>
      <c r="AA40">
        <v>53058.17</v>
      </c>
      <c r="AB40">
        <v>0</v>
      </c>
      <c r="AC40">
        <v>0</v>
      </c>
      <c r="AD40">
        <v>0</v>
      </c>
      <c r="AE40">
        <v>53058.17</v>
      </c>
      <c r="AF40">
        <v>0</v>
      </c>
      <c r="AG40">
        <v>0</v>
      </c>
      <c r="AH40">
        <v>0</v>
      </c>
      <c r="AI40">
        <v>1</v>
      </c>
      <c r="AJ40">
        <v>1</v>
      </c>
      <c r="AK40">
        <v>1</v>
      </c>
      <c r="AL40">
        <v>1</v>
      </c>
      <c r="AM40">
        <v>0</v>
      </c>
      <c r="AN40">
        <v>0</v>
      </c>
      <c r="AO40">
        <v>0</v>
      </c>
      <c r="AP40">
        <v>1</v>
      </c>
      <c r="AQ40">
        <v>0</v>
      </c>
      <c r="AR40">
        <v>0</v>
      </c>
      <c r="AS40" t="s">
        <v>3</v>
      </c>
      <c r="AT40">
        <v>1.2500000000000001E-2</v>
      </c>
      <c r="AU40" t="s">
        <v>3</v>
      </c>
      <c r="AV40">
        <v>0</v>
      </c>
      <c r="AW40">
        <v>1</v>
      </c>
      <c r="AX40">
        <v>-1</v>
      </c>
      <c r="AY40">
        <v>0</v>
      </c>
      <c r="AZ40">
        <v>0</v>
      </c>
      <c r="BA40" t="s">
        <v>3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CV40">
        <v>0</v>
      </c>
      <c r="CW40">
        <v>0</v>
      </c>
      <c r="CX40">
        <f>ROUND(Y40*Source!I89,7)</f>
        <v>5.0000000000000001E-3</v>
      </c>
      <c r="CY40">
        <f>AA40</f>
        <v>53058.17</v>
      </c>
      <c r="CZ40">
        <f>AE40</f>
        <v>53058.17</v>
      </c>
      <c r="DA40">
        <f>AI40</f>
        <v>1</v>
      </c>
      <c r="DB40">
        <f>ROUND(ROUND(AT40*CZ40,2),6)</f>
        <v>663.23</v>
      </c>
      <c r="DC40">
        <f>ROUND(ROUND(AT40*AG40,2),6)</f>
        <v>0</v>
      </c>
      <c r="DD40" t="s">
        <v>3</v>
      </c>
      <c r="DE40" t="s">
        <v>3</v>
      </c>
      <c r="DF40">
        <f t="shared" ref="DF40:DF48" si="13">ROUND(ROUND(AE40,2)*CX40,2)</f>
        <v>265.29000000000002</v>
      </c>
      <c r="DG40">
        <f t="shared" si="12"/>
        <v>0</v>
      </c>
      <c r="DH40">
        <f t="shared" si="1"/>
        <v>0</v>
      </c>
      <c r="DI40">
        <f t="shared" si="2"/>
        <v>0</v>
      </c>
      <c r="DJ40">
        <f>DF40</f>
        <v>265.29000000000002</v>
      </c>
      <c r="DK40">
        <v>1</v>
      </c>
      <c r="DL40" t="s">
        <v>3</v>
      </c>
      <c r="DM40">
        <v>0</v>
      </c>
      <c r="DN40" t="s">
        <v>3</v>
      </c>
      <c r="DO40">
        <v>0</v>
      </c>
    </row>
    <row r="41" spans="1:119" x14ac:dyDescent="0.25">
      <c r="A41">
        <f>ROW(Source!A91)</f>
        <v>91</v>
      </c>
      <c r="B41">
        <v>75604747</v>
      </c>
      <c r="C41">
        <v>75605390</v>
      </c>
      <c r="D41">
        <v>74182417</v>
      </c>
      <c r="E41">
        <v>118</v>
      </c>
      <c r="F41">
        <v>1</v>
      </c>
      <c r="G41">
        <v>1</v>
      </c>
      <c r="H41">
        <v>1</v>
      </c>
      <c r="I41" t="s">
        <v>548</v>
      </c>
      <c r="J41" t="s">
        <v>3</v>
      </c>
      <c r="K41" t="s">
        <v>549</v>
      </c>
      <c r="L41">
        <v>1369</v>
      </c>
      <c r="N41">
        <v>1013</v>
      </c>
      <c r="O41" t="s">
        <v>550</v>
      </c>
      <c r="P41" t="s">
        <v>550</v>
      </c>
      <c r="Q41">
        <v>1</v>
      </c>
      <c r="W41">
        <v>0</v>
      </c>
      <c r="X41">
        <v>1187391579</v>
      </c>
      <c r="Y41">
        <f t="shared" ref="Y41:Y47" si="14">(AT41*ROUND(((0.15+1)*0.6),7))</f>
        <v>1.38E-2</v>
      </c>
      <c r="AA41">
        <v>0</v>
      </c>
      <c r="AB41">
        <v>0</v>
      </c>
      <c r="AC41">
        <v>0</v>
      </c>
      <c r="AD41">
        <v>274.64</v>
      </c>
      <c r="AE41">
        <v>0</v>
      </c>
      <c r="AF41">
        <v>0</v>
      </c>
      <c r="AG41">
        <v>0</v>
      </c>
      <c r="AH41">
        <v>274.64</v>
      </c>
      <c r="AI41">
        <v>1</v>
      </c>
      <c r="AJ41">
        <v>1</v>
      </c>
      <c r="AK41">
        <v>1</v>
      </c>
      <c r="AL41">
        <v>1</v>
      </c>
      <c r="AM41">
        <v>-2</v>
      </c>
      <c r="AN41">
        <v>0</v>
      </c>
      <c r="AO41">
        <v>0</v>
      </c>
      <c r="AP41">
        <v>1</v>
      </c>
      <c r="AQ41">
        <v>1</v>
      </c>
      <c r="AR41">
        <v>0</v>
      </c>
      <c r="AS41" t="s">
        <v>3</v>
      </c>
      <c r="AT41">
        <v>0.02</v>
      </c>
      <c r="AU41" t="s">
        <v>179</v>
      </c>
      <c r="AV41">
        <v>1</v>
      </c>
      <c r="AW41">
        <v>2</v>
      </c>
      <c r="AX41">
        <v>75605403</v>
      </c>
      <c r="AY41">
        <v>1</v>
      </c>
      <c r="AZ41">
        <v>0</v>
      </c>
      <c r="BA41">
        <v>41</v>
      </c>
      <c r="BB41">
        <v>1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5.4927999999999999</v>
      </c>
      <c r="BN41">
        <v>0.02</v>
      </c>
      <c r="BO41">
        <v>0</v>
      </c>
      <c r="BP41">
        <v>1</v>
      </c>
      <c r="BQ41">
        <v>0</v>
      </c>
      <c r="BR41">
        <v>0</v>
      </c>
      <c r="BS41">
        <v>0</v>
      </c>
      <c r="BT41">
        <v>3.7900319999999996</v>
      </c>
      <c r="BU41">
        <v>1.38E-2</v>
      </c>
      <c r="BV41">
        <v>0</v>
      </c>
      <c r="BW41">
        <v>1</v>
      </c>
      <c r="CU41">
        <f>ROUND(AT41*Source!I91*AH41*AL41,2)</f>
        <v>2.2000000000000002</v>
      </c>
      <c r="CV41">
        <f>ROUND(Y41*Source!I91,7)</f>
        <v>5.5199999999999997E-3</v>
      </c>
      <c r="CW41">
        <v>0</v>
      </c>
      <c r="CX41">
        <f>ROUND(Y41*Source!I91,7)</f>
        <v>5.5199999999999997E-3</v>
      </c>
      <c r="CY41">
        <f>AD41</f>
        <v>274.64</v>
      </c>
      <c r="CZ41">
        <f>AH41</f>
        <v>274.64</v>
      </c>
      <c r="DA41">
        <f>AL41</f>
        <v>1</v>
      </c>
      <c r="DB41">
        <f t="shared" ref="DB41:DB47" si="15">ROUND((ROUND(AT41*CZ41,2)*ROUND(((0.15+1)*0.6),7)),6)</f>
        <v>3.7881</v>
      </c>
      <c r="DC41">
        <f t="shared" ref="DC41:DC47" si="16">ROUND((ROUND(AT41*AG41,2)*ROUND(((0.15+1)*0.6),7)),6)</f>
        <v>0</v>
      </c>
      <c r="DD41" t="s">
        <v>3</v>
      </c>
      <c r="DE41" t="s">
        <v>3</v>
      </c>
      <c r="DF41">
        <f t="shared" si="13"/>
        <v>0</v>
      </c>
      <c r="DG41">
        <f t="shared" si="12"/>
        <v>0</v>
      </c>
      <c r="DH41">
        <f t="shared" si="1"/>
        <v>0</v>
      </c>
      <c r="DI41">
        <f t="shared" si="2"/>
        <v>1.52</v>
      </c>
      <c r="DJ41">
        <f>DI41</f>
        <v>1.52</v>
      </c>
      <c r="DK41">
        <v>1</v>
      </c>
      <c r="DL41" t="s">
        <v>3</v>
      </c>
      <c r="DM41">
        <v>0</v>
      </c>
      <c r="DN41" t="s">
        <v>3</v>
      </c>
      <c r="DO41">
        <v>0</v>
      </c>
    </row>
    <row r="42" spans="1:119" x14ac:dyDescent="0.25">
      <c r="A42">
        <f>ROW(Source!A91)</f>
        <v>91</v>
      </c>
      <c r="B42">
        <v>75604747</v>
      </c>
      <c r="C42">
        <v>75605390</v>
      </c>
      <c r="D42">
        <v>74182421</v>
      </c>
      <c r="E42">
        <v>118</v>
      </c>
      <c r="F42">
        <v>1</v>
      </c>
      <c r="G42">
        <v>1</v>
      </c>
      <c r="H42">
        <v>1</v>
      </c>
      <c r="I42" t="s">
        <v>551</v>
      </c>
      <c r="J42" t="s">
        <v>3</v>
      </c>
      <c r="K42" t="s">
        <v>552</v>
      </c>
      <c r="L42">
        <v>1369</v>
      </c>
      <c r="N42">
        <v>1013</v>
      </c>
      <c r="O42" t="s">
        <v>550</v>
      </c>
      <c r="P42" t="s">
        <v>550</v>
      </c>
      <c r="Q42">
        <v>1</v>
      </c>
      <c r="W42">
        <v>0</v>
      </c>
      <c r="X42">
        <v>-587036825</v>
      </c>
      <c r="Y42">
        <f t="shared" si="14"/>
        <v>4.2641999999999998</v>
      </c>
      <c r="AA42">
        <v>0</v>
      </c>
      <c r="AB42">
        <v>0</v>
      </c>
      <c r="AC42">
        <v>0</v>
      </c>
      <c r="AD42">
        <v>326.82</v>
      </c>
      <c r="AE42">
        <v>0</v>
      </c>
      <c r="AF42">
        <v>0</v>
      </c>
      <c r="AG42">
        <v>0</v>
      </c>
      <c r="AH42">
        <v>326.82</v>
      </c>
      <c r="AI42">
        <v>1</v>
      </c>
      <c r="AJ42">
        <v>1</v>
      </c>
      <c r="AK42">
        <v>1</v>
      </c>
      <c r="AL42">
        <v>1</v>
      </c>
      <c r="AM42">
        <v>-2</v>
      </c>
      <c r="AN42">
        <v>0</v>
      </c>
      <c r="AO42">
        <v>0</v>
      </c>
      <c r="AP42">
        <v>1</v>
      </c>
      <c r="AQ42">
        <v>1</v>
      </c>
      <c r="AR42">
        <v>0</v>
      </c>
      <c r="AS42" t="s">
        <v>3</v>
      </c>
      <c r="AT42">
        <v>6.18</v>
      </c>
      <c r="AU42" t="s">
        <v>179</v>
      </c>
      <c r="AV42">
        <v>1</v>
      </c>
      <c r="AW42">
        <v>2</v>
      </c>
      <c r="AX42">
        <v>75605404</v>
      </c>
      <c r="AY42">
        <v>1</v>
      </c>
      <c r="AZ42">
        <v>0</v>
      </c>
      <c r="BA42">
        <v>42</v>
      </c>
      <c r="BB42">
        <v>1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2019.7475999999999</v>
      </c>
      <c r="BN42">
        <v>6.18</v>
      </c>
      <c r="BO42">
        <v>0</v>
      </c>
      <c r="BP42">
        <v>1</v>
      </c>
      <c r="BQ42">
        <v>0</v>
      </c>
      <c r="BR42">
        <v>0</v>
      </c>
      <c r="BS42">
        <v>0</v>
      </c>
      <c r="BT42">
        <v>1393.6258439999999</v>
      </c>
      <c r="BU42">
        <v>4.2641999999999998</v>
      </c>
      <c r="BV42">
        <v>0</v>
      </c>
      <c r="BW42">
        <v>1</v>
      </c>
      <c r="CU42">
        <f>ROUND(AT42*Source!I91*AH42*AL42,2)</f>
        <v>807.9</v>
      </c>
      <c r="CV42">
        <f>ROUND(Y42*Source!I91,7)</f>
        <v>1.7056800000000001</v>
      </c>
      <c r="CW42">
        <v>0</v>
      </c>
      <c r="CX42">
        <f>ROUND(Y42*Source!I91,7)</f>
        <v>1.7056800000000001</v>
      </c>
      <c r="CY42">
        <f>AD42</f>
        <v>326.82</v>
      </c>
      <c r="CZ42">
        <f>AH42</f>
        <v>326.82</v>
      </c>
      <c r="DA42">
        <f>AL42</f>
        <v>1</v>
      </c>
      <c r="DB42">
        <f t="shared" si="15"/>
        <v>1393.6275000000001</v>
      </c>
      <c r="DC42">
        <f t="shared" si="16"/>
        <v>0</v>
      </c>
      <c r="DD42" t="s">
        <v>3</v>
      </c>
      <c r="DE42" t="s">
        <v>3</v>
      </c>
      <c r="DF42">
        <f t="shared" si="13"/>
        <v>0</v>
      </c>
      <c r="DG42">
        <f t="shared" si="12"/>
        <v>0</v>
      </c>
      <c r="DH42">
        <f t="shared" si="1"/>
        <v>0</v>
      </c>
      <c r="DI42">
        <f t="shared" si="2"/>
        <v>557.45000000000005</v>
      </c>
      <c r="DJ42">
        <f>DI42</f>
        <v>557.45000000000005</v>
      </c>
      <c r="DK42">
        <v>1</v>
      </c>
      <c r="DL42" t="s">
        <v>3</v>
      </c>
      <c r="DM42">
        <v>0</v>
      </c>
      <c r="DN42" t="s">
        <v>3</v>
      </c>
      <c r="DO42">
        <v>0</v>
      </c>
    </row>
    <row r="43" spans="1:119" x14ac:dyDescent="0.25">
      <c r="A43">
        <f>ROW(Source!A91)</f>
        <v>91</v>
      </c>
      <c r="B43">
        <v>75604747</v>
      </c>
      <c r="C43">
        <v>75605390</v>
      </c>
      <c r="D43">
        <v>74182423</v>
      </c>
      <c r="E43">
        <v>118</v>
      </c>
      <c r="F43">
        <v>1</v>
      </c>
      <c r="G43">
        <v>1</v>
      </c>
      <c r="H43">
        <v>1</v>
      </c>
      <c r="I43" t="s">
        <v>553</v>
      </c>
      <c r="J43" t="s">
        <v>3</v>
      </c>
      <c r="K43" t="s">
        <v>554</v>
      </c>
      <c r="L43">
        <v>1369</v>
      </c>
      <c r="N43">
        <v>1013</v>
      </c>
      <c r="O43" t="s">
        <v>550</v>
      </c>
      <c r="P43" t="s">
        <v>550</v>
      </c>
      <c r="Q43">
        <v>1</v>
      </c>
      <c r="W43">
        <v>0</v>
      </c>
      <c r="X43">
        <v>-512803540</v>
      </c>
      <c r="Y43">
        <f t="shared" si="14"/>
        <v>0.99359999999999993</v>
      </c>
      <c r="AA43">
        <v>0</v>
      </c>
      <c r="AB43">
        <v>0</v>
      </c>
      <c r="AC43">
        <v>0</v>
      </c>
      <c r="AD43">
        <v>368.02</v>
      </c>
      <c r="AE43">
        <v>0</v>
      </c>
      <c r="AF43">
        <v>0</v>
      </c>
      <c r="AG43">
        <v>0</v>
      </c>
      <c r="AH43">
        <v>368.02</v>
      </c>
      <c r="AI43">
        <v>1</v>
      </c>
      <c r="AJ43">
        <v>1</v>
      </c>
      <c r="AK43">
        <v>1</v>
      </c>
      <c r="AL43">
        <v>1</v>
      </c>
      <c r="AM43">
        <v>-2</v>
      </c>
      <c r="AN43">
        <v>0</v>
      </c>
      <c r="AO43">
        <v>0</v>
      </c>
      <c r="AP43">
        <v>1</v>
      </c>
      <c r="AQ43">
        <v>1</v>
      </c>
      <c r="AR43">
        <v>0</v>
      </c>
      <c r="AS43" t="s">
        <v>3</v>
      </c>
      <c r="AT43">
        <v>1.44</v>
      </c>
      <c r="AU43" t="s">
        <v>179</v>
      </c>
      <c r="AV43">
        <v>1</v>
      </c>
      <c r="AW43">
        <v>2</v>
      </c>
      <c r="AX43">
        <v>75605405</v>
      </c>
      <c r="AY43">
        <v>1</v>
      </c>
      <c r="AZ43">
        <v>0</v>
      </c>
      <c r="BA43">
        <v>43</v>
      </c>
      <c r="BB43">
        <v>1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529.94880000000001</v>
      </c>
      <c r="BN43">
        <v>1.44</v>
      </c>
      <c r="BO43">
        <v>0</v>
      </c>
      <c r="BP43">
        <v>1</v>
      </c>
      <c r="BQ43">
        <v>0</v>
      </c>
      <c r="BR43">
        <v>0</v>
      </c>
      <c r="BS43">
        <v>0</v>
      </c>
      <c r="BT43">
        <v>365.66467199999994</v>
      </c>
      <c r="BU43">
        <v>0.99359999999999993</v>
      </c>
      <c r="BV43">
        <v>0</v>
      </c>
      <c r="BW43">
        <v>1</v>
      </c>
      <c r="CU43">
        <f>ROUND(AT43*Source!I91*AH43*AL43,2)</f>
        <v>211.98</v>
      </c>
      <c r="CV43">
        <f>ROUND(Y43*Source!I91,7)</f>
        <v>0.39744000000000002</v>
      </c>
      <c r="CW43">
        <v>0</v>
      </c>
      <c r="CX43">
        <f>ROUND(Y43*Source!I91,7)</f>
        <v>0.39744000000000002</v>
      </c>
      <c r="CY43">
        <f>AD43</f>
        <v>368.02</v>
      </c>
      <c r="CZ43">
        <f>AH43</f>
        <v>368.02</v>
      </c>
      <c r="DA43">
        <f>AL43</f>
        <v>1</v>
      </c>
      <c r="DB43">
        <f t="shared" si="15"/>
        <v>365.66550000000001</v>
      </c>
      <c r="DC43">
        <f t="shared" si="16"/>
        <v>0</v>
      </c>
      <c r="DD43" t="s">
        <v>3</v>
      </c>
      <c r="DE43" t="s">
        <v>3</v>
      </c>
      <c r="DF43">
        <f t="shared" si="13"/>
        <v>0</v>
      </c>
      <c r="DG43">
        <f t="shared" si="12"/>
        <v>0</v>
      </c>
      <c r="DH43">
        <f t="shared" si="1"/>
        <v>0</v>
      </c>
      <c r="DI43">
        <f t="shared" si="2"/>
        <v>146.27000000000001</v>
      </c>
      <c r="DJ43">
        <f>DI43</f>
        <v>146.27000000000001</v>
      </c>
      <c r="DK43">
        <v>1</v>
      </c>
      <c r="DL43" t="s">
        <v>3</v>
      </c>
      <c r="DM43">
        <v>0</v>
      </c>
      <c r="DN43" t="s">
        <v>3</v>
      </c>
      <c r="DO43">
        <v>0</v>
      </c>
    </row>
    <row r="44" spans="1:119" x14ac:dyDescent="0.25">
      <c r="A44">
        <f>ROW(Source!A91)</f>
        <v>91</v>
      </c>
      <c r="B44">
        <v>75604747</v>
      </c>
      <c r="C44">
        <v>75605390</v>
      </c>
      <c r="D44">
        <v>74182425</v>
      </c>
      <c r="E44">
        <v>118</v>
      </c>
      <c r="F44">
        <v>1</v>
      </c>
      <c r="G44">
        <v>1</v>
      </c>
      <c r="H44">
        <v>1</v>
      </c>
      <c r="I44" t="s">
        <v>555</v>
      </c>
      <c r="J44" t="s">
        <v>3</v>
      </c>
      <c r="K44" t="s">
        <v>556</v>
      </c>
      <c r="L44">
        <v>1369</v>
      </c>
      <c r="N44">
        <v>1013</v>
      </c>
      <c r="O44" t="s">
        <v>550</v>
      </c>
      <c r="P44" t="s">
        <v>550</v>
      </c>
      <c r="Q44">
        <v>1</v>
      </c>
      <c r="W44">
        <v>0</v>
      </c>
      <c r="X44">
        <v>1518711480</v>
      </c>
      <c r="Y44">
        <f t="shared" si="14"/>
        <v>5.2302</v>
      </c>
      <c r="AA44">
        <v>0</v>
      </c>
      <c r="AB44">
        <v>0</v>
      </c>
      <c r="AC44">
        <v>0</v>
      </c>
      <c r="AD44">
        <v>422.95</v>
      </c>
      <c r="AE44">
        <v>0</v>
      </c>
      <c r="AF44">
        <v>0</v>
      </c>
      <c r="AG44">
        <v>0</v>
      </c>
      <c r="AH44">
        <v>422.95</v>
      </c>
      <c r="AI44">
        <v>1</v>
      </c>
      <c r="AJ44">
        <v>1</v>
      </c>
      <c r="AK44">
        <v>1</v>
      </c>
      <c r="AL44">
        <v>1</v>
      </c>
      <c r="AM44">
        <v>-2</v>
      </c>
      <c r="AN44">
        <v>0</v>
      </c>
      <c r="AO44">
        <v>0</v>
      </c>
      <c r="AP44">
        <v>1</v>
      </c>
      <c r="AQ44">
        <v>1</v>
      </c>
      <c r="AR44">
        <v>0</v>
      </c>
      <c r="AS44" t="s">
        <v>3</v>
      </c>
      <c r="AT44">
        <v>7.58</v>
      </c>
      <c r="AU44" t="s">
        <v>179</v>
      </c>
      <c r="AV44">
        <v>1</v>
      </c>
      <c r="AW44">
        <v>2</v>
      </c>
      <c r="AX44">
        <v>75605406</v>
      </c>
      <c r="AY44">
        <v>1</v>
      </c>
      <c r="AZ44">
        <v>0</v>
      </c>
      <c r="BA44">
        <v>44</v>
      </c>
      <c r="BB44">
        <v>1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3205.9609999999998</v>
      </c>
      <c r="BN44">
        <v>7.58</v>
      </c>
      <c r="BO44">
        <v>0</v>
      </c>
      <c r="BP44">
        <v>1</v>
      </c>
      <c r="BQ44">
        <v>0</v>
      </c>
      <c r="BR44">
        <v>0</v>
      </c>
      <c r="BS44">
        <v>0</v>
      </c>
      <c r="BT44">
        <v>2212.1130899999994</v>
      </c>
      <c r="BU44">
        <v>5.2301999999999991</v>
      </c>
      <c r="BV44">
        <v>0</v>
      </c>
      <c r="BW44">
        <v>1</v>
      </c>
      <c r="CU44">
        <f>ROUND(AT44*Source!I91*AH44*AL44,2)</f>
        <v>1282.3800000000001</v>
      </c>
      <c r="CV44">
        <f>ROUND(Y44*Source!I91,7)</f>
        <v>2.0920800000000002</v>
      </c>
      <c r="CW44">
        <v>0</v>
      </c>
      <c r="CX44">
        <f>ROUND(Y44*Source!I91,7)</f>
        <v>2.0920800000000002</v>
      </c>
      <c r="CY44">
        <f>AD44</f>
        <v>422.95</v>
      </c>
      <c r="CZ44">
        <f>AH44</f>
        <v>422.95</v>
      </c>
      <c r="DA44">
        <f>AL44</f>
        <v>1</v>
      </c>
      <c r="DB44">
        <f t="shared" si="15"/>
        <v>2212.1124</v>
      </c>
      <c r="DC44">
        <f t="shared" si="16"/>
        <v>0</v>
      </c>
      <c r="DD44" t="s">
        <v>3</v>
      </c>
      <c r="DE44" t="s">
        <v>3</v>
      </c>
      <c r="DF44">
        <f t="shared" si="13"/>
        <v>0</v>
      </c>
      <c r="DG44">
        <f t="shared" si="12"/>
        <v>0</v>
      </c>
      <c r="DH44">
        <f t="shared" si="1"/>
        <v>0</v>
      </c>
      <c r="DI44">
        <f t="shared" si="2"/>
        <v>884.85</v>
      </c>
      <c r="DJ44">
        <f>DI44</f>
        <v>884.85</v>
      </c>
      <c r="DK44">
        <v>1</v>
      </c>
      <c r="DL44" t="s">
        <v>3</v>
      </c>
      <c r="DM44">
        <v>0</v>
      </c>
      <c r="DN44" t="s">
        <v>3</v>
      </c>
      <c r="DO44">
        <v>0</v>
      </c>
    </row>
    <row r="45" spans="1:119" x14ac:dyDescent="0.25">
      <c r="A45">
        <f>ROW(Source!A91)</f>
        <v>91</v>
      </c>
      <c r="B45">
        <v>75604747</v>
      </c>
      <c r="C45">
        <v>75605390</v>
      </c>
      <c r="D45">
        <v>74182464</v>
      </c>
      <c r="E45">
        <v>118</v>
      </c>
      <c r="F45">
        <v>1</v>
      </c>
      <c r="G45">
        <v>1</v>
      </c>
      <c r="H45">
        <v>1</v>
      </c>
      <c r="I45" t="s">
        <v>504</v>
      </c>
      <c r="J45" t="s">
        <v>3</v>
      </c>
      <c r="K45" t="s">
        <v>505</v>
      </c>
      <c r="L45">
        <v>1191</v>
      </c>
      <c r="N45">
        <v>1013</v>
      </c>
      <c r="O45" t="s">
        <v>501</v>
      </c>
      <c r="P45" t="s">
        <v>501</v>
      </c>
      <c r="Q45">
        <v>1</v>
      </c>
      <c r="W45">
        <v>0</v>
      </c>
      <c r="X45">
        <v>-1417349443</v>
      </c>
      <c r="Y45">
        <f t="shared" si="14"/>
        <v>5.0852999999999993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1</v>
      </c>
      <c r="AJ45">
        <v>1</v>
      </c>
      <c r="AK45">
        <v>1</v>
      </c>
      <c r="AL45">
        <v>1</v>
      </c>
      <c r="AM45">
        <v>-2</v>
      </c>
      <c r="AN45">
        <v>0</v>
      </c>
      <c r="AO45">
        <v>0</v>
      </c>
      <c r="AP45">
        <v>1</v>
      </c>
      <c r="AQ45">
        <v>1</v>
      </c>
      <c r="AR45">
        <v>0</v>
      </c>
      <c r="AS45" t="s">
        <v>3</v>
      </c>
      <c r="AT45">
        <v>7.37</v>
      </c>
      <c r="AU45" t="s">
        <v>179</v>
      </c>
      <c r="AV45">
        <v>2</v>
      </c>
      <c r="AW45">
        <v>2</v>
      </c>
      <c r="AX45">
        <v>75605407</v>
      </c>
      <c r="AY45">
        <v>1</v>
      </c>
      <c r="AZ45">
        <v>0</v>
      </c>
      <c r="BA45">
        <v>45</v>
      </c>
      <c r="BB45">
        <v>1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CV45">
        <v>0</v>
      </c>
      <c r="CW45">
        <v>0</v>
      </c>
      <c r="CX45">
        <f>ROUND(Y45*Source!I91,7)</f>
        <v>2.0341200000000002</v>
      </c>
      <c r="CY45">
        <f>AD45</f>
        <v>0</v>
      </c>
      <c r="CZ45">
        <f>AH45</f>
        <v>0</v>
      </c>
      <c r="DA45">
        <f>AL45</f>
        <v>1</v>
      </c>
      <c r="DB45">
        <f t="shared" si="15"/>
        <v>0</v>
      </c>
      <c r="DC45">
        <f t="shared" si="16"/>
        <v>0</v>
      </c>
      <c r="DD45" t="s">
        <v>3</v>
      </c>
      <c r="DE45" t="s">
        <v>3</v>
      </c>
      <c r="DF45">
        <f t="shared" si="13"/>
        <v>0</v>
      </c>
      <c r="DG45">
        <f t="shared" si="12"/>
        <v>0</v>
      </c>
      <c r="DH45">
        <f t="shared" si="1"/>
        <v>0</v>
      </c>
      <c r="DI45">
        <f t="shared" si="2"/>
        <v>0</v>
      </c>
      <c r="DJ45">
        <f>DI45</f>
        <v>0</v>
      </c>
      <c r="DK45">
        <v>0</v>
      </c>
      <c r="DL45" t="s">
        <v>3</v>
      </c>
      <c r="DM45">
        <v>0</v>
      </c>
      <c r="DN45" t="s">
        <v>3</v>
      </c>
      <c r="DO45">
        <v>0</v>
      </c>
    </row>
    <row r="46" spans="1:119" x14ac:dyDescent="0.25">
      <c r="A46">
        <f>ROW(Source!A91)</f>
        <v>91</v>
      </c>
      <c r="B46">
        <v>75604747</v>
      </c>
      <c r="C46">
        <v>75605390</v>
      </c>
      <c r="D46">
        <v>74309824</v>
      </c>
      <c r="E46">
        <v>1</v>
      </c>
      <c r="F46">
        <v>1</v>
      </c>
      <c r="G46">
        <v>1</v>
      </c>
      <c r="H46">
        <v>2</v>
      </c>
      <c r="I46" t="s">
        <v>527</v>
      </c>
      <c r="J46" t="s">
        <v>528</v>
      </c>
      <c r="K46" t="s">
        <v>529</v>
      </c>
      <c r="L46">
        <v>1368</v>
      </c>
      <c r="N46">
        <v>1011</v>
      </c>
      <c r="O46" t="s">
        <v>509</v>
      </c>
      <c r="P46" t="s">
        <v>509</v>
      </c>
      <c r="Q46">
        <v>1</v>
      </c>
      <c r="W46">
        <v>0</v>
      </c>
      <c r="X46">
        <v>-312038840</v>
      </c>
      <c r="Y46">
        <f t="shared" si="14"/>
        <v>6.8999999999999999E-3</v>
      </c>
      <c r="AA46">
        <v>0</v>
      </c>
      <c r="AB46">
        <v>551.45000000000005</v>
      </c>
      <c r="AC46">
        <v>368.02</v>
      </c>
      <c r="AD46">
        <v>0</v>
      </c>
      <c r="AE46">
        <v>0</v>
      </c>
      <c r="AF46">
        <v>551.45000000000005</v>
      </c>
      <c r="AG46">
        <v>368.02</v>
      </c>
      <c r="AH46">
        <v>0</v>
      </c>
      <c r="AI46">
        <v>1</v>
      </c>
      <c r="AJ46">
        <v>1</v>
      </c>
      <c r="AK46">
        <v>1</v>
      </c>
      <c r="AL46">
        <v>1</v>
      </c>
      <c r="AM46">
        <v>-2</v>
      </c>
      <c r="AN46">
        <v>0</v>
      </c>
      <c r="AO46">
        <v>0</v>
      </c>
      <c r="AP46">
        <v>1</v>
      </c>
      <c r="AQ46">
        <v>1</v>
      </c>
      <c r="AR46">
        <v>0</v>
      </c>
      <c r="AS46" t="s">
        <v>3</v>
      </c>
      <c r="AT46">
        <v>0.01</v>
      </c>
      <c r="AU46" t="s">
        <v>179</v>
      </c>
      <c r="AV46">
        <v>1</v>
      </c>
      <c r="AW46">
        <v>2</v>
      </c>
      <c r="AX46">
        <v>75605408</v>
      </c>
      <c r="AY46">
        <v>1</v>
      </c>
      <c r="AZ46">
        <v>0</v>
      </c>
      <c r="BA46">
        <v>46</v>
      </c>
      <c r="BB46">
        <v>1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5.5145000000000008</v>
      </c>
      <c r="BL46">
        <v>3.6801999999999997</v>
      </c>
      <c r="BM46">
        <v>0</v>
      </c>
      <c r="BN46">
        <v>0</v>
      </c>
      <c r="BO46">
        <v>0.01</v>
      </c>
      <c r="BP46">
        <v>1</v>
      </c>
      <c r="BQ46">
        <v>0</v>
      </c>
      <c r="BR46">
        <v>3.8050050000000004</v>
      </c>
      <c r="BS46">
        <v>2.5393379999999999</v>
      </c>
      <c r="BT46">
        <v>0</v>
      </c>
      <c r="BU46">
        <v>0</v>
      </c>
      <c r="BV46">
        <v>6.8999999999999999E-3</v>
      </c>
      <c r="BW46">
        <v>1</v>
      </c>
      <c r="CV46">
        <v>0</v>
      </c>
      <c r="CW46">
        <f>ROUND(Y46*Source!I91*DO46,7)</f>
        <v>2.7599999999999999E-3</v>
      </c>
      <c r="CX46">
        <f>ROUND(Y46*Source!I91,7)</f>
        <v>2.7599999999999999E-3</v>
      </c>
      <c r="CY46">
        <f>AB46</f>
        <v>551.45000000000005</v>
      </c>
      <c r="CZ46">
        <f>AF46</f>
        <v>551.45000000000005</v>
      </c>
      <c r="DA46">
        <f>AJ46</f>
        <v>1</v>
      </c>
      <c r="DB46">
        <f t="shared" si="15"/>
        <v>3.8018999999999998</v>
      </c>
      <c r="DC46">
        <f t="shared" si="16"/>
        <v>2.5392000000000001</v>
      </c>
      <c r="DD46" t="s">
        <v>3</v>
      </c>
      <c r="DE46" t="s">
        <v>3</v>
      </c>
      <c r="DF46">
        <f t="shared" si="13"/>
        <v>0</v>
      </c>
      <c r="DG46">
        <f t="shared" si="12"/>
        <v>1.52</v>
      </c>
      <c r="DH46">
        <f t="shared" si="1"/>
        <v>1.02</v>
      </c>
      <c r="DI46">
        <f t="shared" si="2"/>
        <v>0</v>
      </c>
      <c r="DJ46">
        <f>DG46+DH46</f>
        <v>2.54</v>
      </c>
      <c r="DK46">
        <v>1</v>
      </c>
      <c r="DL46" t="s">
        <v>522</v>
      </c>
      <c r="DM46">
        <v>4</v>
      </c>
      <c r="DN46" t="s">
        <v>501</v>
      </c>
      <c r="DO46">
        <v>1</v>
      </c>
    </row>
    <row r="47" spans="1:119" x14ac:dyDescent="0.25">
      <c r="A47">
        <f>ROW(Source!A91)</f>
        <v>91</v>
      </c>
      <c r="B47">
        <v>75604747</v>
      </c>
      <c r="C47">
        <v>75605390</v>
      </c>
      <c r="D47">
        <v>74309978</v>
      </c>
      <c r="E47">
        <v>1</v>
      </c>
      <c r="F47">
        <v>1</v>
      </c>
      <c r="G47">
        <v>1</v>
      </c>
      <c r="H47">
        <v>2</v>
      </c>
      <c r="I47" t="s">
        <v>557</v>
      </c>
      <c r="J47" t="s">
        <v>558</v>
      </c>
      <c r="K47" t="s">
        <v>559</v>
      </c>
      <c r="L47">
        <v>1368</v>
      </c>
      <c r="N47">
        <v>1011</v>
      </c>
      <c r="O47" t="s">
        <v>509</v>
      </c>
      <c r="P47" t="s">
        <v>509</v>
      </c>
      <c r="Q47">
        <v>1</v>
      </c>
      <c r="W47">
        <v>0</v>
      </c>
      <c r="X47">
        <v>1246407639</v>
      </c>
      <c r="Y47">
        <f t="shared" si="14"/>
        <v>5.0784000000000002</v>
      </c>
      <c r="AA47">
        <v>0</v>
      </c>
      <c r="AB47">
        <v>1379.11</v>
      </c>
      <c r="AC47">
        <v>422.95</v>
      </c>
      <c r="AD47">
        <v>0</v>
      </c>
      <c r="AE47">
        <v>0</v>
      </c>
      <c r="AF47">
        <v>1069.08</v>
      </c>
      <c r="AG47">
        <v>422.95</v>
      </c>
      <c r="AH47">
        <v>0</v>
      </c>
      <c r="AI47">
        <v>1</v>
      </c>
      <c r="AJ47">
        <v>1.29</v>
      </c>
      <c r="AK47">
        <v>1</v>
      </c>
      <c r="AL47">
        <v>1</v>
      </c>
      <c r="AM47">
        <v>2</v>
      </c>
      <c r="AN47">
        <v>0</v>
      </c>
      <c r="AO47">
        <v>0</v>
      </c>
      <c r="AP47">
        <v>1</v>
      </c>
      <c r="AQ47">
        <v>1</v>
      </c>
      <c r="AR47">
        <v>0</v>
      </c>
      <c r="AS47" t="s">
        <v>3</v>
      </c>
      <c r="AT47">
        <v>7.36</v>
      </c>
      <c r="AU47" t="s">
        <v>179</v>
      </c>
      <c r="AV47">
        <v>1</v>
      </c>
      <c r="AW47">
        <v>2</v>
      </c>
      <c r="AX47">
        <v>75605409</v>
      </c>
      <c r="AY47">
        <v>1</v>
      </c>
      <c r="AZ47">
        <v>0</v>
      </c>
      <c r="BA47">
        <v>47</v>
      </c>
      <c r="BB47">
        <v>1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7868.4287999999997</v>
      </c>
      <c r="BL47">
        <v>3112.9120000000003</v>
      </c>
      <c r="BM47">
        <v>0</v>
      </c>
      <c r="BN47">
        <v>0</v>
      </c>
      <c r="BO47">
        <v>7.36</v>
      </c>
      <c r="BP47">
        <v>1</v>
      </c>
      <c r="BQ47">
        <v>0</v>
      </c>
      <c r="BR47">
        <v>5429.2158719999998</v>
      </c>
      <c r="BS47">
        <v>2147.9092799999999</v>
      </c>
      <c r="BT47">
        <v>0</v>
      </c>
      <c r="BU47">
        <v>0</v>
      </c>
      <c r="BV47">
        <v>5.0784000000000002</v>
      </c>
      <c r="BW47">
        <v>1</v>
      </c>
      <c r="CV47">
        <v>0</v>
      </c>
      <c r="CW47">
        <f>ROUND(Y47*Source!I91*DO47,7)</f>
        <v>2.0313599999999998</v>
      </c>
      <c r="CX47">
        <f>ROUND(Y47*Source!I91,7)</f>
        <v>2.0313599999999998</v>
      </c>
      <c r="CY47">
        <f>AB47</f>
        <v>1379.11</v>
      </c>
      <c r="CZ47">
        <f>AF47</f>
        <v>1069.08</v>
      </c>
      <c r="DA47">
        <f>AJ47</f>
        <v>1.29</v>
      </c>
      <c r="DB47">
        <f t="shared" si="15"/>
        <v>5429.2166999999999</v>
      </c>
      <c r="DC47">
        <f t="shared" si="16"/>
        <v>2147.9079000000002</v>
      </c>
      <c r="DD47" t="s">
        <v>3</v>
      </c>
      <c r="DE47" t="s">
        <v>3</v>
      </c>
      <c r="DF47">
        <f t="shared" si="13"/>
        <v>0</v>
      </c>
      <c r="DG47">
        <f>ROUND(ROUND(AF47*AJ47,2)*CX47,2)</f>
        <v>2801.47</v>
      </c>
      <c r="DH47">
        <f t="shared" si="1"/>
        <v>859.16</v>
      </c>
      <c r="DI47">
        <f t="shared" si="2"/>
        <v>0</v>
      </c>
      <c r="DJ47">
        <f>DG47+DH47</f>
        <v>3660.6299999999997</v>
      </c>
      <c r="DK47">
        <v>0</v>
      </c>
      <c r="DL47" t="s">
        <v>510</v>
      </c>
      <c r="DM47">
        <v>5</v>
      </c>
      <c r="DN47" t="s">
        <v>501</v>
      </c>
      <c r="DO47">
        <v>1</v>
      </c>
    </row>
    <row r="48" spans="1:119" x14ac:dyDescent="0.25">
      <c r="A48">
        <f>ROW(Source!A91)</f>
        <v>91</v>
      </c>
      <c r="B48">
        <v>75604747</v>
      </c>
      <c r="C48">
        <v>75605390</v>
      </c>
      <c r="D48">
        <v>74259041</v>
      </c>
      <c r="E48">
        <v>1</v>
      </c>
      <c r="F48">
        <v>1</v>
      </c>
      <c r="G48">
        <v>1</v>
      </c>
      <c r="H48">
        <v>3</v>
      </c>
      <c r="I48" t="s">
        <v>560</v>
      </c>
      <c r="J48" t="s">
        <v>561</v>
      </c>
      <c r="K48" t="s">
        <v>562</v>
      </c>
      <c r="L48">
        <v>1383</v>
      </c>
      <c r="N48">
        <v>1013</v>
      </c>
      <c r="O48" t="s">
        <v>563</v>
      </c>
      <c r="P48" t="s">
        <v>563</v>
      </c>
      <c r="Q48">
        <v>1</v>
      </c>
      <c r="W48">
        <v>0</v>
      </c>
      <c r="X48">
        <v>-182421198</v>
      </c>
      <c r="Y48">
        <f>(AT48*ROUND(0,7))</f>
        <v>0</v>
      </c>
      <c r="AA48">
        <v>9.0399999999999991</v>
      </c>
      <c r="AB48">
        <v>0</v>
      </c>
      <c r="AC48">
        <v>0</v>
      </c>
      <c r="AD48">
        <v>0</v>
      </c>
      <c r="AE48">
        <v>9.0399999999999991</v>
      </c>
      <c r="AF48">
        <v>0</v>
      </c>
      <c r="AG48">
        <v>0</v>
      </c>
      <c r="AH48">
        <v>0</v>
      </c>
      <c r="AI48">
        <v>1</v>
      </c>
      <c r="AJ48">
        <v>1</v>
      </c>
      <c r="AK48">
        <v>1</v>
      </c>
      <c r="AL48">
        <v>1</v>
      </c>
      <c r="AM48">
        <v>-2</v>
      </c>
      <c r="AN48">
        <v>0</v>
      </c>
      <c r="AO48">
        <v>0</v>
      </c>
      <c r="AP48">
        <v>1</v>
      </c>
      <c r="AQ48">
        <v>1</v>
      </c>
      <c r="AR48">
        <v>0</v>
      </c>
      <c r="AS48" t="s">
        <v>3</v>
      </c>
      <c r="AT48">
        <v>3.4319999999999999</v>
      </c>
      <c r="AU48" t="s">
        <v>178</v>
      </c>
      <c r="AV48">
        <v>0</v>
      </c>
      <c r="AW48">
        <v>2</v>
      </c>
      <c r="AX48">
        <v>75605410</v>
      </c>
      <c r="AY48">
        <v>1</v>
      </c>
      <c r="AZ48">
        <v>0</v>
      </c>
      <c r="BA48">
        <v>48</v>
      </c>
      <c r="BB48">
        <v>1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31.025279999999995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1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CV48">
        <v>0</v>
      </c>
      <c r="CW48">
        <v>0</v>
      </c>
      <c r="CX48">
        <f>ROUND(Y48*Source!I91,7)</f>
        <v>0</v>
      </c>
      <c r="CY48">
        <f>AA48</f>
        <v>9.0399999999999991</v>
      </c>
      <c r="CZ48">
        <f>AE48</f>
        <v>9.0399999999999991</v>
      </c>
      <c r="DA48">
        <f>AI48</f>
        <v>1</v>
      </c>
      <c r="DB48">
        <f>ROUND((ROUND(AT48*CZ48,2)*ROUND(0,7)),6)</f>
        <v>0</v>
      </c>
      <c r="DC48">
        <f>ROUND((ROUND(AT48*AG48,2)*ROUND(0,7)),6)</f>
        <v>0</v>
      </c>
      <c r="DD48" t="s">
        <v>3</v>
      </c>
      <c r="DE48" t="s">
        <v>3</v>
      </c>
      <c r="DF48">
        <f t="shared" si="13"/>
        <v>0</v>
      </c>
      <c r="DG48">
        <f t="shared" ref="DG48:DG57" si="17">ROUND(ROUND(AF48,2)*CX48,2)</f>
        <v>0</v>
      </c>
      <c r="DH48">
        <f t="shared" si="1"/>
        <v>0</v>
      </c>
      <c r="DI48">
        <f t="shared" si="2"/>
        <v>0</v>
      </c>
      <c r="DJ48">
        <f>DF48</f>
        <v>0</v>
      </c>
      <c r="DK48">
        <v>1</v>
      </c>
      <c r="DL48" t="s">
        <v>3</v>
      </c>
      <c r="DM48">
        <v>0</v>
      </c>
      <c r="DN48" t="s">
        <v>3</v>
      </c>
      <c r="DO48">
        <v>0</v>
      </c>
    </row>
    <row r="49" spans="1:119" x14ac:dyDescent="0.25">
      <c r="A49">
        <f>ROW(Source!A91)</f>
        <v>91</v>
      </c>
      <c r="B49">
        <v>75604747</v>
      </c>
      <c r="C49">
        <v>75605390</v>
      </c>
      <c r="D49">
        <v>74259724</v>
      </c>
      <c r="E49">
        <v>1</v>
      </c>
      <c r="F49">
        <v>1</v>
      </c>
      <c r="G49">
        <v>1</v>
      </c>
      <c r="H49">
        <v>3</v>
      </c>
      <c r="I49" t="s">
        <v>564</v>
      </c>
      <c r="J49" t="s">
        <v>565</v>
      </c>
      <c r="K49" t="s">
        <v>566</v>
      </c>
      <c r="L49">
        <v>1346</v>
      </c>
      <c r="N49">
        <v>1009</v>
      </c>
      <c r="O49" t="s">
        <v>240</v>
      </c>
      <c r="P49" t="s">
        <v>240</v>
      </c>
      <c r="Q49">
        <v>1</v>
      </c>
      <c r="W49">
        <v>0</v>
      </c>
      <c r="X49">
        <v>-1551431226</v>
      </c>
      <c r="Y49">
        <f>(AT49*ROUND(0,7))</f>
        <v>0</v>
      </c>
      <c r="AA49">
        <v>158.96</v>
      </c>
      <c r="AB49">
        <v>0</v>
      </c>
      <c r="AC49">
        <v>0</v>
      </c>
      <c r="AD49">
        <v>0</v>
      </c>
      <c r="AE49">
        <v>187.01</v>
      </c>
      <c r="AF49">
        <v>0</v>
      </c>
      <c r="AG49">
        <v>0</v>
      </c>
      <c r="AH49">
        <v>0</v>
      </c>
      <c r="AI49">
        <v>0.85</v>
      </c>
      <c r="AJ49">
        <v>1</v>
      </c>
      <c r="AK49">
        <v>1</v>
      </c>
      <c r="AL49">
        <v>1</v>
      </c>
      <c r="AM49">
        <v>2</v>
      </c>
      <c r="AN49">
        <v>0</v>
      </c>
      <c r="AO49">
        <v>0</v>
      </c>
      <c r="AP49">
        <v>1</v>
      </c>
      <c r="AQ49">
        <v>1</v>
      </c>
      <c r="AR49">
        <v>0</v>
      </c>
      <c r="AS49" t="s">
        <v>3</v>
      </c>
      <c r="AT49">
        <v>2.2000000000000002</v>
      </c>
      <c r="AU49" t="s">
        <v>178</v>
      </c>
      <c r="AV49">
        <v>0</v>
      </c>
      <c r="AW49">
        <v>2</v>
      </c>
      <c r="AX49">
        <v>75605411</v>
      </c>
      <c r="AY49">
        <v>1</v>
      </c>
      <c r="AZ49">
        <v>0</v>
      </c>
      <c r="BA49">
        <v>49</v>
      </c>
      <c r="BB49">
        <v>1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411.42200000000003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1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CV49">
        <v>0</v>
      </c>
      <c r="CW49">
        <v>0</v>
      </c>
      <c r="CX49">
        <f>ROUND(Y49*Source!I91,7)</f>
        <v>0</v>
      </c>
      <c r="CY49">
        <f>AA49</f>
        <v>158.96</v>
      </c>
      <c r="CZ49">
        <f>AE49</f>
        <v>187.01</v>
      </c>
      <c r="DA49">
        <f>AI49</f>
        <v>0.85</v>
      </c>
      <c r="DB49">
        <f>ROUND((ROUND(AT49*CZ49,2)*ROUND(0,7)),6)</f>
        <v>0</v>
      </c>
      <c r="DC49">
        <f>ROUND((ROUND(AT49*AG49,2)*ROUND(0,7)),6)</f>
        <v>0</v>
      </c>
      <c r="DD49" t="s">
        <v>3</v>
      </c>
      <c r="DE49" t="s">
        <v>3</v>
      </c>
      <c r="DF49">
        <f>ROUND(ROUND(AE49*AI49,2)*CX49,2)</f>
        <v>0</v>
      </c>
      <c r="DG49">
        <f t="shared" si="17"/>
        <v>0</v>
      </c>
      <c r="DH49">
        <f t="shared" si="1"/>
        <v>0</v>
      </c>
      <c r="DI49">
        <f t="shared" si="2"/>
        <v>0</v>
      </c>
      <c r="DJ49">
        <f>DF49</f>
        <v>0</v>
      </c>
      <c r="DK49">
        <v>0</v>
      </c>
      <c r="DL49" t="s">
        <v>3</v>
      </c>
      <c r="DM49">
        <v>0</v>
      </c>
      <c r="DN49" t="s">
        <v>3</v>
      </c>
      <c r="DO49">
        <v>0</v>
      </c>
    </row>
    <row r="50" spans="1:119" x14ac:dyDescent="0.25">
      <c r="A50">
        <f>ROW(Source!A91)</f>
        <v>91</v>
      </c>
      <c r="B50">
        <v>75604747</v>
      </c>
      <c r="C50">
        <v>75605390</v>
      </c>
      <c r="D50">
        <v>74261035</v>
      </c>
      <c r="E50">
        <v>1</v>
      </c>
      <c r="F50">
        <v>1</v>
      </c>
      <c r="G50">
        <v>1</v>
      </c>
      <c r="H50">
        <v>3</v>
      </c>
      <c r="I50" t="s">
        <v>567</v>
      </c>
      <c r="J50" t="s">
        <v>568</v>
      </c>
      <c r="K50" t="s">
        <v>569</v>
      </c>
      <c r="L50">
        <v>1371</v>
      </c>
      <c r="N50">
        <v>1013</v>
      </c>
      <c r="O50" t="s">
        <v>222</v>
      </c>
      <c r="P50" t="s">
        <v>222</v>
      </c>
      <c r="Q50">
        <v>1</v>
      </c>
      <c r="W50">
        <v>0</v>
      </c>
      <c r="X50">
        <v>-57438779</v>
      </c>
      <c r="Y50">
        <f>(AT50*ROUND(0,7))</f>
        <v>0</v>
      </c>
      <c r="AA50">
        <v>123.37</v>
      </c>
      <c r="AB50">
        <v>0</v>
      </c>
      <c r="AC50">
        <v>0</v>
      </c>
      <c r="AD50">
        <v>0</v>
      </c>
      <c r="AE50">
        <v>101.12</v>
      </c>
      <c r="AF50">
        <v>0</v>
      </c>
      <c r="AG50">
        <v>0</v>
      </c>
      <c r="AH50">
        <v>0</v>
      </c>
      <c r="AI50">
        <v>1.22</v>
      </c>
      <c r="AJ50">
        <v>1</v>
      </c>
      <c r="AK50">
        <v>1</v>
      </c>
      <c r="AL50">
        <v>1</v>
      </c>
      <c r="AM50">
        <v>2</v>
      </c>
      <c r="AN50">
        <v>0</v>
      </c>
      <c r="AO50">
        <v>0</v>
      </c>
      <c r="AP50">
        <v>1</v>
      </c>
      <c r="AQ50">
        <v>1</v>
      </c>
      <c r="AR50">
        <v>0</v>
      </c>
      <c r="AS50" t="s">
        <v>3</v>
      </c>
      <c r="AT50">
        <v>0.24</v>
      </c>
      <c r="AU50" t="s">
        <v>178</v>
      </c>
      <c r="AV50">
        <v>0</v>
      </c>
      <c r="AW50">
        <v>2</v>
      </c>
      <c r="AX50">
        <v>75605412</v>
      </c>
      <c r="AY50">
        <v>1</v>
      </c>
      <c r="AZ50">
        <v>0</v>
      </c>
      <c r="BA50">
        <v>50</v>
      </c>
      <c r="BB50">
        <v>1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24.268799999999999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1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CV50">
        <v>0</v>
      </c>
      <c r="CW50">
        <v>0</v>
      </c>
      <c r="CX50">
        <f>ROUND(Y50*Source!I91,7)</f>
        <v>0</v>
      </c>
      <c r="CY50">
        <f>AA50</f>
        <v>123.37</v>
      </c>
      <c r="CZ50">
        <f>AE50</f>
        <v>101.12</v>
      </c>
      <c r="DA50">
        <f>AI50</f>
        <v>1.22</v>
      </c>
      <c r="DB50">
        <f>ROUND((ROUND(AT50*CZ50,2)*ROUND(0,7)),6)</f>
        <v>0</v>
      </c>
      <c r="DC50">
        <f>ROUND((ROUND(AT50*AG50,2)*ROUND(0,7)),6)</f>
        <v>0</v>
      </c>
      <c r="DD50" t="s">
        <v>3</v>
      </c>
      <c r="DE50" t="s">
        <v>3</v>
      </c>
      <c r="DF50">
        <f>ROUND(ROUND(AE50*AI50,2)*CX50,2)</f>
        <v>0</v>
      </c>
      <c r="DG50">
        <f t="shared" si="17"/>
        <v>0</v>
      </c>
      <c r="DH50">
        <f t="shared" si="1"/>
        <v>0</v>
      </c>
      <c r="DI50">
        <f t="shared" si="2"/>
        <v>0</v>
      </c>
      <c r="DJ50">
        <f>DF50</f>
        <v>0</v>
      </c>
      <c r="DK50">
        <v>0</v>
      </c>
      <c r="DL50" t="s">
        <v>3</v>
      </c>
      <c r="DM50">
        <v>0</v>
      </c>
      <c r="DN50" t="s">
        <v>3</v>
      </c>
      <c r="DO50">
        <v>0</v>
      </c>
    </row>
    <row r="51" spans="1:119" x14ac:dyDescent="0.25">
      <c r="A51">
        <f>ROW(Source!A93)</f>
        <v>93</v>
      </c>
      <c r="B51">
        <v>75604747</v>
      </c>
      <c r="C51">
        <v>75605170</v>
      </c>
      <c r="D51">
        <v>74182250</v>
      </c>
      <c r="E51">
        <v>118</v>
      </c>
      <c r="F51">
        <v>1</v>
      </c>
      <c r="G51">
        <v>1</v>
      </c>
      <c r="H51">
        <v>1</v>
      </c>
      <c r="I51" t="s">
        <v>570</v>
      </c>
      <c r="J51" t="s">
        <v>3</v>
      </c>
      <c r="K51" t="s">
        <v>571</v>
      </c>
      <c r="L51">
        <v>1191</v>
      </c>
      <c r="N51">
        <v>1013</v>
      </c>
      <c r="O51" t="s">
        <v>501</v>
      </c>
      <c r="P51" t="s">
        <v>501</v>
      </c>
      <c r="Q51">
        <v>1</v>
      </c>
      <c r="W51">
        <v>0</v>
      </c>
      <c r="X51">
        <v>1682852000</v>
      </c>
      <c r="Y51">
        <f t="shared" ref="Y51:Y58" si="18">(AT51*ROUND((0.15+1),7))</f>
        <v>15.295</v>
      </c>
      <c r="AA51">
        <v>0</v>
      </c>
      <c r="AB51">
        <v>0</v>
      </c>
      <c r="AC51">
        <v>0</v>
      </c>
      <c r="AD51">
        <v>318.58</v>
      </c>
      <c r="AE51">
        <v>0</v>
      </c>
      <c r="AF51">
        <v>0</v>
      </c>
      <c r="AG51">
        <v>0</v>
      </c>
      <c r="AH51">
        <v>318.58</v>
      </c>
      <c r="AI51">
        <v>1</v>
      </c>
      <c r="AJ51">
        <v>1</v>
      </c>
      <c r="AK51">
        <v>1</v>
      </c>
      <c r="AL51">
        <v>1</v>
      </c>
      <c r="AM51">
        <v>-2</v>
      </c>
      <c r="AN51">
        <v>0</v>
      </c>
      <c r="AO51">
        <v>0</v>
      </c>
      <c r="AP51">
        <v>1</v>
      </c>
      <c r="AQ51">
        <v>1</v>
      </c>
      <c r="AR51">
        <v>0</v>
      </c>
      <c r="AS51" t="s">
        <v>3</v>
      </c>
      <c r="AT51">
        <v>13.3</v>
      </c>
      <c r="AU51" t="s">
        <v>27</v>
      </c>
      <c r="AV51">
        <v>1</v>
      </c>
      <c r="AW51">
        <v>2</v>
      </c>
      <c r="AX51">
        <v>75605172</v>
      </c>
      <c r="AY51">
        <v>1</v>
      </c>
      <c r="AZ51">
        <v>0</v>
      </c>
      <c r="BA51">
        <v>52</v>
      </c>
      <c r="BB51">
        <v>1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4237.1139999999996</v>
      </c>
      <c r="BN51">
        <v>13.3</v>
      </c>
      <c r="BO51">
        <v>0</v>
      </c>
      <c r="BP51">
        <v>1</v>
      </c>
      <c r="BQ51">
        <v>0</v>
      </c>
      <c r="BR51">
        <v>0</v>
      </c>
      <c r="BS51">
        <v>0</v>
      </c>
      <c r="BT51">
        <v>4872.6810999999998</v>
      </c>
      <c r="BU51">
        <v>15.295</v>
      </c>
      <c r="BV51">
        <v>0</v>
      </c>
      <c r="BW51">
        <v>1</v>
      </c>
      <c r="CU51">
        <f>ROUND(AT51*Source!I93*AH51*AL51,2)</f>
        <v>1525.36</v>
      </c>
      <c r="CV51">
        <f>ROUND(Y51*Source!I93,7)</f>
        <v>5.5061999999999998</v>
      </c>
      <c r="CW51">
        <v>0</v>
      </c>
      <c r="CX51">
        <f>ROUND(Y51*Source!I93,7)</f>
        <v>5.5061999999999998</v>
      </c>
      <c r="CY51">
        <f>AD51</f>
        <v>318.58</v>
      </c>
      <c r="CZ51">
        <f>AH51</f>
        <v>318.58</v>
      </c>
      <c r="DA51">
        <f>AL51</f>
        <v>1</v>
      </c>
      <c r="DB51">
        <f t="shared" ref="DB51:DB58" si="19">ROUND((ROUND(AT51*CZ51,2)*ROUND((0.15+1),7)),6)</f>
        <v>4872.6764999999996</v>
      </c>
      <c r="DC51">
        <f t="shared" ref="DC51:DC58" si="20">ROUND((ROUND(AT51*AG51,2)*ROUND((0.15+1),7)),6)</f>
        <v>0</v>
      </c>
      <c r="DD51" t="s">
        <v>3</v>
      </c>
      <c r="DE51" t="s">
        <v>3</v>
      </c>
      <c r="DF51">
        <f t="shared" ref="DF51:DF58" si="21">ROUND(ROUND(AE51,2)*CX51,2)</f>
        <v>0</v>
      </c>
      <c r="DG51">
        <f t="shared" si="17"/>
        <v>0</v>
      </c>
      <c r="DH51">
        <f t="shared" si="1"/>
        <v>0</v>
      </c>
      <c r="DI51">
        <f t="shared" si="2"/>
        <v>1754.17</v>
      </c>
      <c r="DJ51">
        <f>DI51</f>
        <v>1754.17</v>
      </c>
      <c r="DK51">
        <v>1</v>
      </c>
      <c r="DL51" t="s">
        <v>3</v>
      </c>
      <c r="DM51">
        <v>0</v>
      </c>
      <c r="DN51" t="s">
        <v>3</v>
      </c>
      <c r="DO51">
        <v>0</v>
      </c>
    </row>
    <row r="52" spans="1:119" x14ac:dyDescent="0.25">
      <c r="A52">
        <f>ROW(Source!A96)</f>
        <v>96</v>
      </c>
      <c r="B52">
        <v>75604747</v>
      </c>
      <c r="C52">
        <v>75605355</v>
      </c>
      <c r="D52">
        <v>37066811</v>
      </c>
      <c r="E52">
        <v>118</v>
      </c>
      <c r="F52">
        <v>1</v>
      </c>
      <c r="G52">
        <v>1</v>
      </c>
      <c r="H52">
        <v>1</v>
      </c>
      <c r="I52" t="s">
        <v>572</v>
      </c>
      <c r="J52" t="s">
        <v>3</v>
      </c>
      <c r="K52" t="s">
        <v>573</v>
      </c>
      <c r="L52">
        <v>1191</v>
      </c>
      <c r="N52">
        <v>1013</v>
      </c>
      <c r="O52" t="s">
        <v>501</v>
      </c>
      <c r="P52" t="s">
        <v>501</v>
      </c>
      <c r="Q52">
        <v>1</v>
      </c>
      <c r="W52">
        <v>0</v>
      </c>
      <c r="X52">
        <v>129111666</v>
      </c>
      <c r="Y52">
        <f t="shared" si="18"/>
        <v>4.968</v>
      </c>
      <c r="AA52">
        <v>0</v>
      </c>
      <c r="AB52">
        <v>0</v>
      </c>
      <c r="AC52">
        <v>0</v>
      </c>
      <c r="AD52">
        <v>296.89</v>
      </c>
      <c r="AE52">
        <v>0</v>
      </c>
      <c r="AF52">
        <v>0</v>
      </c>
      <c r="AG52">
        <v>0</v>
      </c>
      <c r="AH52">
        <v>296.89</v>
      </c>
      <c r="AI52">
        <v>1</v>
      </c>
      <c r="AJ52">
        <v>1</v>
      </c>
      <c r="AK52">
        <v>1</v>
      </c>
      <c r="AL52">
        <v>1</v>
      </c>
      <c r="AM52">
        <v>-2</v>
      </c>
      <c r="AN52">
        <v>0</v>
      </c>
      <c r="AO52">
        <v>0</v>
      </c>
      <c r="AP52">
        <v>1</v>
      </c>
      <c r="AQ52">
        <v>1</v>
      </c>
      <c r="AR52">
        <v>0</v>
      </c>
      <c r="AS52" t="s">
        <v>3</v>
      </c>
      <c r="AT52">
        <v>4.32</v>
      </c>
      <c r="AU52" t="s">
        <v>27</v>
      </c>
      <c r="AV52">
        <v>1</v>
      </c>
      <c r="AW52">
        <v>2</v>
      </c>
      <c r="AX52">
        <v>75605357</v>
      </c>
      <c r="AY52">
        <v>1</v>
      </c>
      <c r="AZ52">
        <v>0</v>
      </c>
      <c r="BA52">
        <v>53</v>
      </c>
      <c r="BB52">
        <v>1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1282.5648000000001</v>
      </c>
      <c r="BN52">
        <v>4.32</v>
      </c>
      <c r="BO52">
        <v>0</v>
      </c>
      <c r="BP52">
        <v>1</v>
      </c>
      <c r="BQ52">
        <v>0</v>
      </c>
      <c r="BR52">
        <v>0</v>
      </c>
      <c r="BS52">
        <v>0</v>
      </c>
      <c r="BT52">
        <v>1474.9495199999999</v>
      </c>
      <c r="BU52">
        <v>4.968</v>
      </c>
      <c r="BV52">
        <v>0</v>
      </c>
      <c r="BW52">
        <v>1</v>
      </c>
      <c r="CU52">
        <f>ROUND(AT52*Source!I96*AH52*AL52,2)</f>
        <v>6156.31</v>
      </c>
      <c r="CV52">
        <f>ROUND(Y52*Source!I96,7)</f>
        <v>23.846399999999999</v>
      </c>
      <c r="CW52">
        <v>0</v>
      </c>
      <c r="CX52">
        <f>ROUND(Y52*Source!I96,7)</f>
        <v>23.846399999999999</v>
      </c>
      <c r="CY52">
        <f>AD52</f>
        <v>296.89</v>
      </c>
      <c r="CZ52">
        <f>AH52</f>
        <v>296.89</v>
      </c>
      <c r="DA52">
        <f>AL52</f>
        <v>1</v>
      </c>
      <c r="DB52">
        <f t="shared" si="19"/>
        <v>1474.944</v>
      </c>
      <c r="DC52">
        <f t="shared" si="20"/>
        <v>0</v>
      </c>
      <c r="DD52" t="s">
        <v>3</v>
      </c>
      <c r="DE52" t="s">
        <v>3</v>
      </c>
      <c r="DF52">
        <f t="shared" si="21"/>
        <v>0</v>
      </c>
      <c r="DG52">
        <f t="shared" si="17"/>
        <v>0</v>
      </c>
      <c r="DH52">
        <f t="shared" si="1"/>
        <v>0</v>
      </c>
      <c r="DI52">
        <f t="shared" si="2"/>
        <v>7079.76</v>
      </c>
      <c r="DJ52">
        <f>DI52</f>
        <v>7079.76</v>
      </c>
      <c r="DK52">
        <v>1</v>
      </c>
      <c r="DL52" t="s">
        <v>3</v>
      </c>
      <c r="DM52">
        <v>0</v>
      </c>
      <c r="DN52" t="s">
        <v>3</v>
      </c>
      <c r="DO52">
        <v>0</v>
      </c>
    </row>
    <row r="53" spans="1:119" x14ac:dyDescent="0.25">
      <c r="A53">
        <f>ROW(Source!A97)</f>
        <v>97</v>
      </c>
      <c r="B53">
        <v>75604747</v>
      </c>
      <c r="C53">
        <v>75605358</v>
      </c>
      <c r="D53">
        <v>37071503</v>
      </c>
      <c r="E53">
        <v>118</v>
      </c>
      <c r="F53">
        <v>1</v>
      </c>
      <c r="G53">
        <v>1</v>
      </c>
      <c r="H53">
        <v>1</v>
      </c>
      <c r="I53" t="s">
        <v>502</v>
      </c>
      <c r="J53" t="s">
        <v>3</v>
      </c>
      <c r="K53" t="s">
        <v>503</v>
      </c>
      <c r="L53">
        <v>1191</v>
      </c>
      <c r="N53">
        <v>1013</v>
      </c>
      <c r="O53" t="s">
        <v>501</v>
      </c>
      <c r="P53" t="s">
        <v>501</v>
      </c>
      <c r="Q53">
        <v>1</v>
      </c>
      <c r="W53">
        <v>0</v>
      </c>
      <c r="X53">
        <v>-267883188</v>
      </c>
      <c r="Y53">
        <f t="shared" si="18"/>
        <v>61.594000000000001</v>
      </c>
      <c r="AA53">
        <v>0</v>
      </c>
      <c r="AB53">
        <v>0</v>
      </c>
      <c r="AC53">
        <v>0</v>
      </c>
      <c r="AD53">
        <v>287</v>
      </c>
      <c r="AE53">
        <v>0</v>
      </c>
      <c r="AF53">
        <v>0</v>
      </c>
      <c r="AG53">
        <v>0</v>
      </c>
      <c r="AH53">
        <v>287</v>
      </c>
      <c r="AI53">
        <v>1</v>
      </c>
      <c r="AJ53">
        <v>1</v>
      </c>
      <c r="AK53">
        <v>1</v>
      </c>
      <c r="AL53">
        <v>1</v>
      </c>
      <c r="AM53">
        <v>-2</v>
      </c>
      <c r="AN53">
        <v>0</v>
      </c>
      <c r="AO53">
        <v>0</v>
      </c>
      <c r="AP53">
        <v>1</v>
      </c>
      <c r="AQ53">
        <v>1</v>
      </c>
      <c r="AR53">
        <v>0</v>
      </c>
      <c r="AS53" t="s">
        <v>3</v>
      </c>
      <c r="AT53">
        <v>53.56</v>
      </c>
      <c r="AU53" t="s">
        <v>27</v>
      </c>
      <c r="AV53">
        <v>1</v>
      </c>
      <c r="AW53">
        <v>2</v>
      </c>
      <c r="AX53">
        <v>75605360</v>
      </c>
      <c r="AY53">
        <v>1</v>
      </c>
      <c r="AZ53">
        <v>0</v>
      </c>
      <c r="BA53">
        <v>54</v>
      </c>
      <c r="BB53">
        <v>1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15371.720000000001</v>
      </c>
      <c r="BN53">
        <v>53.56</v>
      </c>
      <c r="BO53">
        <v>0</v>
      </c>
      <c r="BP53">
        <v>1</v>
      </c>
      <c r="BQ53">
        <v>0</v>
      </c>
      <c r="BR53">
        <v>0</v>
      </c>
      <c r="BS53">
        <v>0</v>
      </c>
      <c r="BT53">
        <v>17677.477999999999</v>
      </c>
      <c r="BU53">
        <v>61.594000000000001</v>
      </c>
      <c r="BV53">
        <v>0</v>
      </c>
      <c r="BW53">
        <v>1</v>
      </c>
      <c r="CU53">
        <f>ROUND(AT53*Source!I97*AH53*AL53,2)</f>
        <v>737.84</v>
      </c>
      <c r="CV53">
        <f>ROUND(Y53*Source!I97,7)</f>
        <v>2.956512</v>
      </c>
      <c r="CW53">
        <v>0</v>
      </c>
      <c r="CX53">
        <f>ROUND(Y53*Source!I97,7)</f>
        <v>2.956512</v>
      </c>
      <c r="CY53">
        <f>AD53</f>
        <v>287</v>
      </c>
      <c r="CZ53">
        <f>AH53</f>
        <v>287</v>
      </c>
      <c r="DA53">
        <f>AL53</f>
        <v>1</v>
      </c>
      <c r="DB53">
        <f t="shared" si="19"/>
        <v>17677.477999999999</v>
      </c>
      <c r="DC53">
        <f t="shared" si="20"/>
        <v>0</v>
      </c>
      <c r="DD53" t="s">
        <v>3</v>
      </c>
      <c r="DE53" t="s">
        <v>3</v>
      </c>
      <c r="DF53">
        <f t="shared" si="21"/>
        <v>0</v>
      </c>
      <c r="DG53">
        <f t="shared" si="17"/>
        <v>0</v>
      </c>
      <c r="DH53">
        <f t="shared" si="1"/>
        <v>0</v>
      </c>
      <c r="DI53">
        <f t="shared" si="2"/>
        <v>848.52</v>
      </c>
      <c r="DJ53">
        <f>DI53</f>
        <v>848.52</v>
      </c>
      <c r="DK53">
        <v>1</v>
      </c>
      <c r="DL53" t="s">
        <v>3</v>
      </c>
      <c r="DM53">
        <v>0</v>
      </c>
      <c r="DN53" t="s">
        <v>3</v>
      </c>
      <c r="DO53">
        <v>0</v>
      </c>
    </row>
    <row r="54" spans="1:119" x14ac:dyDescent="0.25">
      <c r="A54">
        <f>ROW(Source!A100)</f>
        <v>100</v>
      </c>
      <c r="B54">
        <v>75604747</v>
      </c>
      <c r="C54">
        <v>75605178</v>
      </c>
      <c r="D54">
        <v>74182263</v>
      </c>
      <c r="E54">
        <v>118</v>
      </c>
      <c r="F54">
        <v>1</v>
      </c>
      <c r="G54">
        <v>1</v>
      </c>
      <c r="H54">
        <v>1</v>
      </c>
      <c r="I54" t="s">
        <v>514</v>
      </c>
      <c r="J54" t="s">
        <v>3</v>
      </c>
      <c r="K54" t="s">
        <v>515</v>
      </c>
      <c r="L54">
        <v>1191</v>
      </c>
      <c r="N54">
        <v>1013</v>
      </c>
      <c r="O54" t="s">
        <v>501</v>
      </c>
      <c r="P54" t="s">
        <v>501</v>
      </c>
      <c r="Q54">
        <v>1</v>
      </c>
      <c r="W54">
        <v>0</v>
      </c>
      <c r="X54">
        <v>-1833565283</v>
      </c>
      <c r="Y54">
        <f t="shared" si="18"/>
        <v>25.759999999999998</v>
      </c>
      <c r="AA54">
        <v>0</v>
      </c>
      <c r="AB54">
        <v>0</v>
      </c>
      <c r="AC54">
        <v>0</v>
      </c>
      <c r="AD54">
        <v>326.82</v>
      </c>
      <c r="AE54">
        <v>0</v>
      </c>
      <c r="AF54">
        <v>0</v>
      </c>
      <c r="AG54">
        <v>0</v>
      </c>
      <c r="AH54">
        <v>326.82</v>
      </c>
      <c r="AI54">
        <v>1</v>
      </c>
      <c r="AJ54">
        <v>1</v>
      </c>
      <c r="AK54">
        <v>1</v>
      </c>
      <c r="AL54">
        <v>1</v>
      </c>
      <c r="AM54">
        <v>-2</v>
      </c>
      <c r="AN54">
        <v>0</v>
      </c>
      <c r="AO54">
        <v>0</v>
      </c>
      <c r="AP54">
        <v>1</v>
      </c>
      <c r="AQ54">
        <v>1</v>
      </c>
      <c r="AR54">
        <v>0</v>
      </c>
      <c r="AS54" t="s">
        <v>3</v>
      </c>
      <c r="AT54">
        <v>22.4</v>
      </c>
      <c r="AU54" t="s">
        <v>27</v>
      </c>
      <c r="AV54">
        <v>1</v>
      </c>
      <c r="AW54">
        <v>2</v>
      </c>
      <c r="AX54">
        <v>75605186</v>
      </c>
      <c r="AY54">
        <v>1</v>
      </c>
      <c r="AZ54">
        <v>0</v>
      </c>
      <c r="BA54">
        <v>55</v>
      </c>
      <c r="BB54">
        <v>1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7320.7679999999991</v>
      </c>
      <c r="BN54">
        <v>22.4</v>
      </c>
      <c r="BO54">
        <v>0</v>
      </c>
      <c r="BP54">
        <v>1</v>
      </c>
      <c r="BQ54">
        <v>0</v>
      </c>
      <c r="BR54">
        <v>0</v>
      </c>
      <c r="BS54">
        <v>0</v>
      </c>
      <c r="BT54">
        <v>8418.8831999999984</v>
      </c>
      <c r="BU54">
        <v>25.759999999999998</v>
      </c>
      <c r="BV54">
        <v>0</v>
      </c>
      <c r="BW54">
        <v>1</v>
      </c>
      <c r="CU54">
        <f>ROUND(AT54*Source!I100*AH54*AL54,2)</f>
        <v>1098.1199999999999</v>
      </c>
      <c r="CV54">
        <f>ROUND(Y54*Source!I100,7)</f>
        <v>3.8639999999999999</v>
      </c>
      <c r="CW54">
        <v>0</v>
      </c>
      <c r="CX54">
        <f>ROUND(Y54*Source!I100,7)</f>
        <v>3.8639999999999999</v>
      </c>
      <c r="CY54">
        <f>AD54</f>
        <v>326.82</v>
      </c>
      <c r="CZ54">
        <f>AH54</f>
        <v>326.82</v>
      </c>
      <c r="DA54">
        <f>AL54</f>
        <v>1</v>
      </c>
      <c r="DB54">
        <f t="shared" si="19"/>
        <v>8418.8855000000003</v>
      </c>
      <c r="DC54">
        <f t="shared" si="20"/>
        <v>0</v>
      </c>
      <c r="DD54" t="s">
        <v>3</v>
      </c>
      <c r="DE54" t="s">
        <v>3</v>
      </c>
      <c r="DF54">
        <f t="shared" si="21"/>
        <v>0</v>
      </c>
      <c r="DG54">
        <f t="shared" si="17"/>
        <v>0</v>
      </c>
      <c r="DH54">
        <f t="shared" si="1"/>
        <v>0</v>
      </c>
      <c r="DI54">
        <f t="shared" si="2"/>
        <v>1262.83</v>
      </c>
      <c r="DJ54">
        <f>DI54</f>
        <v>1262.83</v>
      </c>
      <c r="DK54">
        <v>1</v>
      </c>
      <c r="DL54" t="s">
        <v>3</v>
      </c>
      <c r="DM54">
        <v>0</v>
      </c>
      <c r="DN54" t="s">
        <v>3</v>
      </c>
      <c r="DO54">
        <v>0</v>
      </c>
    </row>
    <row r="55" spans="1:119" x14ac:dyDescent="0.25">
      <c r="A55">
        <f>ROW(Source!A100)</f>
        <v>100</v>
      </c>
      <c r="B55">
        <v>75604747</v>
      </c>
      <c r="C55">
        <v>75605178</v>
      </c>
      <c r="D55">
        <v>74182464</v>
      </c>
      <c r="E55">
        <v>118</v>
      </c>
      <c r="F55">
        <v>1</v>
      </c>
      <c r="G55">
        <v>1</v>
      </c>
      <c r="H55">
        <v>1</v>
      </c>
      <c r="I55" t="s">
        <v>504</v>
      </c>
      <c r="J55" t="s">
        <v>3</v>
      </c>
      <c r="K55" t="s">
        <v>505</v>
      </c>
      <c r="L55">
        <v>1191</v>
      </c>
      <c r="N55">
        <v>1013</v>
      </c>
      <c r="O55" t="s">
        <v>501</v>
      </c>
      <c r="P55" t="s">
        <v>501</v>
      </c>
      <c r="Q55">
        <v>1</v>
      </c>
      <c r="W55">
        <v>0</v>
      </c>
      <c r="X55">
        <v>-1417349443</v>
      </c>
      <c r="Y55">
        <f t="shared" si="18"/>
        <v>2.1505000000000001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1</v>
      </c>
      <c r="AJ55">
        <v>1</v>
      </c>
      <c r="AK55">
        <v>1</v>
      </c>
      <c r="AL55">
        <v>1</v>
      </c>
      <c r="AM55">
        <v>-2</v>
      </c>
      <c r="AN55">
        <v>0</v>
      </c>
      <c r="AO55">
        <v>0</v>
      </c>
      <c r="AP55">
        <v>1</v>
      </c>
      <c r="AQ55">
        <v>1</v>
      </c>
      <c r="AR55">
        <v>0</v>
      </c>
      <c r="AS55" t="s">
        <v>3</v>
      </c>
      <c r="AT55">
        <v>1.87</v>
      </c>
      <c r="AU55" t="s">
        <v>27</v>
      </c>
      <c r="AV55">
        <v>2</v>
      </c>
      <c r="AW55">
        <v>2</v>
      </c>
      <c r="AX55">
        <v>75605187</v>
      </c>
      <c r="AY55">
        <v>1</v>
      </c>
      <c r="AZ55">
        <v>0</v>
      </c>
      <c r="BA55">
        <v>56</v>
      </c>
      <c r="BB55">
        <v>1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CV55">
        <v>0</v>
      </c>
      <c r="CW55">
        <v>0</v>
      </c>
      <c r="CX55">
        <f>ROUND(Y55*Source!I100,7)</f>
        <v>0.322575</v>
      </c>
      <c r="CY55">
        <f>AD55</f>
        <v>0</v>
      </c>
      <c r="CZ55">
        <f>AH55</f>
        <v>0</v>
      </c>
      <c r="DA55">
        <f>AL55</f>
        <v>1</v>
      </c>
      <c r="DB55">
        <f t="shared" si="19"/>
        <v>0</v>
      </c>
      <c r="DC55">
        <f t="shared" si="20"/>
        <v>0</v>
      </c>
      <c r="DD55" t="s">
        <v>3</v>
      </c>
      <c r="DE55" t="s">
        <v>3</v>
      </c>
      <c r="DF55">
        <f t="shared" si="21"/>
        <v>0</v>
      </c>
      <c r="DG55">
        <f t="shared" si="17"/>
        <v>0</v>
      </c>
      <c r="DH55">
        <f t="shared" si="1"/>
        <v>0</v>
      </c>
      <c r="DI55">
        <f t="shared" si="2"/>
        <v>0</v>
      </c>
      <c r="DJ55">
        <f>DI55</f>
        <v>0</v>
      </c>
      <c r="DK55">
        <v>0</v>
      </c>
      <c r="DL55" t="s">
        <v>3</v>
      </c>
      <c r="DM55">
        <v>0</v>
      </c>
      <c r="DN55" t="s">
        <v>3</v>
      </c>
      <c r="DO55">
        <v>0</v>
      </c>
    </row>
    <row r="56" spans="1:119" x14ac:dyDescent="0.25">
      <c r="A56">
        <f>ROW(Source!A100)</f>
        <v>100</v>
      </c>
      <c r="B56">
        <v>75604747</v>
      </c>
      <c r="C56">
        <v>75605178</v>
      </c>
      <c r="D56">
        <v>74308922</v>
      </c>
      <c r="E56">
        <v>1</v>
      </c>
      <c r="F56">
        <v>1</v>
      </c>
      <c r="G56">
        <v>1</v>
      </c>
      <c r="H56">
        <v>2</v>
      </c>
      <c r="I56" t="s">
        <v>574</v>
      </c>
      <c r="J56" t="s">
        <v>575</v>
      </c>
      <c r="K56" t="s">
        <v>576</v>
      </c>
      <c r="L56">
        <v>1368</v>
      </c>
      <c r="N56">
        <v>1011</v>
      </c>
      <c r="O56" t="s">
        <v>509</v>
      </c>
      <c r="P56" t="s">
        <v>509</v>
      </c>
      <c r="Q56">
        <v>1</v>
      </c>
      <c r="W56">
        <v>0</v>
      </c>
      <c r="X56">
        <v>-1068589559</v>
      </c>
      <c r="Y56">
        <f t="shared" si="18"/>
        <v>1.9204999999999999</v>
      </c>
      <c r="AA56">
        <v>0</v>
      </c>
      <c r="AB56">
        <v>1598.95</v>
      </c>
      <c r="AC56">
        <v>494.35</v>
      </c>
      <c r="AD56">
        <v>0</v>
      </c>
      <c r="AE56">
        <v>0</v>
      </c>
      <c r="AF56">
        <v>1598.95</v>
      </c>
      <c r="AG56">
        <v>494.35</v>
      </c>
      <c r="AH56">
        <v>0</v>
      </c>
      <c r="AI56">
        <v>1</v>
      </c>
      <c r="AJ56">
        <v>1</v>
      </c>
      <c r="AK56">
        <v>1</v>
      </c>
      <c r="AL56">
        <v>1</v>
      </c>
      <c r="AM56">
        <v>-2</v>
      </c>
      <c r="AN56">
        <v>0</v>
      </c>
      <c r="AO56">
        <v>0</v>
      </c>
      <c r="AP56">
        <v>1</v>
      </c>
      <c r="AQ56">
        <v>1</v>
      </c>
      <c r="AR56">
        <v>0</v>
      </c>
      <c r="AS56" t="s">
        <v>3</v>
      </c>
      <c r="AT56">
        <v>1.67</v>
      </c>
      <c r="AU56" t="s">
        <v>27</v>
      </c>
      <c r="AV56">
        <v>1</v>
      </c>
      <c r="AW56">
        <v>2</v>
      </c>
      <c r="AX56">
        <v>75605188</v>
      </c>
      <c r="AY56">
        <v>1</v>
      </c>
      <c r="AZ56">
        <v>0</v>
      </c>
      <c r="BA56">
        <v>57</v>
      </c>
      <c r="BB56">
        <v>1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2670.2464999999997</v>
      </c>
      <c r="BL56">
        <v>825.56449999999995</v>
      </c>
      <c r="BM56">
        <v>0</v>
      </c>
      <c r="BN56">
        <v>0</v>
      </c>
      <c r="BO56">
        <v>1.67</v>
      </c>
      <c r="BP56">
        <v>1</v>
      </c>
      <c r="BQ56">
        <v>0</v>
      </c>
      <c r="BR56">
        <v>3070.7834749999997</v>
      </c>
      <c r="BS56">
        <v>949.39917500000001</v>
      </c>
      <c r="BT56">
        <v>0</v>
      </c>
      <c r="BU56">
        <v>0</v>
      </c>
      <c r="BV56">
        <v>1.9204999999999999</v>
      </c>
      <c r="BW56">
        <v>1</v>
      </c>
      <c r="CV56">
        <v>0</v>
      </c>
      <c r="CW56">
        <f>ROUND(Y56*Source!I100*DO56,7)</f>
        <v>0.28807500000000003</v>
      </c>
      <c r="CX56">
        <f>ROUND(Y56*Source!I100,7)</f>
        <v>0.28807500000000003</v>
      </c>
      <c r="CY56">
        <f>AB56</f>
        <v>1598.95</v>
      </c>
      <c r="CZ56">
        <f>AF56</f>
        <v>1598.95</v>
      </c>
      <c r="DA56">
        <f>AJ56</f>
        <v>1</v>
      </c>
      <c r="DB56">
        <f t="shared" si="19"/>
        <v>3070.7874999999999</v>
      </c>
      <c r="DC56">
        <f t="shared" si="20"/>
        <v>949.39400000000001</v>
      </c>
      <c r="DD56" t="s">
        <v>3</v>
      </c>
      <c r="DE56" t="s">
        <v>3</v>
      </c>
      <c r="DF56">
        <f t="shared" si="21"/>
        <v>0</v>
      </c>
      <c r="DG56">
        <f t="shared" si="17"/>
        <v>460.62</v>
      </c>
      <c r="DH56">
        <f t="shared" si="1"/>
        <v>142.41</v>
      </c>
      <c r="DI56">
        <f t="shared" si="2"/>
        <v>0</v>
      </c>
      <c r="DJ56">
        <f>DG56+DH56</f>
        <v>603.03</v>
      </c>
      <c r="DK56">
        <v>1</v>
      </c>
      <c r="DL56" t="s">
        <v>577</v>
      </c>
      <c r="DM56">
        <v>6</v>
      </c>
      <c r="DN56" t="s">
        <v>501</v>
      </c>
      <c r="DO56">
        <v>1</v>
      </c>
    </row>
    <row r="57" spans="1:119" x14ac:dyDescent="0.25">
      <c r="A57">
        <f>ROW(Source!A100)</f>
        <v>100</v>
      </c>
      <c r="B57">
        <v>75604747</v>
      </c>
      <c r="C57">
        <v>75605178</v>
      </c>
      <c r="D57">
        <v>74309824</v>
      </c>
      <c r="E57">
        <v>1</v>
      </c>
      <c r="F57">
        <v>1</v>
      </c>
      <c r="G57">
        <v>1</v>
      </c>
      <c r="H57">
        <v>2</v>
      </c>
      <c r="I57" t="s">
        <v>527</v>
      </c>
      <c r="J57" t="s">
        <v>528</v>
      </c>
      <c r="K57" t="s">
        <v>529</v>
      </c>
      <c r="L57">
        <v>1368</v>
      </c>
      <c r="N57">
        <v>1011</v>
      </c>
      <c r="O57" t="s">
        <v>509</v>
      </c>
      <c r="P57" t="s">
        <v>509</v>
      </c>
      <c r="Q57">
        <v>1</v>
      </c>
      <c r="W57">
        <v>0</v>
      </c>
      <c r="X57">
        <v>-312038840</v>
      </c>
      <c r="Y57">
        <f t="shared" si="18"/>
        <v>0.22999999999999998</v>
      </c>
      <c r="AA57">
        <v>0</v>
      </c>
      <c r="AB57">
        <v>551.45000000000005</v>
      </c>
      <c r="AC57">
        <v>368.02</v>
      </c>
      <c r="AD57">
        <v>0</v>
      </c>
      <c r="AE57">
        <v>0</v>
      </c>
      <c r="AF57">
        <v>551.45000000000005</v>
      </c>
      <c r="AG57">
        <v>368.02</v>
      </c>
      <c r="AH57">
        <v>0</v>
      </c>
      <c r="AI57">
        <v>1</v>
      </c>
      <c r="AJ57">
        <v>1</v>
      </c>
      <c r="AK57">
        <v>1</v>
      </c>
      <c r="AL57">
        <v>1</v>
      </c>
      <c r="AM57">
        <v>-2</v>
      </c>
      <c r="AN57">
        <v>0</v>
      </c>
      <c r="AO57">
        <v>0</v>
      </c>
      <c r="AP57">
        <v>1</v>
      </c>
      <c r="AQ57">
        <v>1</v>
      </c>
      <c r="AR57">
        <v>0</v>
      </c>
      <c r="AS57" t="s">
        <v>3</v>
      </c>
      <c r="AT57">
        <v>0.2</v>
      </c>
      <c r="AU57" t="s">
        <v>27</v>
      </c>
      <c r="AV57">
        <v>1</v>
      </c>
      <c r="AW57">
        <v>2</v>
      </c>
      <c r="AX57">
        <v>75605189</v>
      </c>
      <c r="AY57">
        <v>1</v>
      </c>
      <c r="AZ57">
        <v>0</v>
      </c>
      <c r="BA57">
        <v>58</v>
      </c>
      <c r="BB57">
        <v>1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110.29000000000002</v>
      </c>
      <c r="BL57">
        <v>73.603999999999999</v>
      </c>
      <c r="BM57">
        <v>0</v>
      </c>
      <c r="BN57">
        <v>0</v>
      </c>
      <c r="BO57">
        <v>0.2</v>
      </c>
      <c r="BP57">
        <v>1</v>
      </c>
      <c r="BQ57">
        <v>0</v>
      </c>
      <c r="BR57">
        <v>126.8335</v>
      </c>
      <c r="BS57">
        <v>84.644599999999983</v>
      </c>
      <c r="BT57">
        <v>0</v>
      </c>
      <c r="BU57">
        <v>0</v>
      </c>
      <c r="BV57">
        <v>0.22999999999999998</v>
      </c>
      <c r="BW57">
        <v>1</v>
      </c>
      <c r="CV57">
        <v>0</v>
      </c>
      <c r="CW57">
        <f>ROUND(Y57*Source!I100*DO57,7)</f>
        <v>3.4500000000000003E-2</v>
      </c>
      <c r="CX57">
        <f>ROUND(Y57*Source!I100,7)</f>
        <v>3.4500000000000003E-2</v>
      </c>
      <c r="CY57">
        <f>AB57</f>
        <v>551.45000000000005</v>
      </c>
      <c r="CZ57">
        <f>AF57</f>
        <v>551.45000000000005</v>
      </c>
      <c r="DA57">
        <f>AJ57</f>
        <v>1</v>
      </c>
      <c r="DB57">
        <f t="shared" si="19"/>
        <v>126.8335</v>
      </c>
      <c r="DC57">
        <f t="shared" si="20"/>
        <v>84.64</v>
      </c>
      <c r="DD57" t="s">
        <v>3</v>
      </c>
      <c r="DE57" t="s">
        <v>3</v>
      </c>
      <c r="DF57">
        <f t="shared" si="21"/>
        <v>0</v>
      </c>
      <c r="DG57">
        <f t="shared" si="17"/>
        <v>19.03</v>
      </c>
      <c r="DH57">
        <f t="shared" si="1"/>
        <v>12.7</v>
      </c>
      <c r="DI57">
        <f t="shared" si="2"/>
        <v>0</v>
      </c>
      <c r="DJ57">
        <f>DG57+DH57</f>
        <v>31.73</v>
      </c>
      <c r="DK57">
        <v>1</v>
      </c>
      <c r="DL57" t="s">
        <v>522</v>
      </c>
      <c r="DM57">
        <v>4</v>
      </c>
      <c r="DN57" t="s">
        <v>501</v>
      </c>
      <c r="DO57">
        <v>1</v>
      </c>
    </row>
    <row r="58" spans="1:119" x14ac:dyDescent="0.25">
      <c r="A58">
        <f>ROW(Source!A100)</f>
        <v>100</v>
      </c>
      <c r="B58">
        <v>75604747</v>
      </c>
      <c r="C58">
        <v>75605178</v>
      </c>
      <c r="D58">
        <v>74309983</v>
      </c>
      <c r="E58">
        <v>1</v>
      </c>
      <c r="F58">
        <v>1</v>
      </c>
      <c r="G58">
        <v>1</v>
      </c>
      <c r="H58">
        <v>2</v>
      </c>
      <c r="I58" t="s">
        <v>578</v>
      </c>
      <c r="J58" t="s">
        <v>579</v>
      </c>
      <c r="K58" t="s">
        <v>580</v>
      </c>
      <c r="L58">
        <v>1368</v>
      </c>
      <c r="N58">
        <v>1011</v>
      </c>
      <c r="O58" t="s">
        <v>509</v>
      </c>
      <c r="P58" t="s">
        <v>509</v>
      </c>
      <c r="Q58">
        <v>1</v>
      </c>
      <c r="W58">
        <v>0</v>
      </c>
      <c r="X58">
        <v>-536748942</v>
      </c>
      <c r="Y58">
        <f t="shared" si="18"/>
        <v>1.7594999999999998</v>
      </c>
      <c r="AA58">
        <v>0</v>
      </c>
      <c r="AB58">
        <v>5.35</v>
      </c>
      <c r="AC58">
        <v>0</v>
      </c>
      <c r="AD58">
        <v>0</v>
      </c>
      <c r="AE58">
        <v>0</v>
      </c>
      <c r="AF58">
        <v>4.3499999999999996</v>
      </c>
      <c r="AG58">
        <v>0</v>
      </c>
      <c r="AH58">
        <v>0</v>
      </c>
      <c r="AI58">
        <v>1</v>
      </c>
      <c r="AJ58">
        <v>1.23</v>
      </c>
      <c r="AK58">
        <v>1</v>
      </c>
      <c r="AL58">
        <v>1</v>
      </c>
      <c r="AM58">
        <v>2</v>
      </c>
      <c r="AN58">
        <v>0</v>
      </c>
      <c r="AO58">
        <v>0</v>
      </c>
      <c r="AP58">
        <v>1</v>
      </c>
      <c r="AQ58">
        <v>1</v>
      </c>
      <c r="AR58">
        <v>0</v>
      </c>
      <c r="AS58" t="s">
        <v>3</v>
      </c>
      <c r="AT58">
        <v>1.53</v>
      </c>
      <c r="AU58" t="s">
        <v>27</v>
      </c>
      <c r="AV58">
        <v>1</v>
      </c>
      <c r="AW58">
        <v>2</v>
      </c>
      <c r="AX58">
        <v>75605190</v>
      </c>
      <c r="AY58">
        <v>1</v>
      </c>
      <c r="AZ58">
        <v>0</v>
      </c>
      <c r="BA58">
        <v>59</v>
      </c>
      <c r="BB58">
        <v>1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6.6555</v>
      </c>
      <c r="BL58">
        <v>0</v>
      </c>
      <c r="BM58">
        <v>0</v>
      </c>
      <c r="BN58">
        <v>0</v>
      </c>
      <c r="BO58">
        <v>0</v>
      </c>
      <c r="BP58">
        <v>1</v>
      </c>
      <c r="BQ58">
        <v>0</v>
      </c>
      <c r="BR58">
        <v>7.6538249999999985</v>
      </c>
      <c r="BS58">
        <v>0</v>
      </c>
      <c r="BT58">
        <v>0</v>
      </c>
      <c r="BU58">
        <v>0</v>
      </c>
      <c r="BV58">
        <v>0</v>
      </c>
      <c r="BW58">
        <v>1</v>
      </c>
      <c r="CV58">
        <v>0</v>
      </c>
      <c r="CW58">
        <f>ROUND(Y58*Source!I100*DO58,7)</f>
        <v>0</v>
      </c>
      <c r="CX58">
        <f>ROUND(Y58*Source!I100,7)</f>
        <v>0.26392500000000002</v>
      </c>
      <c r="CY58">
        <f>AB58</f>
        <v>5.35</v>
      </c>
      <c r="CZ58">
        <f>AF58</f>
        <v>4.3499999999999996</v>
      </c>
      <c r="DA58">
        <f>AJ58</f>
        <v>1.23</v>
      </c>
      <c r="DB58">
        <f t="shared" si="19"/>
        <v>7.6589999999999998</v>
      </c>
      <c r="DC58">
        <f t="shared" si="20"/>
        <v>0</v>
      </c>
      <c r="DD58" t="s">
        <v>3</v>
      </c>
      <c r="DE58" t="s">
        <v>3</v>
      </c>
      <c r="DF58">
        <f t="shared" si="21"/>
        <v>0</v>
      </c>
      <c r="DG58">
        <f>ROUND(ROUND(AF58*AJ58,2)*CX58,2)</f>
        <v>1.41</v>
      </c>
      <c r="DH58">
        <f t="shared" si="1"/>
        <v>0</v>
      </c>
      <c r="DI58">
        <f t="shared" si="2"/>
        <v>0</v>
      </c>
      <c r="DJ58">
        <f>DG58+DH58</f>
        <v>1.41</v>
      </c>
      <c r="DK58">
        <v>0</v>
      </c>
      <c r="DL58" t="s">
        <v>3</v>
      </c>
      <c r="DM58">
        <v>0</v>
      </c>
      <c r="DN58" t="s">
        <v>3</v>
      </c>
      <c r="DO58">
        <v>0</v>
      </c>
    </row>
    <row r="59" spans="1:119" x14ac:dyDescent="0.25">
      <c r="A59">
        <f>ROW(Source!A100)</f>
        <v>100</v>
      </c>
      <c r="B59">
        <v>75604747</v>
      </c>
      <c r="C59">
        <v>75605178</v>
      </c>
      <c r="D59">
        <v>74257065</v>
      </c>
      <c r="E59">
        <v>1</v>
      </c>
      <c r="F59">
        <v>1</v>
      </c>
      <c r="G59">
        <v>1</v>
      </c>
      <c r="H59">
        <v>3</v>
      </c>
      <c r="I59" t="s">
        <v>581</v>
      </c>
      <c r="J59" t="s">
        <v>582</v>
      </c>
      <c r="K59" t="s">
        <v>583</v>
      </c>
      <c r="L59">
        <v>1339</v>
      </c>
      <c r="N59">
        <v>1007</v>
      </c>
      <c r="O59" t="s">
        <v>205</v>
      </c>
      <c r="P59" t="s">
        <v>205</v>
      </c>
      <c r="Q59">
        <v>1</v>
      </c>
      <c r="W59">
        <v>0</v>
      </c>
      <c r="X59">
        <v>1531571680</v>
      </c>
      <c r="Y59">
        <f>AT59</f>
        <v>0.88</v>
      </c>
      <c r="AA59">
        <v>126.1</v>
      </c>
      <c r="AB59">
        <v>0</v>
      </c>
      <c r="AC59">
        <v>0</v>
      </c>
      <c r="AD59">
        <v>0</v>
      </c>
      <c r="AE59">
        <v>114.64</v>
      </c>
      <c r="AF59">
        <v>0</v>
      </c>
      <c r="AG59">
        <v>0</v>
      </c>
      <c r="AH59">
        <v>0</v>
      </c>
      <c r="AI59">
        <v>1.1000000000000001</v>
      </c>
      <c r="AJ59">
        <v>1</v>
      </c>
      <c r="AK59">
        <v>1</v>
      </c>
      <c r="AL59">
        <v>1</v>
      </c>
      <c r="AM59">
        <v>2</v>
      </c>
      <c r="AN59">
        <v>0</v>
      </c>
      <c r="AO59">
        <v>0</v>
      </c>
      <c r="AP59">
        <v>1</v>
      </c>
      <c r="AQ59">
        <v>1</v>
      </c>
      <c r="AR59">
        <v>0</v>
      </c>
      <c r="AS59" t="s">
        <v>3</v>
      </c>
      <c r="AT59">
        <v>0.88</v>
      </c>
      <c r="AU59" t="s">
        <v>3</v>
      </c>
      <c r="AV59">
        <v>0</v>
      </c>
      <c r="AW59">
        <v>2</v>
      </c>
      <c r="AX59">
        <v>75605191</v>
      </c>
      <c r="AY59">
        <v>1</v>
      </c>
      <c r="AZ59">
        <v>0</v>
      </c>
      <c r="BA59">
        <v>60</v>
      </c>
      <c r="BB59">
        <v>1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100.8832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1</v>
      </c>
      <c r="BQ59">
        <v>100.8832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1</v>
      </c>
      <c r="CV59">
        <v>0</v>
      </c>
      <c r="CW59">
        <v>0</v>
      </c>
      <c r="CX59">
        <f>ROUND(Y59*Source!I100,7)</f>
        <v>0.13200000000000001</v>
      </c>
      <c r="CY59">
        <f>AA59</f>
        <v>126.1</v>
      </c>
      <c r="CZ59">
        <f>AE59</f>
        <v>114.64</v>
      </c>
      <c r="DA59">
        <f>AI59</f>
        <v>1.1000000000000001</v>
      </c>
      <c r="DB59">
        <f>ROUND(ROUND(AT59*CZ59,2),6)</f>
        <v>100.88</v>
      </c>
      <c r="DC59">
        <f>ROUND(ROUND(AT59*AG59,2),6)</f>
        <v>0</v>
      </c>
      <c r="DD59" t="s">
        <v>3</v>
      </c>
      <c r="DE59" t="s">
        <v>3</v>
      </c>
      <c r="DF59">
        <f>ROUND(ROUND(AE59*AI59,2)*CX59,2)</f>
        <v>16.649999999999999</v>
      </c>
      <c r="DG59">
        <f t="shared" ref="DG59:DG64" si="22">ROUND(ROUND(AF59,2)*CX59,2)</f>
        <v>0</v>
      </c>
      <c r="DH59">
        <f t="shared" si="1"/>
        <v>0</v>
      </c>
      <c r="DI59">
        <f t="shared" si="2"/>
        <v>0</v>
      </c>
      <c r="DJ59">
        <f>DF59</f>
        <v>16.649999999999999</v>
      </c>
      <c r="DK59">
        <v>0</v>
      </c>
      <c r="DL59" t="s">
        <v>3</v>
      </c>
      <c r="DM59">
        <v>0</v>
      </c>
      <c r="DN59" t="s">
        <v>3</v>
      </c>
      <c r="DO59">
        <v>0</v>
      </c>
    </row>
    <row r="60" spans="1:119" x14ac:dyDescent="0.25">
      <c r="A60">
        <f>ROW(Source!A100)</f>
        <v>100</v>
      </c>
      <c r="B60">
        <v>75604747</v>
      </c>
      <c r="C60">
        <v>75605178</v>
      </c>
      <c r="D60">
        <v>74257069</v>
      </c>
      <c r="E60">
        <v>1</v>
      </c>
      <c r="F60">
        <v>1</v>
      </c>
      <c r="G60">
        <v>1</v>
      </c>
      <c r="H60">
        <v>3</v>
      </c>
      <c r="I60" t="s">
        <v>584</v>
      </c>
      <c r="J60" t="s">
        <v>585</v>
      </c>
      <c r="K60" t="s">
        <v>586</v>
      </c>
      <c r="L60">
        <v>1346</v>
      </c>
      <c r="N60">
        <v>1009</v>
      </c>
      <c r="O60" t="s">
        <v>240</v>
      </c>
      <c r="P60" t="s">
        <v>240</v>
      </c>
      <c r="Q60">
        <v>1</v>
      </c>
      <c r="W60">
        <v>0</v>
      </c>
      <c r="X60">
        <v>1843545816</v>
      </c>
      <c r="Y60">
        <f>AT60</f>
        <v>0.22</v>
      </c>
      <c r="AA60">
        <v>62.48</v>
      </c>
      <c r="AB60">
        <v>0</v>
      </c>
      <c r="AC60">
        <v>0</v>
      </c>
      <c r="AD60">
        <v>0</v>
      </c>
      <c r="AE60">
        <v>41.38</v>
      </c>
      <c r="AF60">
        <v>0</v>
      </c>
      <c r="AG60">
        <v>0</v>
      </c>
      <c r="AH60">
        <v>0</v>
      </c>
      <c r="AI60">
        <v>1.51</v>
      </c>
      <c r="AJ60">
        <v>1</v>
      </c>
      <c r="AK60">
        <v>1</v>
      </c>
      <c r="AL60">
        <v>1</v>
      </c>
      <c r="AM60">
        <v>2</v>
      </c>
      <c r="AN60">
        <v>0</v>
      </c>
      <c r="AO60">
        <v>0</v>
      </c>
      <c r="AP60">
        <v>1</v>
      </c>
      <c r="AQ60">
        <v>1</v>
      </c>
      <c r="AR60">
        <v>0</v>
      </c>
      <c r="AS60" t="s">
        <v>3</v>
      </c>
      <c r="AT60">
        <v>0.22</v>
      </c>
      <c r="AU60" t="s">
        <v>3</v>
      </c>
      <c r="AV60">
        <v>0</v>
      </c>
      <c r="AW60">
        <v>2</v>
      </c>
      <c r="AX60">
        <v>75605192</v>
      </c>
      <c r="AY60">
        <v>1</v>
      </c>
      <c r="AZ60">
        <v>0</v>
      </c>
      <c r="BA60">
        <v>61</v>
      </c>
      <c r="BB60">
        <v>1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9.1036000000000001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1</v>
      </c>
      <c r="BQ60">
        <v>9.1036000000000001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1</v>
      </c>
      <c r="CV60">
        <v>0</v>
      </c>
      <c r="CW60">
        <v>0</v>
      </c>
      <c r="CX60">
        <f>ROUND(Y60*Source!I100,7)</f>
        <v>3.3000000000000002E-2</v>
      </c>
      <c r="CY60">
        <f>AA60</f>
        <v>62.48</v>
      </c>
      <c r="CZ60">
        <f>AE60</f>
        <v>41.38</v>
      </c>
      <c r="DA60">
        <f>AI60</f>
        <v>1.51</v>
      </c>
      <c r="DB60">
        <f>ROUND(ROUND(AT60*CZ60,2),6)</f>
        <v>9.1</v>
      </c>
      <c r="DC60">
        <f>ROUND(ROUND(AT60*AG60,2),6)</f>
        <v>0</v>
      </c>
      <c r="DD60" t="s">
        <v>3</v>
      </c>
      <c r="DE60" t="s">
        <v>3</v>
      </c>
      <c r="DF60">
        <f>ROUND(ROUND(AE60*AI60,2)*CX60,2)</f>
        <v>2.06</v>
      </c>
      <c r="DG60">
        <f t="shared" si="22"/>
        <v>0</v>
      </c>
      <c r="DH60">
        <f t="shared" si="1"/>
        <v>0</v>
      </c>
      <c r="DI60">
        <f t="shared" si="2"/>
        <v>0</v>
      </c>
      <c r="DJ60">
        <f>DF60</f>
        <v>2.06</v>
      </c>
      <c r="DK60">
        <v>0</v>
      </c>
      <c r="DL60" t="s">
        <v>3</v>
      </c>
      <c r="DM60">
        <v>0</v>
      </c>
      <c r="DN60" t="s">
        <v>3</v>
      </c>
      <c r="DO60">
        <v>0</v>
      </c>
    </row>
    <row r="61" spans="1:119" x14ac:dyDescent="0.25">
      <c r="A61">
        <f>ROW(Source!A101)</f>
        <v>101</v>
      </c>
      <c r="B61">
        <v>75604747</v>
      </c>
      <c r="C61">
        <v>75605193</v>
      </c>
      <c r="D61">
        <v>74182263</v>
      </c>
      <c r="E61">
        <v>118</v>
      </c>
      <c r="F61">
        <v>1</v>
      </c>
      <c r="G61">
        <v>1</v>
      </c>
      <c r="H61">
        <v>1</v>
      </c>
      <c r="I61" t="s">
        <v>514</v>
      </c>
      <c r="J61" t="s">
        <v>3</v>
      </c>
      <c r="K61" t="s">
        <v>515</v>
      </c>
      <c r="L61">
        <v>1191</v>
      </c>
      <c r="N61">
        <v>1013</v>
      </c>
      <c r="O61" t="s">
        <v>501</v>
      </c>
      <c r="P61" t="s">
        <v>501</v>
      </c>
      <c r="Q61">
        <v>1</v>
      </c>
      <c r="W61">
        <v>0</v>
      </c>
      <c r="X61">
        <v>-1833565283</v>
      </c>
      <c r="Y61">
        <f>(AT61*ROUND((0.15+1),7))</f>
        <v>38.86999999999999</v>
      </c>
      <c r="AA61">
        <v>0</v>
      </c>
      <c r="AB61">
        <v>0</v>
      </c>
      <c r="AC61">
        <v>0</v>
      </c>
      <c r="AD61">
        <v>326.82</v>
      </c>
      <c r="AE61">
        <v>0</v>
      </c>
      <c r="AF61">
        <v>0</v>
      </c>
      <c r="AG61">
        <v>0</v>
      </c>
      <c r="AH61">
        <v>326.82</v>
      </c>
      <c r="AI61">
        <v>1</v>
      </c>
      <c r="AJ61">
        <v>1</v>
      </c>
      <c r="AK61">
        <v>1</v>
      </c>
      <c r="AL61">
        <v>1</v>
      </c>
      <c r="AM61">
        <v>-2</v>
      </c>
      <c r="AN61">
        <v>0</v>
      </c>
      <c r="AO61">
        <v>0</v>
      </c>
      <c r="AP61">
        <v>1</v>
      </c>
      <c r="AQ61">
        <v>1</v>
      </c>
      <c r="AR61">
        <v>0</v>
      </c>
      <c r="AS61" t="s">
        <v>3</v>
      </c>
      <c r="AT61">
        <v>33.799999999999997</v>
      </c>
      <c r="AU61" t="s">
        <v>27</v>
      </c>
      <c r="AV61">
        <v>1</v>
      </c>
      <c r="AW61">
        <v>2</v>
      </c>
      <c r="AX61">
        <v>75605201</v>
      </c>
      <c r="AY61">
        <v>1</v>
      </c>
      <c r="AZ61">
        <v>0</v>
      </c>
      <c r="BA61">
        <v>62</v>
      </c>
      <c r="BB61">
        <v>1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11046.516</v>
      </c>
      <c r="BN61">
        <v>33.799999999999997</v>
      </c>
      <c r="BO61">
        <v>0</v>
      </c>
      <c r="BP61">
        <v>1</v>
      </c>
      <c r="BQ61">
        <v>0</v>
      </c>
      <c r="BR61">
        <v>0</v>
      </c>
      <c r="BS61">
        <v>0</v>
      </c>
      <c r="BT61">
        <v>12703.493399999996</v>
      </c>
      <c r="BU61">
        <v>38.86999999999999</v>
      </c>
      <c r="BV61">
        <v>0</v>
      </c>
      <c r="BW61">
        <v>1</v>
      </c>
      <c r="CU61">
        <f>ROUND(AT61*Source!I101*AH61*AL61,2)</f>
        <v>4970.93</v>
      </c>
      <c r="CV61">
        <f>ROUND(Y61*Source!I101,7)</f>
        <v>17.491499999999998</v>
      </c>
      <c r="CW61">
        <v>0</v>
      </c>
      <c r="CX61">
        <f>ROUND(Y61*Source!I101,7)</f>
        <v>17.491499999999998</v>
      </c>
      <c r="CY61">
        <f>AD61</f>
        <v>326.82</v>
      </c>
      <c r="CZ61">
        <f>AH61</f>
        <v>326.82</v>
      </c>
      <c r="DA61">
        <f>AL61</f>
        <v>1</v>
      </c>
      <c r="DB61">
        <f>ROUND((ROUND(AT61*CZ61,2)*ROUND((0.15+1),7)),6)</f>
        <v>12703.498</v>
      </c>
      <c r="DC61">
        <f>ROUND((ROUND(AT61*AG61,2)*ROUND((0.15+1),7)),6)</f>
        <v>0</v>
      </c>
      <c r="DD61" t="s">
        <v>3</v>
      </c>
      <c r="DE61" t="s">
        <v>3</v>
      </c>
      <c r="DF61">
        <f>ROUND(ROUND(AE61,2)*CX61,2)</f>
        <v>0</v>
      </c>
      <c r="DG61">
        <f t="shared" si="22"/>
        <v>0</v>
      </c>
      <c r="DH61">
        <f t="shared" si="1"/>
        <v>0</v>
      </c>
      <c r="DI61">
        <f t="shared" si="2"/>
        <v>5716.57</v>
      </c>
      <c r="DJ61">
        <f>DI61</f>
        <v>5716.57</v>
      </c>
      <c r="DK61">
        <v>1</v>
      </c>
      <c r="DL61" t="s">
        <v>3</v>
      </c>
      <c r="DM61">
        <v>0</v>
      </c>
      <c r="DN61" t="s">
        <v>3</v>
      </c>
      <c r="DO61">
        <v>0</v>
      </c>
    </row>
    <row r="62" spans="1:119" x14ac:dyDescent="0.25">
      <c r="A62">
        <f>ROW(Source!A101)</f>
        <v>101</v>
      </c>
      <c r="B62">
        <v>75604747</v>
      </c>
      <c r="C62">
        <v>75605193</v>
      </c>
      <c r="D62">
        <v>74182464</v>
      </c>
      <c r="E62">
        <v>118</v>
      </c>
      <c r="F62">
        <v>1</v>
      </c>
      <c r="G62">
        <v>1</v>
      </c>
      <c r="H62">
        <v>1</v>
      </c>
      <c r="I62" t="s">
        <v>504</v>
      </c>
      <c r="J62" t="s">
        <v>3</v>
      </c>
      <c r="K62" t="s">
        <v>505</v>
      </c>
      <c r="L62">
        <v>1191</v>
      </c>
      <c r="N62">
        <v>1013</v>
      </c>
      <c r="O62" t="s">
        <v>501</v>
      </c>
      <c r="P62" t="s">
        <v>501</v>
      </c>
      <c r="Q62">
        <v>1</v>
      </c>
      <c r="W62">
        <v>0</v>
      </c>
      <c r="X62">
        <v>-1417349443</v>
      </c>
      <c r="Y62">
        <f>(AT62*ROUND((0.15+1),7))</f>
        <v>2.4609999999999999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1</v>
      </c>
      <c r="AJ62">
        <v>1</v>
      </c>
      <c r="AK62">
        <v>1</v>
      </c>
      <c r="AL62">
        <v>1</v>
      </c>
      <c r="AM62">
        <v>-2</v>
      </c>
      <c r="AN62">
        <v>0</v>
      </c>
      <c r="AO62">
        <v>0</v>
      </c>
      <c r="AP62">
        <v>1</v>
      </c>
      <c r="AQ62">
        <v>1</v>
      </c>
      <c r="AR62">
        <v>0</v>
      </c>
      <c r="AS62" t="s">
        <v>3</v>
      </c>
      <c r="AT62">
        <v>2.14</v>
      </c>
      <c r="AU62" t="s">
        <v>27</v>
      </c>
      <c r="AV62">
        <v>2</v>
      </c>
      <c r="AW62">
        <v>2</v>
      </c>
      <c r="AX62">
        <v>75605202</v>
      </c>
      <c r="AY62">
        <v>1</v>
      </c>
      <c r="AZ62">
        <v>0</v>
      </c>
      <c r="BA62">
        <v>63</v>
      </c>
      <c r="BB62">
        <v>1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CV62">
        <v>0</v>
      </c>
      <c r="CW62">
        <v>0</v>
      </c>
      <c r="CX62">
        <f>ROUND(Y62*Source!I101,7)</f>
        <v>1.10745</v>
      </c>
      <c r="CY62">
        <f>AD62</f>
        <v>0</v>
      </c>
      <c r="CZ62">
        <f>AH62</f>
        <v>0</v>
      </c>
      <c r="DA62">
        <f>AL62</f>
        <v>1</v>
      </c>
      <c r="DB62">
        <f>ROUND((ROUND(AT62*CZ62,2)*ROUND((0.15+1),7)),6)</f>
        <v>0</v>
      </c>
      <c r="DC62">
        <f>ROUND((ROUND(AT62*AG62,2)*ROUND((0.15+1),7)),6)</f>
        <v>0</v>
      </c>
      <c r="DD62" t="s">
        <v>3</v>
      </c>
      <c r="DE62" t="s">
        <v>3</v>
      </c>
      <c r="DF62">
        <f>ROUND(ROUND(AE62,2)*CX62,2)</f>
        <v>0</v>
      </c>
      <c r="DG62">
        <f t="shared" si="22"/>
        <v>0</v>
      </c>
      <c r="DH62">
        <f t="shared" si="1"/>
        <v>0</v>
      </c>
      <c r="DI62">
        <f t="shared" si="2"/>
        <v>0</v>
      </c>
      <c r="DJ62">
        <f>DI62</f>
        <v>0</v>
      </c>
      <c r="DK62">
        <v>0</v>
      </c>
      <c r="DL62" t="s">
        <v>3</v>
      </c>
      <c r="DM62">
        <v>0</v>
      </c>
      <c r="DN62" t="s">
        <v>3</v>
      </c>
      <c r="DO62">
        <v>0</v>
      </c>
    </row>
    <row r="63" spans="1:119" x14ac:dyDescent="0.25">
      <c r="A63">
        <f>ROW(Source!A101)</f>
        <v>101</v>
      </c>
      <c r="B63">
        <v>75604747</v>
      </c>
      <c r="C63">
        <v>75605193</v>
      </c>
      <c r="D63">
        <v>74308922</v>
      </c>
      <c r="E63">
        <v>1</v>
      </c>
      <c r="F63">
        <v>1</v>
      </c>
      <c r="G63">
        <v>1</v>
      </c>
      <c r="H63">
        <v>2</v>
      </c>
      <c r="I63" t="s">
        <v>574</v>
      </c>
      <c r="J63" t="s">
        <v>575</v>
      </c>
      <c r="K63" t="s">
        <v>576</v>
      </c>
      <c r="L63">
        <v>1368</v>
      </c>
      <c r="N63">
        <v>1011</v>
      </c>
      <c r="O63" t="s">
        <v>509</v>
      </c>
      <c r="P63" t="s">
        <v>509</v>
      </c>
      <c r="Q63">
        <v>1</v>
      </c>
      <c r="W63">
        <v>0</v>
      </c>
      <c r="X63">
        <v>-1068589559</v>
      </c>
      <c r="Y63">
        <f>(AT63*ROUND((0.15+1),7))</f>
        <v>2.2309999999999999</v>
      </c>
      <c r="AA63">
        <v>0</v>
      </c>
      <c r="AB63">
        <v>1598.95</v>
      </c>
      <c r="AC63">
        <v>494.35</v>
      </c>
      <c r="AD63">
        <v>0</v>
      </c>
      <c r="AE63">
        <v>0</v>
      </c>
      <c r="AF63">
        <v>1598.95</v>
      </c>
      <c r="AG63">
        <v>494.35</v>
      </c>
      <c r="AH63">
        <v>0</v>
      </c>
      <c r="AI63">
        <v>1</v>
      </c>
      <c r="AJ63">
        <v>1</v>
      </c>
      <c r="AK63">
        <v>1</v>
      </c>
      <c r="AL63">
        <v>1</v>
      </c>
      <c r="AM63">
        <v>-2</v>
      </c>
      <c r="AN63">
        <v>0</v>
      </c>
      <c r="AO63">
        <v>0</v>
      </c>
      <c r="AP63">
        <v>1</v>
      </c>
      <c r="AQ63">
        <v>1</v>
      </c>
      <c r="AR63">
        <v>0</v>
      </c>
      <c r="AS63" t="s">
        <v>3</v>
      </c>
      <c r="AT63">
        <v>1.94</v>
      </c>
      <c r="AU63" t="s">
        <v>27</v>
      </c>
      <c r="AV63">
        <v>1</v>
      </c>
      <c r="AW63">
        <v>2</v>
      </c>
      <c r="AX63">
        <v>75605203</v>
      </c>
      <c r="AY63">
        <v>1</v>
      </c>
      <c r="AZ63">
        <v>0</v>
      </c>
      <c r="BA63">
        <v>64</v>
      </c>
      <c r="BB63">
        <v>1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3101.9630000000002</v>
      </c>
      <c r="BL63">
        <v>959.03899999999999</v>
      </c>
      <c r="BM63">
        <v>0</v>
      </c>
      <c r="BN63">
        <v>0</v>
      </c>
      <c r="BO63">
        <v>1.94</v>
      </c>
      <c r="BP63">
        <v>1</v>
      </c>
      <c r="BQ63">
        <v>0</v>
      </c>
      <c r="BR63">
        <v>3567.2574500000001</v>
      </c>
      <c r="BS63">
        <v>1102.8948499999999</v>
      </c>
      <c r="BT63">
        <v>0</v>
      </c>
      <c r="BU63">
        <v>0</v>
      </c>
      <c r="BV63">
        <v>2.2309999999999999</v>
      </c>
      <c r="BW63">
        <v>1</v>
      </c>
      <c r="CV63">
        <v>0</v>
      </c>
      <c r="CW63">
        <f>ROUND(Y63*Source!I101*DO63,7)</f>
        <v>1.0039499999999999</v>
      </c>
      <c r="CX63">
        <f>ROUND(Y63*Source!I101,7)</f>
        <v>1.0039499999999999</v>
      </c>
      <c r="CY63">
        <f>AB63</f>
        <v>1598.95</v>
      </c>
      <c r="CZ63">
        <f>AF63</f>
        <v>1598.95</v>
      </c>
      <c r="DA63">
        <f>AJ63</f>
        <v>1</v>
      </c>
      <c r="DB63">
        <f>ROUND((ROUND(AT63*CZ63,2)*ROUND((0.15+1),7)),6)</f>
        <v>3567.2539999999999</v>
      </c>
      <c r="DC63">
        <f>ROUND((ROUND(AT63*AG63,2)*ROUND((0.15+1),7)),6)</f>
        <v>1102.896</v>
      </c>
      <c r="DD63" t="s">
        <v>3</v>
      </c>
      <c r="DE63" t="s">
        <v>3</v>
      </c>
      <c r="DF63">
        <f>ROUND(ROUND(AE63,2)*CX63,2)</f>
        <v>0</v>
      </c>
      <c r="DG63">
        <f t="shared" si="22"/>
        <v>1605.27</v>
      </c>
      <c r="DH63">
        <f t="shared" si="1"/>
        <v>496.3</v>
      </c>
      <c r="DI63">
        <f t="shared" si="2"/>
        <v>0</v>
      </c>
      <c r="DJ63">
        <f>DG63+DH63</f>
        <v>2101.5700000000002</v>
      </c>
      <c r="DK63">
        <v>1</v>
      </c>
      <c r="DL63" t="s">
        <v>577</v>
      </c>
      <c r="DM63">
        <v>6</v>
      </c>
      <c r="DN63" t="s">
        <v>501</v>
      </c>
      <c r="DO63">
        <v>1</v>
      </c>
    </row>
    <row r="64" spans="1:119" x14ac:dyDescent="0.25">
      <c r="A64">
        <f>ROW(Source!A101)</f>
        <v>101</v>
      </c>
      <c r="B64">
        <v>75604747</v>
      </c>
      <c r="C64">
        <v>75605193</v>
      </c>
      <c r="D64">
        <v>74309824</v>
      </c>
      <c r="E64">
        <v>1</v>
      </c>
      <c r="F64">
        <v>1</v>
      </c>
      <c r="G64">
        <v>1</v>
      </c>
      <c r="H64">
        <v>2</v>
      </c>
      <c r="I64" t="s">
        <v>527</v>
      </c>
      <c r="J64" t="s">
        <v>528</v>
      </c>
      <c r="K64" t="s">
        <v>529</v>
      </c>
      <c r="L64">
        <v>1368</v>
      </c>
      <c r="N64">
        <v>1011</v>
      </c>
      <c r="O64" t="s">
        <v>509</v>
      </c>
      <c r="P64" t="s">
        <v>509</v>
      </c>
      <c r="Q64">
        <v>1</v>
      </c>
      <c r="W64">
        <v>0</v>
      </c>
      <c r="X64">
        <v>-312038840</v>
      </c>
      <c r="Y64">
        <f>(AT64*ROUND((0.15+1),7))</f>
        <v>0.22999999999999998</v>
      </c>
      <c r="AA64">
        <v>0</v>
      </c>
      <c r="AB64">
        <v>551.45000000000005</v>
      </c>
      <c r="AC64">
        <v>368.02</v>
      </c>
      <c r="AD64">
        <v>0</v>
      </c>
      <c r="AE64">
        <v>0</v>
      </c>
      <c r="AF64">
        <v>551.45000000000005</v>
      </c>
      <c r="AG64">
        <v>368.02</v>
      </c>
      <c r="AH64">
        <v>0</v>
      </c>
      <c r="AI64">
        <v>1</v>
      </c>
      <c r="AJ64">
        <v>1</v>
      </c>
      <c r="AK64">
        <v>1</v>
      </c>
      <c r="AL64">
        <v>1</v>
      </c>
      <c r="AM64">
        <v>-2</v>
      </c>
      <c r="AN64">
        <v>0</v>
      </c>
      <c r="AO64">
        <v>0</v>
      </c>
      <c r="AP64">
        <v>1</v>
      </c>
      <c r="AQ64">
        <v>1</v>
      </c>
      <c r="AR64">
        <v>0</v>
      </c>
      <c r="AS64" t="s">
        <v>3</v>
      </c>
      <c r="AT64">
        <v>0.2</v>
      </c>
      <c r="AU64" t="s">
        <v>27</v>
      </c>
      <c r="AV64">
        <v>1</v>
      </c>
      <c r="AW64">
        <v>2</v>
      </c>
      <c r="AX64">
        <v>75605204</v>
      </c>
      <c r="AY64">
        <v>1</v>
      </c>
      <c r="AZ64">
        <v>0</v>
      </c>
      <c r="BA64">
        <v>65</v>
      </c>
      <c r="BB64">
        <v>1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110.29000000000002</v>
      </c>
      <c r="BL64">
        <v>73.603999999999999</v>
      </c>
      <c r="BM64">
        <v>0</v>
      </c>
      <c r="BN64">
        <v>0</v>
      </c>
      <c r="BO64">
        <v>0.2</v>
      </c>
      <c r="BP64">
        <v>1</v>
      </c>
      <c r="BQ64">
        <v>0</v>
      </c>
      <c r="BR64">
        <v>126.8335</v>
      </c>
      <c r="BS64">
        <v>84.644599999999983</v>
      </c>
      <c r="BT64">
        <v>0</v>
      </c>
      <c r="BU64">
        <v>0</v>
      </c>
      <c r="BV64">
        <v>0.22999999999999998</v>
      </c>
      <c r="BW64">
        <v>1</v>
      </c>
      <c r="CV64">
        <v>0</v>
      </c>
      <c r="CW64">
        <f>ROUND(Y64*Source!I101*DO64,7)</f>
        <v>0.10349999999999999</v>
      </c>
      <c r="CX64">
        <f>ROUND(Y64*Source!I101,7)</f>
        <v>0.10349999999999999</v>
      </c>
      <c r="CY64">
        <f>AB64</f>
        <v>551.45000000000005</v>
      </c>
      <c r="CZ64">
        <f>AF64</f>
        <v>551.45000000000005</v>
      </c>
      <c r="DA64">
        <f>AJ64</f>
        <v>1</v>
      </c>
      <c r="DB64">
        <f>ROUND((ROUND(AT64*CZ64,2)*ROUND((0.15+1),7)),6)</f>
        <v>126.8335</v>
      </c>
      <c r="DC64">
        <f>ROUND((ROUND(AT64*AG64,2)*ROUND((0.15+1),7)),6)</f>
        <v>84.64</v>
      </c>
      <c r="DD64" t="s">
        <v>3</v>
      </c>
      <c r="DE64" t="s">
        <v>3</v>
      </c>
      <c r="DF64">
        <f>ROUND(ROUND(AE64,2)*CX64,2)</f>
        <v>0</v>
      </c>
      <c r="DG64">
        <f t="shared" si="22"/>
        <v>57.08</v>
      </c>
      <c r="DH64">
        <f t="shared" si="1"/>
        <v>38.090000000000003</v>
      </c>
      <c r="DI64">
        <f t="shared" si="2"/>
        <v>0</v>
      </c>
      <c r="DJ64">
        <f>DG64+DH64</f>
        <v>95.17</v>
      </c>
      <c r="DK64">
        <v>1</v>
      </c>
      <c r="DL64" t="s">
        <v>522</v>
      </c>
      <c r="DM64">
        <v>4</v>
      </c>
      <c r="DN64" t="s">
        <v>501</v>
      </c>
      <c r="DO64">
        <v>1</v>
      </c>
    </row>
    <row r="65" spans="1:119" x14ac:dyDescent="0.25">
      <c r="A65">
        <f>ROW(Source!A101)</f>
        <v>101</v>
      </c>
      <c r="B65">
        <v>75604747</v>
      </c>
      <c r="C65">
        <v>75605193</v>
      </c>
      <c r="D65">
        <v>74309983</v>
      </c>
      <c r="E65">
        <v>1</v>
      </c>
      <c r="F65">
        <v>1</v>
      </c>
      <c r="G65">
        <v>1</v>
      </c>
      <c r="H65">
        <v>2</v>
      </c>
      <c r="I65" t="s">
        <v>578</v>
      </c>
      <c r="J65" t="s">
        <v>579</v>
      </c>
      <c r="K65" t="s">
        <v>580</v>
      </c>
      <c r="L65">
        <v>1368</v>
      </c>
      <c r="N65">
        <v>1011</v>
      </c>
      <c r="O65" t="s">
        <v>509</v>
      </c>
      <c r="P65" t="s">
        <v>509</v>
      </c>
      <c r="Q65">
        <v>1</v>
      </c>
      <c r="W65">
        <v>0</v>
      </c>
      <c r="X65">
        <v>-536748942</v>
      </c>
      <c r="Y65">
        <f>(AT65*ROUND((0.15+1),7))</f>
        <v>2.0469999999999997</v>
      </c>
      <c r="AA65">
        <v>0</v>
      </c>
      <c r="AB65">
        <v>5.35</v>
      </c>
      <c r="AC65">
        <v>0</v>
      </c>
      <c r="AD65">
        <v>0</v>
      </c>
      <c r="AE65">
        <v>0</v>
      </c>
      <c r="AF65">
        <v>4.3499999999999996</v>
      </c>
      <c r="AG65">
        <v>0</v>
      </c>
      <c r="AH65">
        <v>0</v>
      </c>
      <c r="AI65">
        <v>1</v>
      </c>
      <c r="AJ65">
        <v>1.23</v>
      </c>
      <c r="AK65">
        <v>1</v>
      </c>
      <c r="AL65">
        <v>1</v>
      </c>
      <c r="AM65">
        <v>2</v>
      </c>
      <c r="AN65">
        <v>0</v>
      </c>
      <c r="AO65">
        <v>0</v>
      </c>
      <c r="AP65">
        <v>1</v>
      </c>
      <c r="AQ65">
        <v>1</v>
      </c>
      <c r="AR65">
        <v>0</v>
      </c>
      <c r="AS65" t="s">
        <v>3</v>
      </c>
      <c r="AT65">
        <v>1.78</v>
      </c>
      <c r="AU65" t="s">
        <v>27</v>
      </c>
      <c r="AV65">
        <v>1</v>
      </c>
      <c r="AW65">
        <v>2</v>
      </c>
      <c r="AX65">
        <v>75605205</v>
      </c>
      <c r="AY65">
        <v>1</v>
      </c>
      <c r="AZ65">
        <v>0</v>
      </c>
      <c r="BA65">
        <v>66</v>
      </c>
      <c r="BB65">
        <v>1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7.7429999999999994</v>
      </c>
      <c r="BL65">
        <v>0</v>
      </c>
      <c r="BM65">
        <v>0</v>
      </c>
      <c r="BN65">
        <v>0</v>
      </c>
      <c r="BO65">
        <v>0</v>
      </c>
      <c r="BP65">
        <v>1</v>
      </c>
      <c r="BQ65">
        <v>0</v>
      </c>
      <c r="BR65">
        <v>8.9044499999999989</v>
      </c>
      <c r="BS65">
        <v>0</v>
      </c>
      <c r="BT65">
        <v>0</v>
      </c>
      <c r="BU65">
        <v>0</v>
      </c>
      <c r="BV65">
        <v>0</v>
      </c>
      <c r="BW65">
        <v>1</v>
      </c>
      <c r="CV65">
        <v>0</v>
      </c>
      <c r="CW65">
        <f>ROUND(Y65*Source!I101*DO65,7)</f>
        <v>0</v>
      </c>
      <c r="CX65">
        <f>ROUND(Y65*Source!I101,7)</f>
        <v>0.92115000000000002</v>
      </c>
      <c r="CY65">
        <f>AB65</f>
        <v>5.35</v>
      </c>
      <c r="CZ65">
        <f>AF65</f>
        <v>4.3499999999999996</v>
      </c>
      <c r="DA65">
        <f>AJ65</f>
        <v>1.23</v>
      </c>
      <c r="DB65">
        <f>ROUND((ROUND(AT65*CZ65,2)*ROUND((0.15+1),7)),6)</f>
        <v>8.9009999999999998</v>
      </c>
      <c r="DC65">
        <f>ROUND((ROUND(AT65*AG65,2)*ROUND((0.15+1),7)),6)</f>
        <v>0</v>
      </c>
      <c r="DD65" t="s">
        <v>3</v>
      </c>
      <c r="DE65" t="s">
        <v>3</v>
      </c>
      <c r="DF65">
        <f>ROUND(ROUND(AE65,2)*CX65,2)</f>
        <v>0</v>
      </c>
      <c r="DG65">
        <f>ROUND(ROUND(AF65*AJ65,2)*CX65,2)</f>
        <v>4.93</v>
      </c>
      <c r="DH65">
        <f t="shared" ref="DH65:DH128" si="23">ROUND(ROUND(AG65,2)*CX65,2)</f>
        <v>0</v>
      </c>
      <c r="DI65">
        <f t="shared" ref="DI65:DI128" si="24">ROUND(ROUND(AH65,2)*CX65,2)</f>
        <v>0</v>
      </c>
      <c r="DJ65">
        <f>DG65+DH65</f>
        <v>4.93</v>
      </c>
      <c r="DK65">
        <v>0</v>
      </c>
      <c r="DL65" t="s">
        <v>3</v>
      </c>
      <c r="DM65">
        <v>0</v>
      </c>
      <c r="DN65" t="s">
        <v>3</v>
      </c>
      <c r="DO65">
        <v>0</v>
      </c>
    </row>
    <row r="66" spans="1:119" x14ac:dyDescent="0.25">
      <c r="A66">
        <f>ROW(Source!A101)</f>
        <v>101</v>
      </c>
      <c r="B66">
        <v>75604747</v>
      </c>
      <c r="C66">
        <v>75605193</v>
      </c>
      <c r="D66">
        <v>74257065</v>
      </c>
      <c r="E66">
        <v>1</v>
      </c>
      <c r="F66">
        <v>1</v>
      </c>
      <c r="G66">
        <v>1</v>
      </c>
      <c r="H66">
        <v>3</v>
      </c>
      <c r="I66" t="s">
        <v>581</v>
      </c>
      <c r="J66" t="s">
        <v>582</v>
      </c>
      <c r="K66" t="s">
        <v>583</v>
      </c>
      <c r="L66">
        <v>1339</v>
      </c>
      <c r="N66">
        <v>1007</v>
      </c>
      <c r="O66" t="s">
        <v>205</v>
      </c>
      <c r="P66" t="s">
        <v>205</v>
      </c>
      <c r="Q66">
        <v>1</v>
      </c>
      <c r="W66">
        <v>0</v>
      </c>
      <c r="X66">
        <v>1531571680</v>
      </c>
      <c r="Y66">
        <f>AT66</f>
        <v>1.36</v>
      </c>
      <c r="AA66">
        <v>126.1</v>
      </c>
      <c r="AB66">
        <v>0</v>
      </c>
      <c r="AC66">
        <v>0</v>
      </c>
      <c r="AD66">
        <v>0</v>
      </c>
      <c r="AE66">
        <v>114.64</v>
      </c>
      <c r="AF66">
        <v>0</v>
      </c>
      <c r="AG66">
        <v>0</v>
      </c>
      <c r="AH66">
        <v>0</v>
      </c>
      <c r="AI66">
        <v>1.1000000000000001</v>
      </c>
      <c r="AJ66">
        <v>1</v>
      </c>
      <c r="AK66">
        <v>1</v>
      </c>
      <c r="AL66">
        <v>1</v>
      </c>
      <c r="AM66">
        <v>2</v>
      </c>
      <c r="AN66">
        <v>0</v>
      </c>
      <c r="AO66">
        <v>0</v>
      </c>
      <c r="AP66">
        <v>1</v>
      </c>
      <c r="AQ66">
        <v>1</v>
      </c>
      <c r="AR66">
        <v>0</v>
      </c>
      <c r="AS66" t="s">
        <v>3</v>
      </c>
      <c r="AT66">
        <v>1.36</v>
      </c>
      <c r="AU66" t="s">
        <v>3</v>
      </c>
      <c r="AV66">
        <v>0</v>
      </c>
      <c r="AW66">
        <v>2</v>
      </c>
      <c r="AX66">
        <v>75605206</v>
      </c>
      <c r="AY66">
        <v>1</v>
      </c>
      <c r="AZ66">
        <v>0</v>
      </c>
      <c r="BA66">
        <v>67</v>
      </c>
      <c r="BB66">
        <v>1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155.91040000000001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1</v>
      </c>
      <c r="BQ66">
        <v>155.91040000000001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1</v>
      </c>
      <c r="CV66">
        <v>0</v>
      </c>
      <c r="CW66">
        <v>0</v>
      </c>
      <c r="CX66">
        <f>ROUND(Y66*Source!I101,7)</f>
        <v>0.61199999999999999</v>
      </c>
      <c r="CY66">
        <f>AA66</f>
        <v>126.1</v>
      </c>
      <c r="CZ66">
        <f>AE66</f>
        <v>114.64</v>
      </c>
      <c r="DA66">
        <f>AI66</f>
        <v>1.1000000000000001</v>
      </c>
      <c r="DB66">
        <f>ROUND(ROUND(AT66*CZ66,2),6)</f>
        <v>155.91</v>
      </c>
      <c r="DC66">
        <f>ROUND(ROUND(AT66*AG66,2),6)</f>
        <v>0</v>
      </c>
      <c r="DD66" t="s">
        <v>3</v>
      </c>
      <c r="DE66" t="s">
        <v>3</v>
      </c>
      <c r="DF66">
        <f>ROUND(ROUND(AE66*AI66,2)*CX66,2)</f>
        <v>77.17</v>
      </c>
      <c r="DG66">
        <f t="shared" ref="DG66:DG73" si="25">ROUND(ROUND(AF66,2)*CX66,2)</f>
        <v>0</v>
      </c>
      <c r="DH66">
        <f t="shared" si="23"/>
        <v>0</v>
      </c>
      <c r="DI66">
        <f t="shared" si="24"/>
        <v>0</v>
      </c>
      <c r="DJ66">
        <f>DF66</f>
        <v>77.17</v>
      </c>
      <c r="DK66">
        <v>0</v>
      </c>
      <c r="DL66" t="s">
        <v>3</v>
      </c>
      <c r="DM66">
        <v>0</v>
      </c>
      <c r="DN66" t="s">
        <v>3</v>
      </c>
      <c r="DO66">
        <v>0</v>
      </c>
    </row>
    <row r="67" spans="1:119" x14ac:dyDescent="0.25">
      <c r="A67">
        <f>ROW(Source!A101)</f>
        <v>101</v>
      </c>
      <c r="B67">
        <v>75604747</v>
      </c>
      <c r="C67">
        <v>75605193</v>
      </c>
      <c r="D67">
        <v>74257069</v>
      </c>
      <c r="E67">
        <v>1</v>
      </c>
      <c r="F67">
        <v>1</v>
      </c>
      <c r="G67">
        <v>1</v>
      </c>
      <c r="H67">
        <v>3</v>
      </c>
      <c r="I67" t="s">
        <v>584</v>
      </c>
      <c r="J67" t="s">
        <v>585</v>
      </c>
      <c r="K67" t="s">
        <v>586</v>
      </c>
      <c r="L67">
        <v>1346</v>
      </c>
      <c r="N67">
        <v>1009</v>
      </c>
      <c r="O67" t="s">
        <v>240</v>
      </c>
      <c r="P67" t="s">
        <v>240</v>
      </c>
      <c r="Q67">
        <v>1</v>
      </c>
      <c r="W67">
        <v>0</v>
      </c>
      <c r="X67">
        <v>1843545816</v>
      </c>
      <c r="Y67">
        <f>AT67</f>
        <v>0.34</v>
      </c>
      <c r="AA67">
        <v>62.48</v>
      </c>
      <c r="AB67">
        <v>0</v>
      </c>
      <c r="AC67">
        <v>0</v>
      </c>
      <c r="AD67">
        <v>0</v>
      </c>
      <c r="AE67">
        <v>41.38</v>
      </c>
      <c r="AF67">
        <v>0</v>
      </c>
      <c r="AG67">
        <v>0</v>
      </c>
      <c r="AH67">
        <v>0</v>
      </c>
      <c r="AI67">
        <v>1.51</v>
      </c>
      <c r="AJ67">
        <v>1</v>
      </c>
      <c r="AK67">
        <v>1</v>
      </c>
      <c r="AL67">
        <v>1</v>
      </c>
      <c r="AM67">
        <v>2</v>
      </c>
      <c r="AN67">
        <v>0</v>
      </c>
      <c r="AO67">
        <v>0</v>
      </c>
      <c r="AP67">
        <v>1</v>
      </c>
      <c r="AQ67">
        <v>1</v>
      </c>
      <c r="AR67">
        <v>0</v>
      </c>
      <c r="AS67" t="s">
        <v>3</v>
      </c>
      <c r="AT67">
        <v>0.34</v>
      </c>
      <c r="AU67" t="s">
        <v>3</v>
      </c>
      <c r="AV67">
        <v>0</v>
      </c>
      <c r="AW67">
        <v>2</v>
      </c>
      <c r="AX67">
        <v>75605207</v>
      </c>
      <c r="AY67">
        <v>1</v>
      </c>
      <c r="AZ67">
        <v>0</v>
      </c>
      <c r="BA67">
        <v>68</v>
      </c>
      <c r="BB67">
        <v>1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14.069200000000002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1</v>
      </c>
      <c r="BQ67">
        <v>14.069200000000002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1</v>
      </c>
      <c r="CV67">
        <v>0</v>
      </c>
      <c r="CW67">
        <v>0</v>
      </c>
      <c r="CX67">
        <f>ROUND(Y67*Source!I101,7)</f>
        <v>0.153</v>
      </c>
      <c r="CY67">
        <f>AA67</f>
        <v>62.48</v>
      </c>
      <c r="CZ67">
        <f>AE67</f>
        <v>41.38</v>
      </c>
      <c r="DA67">
        <f>AI67</f>
        <v>1.51</v>
      </c>
      <c r="DB67">
        <f>ROUND(ROUND(AT67*CZ67,2),6)</f>
        <v>14.07</v>
      </c>
      <c r="DC67">
        <f>ROUND(ROUND(AT67*AG67,2),6)</f>
        <v>0</v>
      </c>
      <c r="DD67" t="s">
        <v>3</v>
      </c>
      <c r="DE67" t="s">
        <v>3</v>
      </c>
      <c r="DF67">
        <f>ROUND(ROUND(AE67*AI67,2)*CX67,2)</f>
        <v>9.56</v>
      </c>
      <c r="DG67">
        <f t="shared" si="25"/>
        <v>0</v>
      </c>
      <c r="DH67">
        <f t="shared" si="23"/>
        <v>0</v>
      </c>
      <c r="DI67">
        <f t="shared" si="24"/>
        <v>0</v>
      </c>
      <c r="DJ67">
        <f>DF67</f>
        <v>9.56</v>
      </c>
      <c r="DK67">
        <v>0</v>
      </c>
      <c r="DL67" t="s">
        <v>3</v>
      </c>
      <c r="DM67">
        <v>0</v>
      </c>
      <c r="DN67" t="s">
        <v>3</v>
      </c>
      <c r="DO67">
        <v>0</v>
      </c>
    </row>
    <row r="68" spans="1:119" x14ac:dyDescent="0.25">
      <c r="A68">
        <f>ROW(Source!A102)</f>
        <v>102</v>
      </c>
      <c r="B68">
        <v>75604747</v>
      </c>
      <c r="C68">
        <v>75618539</v>
      </c>
      <c r="D68">
        <v>37069580</v>
      </c>
      <c r="E68">
        <v>118</v>
      </c>
      <c r="F68">
        <v>1</v>
      </c>
      <c r="G68">
        <v>1</v>
      </c>
      <c r="H68">
        <v>1</v>
      </c>
      <c r="I68" t="s">
        <v>587</v>
      </c>
      <c r="J68" t="s">
        <v>3</v>
      </c>
      <c r="K68" t="s">
        <v>588</v>
      </c>
      <c r="L68">
        <v>1191</v>
      </c>
      <c r="N68">
        <v>1013</v>
      </c>
      <c r="O68" t="s">
        <v>501</v>
      </c>
      <c r="P68" t="s">
        <v>501</v>
      </c>
      <c r="Q68">
        <v>1</v>
      </c>
      <c r="W68">
        <v>0</v>
      </c>
      <c r="X68">
        <v>1426738182</v>
      </c>
      <c r="Y68">
        <f t="shared" ref="Y68:Y78" si="26">(AT68*ROUND((0.15+1),7))</f>
        <v>0.7014999999999999</v>
      </c>
      <c r="AA68">
        <v>0</v>
      </c>
      <c r="AB68">
        <v>0</v>
      </c>
      <c r="AC68">
        <v>0</v>
      </c>
      <c r="AD68">
        <v>330.94</v>
      </c>
      <c r="AE68">
        <v>0</v>
      </c>
      <c r="AF68">
        <v>0</v>
      </c>
      <c r="AG68">
        <v>0</v>
      </c>
      <c r="AH68">
        <v>330.94</v>
      </c>
      <c r="AI68">
        <v>1</v>
      </c>
      <c r="AJ68">
        <v>1</v>
      </c>
      <c r="AK68">
        <v>1</v>
      </c>
      <c r="AL68">
        <v>1</v>
      </c>
      <c r="AM68">
        <v>-2</v>
      </c>
      <c r="AN68">
        <v>0</v>
      </c>
      <c r="AO68">
        <v>0</v>
      </c>
      <c r="AP68">
        <v>1</v>
      </c>
      <c r="AQ68">
        <v>1</v>
      </c>
      <c r="AR68">
        <v>0</v>
      </c>
      <c r="AS68" t="s">
        <v>3</v>
      </c>
      <c r="AT68">
        <v>0.61</v>
      </c>
      <c r="AU68" t="s">
        <v>27</v>
      </c>
      <c r="AV68">
        <v>1</v>
      </c>
      <c r="AW68">
        <v>2</v>
      </c>
      <c r="AX68">
        <v>75618543</v>
      </c>
      <c r="AY68">
        <v>1</v>
      </c>
      <c r="AZ68">
        <v>0</v>
      </c>
      <c r="BA68">
        <v>69</v>
      </c>
      <c r="BB68">
        <v>1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201.8734</v>
      </c>
      <c r="BN68">
        <v>0.61</v>
      </c>
      <c r="BO68">
        <v>0</v>
      </c>
      <c r="BP68">
        <v>1</v>
      </c>
      <c r="BQ68">
        <v>0</v>
      </c>
      <c r="BR68">
        <v>0</v>
      </c>
      <c r="BS68">
        <v>0</v>
      </c>
      <c r="BT68">
        <v>232.15440999999996</v>
      </c>
      <c r="BU68">
        <v>0.7014999999999999</v>
      </c>
      <c r="BV68">
        <v>0</v>
      </c>
      <c r="BW68">
        <v>1</v>
      </c>
      <c r="CU68">
        <f>ROUND(AT68*Source!I102*AH68*AL68,2)</f>
        <v>807.49</v>
      </c>
      <c r="CV68">
        <f>ROUND(Y68*Source!I102,7)</f>
        <v>2.806</v>
      </c>
      <c r="CW68">
        <v>0</v>
      </c>
      <c r="CX68">
        <f>ROUND(Y68*Source!I102,7)</f>
        <v>2.806</v>
      </c>
      <c r="CY68">
        <f>AD68</f>
        <v>330.94</v>
      </c>
      <c r="CZ68">
        <f>AH68</f>
        <v>330.94</v>
      </c>
      <c r="DA68">
        <f>AL68</f>
        <v>1</v>
      </c>
      <c r="DB68">
        <f t="shared" ref="DB68:DB78" si="27">ROUND((ROUND(AT68*CZ68,2)*ROUND((0.15+1),7)),6)</f>
        <v>232.15049999999999</v>
      </c>
      <c r="DC68">
        <f t="shared" ref="DC68:DC78" si="28">ROUND((ROUND(AT68*AG68,2)*ROUND((0.15+1),7)),6)</f>
        <v>0</v>
      </c>
      <c r="DD68" t="s">
        <v>3</v>
      </c>
      <c r="DE68" t="s">
        <v>3</v>
      </c>
      <c r="DF68">
        <f t="shared" ref="DF68:DF78" si="29">ROUND(ROUND(AE68,2)*CX68,2)</f>
        <v>0</v>
      </c>
      <c r="DG68">
        <f t="shared" si="25"/>
        <v>0</v>
      </c>
      <c r="DH68">
        <f t="shared" si="23"/>
        <v>0</v>
      </c>
      <c r="DI68">
        <f t="shared" si="24"/>
        <v>928.62</v>
      </c>
      <c r="DJ68">
        <f>DI68</f>
        <v>928.62</v>
      </c>
      <c r="DK68">
        <v>1</v>
      </c>
      <c r="DL68" t="s">
        <v>3</v>
      </c>
      <c r="DM68">
        <v>0</v>
      </c>
      <c r="DN68" t="s">
        <v>3</v>
      </c>
      <c r="DO68">
        <v>0</v>
      </c>
    </row>
    <row r="69" spans="1:119" x14ac:dyDescent="0.25">
      <c r="A69">
        <f>ROW(Source!A102)</f>
        <v>102</v>
      </c>
      <c r="B69">
        <v>75604747</v>
      </c>
      <c r="C69">
        <v>75618539</v>
      </c>
      <c r="D69">
        <v>37064876</v>
      </c>
      <c r="E69">
        <v>118</v>
      </c>
      <c r="F69">
        <v>1</v>
      </c>
      <c r="G69">
        <v>1</v>
      </c>
      <c r="H69">
        <v>1</v>
      </c>
      <c r="I69" t="s">
        <v>504</v>
      </c>
      <c r="J69" t="s">
        <v>3</v>
      </c>
      <c r="K69" t="s">
        <v>505</v>
      </c>
      <c r="L69">
        <v>1191</v>
      </c>
      <c r="N69">
        <v>1013</v>
      </c>
      <c r="O69" t="s">
        <v>501</v>
      </c>
      <c r="P69" t="s">
        <v>501</v>
      </c>
      <c r="Q69">
        <v>1</v>
      </c>
      <c r="W69">
        <v>0</v>
      </c>
      <c r="X69">
        <v>-1417349443</v>
      </c>
      <c r="Y69">
        <f t="shared" si="26"/>
        <v>0.11499999999999999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1</v>
      </c>
      <c r="AJ69">
        <v>1</v>
      </c>
      <c r="AK69">
        <v>1</v>
      </c>
      <c r="AL69">
        <v>1</v>
      </c>
      <c r="AM69">
        <v>-2</v>
      </c>
      <c r="AN69">
        <v>0</v>
      </c>
      <c r="AO69">
        <v>0</v>
      </c>
      <c r="AP69">
        <v>1</v>
      </c>
      <c r="AQ69">
        <v>1</v>
      </c>
      <c r="AR69">
        <v>0</v>
      </c>
      <c r="AS69" t="s">
        <v>3</v>
      </c>
      <c r="AT69">
        <v>0.1</v>
      </c>
      <c r="AU69" t="s">
        <v>27</v>
      </c>
      <c r="AV69">
        <v>2</v>
      </c>
      <c r="AW69">
        <v>2</v>
      </c>
      <c r="AX69">
        <v>75618544</v>
      </c>
      <c r="AY69">
        <v>1</v>
      </c>
      <c r="AZ69">
        <v>0</v>
      </c>
      <c r="BA69">
        <v>70</v>
      </c>
      <c r="BB69">
        <v>1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CV69">
        <v>0</v>
      </c>
      <c r="CW69">
        <v>0</v>
      </c>
      <c r="CX69">
        <f>ROUND(Y69*Source!I102,7)</f>
        <v>0.46</v>
      </c>
      <c r="CY69">
        <f>AD69</f>
        <v>0</v>
      </c>
      <c r="CZ69">
        <f>AH69</f>
        <v>0</v>
      </c>
      <c r="DA69">
        <f>AL69</f>
        <v>1</v>
      </c>
      <c r="DB69">
        <f t="shared" si="27"/>
        <v>0</v>
      </c>
      <c r="DC69">
        <f t="shared" si="28"/>
        <v>0</v>
      </c>
      <c r="DD69" t="s">
        <v>3</v>
      </c>
      <c r="DE69" t="s">
        <v>3</v>
      </c>
      <c r="DF69">
        <f t="shared" si="29"/>
        <v>0</v>
      </c>
      <c r="DG69">
        <f t="shared" si="25"/>
        <v>0</v>
      </c>
      <c r="DH69">
        <f t="shared" si="23"/>
        <v>0</v>
      </c>
      <c r="DI69">
        <f t="shared" si="24"/>
        <v>0</v>
      </c>
      <c r="DJ69">
        <f>DI69</f>
        <v>0</v>
      </c>
      <c r="DK69">
        <v>0</v>
      </c>
      <c r="DL69" t="s">
        <v>3</v>
      </c>
      <c r="DM69">
        <v>0</v>
      </c>
      <c r="DN69" t="s">
        <v>3</v>
      </c>
      <c r="DO69">
        <v>0</v>
      </c>
    </row>
    <row r="70" spans="1:119" x14ac:dyDescent="0.25">
      <c r="A70">
        <f>ROW(Source!A102)</f>
        <v>102</v>
      </c>
      <c r="B70">
        <v>75604747</v>
      </c>
      <c r="C70">
        <v>75618539</v>
      </c>
      <c r="D70">
        <v>74309824</v>
      </c>
      <c r="E70">
        <v>1</v>
      </c>
      <c r="F70">
        <v>1</v>
      </c>
      <c r="G70">
        <v>1</v>
      </c>
      <c r="H70">
        <v>2</v>
      </c>
      <c r="I70" t="s">
        <v>527</v>
      </c>
      <c r="J70" t="s">
        <v>528</v>
      </c>
      <c r="K70" t="s">
        <v>529</v>
      </c>
      <c r="L70">
        <v>1368</v>
      </c>
      <c r="N70">
        <v>1011</v>
      </c>
      <c r="O70" t="s">
        <v>509</v>
      </c>
      <c r="P70" t="s">
        <v>509</v>
      </c>
      <c r="Q70">
        <v>1</v>
      </c>
      <c r="W70">
        <v>0</v>
      </c>
      <c r="X70">
        <v>-312038840</v>
      </c>
      <c r="Y70">
        <f t="shared" si="26"/>
        <v>0.11499999999999999</v>
      </c>
      <c r="AA70">
        <v>0</v>
      </c>
      <c r="AB70">
        <v>551.45000000000005</v>
      </c>
      <c r="AC70">
        <v>368.02</v>
      </c>
      <c r="AD70">
        <v>0</v>
      </c>
      <c r="AE70">
        <v>0</v>
      </c>
      <c r="AF70">
        <v>551.45000000000005</v>
      </c>
      <c r="AG70">
        <v>368.02</v>
      </c>
      <c r="AH70">
        <v>0</v>
      </c>
      <c r="AI70">
        <v>1</v>
      </c>
      <c r="AJ70">
        <v>1</v>
      </c>
      <c r="AK70">
        <v>1</v>
      </c>
      <c r="AL70">
        <v>1</v>
      </c>
      <c r="AM70">
        <v>-2</v>
      </c>
      <c r="AN70">
        <v>0</v>
      </c>
      <c r="AO70">
        <v>0</v>
      </c>
      <c r="AP70">
        <v>1</v>
      </c>
      <c r="AQ70">
        <v>1</v>
      </c>
      <c r="AR70">
        <v>0</v>
      </c>
      <c r="AS70" t="s">
        <v>3</v>
      </c>
      <c r="AT70">
        <v>0.1</v>
      </c>
      <c r="AU70" t="s">
        <v>27</v>
      </c>
      <c r="AV70">
        <v>1</v>
      </c>
      <c r="AW70">
        <v>2</v>
      </c>
      <c r="AX70">
        <v>75618545</v>
      </c>
      <c r="AY70">
        <v>1</v>
      </c>
      <c r="AZ70">
        <v>0</v>
      </c>
      <c r="BA70">
        <v>71</v>
      </c>
      <c r="BB70">
        <v>1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55.14500000000001</v>
      </c>
      <c r="BL70">
        <v>36.802</v>
      </c>
      <c r="BM70">
        <v>0</v>
      </c>
      <c r="BN70">
        <v>0</v>
      </c>
      <c r="BO70">
        <v>0.1</v>
      </c>
      <c r="BP70">
        <v>1</v>
      </c>
      <c r="BQ70">
        <v>0</v>
      </c>
      <c r="BR70">
        <v>63.41675</v>
      </c>
      <c r="BS70">
        <v>42.322299999999991</v>
      </c>
      <c r="BT70">
        <v>0</v>
      </c>
      <c r="BU70">
        <v>0</v>
      </c>
      <c r="BV70">
        <v>0.11499999999999999</v>
      </c>
      <c r="BW70">
        <v>1</v>
      </c>
      <c r="CV70">
        <v>0</v>
      </c>
      <c r="CW70">
        <f>ROUND(Y70*Source!I102*DO70,7)</f>
        <v>0.46</v>
      </c>
      <c r="CX70">
        <f>ROUND(Y70*Source!I102,7)</f>
        <v>0.46</v>
      </c>
      <c r="CY70">
        <f>AB70</f>
        <v>551.45000000000005</v>
      </c>
      <c r="CZ70">
        <f>AF70</f>
        <v>551.45000000000005</v>
      </c>
      <c r="DA70">
        <f>AJ70</f>
        <v>1</v>
      </c>
      <c r="DB70">
        <f t="shared" si="27"/>
        <v>63.422499999999999</v>
      </c>
      <c r="DC70">
        <f t="shared" si="28"/>
        <v>42.32</v>
      </c>
      <c r="DD70" t="s">
        <v>3</v>
      </c>
      <c r="DE70" t="s">
        <v>3</v>
      </c>
      <c r="DF70">
        <f t="shared" si="29"/>
        <v>0</v>
      </c>
      <c r="DG70">
        <f t="shared" si="25"/>
        <v>253.67</v>
      </c>
      <c r="DH70">
        <f t="shared" si="23"/>
        <v>169.29</v>
      </c>
      <c r="DI70">
        <f t="shared" si="24"/>
        <v>0</v>
      </c>
      <c r="DJ70">
        <f>DG70+DH70</f>
        <v>422.96</v>
      </c>
      <c r="DK70">
        <v>1</v>
      </c>
      <c r="DL70" t="s">
        <v>522</v>
      </c>
      <c r="DM70">
        <v>4</v>
      </c>
      <c r="DN70" t="s">
        <v>501</v>
      </c>
      <c r="DO70">
        <v>1</v>
      </c>
    </row>
    <row r="71" spans="1:119" x14ac:dyDescent="0.25">
      <c r="A71">
        <f>ROW(Source!A144)</f>
        <v>144</v>
      </c>
      <c r="B71">
        <v>75604747</v>
      </c>
      <c r="C71">
        <v>75605416</v>
      </c>
      <c r="D71">
        <v>74182291</v>
      </c>
      <c r="E71">
        <v>118</v>
      </c>
      <c r="F71">
        <v>1</v>
      </c>
      <c r="G71">
        <v>1</v>
      </c>
      <c r="H71">
        <v>1</v>
      </c>
      <c r="I71" t="s">
        <v>589</v>
      </c>
      <c r="J71" t="s">
        <v>3</v>
      </c>
      <c r="K71" t="s">
        <v>590</v>
      </c>
      <c r="L71">
        <v>1191</v>
      </c>
      <c r="N71">
        <v>1013</v>
      </c>
      <c r="O71" t="s">
        <v>501</v>
      </c>
      <c r="P71" t="s">
        <v>501</v>
      </c>
      <c r="Q71">
        <v>1</v>
      </c>
      <c r="W71">
        <v>0</v>
      </c>
      <c r="X71">
        <v>174150515</v>
      </c>
      <c r="Y71">
        <f t="shared" si="26"/>
        <v>487.59999999999997</v>
      </c>
      <c r="AA71">
        <v>0</v>
      </c>
      <c r="AB71">
        <v>0</v>
      </c>
      <c r="AC71">
        <v>0</v>
      </c>
      <c r="AD71">
        <v>373.51</v>
      </c>
      <c r="AE71">
        <v>0</v>
      </c>
      <c r="AF71">
        <v>0</v>
      </c>
      <c r="AG71">
        <v>0</v>
      </c>
      <c r="AH71">
        <v>373.51</v>
      </c>
      <c r="AI71">
        <v>1</v>
      </c>
      <c r="AJ71">
        <v>1</v>
      </c>
      <c r="AK71">
        <v>1</v>
      </c>
      <c r="AL71">
        <v>1</v>
      </c>
      <c r="AM71">
        <v>-2</v>
      </c>
      <c r="AN71">
        <v>0</v>
      </c>
      <c r="AO71">
        <v>0</v>
      </c>
      <c r="AP71">
        <v>1</v>
      </c>
      <c r="AQ71">
        <v>1</v>
      </c>
      <c r="AR71">
        <v>0</v>
      </c>
      <c r="AS71" t="s">
        <v>3</v>
      </c>
      <c r="AT71">
        <v>424</v>
      </c>
      <c r="AU71" t="s">
        <v>27</v>
      </c>
      <c r="AV71">
        <v>1</v>
      </c>
      <c r="AW71">
        <v>2</v>
      </c>
      <c r="AX71">
        <v>75605442</v>
      </c>
      <c r="AY71">
        <v>1</v>
      </c>
      <c r="AZ71">
        <v>0</v>
      </c>
      <c r="BA71">
        <v>72</v>
      </c>
      <c r="BB71">
        <v>1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158368.24</v>
      </c>
      <c r="BN71">
        <v>424</v>
      </c>
      <c r="BO71">
        <v>0</v>
      </c>
      <c r="BP71">
        <v>1</v>
      </c>
      <c r="BQ71">
        <v>0</v>
      </c>
      <c r="BR71">
        <v>0</v>
      </c>
      <c r="BS71">
        <v>0</v>
      </c>
      <c r="BT71">
        <v>182123.476</v>
      </c>
      <c r="BU71">
        <v>487.59999999999997</v>
      </c>
      <c r="BV71">
        <v>0</v>
      </c>
      <c r="BW71">
        <v>1</v>
      </c>
      <c r="CU71">
        <f>ROUND(AT71*Source!I144*AH71*AL71,2)</f>
        <v>2375.52</v>
      </c>
      <c r="CV71">
        <f>ROUND(Y71*Source!I144,7)</f>
        <v>7.3140000000000001</v>
      </c>
      <c r="CW71">
        <v>0</v>
      </c>
      <c r="CX71">
        <f>ROUND(Y71*Source!I144,7)</f>
        <v>7.3140000000000001</v>
      </c>
      <c r="CY71">
        <f>AD71</f>
        <v>373.51</v>
      </c>
      <c r="CZ71">
        <f>AH71</f>
        <v>373.51</v>
      </c>
      <c r="DA71">
        <f>AL71</f>
        <v>1</v>
      </c>
      <c r="DB71">
        <f t="shared" si="27"/>
        <v>182123.476</v>
      </c>
      <c r="DC71">
        <f t="shared" si="28"/>
        <v>0</v>
      </c>
      <c r="DD71" t="s">
        <v>3</v>
      </c>
      <c r="DE71" t="s">
        <v>3</v>
      </c>
      <c r="DF71">
        <f t="shared" si="29"/>
        <v>0</v>
      </c>
      <c r="DG71">
        <f t="shared" si="25"/>
        <v>0</v>
      </c>
      <c r="DH71">
        <f t="shared" si="23"/>
        <v>0</v>
      </c>
      <c r="DI71">
        <f t="shared" si="24"/>
        <v>2731.85</v>
      </c>
      <c r="DJ71">
        <f>DI71</f>
        <v>2731.85</v>
      </c>
      <c r="DK71">
        <v>1</v>
      </c>
      <c r="DL71" t="s">
        <v>3</v>
      </c>
      <c r="DM71">
        <v>0</v>
      </c>
      <c r="DN71" t="s">
        <v>3</v>
      </c>
      <c r="DO71">
        <v>0</v>
      </c>
    </row>
    <row r="72" spans="1:119" x14ac:dyDescent="0.25">
      <c r="A72">
        <f>ROW(Source!A144)</f>
        <v>144</v>
      </c>
      <c r="B72">
        <v>75604747</v>
      </c>
      <c r="C72">
        <v>75605416</v>
      </c>
      <c r="D72">
        <v>74182464</v>
      </c>
      <c r="E72">
        <v>118</v>
      </c>
      <c r="F72">
        <v>1</v>
      </c>
      <c r="G72">
        <v>1</v>
      </c>
      <c r="H72">
        <v>1</v>
      </c>
      <c r="I72" t="s">
        <v>504</v>
      </c>
      <c r="J72" t="s">
        <v>3</v>
      </c>
      <c r="K72" t="s">
        <v>505</v>
      </c>
      <c r="L72">
        <v>1191</v>
      </c>
      <c r="N72">
        <v>1013</v>
      </c>
      <c r="O72" t="s">
        <v>501</v>
      </c>
      <c r="P72" t="s">
        <v>501</v>
      </c>
      <c r="Q72">
        <v>1</v>
      </c>
      <c r="W72">
        <v>0</v>
      </c>
      <c r="X72">
        <v>-1417349443</v>
      </c>
      <c r="Y72">
        <f t="shared" si="26"/>
        <v>71.736999999999995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1</v>
      </c>
      <c r="AJ72">
        <v>1</v>
      </c>
      <c r="AK72">
        <v>1</v>
      </c>
      <c r="AL72">
        <v>1</v>
      </c>
      <c r="AM72">
        <v>-2</v>
      </c>
      <c r="AN72">
        <v>0</v>
      </c>
      <c r="AO72">
        <v>0</v>
      </c>
      <c r="AP72">
        <v>1</v>
      </c>
      <c r="AQ72">
        <v>1</v>
      </c>
      <c r="AR72">
        <v>0</v>
      </c>
      <c r="AS72" t="s">
        <v>3</v>
      </c>
      <c r="AT72">
        <v>62.38</v>
      </c>
      <c r="AU72" t="s">
        <v>27</v>
      </c>
      <c r="AV72">
        <v>2</v>
      </c>
      <c r="AW72">
        <v>2</v>
      </c>
      <c r="AX72">
        <v>75605443</v>
      </c>
      <c r="AY72">
        <v>1</v>
      </c>
      <c r="AZ72">
        <v>0</v>
      </c>
      <c r="BA72">
        <v>73</v>
      </c>
      <c r="BB72">
        <v>1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0</v>
      </c>
      <c r="CV72">
        <v>0</v>
      </c>
      <c r="CW72">
        <v>0</v>
      </c>
      <c r="CX72">
        <f>ROUND(Y72*Source!I144,7)</f>
        <v>1.076055</v>
      </c>
      <c r="CY72">
        <f>AD72</f>
        <v>0</v>
      </c>
      <c r="CZ72">
        <f>AH72</f>
        <v>0</v>
      </c>
      <c r="DA72">
        <f>AL72</f>
        <v>1</v>
      </c>
      <c r="DB72">
        <f t="shared" si="27"/>
        <v>0</v>
      </c>
      <c r="DC72">
        <f t="shared" si="28"/>
        <v>0</v>
      </c>
      <c r="DD72" t="s">
        <v>3</v>
      </c>
      <c r="DE72" t="s">
        <v>3</v>
      </c>
      <c r="DF72">
        <f t="shared" si="29"/>
        <v>0</v>
      </c>
      <c r="DG72">
        <f t="shared" si="25"/>
        <v>0</v>
      </c>
      <c r="DH72">
        <f t="shared" si="23"/>
        <v>0</v>
      </c>
      <c r="DI72">
        <f t="shared" si="24"/>
        <v>0</v>
      </c>
      <c r="DJ72">
        <f>DI72</f>
        <v>0</v>
      </c>
      <c r="DK72">
        <v>0</v>
      </c>
      <c r="DL72" t="s">
        <v>3</v>
      </c>
      <c r="DM72">
        <v>0</v>
      </c>
      <c r="DN72" t="s">
        <v>3</v>
      </c>
      <c r="DO72">
        <v>0</v>
      </c>
    </row>
    <row r="73" spans="1:119" x14ac:dyDescent="0.25">
      <c r="A73">
        <f>ROW(Source!A144)</f>
        <v>144</v>
      </c>
      <c r="B73">
        <v>75604747</v>
      </c>
      <c r="C73">
        <v>75605416</v>
      </c>
      <c r="D73">
        <v>74308922</v>
      </c>
      <c r="E73">
        <v>1</v>
      </c>
      <c r="F73">
        <v>1</v>
      </c>
      <c r="G73">
        <v>1</v>
      </c>
      <c r="H73">
        <v>2</v>
      </c>
      <c r="I73" t="s">
        <v>574</v>
      </c>
      <c r="J73" t="s">
        <v>575</v>
      </c>
      <c r="K73" t="s">
        <v>576</v>
      </c>
      <c r="L73">
        <v>1368</v>
      </c>
      <c r="N73">
        <v>1011</v>
      </c>
      <c r="O73" t="s">
        <v>509</v>
      </c>
      <c r="P73" t="s">
        <v>509</v>
      </c>
      <c r="Q73">
        <v>1</v>
      </c>
      <c r="W73">
        <v>0</v>
      </c>
      <c r="X73">
        <v>-1068589559</v>
      </c>
      <c r="Y73">
        <f t="shared" si="26"/>
        <v>8.0500000000000002E-2</v>
      </c>
      <c r="AA73">
        <v>0</v>
      </c>
      <c r="AB73">
        <v>1598.95</v>
      </c>
      <c r="AC73">
        <v>494.35</v>
      </c>
      <c r="AD73">
        <v>0</v>
      </c>
      <c r="AE73">
        <v>0</v>
      </c>
      <c r="AF73">
        <v>1598.95</v>
      </c>
      <c r="AG73">
        <v>494.35</v>
      </c>
      <c r="AH73">
        <v>0</v>
      </c>
      <c r="AI73">
        <v>1</v>
      </c>
      <c r="AJ73">
        <v>1</v>
      </c>
      <c r="AK73">
        <v>1</v>
      </c>
      <c r="AL73">
        <v>1</v>
      </c>
      <c r="AM73">
        <v>-2</v>
      </c>
      <c r="AN73">
        <v>0</v>
      </c>
      <c r="AO73">
        <v>0</v>
      </c>
      <c r="AP73">
        <v>1</v>
      </c>
      <c r="AQ73">
        <v>1</v>
      </c>
      <c r="AR73">
        <v>0</v>
      </c>
      <c r="AS73" t="s">
        <v>3</v>
      </c>
      <c r="AT73">
        <v>7.0000000000000007E-2</v>
      </c>
      <c r="AU73" t="s">
        <v>27</v>
      </c>
      <c r="AV73">
        <v>1</v>
      </c>
      <c r="AW73">
        <v>2</v>
      </c>
      <c r="AX73">
        <v>75605444</v>
      </c>
      <c r="AY73">
        <v>1</v>
      </c>
      <c r="AZ73">
        <v>0</v>
      </c>
      <c r="BA73">
        <v>74</v>
      </c>
      <c r="BB73">
        <v>1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111.92650000000002</v>
      </c>
      <c r="BL73">
        <v>34.604500000000002</v>
      </c>
      <c r="BM73">
        <v>0</v>
      </c>
      <c r="BN73">
        <v>0</v>
      </c>
      <c r="BO73">
        <v>7.0000000000000007E-2</v>
      </c>
      <c r="BP73">
        <v>1</v>
      </c>
      <c r="BQ73">
        <v>0</v>
      </c>
      <c r="BR73">
        <v>128.715475</v>
      </c>
      <c r="BS73">
        <v>39.795175</v>
      </c>
      <c r="BT73">
        <v>0</v>
      </c>
      <c r="BU73">
        <v>0</v>
      </c>
      <c r="BV73">
        <v>8.0500000000000002E-2</v>
      </c>
      <c r="BW73">
        <v>1</v>
      </c>
      <c r="CV73">
        <v>0</v>
      </c>
      <c r="CW73">
        <f>ROUND(Y73*Source!I144*DO73,7)</f>
        <v>1.2075E-3</v>
      </c>
      <c r="CX73">
        <f>ROUND(Y73*Source!I144,7)</f>
        <v>1.2075E-3</v>
      </c>
      <c r="CY73">
        <f t="shared" ref="CY73:CY78" si="30">AB73</f>
        <v>1598.95</v>
      </c>
      <c r="CZ73">
        <f t="shared" ref="CZ73:CZ78" si="31">AF73</f>
        <v>1598.95</v>
      </c>
      <c r="DA73">
        <f t="shared" ref="DA73:DA78" si="32">AJ73</f>
        <v>1</v>
      </c>
      <c r="DB73">
        <f t="shared" si="27"/>
        <v>128.71950000000001</v>
      </c>
      <c r="DC73">
        <f t="shared" si="28"/>
        <v>39.79</v>
      </c>
      <c r="DD73" t="s">
        <v>3</v>
      </c>
      <c r="DE73" t="s">
        <v>3</v>
      </c>
      <c r="DF73">
        <f t="shared" si="29"/>
        <v>0</v>
      </c>
      <c r="DG73">
        <f t="shared" si="25"/>
        <v>1.93</v>
      </c>
      <c r="DH73">
        <f t="shared" si="23"/>
        <v>0.6</v>
      </c>
      <c r="DI73">
        <f t="shared" si="24"/>
        <v>0</v>
      </c>
      <c r="DJ73">
        <f t="shared" ref="DJ73:DJ78" si="33">DG73+DH73</f>
        <v>2.5299999999999998</v>
      </c>
      <c r="DK73">
        <v>1</v>
      </c>
      <c r="DL73" t="s">
        <v>577</v>
      </c>
      <c r="DM73">
        <v>6</v>
      </c>
      <c r="DN73" t="s">
        <v>501</v>
      </c>
      <c r="DO73">
        <v>1</v>
      </c>
    </row>
    <row r="74" spans="1:119" x14ac:dyDescent="0.25">
      <c r="A74">
        <f>ROW(Source!A144)</f>
        <v>144</v>
      </c>
      <c r="B74">
        <v>75604747</v>
      </c>
      <c r="C74">
        <v>75605416</v>
      </c>
      <c r="D74">
        <v>74309532</v>
      </c>
      <c r="E74">
        <v>1</v>
      </c>
      <c r="F74">
        <v>1</v>
      </c>
      <c r="G74">
        <v>1</v>
      </c>
      <c r="H74">
        <v>2</v>
      </c>
      <c r="I74" t="s">
        <v>591</v>
      </c>
      <c r="J74" t="s">
        <v>592</v>
      </c>
      <c r="K74" t="s">
        <v>593</v>
      </c>
      <c r="L74">
        <v>1368</v>
      </c>
      <c r="N74">
        <v>1011</v>
      </c>
      <c r="O74" t="s">
        <v>509</v>
      </c>
      <c r="P74" t="s">
        <v>509</v>
      </c>
      <c r="Q74">
        <v>1</v>
      </c>
      <c r="W74">
        <v>0</v>
      </c>
      <c r="X74">
        <v>-394322561</v>
      </c>
      <c r="Y74">
        <f t="shared" si="26"/>
        <v>28.749999999999996</v>
      </c>
      <c r="AA74">
        <v>0</v>
      </c>
      <c r="AB74">
        <v>1756.11</v>
      </c>
      <c r="AC74">
        <v>368.02</v>
      </c>
      <c r="AD74">
        <v>0</v>
      </c>
      <c r="AE74">
        <v>0</v>
      </c>
      <c r="AF74">
        <v>1416.22</v>
      </c>
      <c r="AG74">
        <v>368.02</v>
      </c>
      <c r="AH74">
        <v>0</v>
      </c>
      <c r="AI74">
        <v>1</v>
      </c>
      <c r="AJ74">
        <v>1.24</v>
      </c>
      <c r="AK74">
        <v>1</v>
      </c>
      <c r="AL74">
        <v>1</v>
      </c>
      <c r="AM74">
        <v>2</v>
      </c>
      <c r="AN74">
        <v>0</v>
      </c>
      <c r="AO74">
        <v>0</v>
      </c>
      <c r="AP74">
        <v>1</v>
      </c>
      <c r="AQ74">
        <v>1</v>
      </c>
      <c r="AR74">
        <v>0</v>
      </c>
      <c r="AS74" t="s">
        <v>3</v>
      </c>
      <c r="AT74">
        <v>25</v>
      </c>
      <c r="AU74" t="s">
        <v>27</v>
      </c>
      <c r="AV74">
        <v>1</v>
      </c>
      <c r="AW74">
        <v>2</v>
      </c>
      <c r="AX74">
        <v>75605445</v>
      </c>
      <c r="AY74">
        <v>1</v>
      </c>
      <c r="AZ74">
        <v>0</v>
      </c>
      <c r="BA74">
        <v>75</v>
      </c>
      <c r="BB74">
        <v>1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35405.5</v>
      </c>
      <c r="BL74">
        <v>9200.5</v>
      </c>
      <c r="BM74">
        <v>0</v>
      </c>
      <c r="BN74">
        <v>0</v>
      </c>
      <c r="BO74">
        <v>25</v>
      </c>
      <c r="BP74">
        <v>1</v>
      </c>
      <c r="BQ74">
        <v>0</v>
      </c>
      <c r="BR74">
        <v>40716.324999999997</v>
      </c>
      <c r="BS74">
        <v>10580.574999999999</v>
      </c>
      <c r="BT74">
        <v>0</v>
      </c>
      <c r="BU74">
        <v>0</v>
      </c>
      <c r="BV74">
        <v>28.749999999999996</v>
      </c>
      <c r="BW74">
        <v>1</v>
      </c>
      <c r="CV74">
        <v>0</v>
      </c>
      <c r="CW74">
        <f>ROUND(Y74*Source!I144*DO74,7)</f>
        <v>0.43125000000000002</v>
      </c>
      <c r="CX74">
        <f>ROUND(Y74*Source!I144,7)</f>
        <v>0.43125000000000002</v>
      </c>
      <c r="CY74">
        <f t="shared" si="30"/>
        <v>1756.11</v>
      </c>
      <c r="CZ74">
        <f t="shared" si="31"/>
        <v>1416.22</v>
      </c>
      <c r="DA74">
        <f t="shared" si="32"/>
        <v>1.24</v>
      </c>
      <c r="DB74">
        <f t="shared" si="27"/>
        <v>40716.324999999997</v>
      </c>
      <c r="DC74">
        <f t="shared" si="28"/>
        <v>10580.575000000001</v>
      </c>
      <c r="DD74" t="s">
        <v>3</v>
      </c>
      <c r="DE74" t="s">
        <v>3</v>
      </c>
      <c r="DF74">
        <f t="shared" si="29"/>
        <v>0</v>
      </c>
      <c r="DG74">
        <f>ROUND(ROUND(AF74*AJ74,2)*CX74,2)</f>
        <v>757.32</v>
      </c>
      <c r="DH74">
        <f t="shared" si="23"/>
        <v>158.71</v>
      </c>
      <c r="DI74">
        <f t="shared" si="24"/>
        <v>0</v>
      </c>
      <c r="DJ74">
        <f t="shared" si="33"/>
        <v>916.03000000000009</v>
      </c>
      <c r="DK74">
        <v>0</v>
      </c>
      <c r="DL74" t="s">
        <v>522</v>
      </c>
      <c r="DM74">
        <v>4</v>
      </c>
      <c r="DN74" t="s">
        <v>501</v>
      </c>
      <c r="DO74">
        <v>1</v>
      </c>
    </row>
    <row r="75" spans="1:119" x14ac:dyDescent="0.25">
      <c r="A75">
        <f>ROW(Source!A144)</f>
        <v>144</v>
      </c>
      <c r="B75">
        <v>75604747</v>
      </c>
      <c r="C75">
        <v>75605416</v>
      </c>
      <c r="D75">
        <v>74309573</v>
      </c>
      <c r="E75">
        <v>1</v>
      </c>
      <c r="F75">
        <v>1</v>
      </c>
      <c r="G75">
        <v>1</v>
      </c>
      <c r="H75">
        <v>2</v>
      </c>
      <c r="I75" t="s">
        <v>594</v>
      </c>
      <c r="J75" t="s">
        <v>595</v>
      </c>
      <c r="K75" t="s">
        <v>596</v>
      </c>
      <c r="L75">
        <v>1368</v>
      </c>
      <c r="N75">
        <v>1011</v>
      </c>
      <c r="O75" t="s">
        <v>509</v>
      </c>
      <c r="P75" t="s">
        <v>509</v>
      </c>
      <c r="Q75">
        <v>1</v>
      </c>
      <c r="W75">
        <v>0</v>
      </c>
      <c r="X75">
        <v>-1413288295</v>
      </c>
      <c r="Y75">
        <f t="shared" si="26"/>
        <v>28.404999999999998</v>
      </c>
      <c r="AA75">
        <v>0</v>
      </c>
      <c r="AB75">
        <v>1113.29</v>
      </c>
      <c r="AC75">
        <v>422.95</v>
      </c>
      <c r="AD75">
        <v>0</v>
      </c>
      <c r="AE75">
        <v>0</v>
      </c>
      <c r="AF75">
        <v>994.01</v>
      </c>
      <c r="AG75">
        <v>422.95</v>
      </c>
      <c r="AH75">
        <v>0</v>
      </c>
      <c r="AI75">
        <v>1</v>
      </c>
      <c r="AJ75">
        <v>1.1200000000000001</v>
      </c>
      <c r="AK75">
        <v>1</v>
      </c>
      <c r="AL75">
        <v>1</v>
      </c>
      <c r="AM75">
        <v>2</v>
      </c>
      <c r="AN75">
        <v>0</v>
      </c>
      <c r="AO75">
        <v>0</v>
      </c>
      <c r="AP75">
        <v>1</v>
      </c>
      <c r="AQ75">
        <v>1</v>
      </c>
      <c r="AR75">
        <v>0</v>
      </c>
      <c r="AS75" t="s">
        <v>3</v>
      </c>
      <c r="AT75">
        <v>24.7</v>
      </c>
      <c r="AU75" t="s">
        <v>27</v>
      </c>
      <c r="AV75">
        <v>1</v>
      </c>
      <c r="AW75">
        <v>2</v>
      </c>
      <c r="AX75">
        <v>75605446</v>
      </c>
      <c r="AY75">
        <v>1</v>
      </c>
      <c r="AZ75">
        <v>0</v>
      </c>
      <c r="BA75">
        <v>76</v>
      </c>
      <c r="BB75">
        <v>1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24552.046999999999</v>
      </c>
      <c r="BL75">
        <v>10446.865</v>
      </c>
      <c r="BM75">
        <v>0</v>
      </c>
      <c r="BN75">
        <v>0</v>
      </c>
      <c r="BO75">
        <v>24.7</v>
      </c>
      <c r="BP75">
        <v>1</v>
      </c>
      <c r="BQ75">
        <v>0</v>
      </c>
      <c r="BR75">
        <v>28234.854049999998</v>
      </c>
      <c r="BS75">
        <v>12013.894749999999</v>
      </c>
      <c r="BT75">
        <v>0</v>
      </c>
      <c r="BU75">
        <v>0</v>
      </c>
      <c r="BV75">
        <v>28.404999999999998</v>
      </c>
      <c r="BW75">
        <v>1</v>
      </c>
      <c r="CV75">
        <v>0</v>
      </c>
      <c r="CW75">
        <f>ROUND(Y75*Source!I144*DO75,7)</f>
        <v>0.42607499999999998</v>
      </c>
      <c r="CX75">
        <f>ROUND(Y75*Source!I144,7)</f>
        <v>0.42607499999999998</v>
      </c>
      <c r="CY75">
        <f t="shared" si="30"/>
        <v>1113.29</v>
      </c>
      <c r="CZ75">
        <f t="shared" si="31"/>
        <v>994.01</v>
      </c>
      <c r="DA75">
        <f t="shared" si="32"/>
        <v>1.1200000000000001</v>
      </c>
      <c r="DB75">
        <f t="shared" si="27"/>
        <v>28234.857499999998</v>
      </c>
      <c r="DC75">
        <f t="shared" si="28"/>
        <v>12013.9005</v>
      </c>
      <c r="DD75" t="s">
        <v>3</v>
      </c>
      <c r="DE75" t="s">
        <v>3</v>
      </c>
      <c r="DF75">
        <f t="shared" si="29"/>
        <v>0</v>
      </c>
      <c r="DG75">
        <f>ROUND(ROUND(AF75*AJ75,2)*CX75,2)</f>
        <v>474.35</v>
      </c>
      <c r="DH75">
        <f t="shared" si="23"/>
        <v>180.21</v>
      </c>
      <c r="DI75">
        <f t="shared" si="24"/>
        <v>0</v>
      </c>
      <c r="DJ75">
        <f t="shared" si="33"/>
        <v>654.56000000000006</v>
      </c>
      <c r="DK75">
        <v>0</v>
      </c>
      <c r="DL75" t="s">
        <v>510</v>
      </c>
      <c r="DM75">
        <v>5</v>
      </c>
      <c r="DN75" t="s">
        <v>501</v>
      </c>
      <c r="DO75">
        <v>1</v>
      </c>
    </row>
    <row r="76" spans="1:119" x14ac:dyDescent="0.25">
      <c r="A76">
        <f>ROW(Source!A144)</f>
        <v>144</v>
      </c>
      <c r="B76">
        <v>75604747</v>
      </c>
      <c r="C76">
        <v>75605416</v>
      </c>
      <c r="D76">
        <v>74309824</v>
      </c>
      <c r="E76">
        <v>1</v>
      </c>
      <c r="F76">
        <v>1</v>
      </c>
      <c r="G76">
        <v>1</v>
      </c>
      <c r="H76">
        <v>2</v>
      </c>
      <c r="I76" t="s">
        <v>527</v>
      </c>
      <c r="J76" t="s">
        <v>528</v>
      </c>
      <c r="K76" t="s">
        <v>529</v>
      </c>
      <c r="L76">
        <v>1368</v>
      </c>
      <c r="N76">
        <v>1011</v>
      </c>
      <c r="O76" t="s">
        <v>509</v>
      </c>
      <c r="P76" t="s">
        <v>509</v>
      </c>
      <c r="Q76">
        <v>1</v>
      </c>
      <c r="W76">
        <v>0</v>
      </c>
      <c r="X76">
        <v>-312038840</v>
      </c>
      <c r="Y76">
        <f t="shared" si="26"/>
        <v>0.1265</v>
      </c>
      <c r="AA76">
        <v>0</v>
      </c>
      <c r="AB76">
        <v>551.45000000000005</v>
      </c>
      <c r="AC76">
        <v>368.02</v>
      </c>
      <c r="AD76">
        <v>0</v>
      </c>
      <c r="AE76">
        <v>0</v>
      </c>
      <c r="AF76">
        <v>551.45000000000005</v>
      </c>
      <c r="AG76">
        <v>368.02</v>
      </c>
      <c r="AH76">
        <v>0</v>
      </c>
      <c r="AI76">
        <v>1</v>
      </c>
      <c r="AJ76">
        <v>1</v>
      </c>
      <c r="AK76">
        <v>1</v>
      </c>
      <c r="AL76">
        <v>1</v>
      </c>
      <c r="AM76">
        <v>-2</v>
      </c>
      <c r="AN76">
        <v>0</v>
      </c>
      <c r="AO76">
        <v>0</v>
      </c>
      <c r="AP76">
        <v>1</v>
      </c>
      <c r="AQ76">
        <v>1</v>
      </c>
      <c r="AR76">
        <v>0</v>
      </c>
      <c r="AS76" t="s">
        <v>3</v>
      </c>
      <c r="AT76">
        <v>0.11</v>
      </c>
      <c r="AU76" t="s">
        <v>27</v>
      </c>
      <c r="AV76">
        <v>1</v>
      </c>
      <c r="AW76">
        <v>2</v>
      </c>
      <c r="AX76">
        <v>75605447</v>
      </c>
      <c r="AY76">
        <v>1</v>
      </c>
      <c r="AZ76">
        <v>0</v>
      </c>
      <c r="BA76">
        <v>77</v>
      </c>
      <c r="BB76">
        <v>1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60.659500000000008</v>
      </c>
      <c r="BL76">
        <v>40.482199999999999</v>
      </c>
      <c r="BM76">
        <v>0</v>
      </c>
      <c r="BN76">
        <v>0</v>
      </c>
      <c r="BO76">
        <v>0.11</v>
      </c>
      <c r="BP76">
        <v>1</v>
      </c>
      <c r="BQ76">
        <v>0</v>
      </c>
      <c r="BR76">
        <v>69.758425000000003</v>
      </c>
      <c r="BS76">
        <v>46.55453</v>
      </c>
      <c r="BT76">
        <v>0</v>
      </c>
      <c r="BU76">
        <v>0</v>
      </c>
      <c r="BV76">
        <v>0.1265</v>
      </c>
      <c r="BW76">
        <v>1</v>
      </c>
      <c r="CV76">
        <v>0</v>
      </c>
      <c r="CW76">
        <f>ROUND(Y76*Source!I144*DO76,7)</f>
        <v>1.8975000000000001E-3</v>
      </c>
      <c r="CX76">
        <f>ROUND(Y76*Source!I144,7)</f>
        <v>1.8975000000000001E-3</v>
      </c>
      <c r="CY76">
        <f t="shared" si="30"/>
        <v>551.45000000000005</v>
      </c>
      <c r="CZ76">
        <f t="shared" si="31"/>
        <v>551.45000000000005</v>
      </c>
      <c r="DA76">
        <f t="shared" si="32"/>
        <v>1</v>
      </c>
      <c r="DB76">
        <f t="shared" si="27"/>
        <v>69.759</v>
      </c>
      <c r="DC76">
        <f t="shared" si="28"/>
        <v>46.552</v>
      </c>
      <c r="DD76" t="s">
        <v>3</v>
      </c>
      <c r="DE76" t="s">
        <v>3</v>
      </c>
      <c r="DF76">
        <f t="shared" si="29"/>
        <v>0</v>
      </c>
      <c r="DG76">
        <f t="shared" ref="DG76:DG89" si="34">ROUND(ROUND(AF76,2)*CX76,2)</f>
        <v>1.05</v>
      </c>
      <c r="DH76">
        <f t="shared" si="23"/>
        <v>0.7</v>
      </c>
      <c r="DI76">
        <f t="shared" si="24"/>
        <v>0</v>
      </c>
      <c r="DJ76">
        <f t="shared" si="33"/>
        <v>1.75</v>
      </c>
      <c r="DK76">
        <v>1</v>
      </c>
      <c r="DL76" t="s">
        <v>522</v>
      </c>
      <c r="DM76">
        <v>4</v>
      </c>
      <c r="DN76" t="s">
        <v>501</v>
      </c>
      <c r="DO76">
        <v>1</v>
      </c>
    </row>
    <row r="77" spans="1:119" x14ac:dyDescent="0.25">
      <c r="A77">
        <f>ROW(Source!A144)</f>
        <v>144</v>
      </c>
      <c r="B77">
        <v>75604747</v>
      </c>
      <c r="C77">
        <v>75605416</v>
      </c>
      <c r="D77">
        <v>74310021</v>
      </c>
      <c r="E77">
        <v>1</v>
      </c>
      <c r="F77">
        <v>1</v>
      </c>
      <c r="G77">
        <v>1</v>
      </c>
      <c r="H77">
        <v>2</v>
      </c>
      <c r="I77" t="s">
        <v>597</v>
      </c>
      <c r="J77" t="s">
        <v>598</v>
      </c>
      <c r="K77" t="s">
        <v>599</v>
      </c>
      <c r="L77">
        <v>1368</v>
      </c>
      <c r="N77">
        <v>1011</v>
      </c>
      <c r="O77" t="s">
        <v>509</v>
      </c>
      <c r="P77" t="s">
        <v>509</v>
      </c>
      <c r="Q77">
        <v>1</v>
      </c>
      <c r="W77">
        <v>0</v>
      </c>
      <c r="X77">
        <v>462025989</v>
      </c>
      <c r="Y77">
        <f t="shared" si="26"/>
        <v>79.004999999999995</v>
      </c>
      <c r="AA77">
        <v>0</v>
      </c>
      <c r="AB77">
        <v>41.5</v>
      </c>
      <c r="AC77">
        <v>0</v>
      </c>
      <c r="AD77">
        <v>0</v>
      </c>
      <c r="AE77">
        <v>0</v>
      </c>
      <c r="AF77">
        <v>41.5</v>
      </c>
      <c r="AG77">
        <v>0</v>
      </c>
      <c r="AH77">
        <v>0</v>
      </c>
      <c r="AI77">
        <v>1</v>
      </c>
      <c r="AJ77">
        <v>1</v>
      </c>
      <c r="AK77">
        <v>1</v>
      </c>
      <c r="AL77">
        <v>1</v>
      </c>
      <c r="AM77">
        <v>-2</v>
      </c>
      <c r="AN77">
        <v>0</v>
      </c>
      <c r="AO77">
        <v>0</v>
      </c>
      <c r="AP77">
        <v>1</v>
      </c>
      <c r="AQ77">
        <v>1</v>
      </c>
      <c r="AR77">
        <v>0</v>
      </c>
      <c r="AS77" t="s">
        <v>3</v>
      </c>
      <c r="AT77">
        <v>68.7</v>
      </c>
      <c r="AU77" t="s">
        <v>27</v>
      </c>
      <c r="AV77">
        <v>1</v>
      </c>
      <c r="AW77">
        <v>2</v>
      </c>
      <c r="AX77">
        <v>75605448</v>
      </c>
      <c r="AY77">
        <v>1</v>
      </c>
      <c r="AZ77">
        <v>0</v>
      </c>
      <c r="BA77">
        <v>78</v>
      </c>
      <c r="BB77">
        <v>1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2851.05</v>
      </c>
      <c r="BL77">
        <v>0</v>
      </c>
      <c r="BM77">
        <v>0</v>
      </c>
      <c r="BN77">
        <v>0</v>
      </c>
      <c r="BO77">
        <v>0</v>
      </c>
      <c r="BP77">
        <v>1</v>
      </c>
      <c r="BQ77">
        <v>0</v>
      </c>
      <c r="BR77">
        <v>3278.7075</v>
      </c>
      <c r="BS77">
        <v>0</v>
      </c>
      <c r="BT77">
        <v>0</v>
      </c>
      <c r="BU77">
        <v>0</v>
      </c>
      <c r="BV77">
        <v>0</v>
      </c>
      <c r="BW77">
        <v>1</v>
      </c>
      <c r="CV77">
        <v>0</v>
      </c>
      <c r="CW77">
        <f>ROUND(Y77*Source!I144*DO77,7)</f>
        <v>0</v>
      </c>
      <c r="CX77">
        <f>ROUND(Y77*Source!I144,7)</f>
        <v>1.1850750000000001</v>
      </c>
      <c r="CY77">
        <f t="shared" si="30"/>
        <v>41.5</v>
      </c>
      <c r="CZ77">
        <f t="shared" si="31"/>
        <v>41.5</v>
      </c>
      <c r="DA77">
        <f t="shared" si="32"/>
        <v>1</v>
      </c>
      <c r="DB77">
        <f t="shared" si="27"/>
        <v>3278.7075</v>
      </c>
      <c r="DC77">
        <f t="shared" si="28"/>
        <v>0</v>
      </c>
      <c r="DD77" t="s">
        <v>3</v>
      </c>
      <c r="DE77" t="s">
        <v>3</v>
      </c>
      <c r="DF77">
        <f t="shared" si="29"/>
        <v>0</v>
      </c>
      <c r="DG77">
        <f t="shared" si="34"/>
        <v>49.18</v>
      </c>
      <c r="DH77">
        <f t="shared" si="23"/>
        <v>0</v>
      </c>
      <c r="DI77">
        <f t="shared" si="24"/>
        <v>0</v>
      </c>
      <c r="DJ77">
        <f t="shared" si="33"/>
        <v>49.18</v>
      </c>
      <c r="DK77">
        <v>1</v>
      </c>
      <c r="DL77" t="s">
        <v>3</v>
      </c>
      <c r="DM77">
        <v>0</v>
      </c>
      <c r="DN77" t="s">
        <v>3</v>
      </c>
      <c r="DO77">
        <v>0</v>
      </c>
    </row>
    <row r="78" spans="1:119" x14ac:dyDescent="0.25">
      <c r="A78">
        <f>ROW(Source!A144)</f>
        <v>144</v>
      </c>
      <c r="B78">
        <v>75604747</v>
      </c>
      <c r="C78">
        <v>75605416</v>
      </c>
      <c r="D78">
        <v>74310033</v>
      </c>
      <c r="E78">
        <v>1</v>
      </c>
      <c r="F78">
        <v>1</v>
      </c>
      <c r="G78">
        <v>1</v>
      </c>
      <c r="H78">
        <v>2</v>
      </c>
      <c r="I78" t="s">
        <v>519</v>
      </c>
      <c r="J78" t="s">
        <v>520</v>
      </c>
      <c r="K78" t="s">
        <v>521</v>
      </c>
      <c r="L78">
        <v>1368</v>
      </c>
      <c r="N78">
        <v>1011</v>
      </c>
      <c r="O78" t="s">
        <v>509</v>
      </c>
      <c r="P78" t="s">
        <v>509</v>
      </c>
      <c r="Q78">
        <v>1</v>
      </c>
      <c r="W78">
        <v>0</v>
      </c>
      <c r="X78">
        <v>1818041354</v>
      </c>
      <c r="Y78">
        <f t="shared" si="26"/>
        <v>14.374999999999998</v>
      </c>
      <c r="AA78">
        <v>0</v>
      </c>
      <c r="AB78">
        <v>385.61</v>
      </c>
      <c r="AC78">
        <v>368.02</v>
      </c>
      <c r="AD78">
        <v>0</v>
      </c>
      <c r="AE78">
        <v>0</v>
      </c>
      <c r="AF78">
        <v>385.61</v>
      </c>
      <c r="AG78">
        <v>368.02</v>
      </c>
      <c r="AH78">
        <v>0</v>
      </c>
      <c r="AI78">
        <v>1</v>
      </c>
      <c r="AJ78">
        <v>1</v>
      </c>
      <c r="AK78">
        <v>1</v>
      </c>
      <c r="AL78">
        <v>1</v>
      </c>
      <c r="AM78">
        <v>-2</v>
      </c>
      <c r="AN78">
        <v>0</v>
      </c>
      <c r="AO78">
        <v>0</v>
      </c>
      <c r="AP78">
        <v>1</v>
      </c>
      <c r="AQ78">
        <v>1</v>
      </c>
      <c r="AR78">
        <v>0</v>
      </c>
      <c r="AS78" t="s">
        <v>3</v>
      </c>
      <c r="AT78">
        <v>12.5</v>
      </c>
      <c r="AU78" t="s">
        <v>27</v>
      </c>
      <c r="AV78">
        <v>1</v>
      </c>
      <c r="AW78">
        <v>2</v>
      </c>
      <c r="AX78">
        <v>75605449</v>
      </c>
      <c r="AY78">
        <v>1</v>
      </c>
      <c r="AZ78">
        <v>0</v>
      </c>
      <c r="BA78">
        <v>79</v>
      </c>
      <c r="BB78">
        <v>1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4820.125</v>
      </c>
      <c r="BL78">
        <v>4600.25</v>
      </c>
      <c r="BM78">
        <v>0</v>
      </c>
      <c r="BN78">
        <v>0</v>
      </c>
      <c r="BO78">
        <v>12.5</v>
      </c>
      <c r="BP78">
        <v>1</v>
      </c>
      <c r="BQ78">
        <v>0</v>
      </c>
      <c r="BR78">
        <v>5543.1437499999993</v>
      </c>
      <c r="BS78">
        <v>5290.2874999999995</v>
      </c>
      <c r="BT78">
        <v>0</v>
      </c>
      <c r="BU78">
        <v>0</v>
      </c>
      <c r="BV78">
        <v>14.374999999999998</v>
      </c>
      <c r="BW78">
        <v>1</v>
      </c>
      <c r="CV78">
        <v>0</v>
      </c>
      <c r="CW78">
        <f>ROUND(Y78*Source!I144*DO78,7)</f>
        <v>0.21562500000000001</v>
      </c>
      <c r="CX78">
        <f>ROUND(Y78*Source!I144,7)</f>
        <v>0.21562500000000001</v>
      </c>
      <c r="CY78">
        <f t="shared" si="30"/>
        <v>385.61</v>
      </c>
      <c r="CZ78">
        <f t="shared" si="31"/>
        <v>385.61</v>
      </c>
      <c r="DA78">
        <f t="shared" si="32"/>
        <v>1</v>
      </c>
      <c r="DB78">
        <f t="shared" si="27"/>
        <v>5543.1495000000004</v>
      </c>
      <c r="DC78">
        <f t="shared" si="28"/>
        <v>5290.2875000000004</v>
      </c>
      <c r="DD78" t="s">
        <v>3</v>
      </c>
      <c r="DE78" t="s">
        <v>3</v>
      </c>
      <c r="DF78">
        <f t="shared" si="29"/>
        <v>0</v>
      </c>
      <c r="DG78">
        <f t="shared" si="34"/>
        <v>83.15</v>
      </c>
      <c r="DH78">
        <f t="shared" si="23"/>
        <v>79.349999999999994</v>
      </c>
      <c r="DI78">
        <f t="shared" si="24"/>
        <v>0</v>
      </c>
      <c r="DJ78">
        <f t="shared" si="33"/>
        <v>162.5</v>
      </c>
      <c r="DK78">
        <v>1</v>
      </c>
      <c r="DL78" t="s">
        <v>522</v>
      </c>
      <c r="DM78">
        <v>4</v>
      </c>
      <c r="DN78" t="s">
        <v>501</v>
      </c>
      <c r="DO78">
        <v>1</v>
      </c>
    </row>
    <row r="79" spans="1:119" x14ac:dyDescent="0.25">
      <c r="A79">
        <f>ROW(Source!A144)</f>
        <v>144</v>
      </c>
      <c r="B79">
        <v>75604747</v>
      </c>
      <c r="C79">
        <v>75605416</v>
      </c>
      <c r="D79">
        <v>74259029</v>
      </c>
      <c r="E79">
        <v>1</v>
      </c>
      <c r="F79">
        <v>1</v>
      </c>
      <c r="G79">
        <v>1</v>
      </c>
      <c r="H79">
        <v>3</v>
      </c>
      <c r="I79" t="s">
        <v>600</v>
      </c>
      <c r="J79" t="s">
        <v>601</v>
      </c>
      <c r="K79" t="s">
        <v>602</v>
      </c>
      <c r="L79">
        <v>1339</v>
      </c>
      <c r="N79">
        <v>1007</v>
      </c>
      <c r="O79" t="s">
        <v>205</v>
      </c>
      <c r="P79" t="s">
        <v>205</v>
      </c>
      <c r="Q79">
        <v>1</v>
      </c>
      <c r="W79">
        <v>0</v>
      </c>
      <c r="X79">
        <v>727623859</v>
      </c>
      <c r="Y79">
        <f t="shared" ref="Y79:Y86" si="35">AT79</f>
        <v>10</v>
      </c>
      <c r="AA79">
        <v>31.42</v>
      </c>
      <c r="AB79">
        <v>0</v>
      </c>
      <c r="AC79">
        <v>0</v>
      </c>
      <c r="AD79">
        <v>0</v>
      </c>
      <c r="AE79">
        <v>35.71</v>
      </c>
      <c r="AF79">
        <v>0</v>
      </c>
      <c r="AG79">
        <v>0</v>
      </c>
      <c r="AH79">
        <v>0</v>
      </c>
      <c r="AI79">
        <v>0.88</v>
      </c>
      <c r="AJ79">
        <v>1</v>
      </c>
      <c r="AK79">
        <v>1</v>
      </c>
      <c r="AL79">
        <v>1</v>
      </c>
      <c r="AM79">
        <v>2</v>
      </c>
      <c r="AN79">
        <v>0</v>
      </c>
      <c r="AO79">
        <v>0</v>
      </c>
      <c r="AP79">
        <v>1</v>
      </c>
      <c r="AQ79">
        <v>1</v>
      </c>
      <c r="AR79">
        <v>0</v>
      </c>
      <c r="AS79" t="s">
        <v>3</v>
      </c>
      <c r="AT79">
        <v>10</v>
      </c>
      <c r="AU79" t="s">
        <v>3</v>
      </c>
      <c r="AV79">
        <v>0</v>
      </c>
      <c r="AW79">
        <v>2</v>
      </c>
      <c r="AX79">
        <v>75605450</v>
      </c>
      <c r="AY79">
        <v>1</v>
      </c>
      <c r="AZ79">
        <v>0</v>
      </c>
      <c r="BA79">
        <v>80</v>
      </c>
      <c r="BB79">
        <v>1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357.1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1</v>
      </c>
      <c r="BQ79">
        <v>357.1</v>
      </c>
      <c r="BR79">
        <v>0</v>
      </c>
      <c r="BS79">
        <v>0</v>
      </c>
      <c r="BT79">
        <v>0</v>
      </c>
      <c r="BU79">
        <v>0</v>
      </c>
      <c r="BV79">
        <v>0</v>
      </c>
      <c r="BW79">
        <v>1</v>
      </c>
      <c r="CV79">
        <v>0</v>
      </c>
      <c r="CW79">
        <v>0</v>
      </c>
      <c r="CX79">
        <f>ROUND(Y79*Source!I144,7)</f>
        <v>0.15</v>
      </c>
      <c r="CY79">
        <f t="shared" ref="CY79:CY86" si="36">AA79</f>
        <v>31.42</v>
      </c>
      <c r="CZ79">
        <f t="shared" ref="CZ79:CZ86" si="37">AE79</f>
        <v>35.71</v>
      </c>
      <c r="DA79">
        <f t="shared" ref="DA79:DA86" si="38">AI79</f>
        <v>0.88</v>
      </c>
      <c r="DB79">
        <f t="shared" ref="DB79:DB86" si="39">ROUND(ROUND(AT79*CZ79,2),6)</f>
        <v>357.1</v>
      </c>
      <c r="DC79">
        <f t="shared" ref="DC79:DC86" si="40">ROUND(ROUND(AT79*AG79,2),6)</f>
        <v>0</v>
      </c>
      <c r="DD79" t="s">
        <v>3</v>
      </c>
      <c r="DE79" t="s">
        <v>3</v>
      </c>
      <c r="DF79">
        <f>ROUND(ROUND(AE79*AI79,2)*CX79,2)</f>
        <v>4.71</v>
      </c>
      <c r="DG79">
        <f t="shared" si="34"/>
        <v>0</v>
      </c>
      <c r="DH79">
        <f t="shared" si="23"/>
        <v>0</v>
      </c>
      <c r="DI79">
        <f t="shared" si="24"/>
        <v>0</v>
      </c>
      <c r="DJ79">
        <f t="shared" ref="DJ79:DJ86" si="41">DF79</f>
        <v>4.71</v>
      </c>
      <c r="DK79">
        <v>0</v>
      </c>
      <c r="DL79" t="s">
        <v>3</v>
      </c>
      <c r="DM79">
        <v>0</v>
      </c>
      <c r="DN79" t="s">
        <v>3</v>
      </c>
      <c r="DO79">
        <v>0</v>
      </c>
    </row>
    <row r="80" spans="1:119" x14ac:dyDescent="0.25">
      <c r="A80">
        <f>ROW(Source!A144)</f>
        <v>144</v>
      </c>
      <c r="B80">
        <v>75604747</v>
      </c>
      <c r="C80">
        <v>75605416</v>
      </c>
      <c r="D80">
        <v>74259041</v>
      </c>
      <c r="E80">
        <v>1</v>
      </c>
      <c r="F80">
        <v>1</v>
      </c>
      <c r="G80">
        <v>1</v>
      </c>
      <c r="H80">
        <v>3</v>
      </c>
      <c r="I80" t="s">
        <v>560</v>
      </c>
      <c r="J80" t="s">
        <v>561</v>
      </c>
      <c r="K80" t="s">
        <v>562</v>
      </c>
      <c r="L80">
        <v>1383</v>
      </c>
      <c r="N80">
        <v>1013</v>
      </c>
      <c r="O80" t="s">
        <v>563</v>
      </c>
      <c r="P80" t="s">
        <v>563</v>
      </c>
      <c r="Q80">
        <v>1</v>
      </c>
      <c r="W80">
        <v>0</v>
      </c>
      <c r="X80">
        <v>-182421198</v>
      </c>
      <c r="Y80">
        <f t="shared" si="35"/>
        <v>7.4340000000000002</v>
      </c>
      <c r="AA80">
        <v>9.0399999999999991</v>
      </c>
      <c r="AB80">
        <v>0</v>
      </c>
      <c r="AC80">
        <v>0</v>
      </c>
      <c r="AD80">
        <v>0</v>
      </c>
      <c r="AE80">
        <v>9.0399999999999991</v>
      </c>
      <c r="AF80">
        <v>0</v>
      </c>
      <c r="AG80">
        <v>0</v>
      </c>
      <c r="AH80">
        <v>0</v>
      </c>
      <c r="AI80">
        <v>1</v>
      </c>
      <c r="AJ80">
        <v>1</v>
      </c>
      <c r="AK80">
        <v>1</v>
      </c>
      <c r="AL80">
        <v>1</v>
      </c>
      <c r="AM80">
        <v>-2</v>
      </c>
      <c r="AN80">
        <v>0</v>
      </c>
      <c r="AO80">
        <v>0</v>
      </c>
      <c r="AP80">
        <v>1</v>
      </c>
      <c r="AQ80">
        <v>1</v>
      </c>
      <c r="AR80">
        <v>0</v>
      </c>
      <c r="AS80" t="s">
        <v>3</v>
      </c>
      <c r="AT80">
        <v>7.4340000000000002</v>
      </c>
      <c r="AU80" t="s">
        <v>3</v>
      </c>
      <c r="AV80">
        <v>0</v>
      </c>
      <c r="AW80">
        <v>2</v>
      </c>
      <c r="AX80">
        <v>75605451</v>
      </c>
      <c r="AY80">
        <v>1</v>
      </c>
      <c r="AZ80">
        <v>0</v>
      </c>
      <c r="BA80">
        <v>81</v>
      </c>
      <c r="BB80">
        <v>1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67.203359999999989</v>
      </c>
      <c r="BK80">
        <v>0</v>
      </c>
      <c r="BL80">
        <v>0</v>
      </c>
      <c r="BM80">
        <v>0</v>
      </c>
      <c r="BN80">
        <v>0</v>
      </c>
      <c r="BO80">
        <v>0</v>
      </c>
      <c r="BP80">
        <v>1</v>
      </c>
      <c r="BQ80">
        <v>67.203359999999989</v>
      </c>
      <c r="BR80">
        <v>0</v>
      </c>
      <c r="BS80">
        <v>0</v>
      </c>
      <c r="BT80">
        <v>0</v>
      </c>
      <c r="BU80">
        <v>0</v>
      </c>
      <c r="BV80">
        <v>0</v>
      </c>
      <c r="BW80">
        <v>1</v>
      </c>
      <c r="CV80">
        <v>0</v>
      </c>
      <c r="CW80">
        <v>0</v>
      </c>
      <c r="CX80">
        <f>ROUND(Y80*Source!I144,7)</f>
        <v>0.11151</v>
      </c>
      <c r="CY80">
        <f t="shared" si="36"/>
        <v>9.0399999999999991</v>
      </c>
      <c r="CZ80">
        <f t="shared" si="37"/>
        <v>9.0399999999999991</v>
      </c>
      <c r="DA80">
        <f t="shared" si="38"/>
        <v>1</v>
      </c>
      <c r="DB80">
        <f t="shared" si="39"/>
        <v>67.2</v>
      </c>
      <c r="DC80">
        <f t="shared" si="40"/>
        <v>0</v>
      </c>
      <c r="DD80" t="s">
        <v>3</v>
      </c>
      <c r="DE80" t="s">
        <v>3</v>
      </c>
      <c r="DF80">
        <f>ROUND(ROUND(AE80,2)*CX80,2)</f>
        <v>1.01</v>
      </c>
      <c r="DG80">
        <f t="shared" si="34"/>
        <v>0</v>
      </c>
      <c r="DH80">
        <f t="shared" si="23"/>
        <v>0</v>
      </c>
      <c r="DI80">
        <f t="shared" si="24"/>
        <v>0</v>
      </c>
      <c r="DJ80">
        <f t="shared" si="41"/>
        <v>1.01</v>
      </c>
      <c r="DK80">
        <v>1</v>
      </c>
      <c r="DL80" t="s">
        <v>3</v>
      </c>
      <c r="DM80">
        <v>0</v>
      </c>
      <c r="DN80" t="s">
        <v>3</v>
      </c>
      <c r="DO80">
        <v>0</v>
      </c>
    </row>
    <row r="81" spans="1:119" x14ac:dyDescent="0.25">
      <c r="A81">
        <f>ROW(Source!A144)</f>
        <v>144</v>
      </c>
      <c r="B81">
        <v>75604747</v>
      </c>
      <c r="C81">
        <v>75605416</v>
      </c>
      <c r="D81">
        <v>74259783</v>
      </c>
      <c r="E81">
        <v>1</v>
      </c>
      <c r="F81">
        <v>1</v>
      </c>
      <c r="G81">
        <v>1</v>
      </c>
      <c r="H81">
        <v>3</v>
      </c>
      <c r="I81" t="s">
        <v>603</v>
      </c>
      <c r="J81" t="s">
        <v>604</v>
      </c>
      <c r="K81" t="s">
        <v>605</v>
      </c>
      <c r="L81">
        <v>1346</v>
      </c>
      <c r="N81">
        <v>1009</v>
      </c>
      <c r="O81" t="s">
        <v>240</v>
      </c>
      <c r="P81" t="s">
        <v>240</v>
      </c>
      <c r="Q81">
        <v>1</v>
      </c>
      <c r="W81">
        <v>0</v>
      </c>
      <c r="X81">
        <v>-1476217930</v>
      </c>
      <c r="Y81">
        <f t="shared" si="35"/>
        <v>45</v>
      </c>
      <c r="AA81">
        <v>132.29</v>
      </c>
      <c r="AB81">
        <v>0</v>
      </c>
      <c r="AC81">
        <v>0</v>
      </c>
      <c r="AD81">
        <v>0</v>
      </c>
      <c r="AE81">
        <v>155.63</v>
      </c>
      <c r="AF81">
        <v>0</v>
      </c>
      <c r="AG81">
        <v>0</v>
      </c>
      <c r="AH81">
        <v>0</v>
      </c>
      <c r="AI81">
        <v>0.85</v>
      </c>
      <c r="AJ81">
        <v>1</v>
      </c>
      <c r="AK81">
        <v>1</v>
      </c>
      <c r="AL81">
        <v>1</v>
      </c>
      <c r="AM81">
        <v>2</v>
      </c>
      <c r="AN81">
        <v>0</v>
      </c>
      <c r="AO81">
        <v>0</v>
      </c>
      <c r="AP81">
        <v>1</v>
      </c>
      <c r="AQ81">
        <v>1</v>
      </c>
      <c r="AR81">
        <v>0</v>
      </c>
      <c r="AS81" t="s">
        <v>3</v>
      </c>
      <c r="AT81">
        <v>45</v>
      </c>
      <c r="AU81" t="s">
        <v>3</v>
      </c>
      <c r="AV81">
        <v>0</v>
      </c>
      <c r="AW81">
        <v>2</v>
      </c>
      <c r="AX81">
        <v>75605452</v>
      </c>
      <c r="AY81">
        <v>1</v>
      </c>
      <c r="AZ81">
        <v>0</v>
      </c>
      <c r="BA81">
        <v>82</v>
      </c>
      <c r="BB81">
        <v>1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7003.3499999999995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1</v>
      </c>
      <c r="BQ81">
        <v>7003.3499999999995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1</v>
      </c>
      <c r="CV81">
        <v>0</v>
      </c>
      <c r="CW81">
        <v>0</v>
      </c>
      <c r="CX81">
        <f>ROUND(Y81*Source!I144,7)</f>
        <v>0.67500000000000004</v>
      </c>
      <c r="CY81">
        <f t="shared" si="36"/>
        <v>132.29</v>
      </c>
      <c r="CZ81">
        <f t="shared" si="37"/>
        <v>155.63</v>
      </c>
      <c r="DA81">
        <f t="shared" si="38"/>
        <v>0.85</v>
      </c>
      <c r="DB81">
        <f t="shared" si="39"/>
        <v>7003.35</v>
      </c>
      <c r="DC81">
        <f t="shared" si="40"/>
        <v>0</v>
      </c>
      <c r="DD81" t="s">
        <v>3</v>
      </c>
      <c r="DE81" t="s">
        <v>3</v>
      </c>
      <c r="DF81">
        <f t="shared" ref="DF81:DF86" si="42">ROUND(ROUND(AE81*AI81,2)*CX81,2)</f>
        <v>89.3</v>
      </c>
      <c r="DG81">
        <f t="shared" si="34"/>
        <v>0</v>
      </c>
      <c r="DH81">
        <f t="shared" si="23"/>
        <v>0</v>
      </c>
      <c r="DI81">
        <f t="shared" si="24"/>
        <v>0</v>
      </c>
      <c r="DJ81">
        <f t="shared" si="41"/>
        <v>89.3</v>
      </c>
      <c r="DK81">
        <v>0</v>
      </c>
      <c r="DL81" t="s">
        <v>3</v>
      </c>
      <c r="DM81">
        <v>0</v>
      </c>
      <c r="DN81" t="s">
        <v>3</v>
      </c>
      <c r="DO81">
        <v>0</v>
      </c>
    </row>
    <row r="82" spans="1:119" x14ac:dyDescent="0.25">
      <c r="A82">
        <f>ROW(Source!A144)</f>
        <v>144</v>
      </c>
      <c r="B82">
        <v>75604747</v>
      </c>
      <c r="C82">
        <v>75605416</v>
      </c>
      <c r="D82">
        <v>74262400</v>
      </c>
      <c r="E82">
        <v>1</v>
      </c>
      <c r="F82">
        <v>1</v>
      </c>
      <c r="G82">
        <v>1</v>
      </c>
      <c r="H82">
        <v>3</v>
      </c>
      <c r="I82" t="s">
        <v>606</v>
      </c>
      <c r="J82" t="s">
        <v>607</v>
      </c>
      <c r="K82" t="s">
        <v>608</v>
      </c>
      <c r="L82">
        <v>1348</v>
      </c>
      <c r="N82">
        <v>1009</v>
      </c>
      <c r="O82" t="s">
        <v>174</v>
      </c>
      <c r="P82" t="s">
        <v>174</v>
      </c>
      <c r="Q82">
        <v>1000</v>
      </c>
      <c r="W82">
        <v>0</v>
      </c>
      <c r="X82">
        <v>1065500328</v>
      </c>
      <c r="Y82">
        <f t="shared" si="35"/>
        <v>5.9999999999999995E-4</v>
      </c>
      <c r="AA82">
        <v>38176.699999999997</v>
      </c>
      <c r="AB82">
        <v>0</v>
      </c>
      <c r="AC82">
        <v>0</v>
      </c>
      <c r="AD82">
        <v>0</v>
      </c>
      <c r="AE82">
        <v>26885</v>
      </c>
      <c r="AF82">
        <v>0</v>
      </c>
      <c r="AG82">
        <v>0</v>
      </c>
      <c r="AH82">
        <v>0</v>
      </c>
      <c r="AI82">
        <v>1.42</v>
      </c>
      <c r="AJ82">
        <v>1</v>
      </c>
      <c r="AK82">
        <v>1</v>
      </c>
      <c r="AL82">
        <v>1</v>
      </c>
      <c r="AM82">
        <v>2</v>
      </c>
      <c r="AN82">
        <v>0</v>
      </c>
      <c r="AO82">
        <v>0</v>
      </c>
      <c r="AP82">
        <v>1</v>
      </c>
      <c r="AQ82">
        <v>1</v>
      </c>
      <c r="AR82">
        <v>0</v>
      </c>
      <c r="AS82" t="s">
        <v>3</v>
      </c>
      <c r="AT82">
        <v>5.9999999999999995E-4</v>
      </c>
      <c r="AU82" t="s">
        <v>3</v>
      </c>
      <c r="AV82">
        <v>0</v>
      </c>
      <c r="AW82">
        <v>2</v>
      </c>
      <c r="AX82">
        <v>75605454</v>
      </c>
      <c r="AY82">
        <v>1</v>
      </c>
      <c r="AZ82">
        <v>0</v>
      </c>
      <c r="BA82">
        <v>84</v>
      </c>
      <c r="BB82">
        <v>1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16.131</v>
      </c>
      <c r="BK82">
        <v>0</v>
      </c>
      <c r="BL82">
        <v>0</v>
      </c>
      <c r="BM82">
        <v>0</v>
      </c>
      <c r="BN82">
        <v>0</v>
      </c>
      <c r="BO82">
        <v>0</v>
      </c>
      <c r="BP82">
        <v>1</v>
      </c>
      <c r="BQ82">
        <v>16.131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1</v>
      </c>
      <c r="CV82">
        <v>0</v>
      </c>
      <c r="CW82">
        <v>0</v>
      </c>
      <c r="CX82">
        <f>ROUND(Y82*Source!I144,7)</f>
        <v>9.0000000000000002E-6</v>
      </c>
      <c r="CY82">
        <f t="shared" si="36"/>
        <v>38176.699999999997</v>
      </c>
      <c r="CZ82">
        <f t="shared" si="37"/>
        <v>26885</v>
      </c>
      <c r="DA82">
        <f t="shared" si="38"/>
        <v>1.42</v>
      </c>
      <c r="DB82">
        <f t="shared" si="39"/>
        <v>16.13</v>
      </c>
      <c r="DC82">
        <f t="shared" si="40"/>
        <v>0</v>
      </c>
      <c r="DD82" t="s">
        <v>3</v>
      </c>
      <c r="DE82" t="s">
        <v>3</v>
      </c>
      <c r="DF82">
        <f t="shared" si="42"/>
        <v>0.34</v>
      </c>
      <c r="DG82">
        <f t="shared" si="34"/>
        <v>0</v>
      </c>
      <c r="DH82">
        <f t="shared" si="23"/>
        <v>0</v>
      </c>
      <c r="DI82">
        <f t="shared" si="24"/>
        <v>0</v>
      </c>
      <c r="DJ82">
        <f t="shared" si="41"/>
        <v>0.34</v>
      </c>
      <c r="DK82">
        <v>0</v>
      </c>
      <c r="DL82" t="s">
        <v>3</v>
      </c>
      <c r="DM82">
        <v>0</v>
      </c>
      <c r="DN82" t="s">
        <v>3</v>
      </c>
      <c r="DO82">
        <v>0</v>
      </c>
    </row>
    <row r="83" spans="1:119" x14ac:dyDescent="0.25">
      <c r="A83">
        <f>ROW(Source!A144)</f>
        <v>144</v>
      </c>
      <c r="B83">
        <v>75604747</v>
      </c>
      <c r="C83">
        <v>75605416</v>
      </c>
      <c r="D83">
        <v>74265693</v>
      </c>
      <c r="E83">
        <v>1</v>
      </c>
      <c r="F83">
        <v>1</v>
      </c>
      <c r="G83">
        <v>1</v>
      </c>
      <c r="H83">
        <v>3</v>
      </c>
      <c r="I83" t="s">
        <v>609</v>
      </c>
      <c r="J83" t="s">
        <v>610</v>
      </c>
      <c r="K83" t="s">
        <v>611</v>
      </c>
      <c r="L83">
        <v>1348</v>
      </c>
      <c r="N83">
        <v>1009</v>
      </c>
      <c r="O83" t="s">
        <v>174</v>
      </c>
      <c r="P83" t="s">
        <v>174</v>
      </c>
      <c r="Q83">
        <v>1000</v>
      </c>
      <c r="W83">
        <v>0</v>
      </c>
      <c r="X83">
        <v>-28959261</v>
      </c>
      <c r="Y83">
        <f t="shared" si="35"/>
        <v>0.01</v>
      </c>
      <c r="AA83">
        <v>140114.95000000001</v>
      </c>
      <c r="AB83">
        <v>0</v>
      </c>
      <c r="AC83">
        <v>0</v>
      </c>
      <c r="AD83">
        <v>0</v>
      </c>
      <c r="AE83">
        <v>106957.98</v>
      </c>
      <c r="AF83">
        <v>0</v>
      </c>
      <c r="AG83">
        <v>0</v>
      </c>
      <c r="AH83">
        <v>0</v>
      </c>
      <c r="AI83">
        <v>1.31</v>
      </c>
      <c r="AJ83">
        <v>1</v>
      </c>
      <c r="AK83">
        <v>1</v>
      </c>
      <c r="AL83">
        <v>1</v>
      </c>
      <c r="AM83">
        <v>2</v>
      </c>
      <c r="AN83">
        <v>0</v>
      </c>
      <c r="AO83">
        <v>0</v>
      </c>
      <c r="AP83">
        <v>1</v>
      </c>
      <c r="AQ83">
        <v>1</v>
      </c>
      <c r="AR83">
        <v>0</v>
      </c>
      <c r="AS83" t="s">
        <v>3</v>
      </c>
      <c r="AT83">
        <v>0.01</v>
      </c>
      <c r="AU83" t="s">
        <v>3</v>
      </c>
      <c r="AV83">
        <v>0</v>
      </c>
      <c r="AW83">
        <v>2</v>
      </c>
      <c r="AX83">
        <v>75605456</v>
      </c>
      <c r="AY83">
        <v>1</v>
      </c>
      <c r="AZ83">
        <v>0</v>
      </c>
      <c r="BA83">
        <v>86</v>
      </c>
      <c r="BB83">
        <v>1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1069.5798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1</v>
      </c>
      <c r="BQ83">
        <v>1069.5798</v>
      </c>
      <c r="BR83">
        <v>0</v>
      </c>
      <c r="BS83">
        <v>0</v>
      </c>
      <c r="BT83">
        <v>0</v>
      </c>
      <c r="BU83">
        <v>0</v>
      </c>
      <c r="BV83">
        <v>0</v>
      </c>
      <c r="BW83">
        <v>1</v>
      </c>
      <c r="CV83">
        <v>0</v>
      </c>
      <c r="CW83">
        <v>0</v>
      </c>
      <c r="CX83">
        <f>ROUND(Y83*Source!I144,7)</f>
        <v>1.4999999999999999E-4</v>
      </c>
      <c r="CY83">
        <f t="shared" si="36"/>
        <v>140114.95000000001</v>
      </c>
      <c r="CZ83">
        <f t="shared" si="37"/>
        <v>106957.98</v>
      </c>
      <c r="DA83">
        <f t="shared" si="38"/>
        <v>1.31</v>
      </c>
      <c r="DB83">
        <f t="shared" si="39"/>
        <v>1069.58</v>
      </c>
      <c r="DC83">
        <f t="shared" si="40"/>
        <v>0</v>
      </c>
      <c r="DD83" t="s">
        <v>3</v>
      </c>
      <c r="DE83" t="s">
        <v>3</v>
      </c>
      <c r="DF83">
        <f t="shared" si="42"/>
        <v>21.02</v>
      </c>
      <c r="DG83">
        <f t="shared" si="34"/>
        <v>0</v>
      </c>
      <c r="DH83">
        <f t="shared" si="23"/>
        <v>0</v>
      </c>
      <c r="DI83">
        <f t="shared" si="24"/>
        <v>0</v>
      </c>
      <c r="DJ83">
        <f t="shared" si="41"/>
        <v>21.02</v>
      </c>
      <c r="DK83">
        <v>0</v>
      </c>
      <c r="DL83" t="s">
        <v>3</v>
      </c>
      <c r="DM83">
        <v>0</v>
      </c>
      <c r="DN83" t="s">
        <v>3</v>
      </c>
      <c r="DO83">
        <v>0</v>
      </c>
    </row>
    <row r="84" spans="1:119" x14ac:dyDescent="0.25">
      <c r="A84">
        <f>ROW(Source!A144)</f>
        <v>144</v>
      </c>
      <c r="B84">
        <v>75604747</v>
      </c>
      <c r="C84">
        <v>75605416</v>
      </c>
      <c r="D84">
        <v>74267062</v>
      </c>
      <c r="E84">
        <v>1</v>
      </c>
      <c r="F84">
        <v>1</v>
      </c>
      <c r="G84">
        <v>1</v>
      </c>
      <c r="H84">
        <v>3</v>
      </c>
      <c r="I84" t="s">
        <v>238</v>
      </c>
      <c r="J84" t="s">
        <v>241</v>
      </c>
      <c r="K84" t="s">
        <v>239</v>
      </c>
      <c r="L84">
        <v>1346</v>
      </c>
      <c r="N84">
        <v>1009</v>
      </c>
      <c r="O84" t="s">
        <v>240</v>
      </c>
      <c r="P84" t="s">
        <v>240</v>
      </c>
      <c r="Q84">
        <v>1</v>
      </c>
      <c r="W84">
        <v>0</v>
      </c>
      <c r="X84">
        <v>-738673789</v>
      </c>
      <c r="Y84">
        <f t="shared" si="35"/>
        <v>290</v>
      </c>
      <c r="AA84">
        <v>230.1</v>
      </c>
      <c r="AB84">
        <v>0</v>
      </c>
      <c r="AC84">
        <v>0</v>
      </c>
      <c r="AD84">
        <v>0</v>
      </c>
      <c r="AE84">
        <v>175.65</v>
      </c>
      <c r="AF84">
        <v>0</v>
      </c>
      <c r="AG84">
        <v>0</v>
      </c>
      <c r="AH84">
        <v>0</v>
      </c>
      <c r="AI84">
        <v>1.31</v>
      </c>
      <c r="AJ84">
        <v>1</v>
      </c>
      <c r="AK84">
        <v>1</v>
      </c>
      <c r="AL84">
        <v>1</v>
      </c>
      <c r="AM84">
        <v>0</v>
      </c>
      <c r="AN84">
        <v>0</v>
      </c>
      <c r="AO84">
        <v>0</v>
      </c>
      <c r="AP84">
        <v>1</v>
      </c>
      <c r="AQ84">
        <v>0</v>
      </c>
      <c r="AR84">
        <v>0</v>
      </c>
      <c r="AS84" t="s">
        <v>3</v>
      </c>
      <c r="AT84">
        <v>290</v>
      </c>
      <c r="AU84" t="s">
        <v>3</v>
      </c>
      <c r="AV84">
        <v>0</v>
      </c>
      <c r="AW84">
        <v>1</v>
      </c>
      <c r="AX84">
        <v>-1</v>
      </c>
      <c r="AY84">
        <v>0</v>
      </c>
      <c r="AZ84">
        <v>0</v>
      </c>
      <c r="BA84" t="s">
        <v>3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0</v>
      </c>
      <c r="BT84">
        <v>0</v>
      </c>
      <c r="BU84">
        <v>0</v>
      </c>
      <c r="BV84">
        <v>0</v>
      </c>
      <c r="BW84">
        <v>0</v>
      </c>
      <c r="CV84">
        <v>0</v>
      </c>
      <c r="CW84">
        <v>0</v>
      </c>
      <c r="CX84">
        <f>ROUND(Y84*Source!I144,7)</f>
        <v>4.3499999999999996</v>
      </c>
      <c r="CY84">
        <f t="shared" si="36"/>
        <v>230.1</v>
      </c>
      <c r="CZ84">
        <f t="shared" si="37"/>
        <v>175.65</v>
      </c>
      <c r="DA84">
        <f t="shared" si="38"/>
        <v>1.31</v>
      </c>
      <c r="DB84">
        <f t="shared" si="39"/>
        <v>50938.5</v>
      </c>
      <c r="DC84">
        <f t="shared" si="40"/>
        <v>0</v>
      </c>
      <c r="DD84" t="s">
        <v>3</v>
      </c>
      <c r="DE84" t="s">
        <v>3</v>
      </c>
      <c r="DF84">
        <f t="shared" si="42"/>
        <v>1000.94</v>
      </c>
      <c r="DG84">
        <f t="shared" si="34"/>
        <v>0</v>
      </c>
      <c r="DH84">
        <f t="shared" si="23"/>
        <v>0</v>
      </c>
      <c r="DI84">
        <f t="shared" si="24"/>
        <v>0</v>
      </c>
      <c r="DJ84">
        <f t="shared" si="41"/>
        <v>1000.94</v>
      </c>
      <c r="DK84">
        <v>0</v>
      </c>
      <c r="DL84" t="s">
        <v>3</v>
      </c>
      <c r="DM84">
        <v>0</v>
      </c>
      <c r="DN84" t="s">
        <v>3</v>
      </c>
      <c r="DO84">
        <v>0</v>
      </c>
    </row>
    <row r="85" spans="1:119" x14ac:dyDescent="0.25">
      <c r="A85">
        <f>ROW(Source!A144)</f>
        <v>144</v>
      </c>
      <c r="B85">
        <v>75604747</v>
      </c>
      <c r="C85">
        <v>75605416</v>
      </c>
      <c r="D85">
        <v>74297265</v>
      </c>
      <c r="E85">
        <v>1</v>
      </c>
      <c r="F85">
        <v>1</v>
      </c>
      <c r="G85">
        <v>1</v>
      </c>
      <c r="H85">
        <v>3</v>
      </c>
      <c r="I85" t="s">
        <v>243</v>
      </c>
      <c r="J85" t="s">
        <v>245</v>
      </c>
      <c r="K85" t="s">
        <v>244</v>
      </c>
      <c r="L85">
        <v>1301</v>
      </c>
      <c r="N85">
        <v>1003</v>
      </c>
      <c r="O85" t="s">
        <v>98</v>
      </c>
      <c r="P85" t="s">
        <v>98</v>
      </c>
      <c r="Q85">
        <v>1</v>
      </c>
      <c r="W85">
        <v>0</v>
      </c>
      <c r="X85">
        <v>514000554</v>
      </c>
      <c r="Y85">
        <f t="shared" si="35"/>
        <v>1000</v>
      </c>
      <c r="AA85">
        <v>361.18</v>
      </c>
      <c r="AB85">
        <v>0</v>
      </c>
      <c r="AC85">
        <v>0</v>
      </c>
      <c r="AD85">
        <v>0</v>
      </c>
      <c r="AE85">
        <v>440.46</v>
      </c>
      <c r="AF85">
        <v>0</v>
      </c>
      <c r="AG85">
        <v>0</v>
      </c>
      <c r="AH85">
        <v>0</v>
      </c>
      <c r="AI85">
        <v>0.82</v>
      </c>
      <c r="AJ85">
        <v>1</v>
      </c>
      <c r="AK85">
        <v>1</v>
      </c>
      <c r="AL85">
        <v>1</v>
      </c>
      <c r="AM85">
        <v>0</v>
      </c>
      <c r="AN85">
        <v>0</v>
      </c>
      <c r="AO85">
        <v>0</v>
      </c>
      <c r="AP85">
        <v>1</v>
      </c>
      <c r="AQ85">
        <v>0</v>
      </c>
      <c r="AR85">
        <v>0</v>
      </c>
      <c r="AS85" t="s">
        <v>3</v>
      </c>
      <c r="AT85">
        <v>1000</v>
      </c>
      <c r="AU85" t="s">
        <v>3</v>
      </c>
      <c r="AV85">
        <v>0</v>
      </c>
      <c r="AW85">
        <v>1</v>
      </c>
      <c r="AX85">
        <v>-1</v>
      </c>
      <c r="AY85">
        <v>0</v>
      </c>
      <c r="AZ85">
        <v>0</v>
      </c>
      <c r="BA85" t="s">
        <v>3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0</v>
      </c>
      <c r="BU85">
        <v>0</v>
      </c>
      <c r="BV85">
        <v>0</v>
      </c>
      <c r="BW85">
        <v>0</v>
      </c>
      <c r="CV85">
        <v>0</v>
      </c>
      <c r="CW85">
        <v>0</v>
      </c>
      <c r="CX85">
        <f>ROUND(Y85*Source!I144,7)</f>
        <v>15</v>
      </c>
      <c r="CY85">
        <f t="shared" si="36"/>
        <v>361.18</v>
      </c>
      <c r="CZ85">
        <f t="shared" si="37"/>
        <v>440.46</v>
      </c>
      <c r="DA85">
        <f t="shared" si="38"/>
        <v>0.82</v>
      </c>
      <c r="DB85">
        <f t="shared" si="39"/>
        <v>440460</v>
      </c>
      <c r="DC85">
        <f t="shared" si="40"/>
        <v>0</v>
      </c>
      <c r="DD85" t="s">
        <v>3</v>
      </c>
      <c r="DE85" t="s">
        <v>3</v>
      </c>
      <c r="DF85">
        <f t="shared" si="42"/>
        <v>5417.7</v>
      </c>
      <c r="DG85">
        <f t="shared" si="34"/>
        <v>0</v>
      </c>
      <c r="DH85">
        <f t="shared" si="23"/>
        <v>0</v>
      </c>
      <c r="DI85">
        <f t="shared" si="24"/>
        <v>0</v>
      </c>
      <c r="DJ85">
        <f t="shared" si="41"/>
        <v>5417.7</v>
      </c>
      <c r="DK85">
        <v>0</v>
      </c>
      <c r="DL85" t="s">
        <v>3</v>
      </c>
      <c r="DM85">
        <v>0</v>
      </c>
      <c r="DN85" t="s">
        <v>3</v>
      </c>
      <c r="DO85">
        <v>0</v>
      </c>
    </row>
    <row r="86" spans="1:119" x14ac:dyDescent="0.25">
      <c r="A86">
        <f>ROW(Source!A144)</f>
        <v>144</v>
      </c>
      <c r="B86">
        <v>75604747</v>
      </c>
      <c r="C86">
        <v>75605416</v>
      </c>
      <c r="D86">
        <v>74298740</v>
      </c>
      <c r="E86">
        <v>1</v>
      </c>
      <c r="F86">
        <v>1</v>
      </c>
      <c r="G86">
        <v>1</v>
      </c>
      <c r="H86">
        <v>3</v>
      </c>
      <c r="I86" t="s">
        <v>247</v>
      </c>
      <c r="J86" t="s">
        <v>249</v>
      </c>
      <c r="K86" t="s">
        <v>248</v>
      </c>
      <c r="L86">
        <v>1371</v>
      </c>
      <c r="N86">
        <v>1013</v>
      </c>
      <c r="O86" t="s">
        <v>222</v>
      </c>
      <c r="P86" t="s">
        <v>222</v>
      </c>
      <c r="Q86">
        <v>1</v>
      </c>
      <c r="W86">
        <v>0</v>
      </c>
      <c r="X86">
        <v>123726734</v>
      </c>
      <c r="Y86">
        <f t="shared" si="35"/>
        <v>266.66666670000001</v>
      </c>
      <c r="AA86">
        <v>197.17</v>
      </c>
      <c r="AB86">
        <v>0</v>
      </c>
      <c r="AC86">
        <v>0</v>
      </c>
      <c r="AD86">
        <v>0</v>
      </c>
      <c r="AE86">
        <v>172.96</v>
      </c>
      <c r="AF86">
        <v>0</v>
      </c>
      <c r="AG86">
        <v>0</v>
      </c>
      <c r="AH86">
        <v>0</v>
      </c>
      <c r="AI86">
        <v>1.1399999999999999</v>
      </c>
      <c r="AJ86">
        <v>1</v>
      </c>
      <c r="AK86">
        <v>1</v>
      </c>
      <c r="AL86">
        <v>1</v>
      </c>
      <c r="AM86">
        <v>0</v>
      </c>
      <c r="AN86">
        <v>0</v>
      </c>
      <c r="AO86">
        <v>0</v>
      </c>
      <c r="AP86">
        <v>1</v>
      </c>
      <c r="AQ86">
        <v>0</v>
      </c>
      <c r="AR86">
        <v>0</v>
      </c>
      <c r="AS86" t="s">
        <v>3</v>
      </c>
      <c r="AT86">
        <v>266.66666670000001</v>
      </c>
      <c r="AU86" t="s">
        <v>3</v>
      </c>
      <c r="AV86">
        <v>0</v>
      </c>
      <c r="AW86">
        <v>1</v>
      </c>
      <c r="AX86">
        <v>-1</v>
      </c>
      <c r="AY86">
        <v>0</v>
      </c>
      <c r="AZ86">
        <v>0</v>
      </c>
      <c r="BA86" t="s">
        <v>3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0</v>
      </c>
      <c r="BQ86">
        <v>0</v>
      </c>
      <c r="BR86">
        <v>0</v>
      </c>
      <c r="BS86">
        <v>0</v>
      </c>
      <c r="BT86">
        <v>0</v>
      </c>
      <c r="BU86">
        <v>0</v>
      </c>
      <c r="BV86">
        <v>0</v>
      </c>
      <c r="BW86">
        <v>0</v>
      </c>
      <c r="CV86">
        <v>0</v>
      </c>
      <c r="CW86">
        <v>0</v>
      </c>
      <c r="CX86">
        <f>ROUND(Y86*Source!I144,7)</f>
        <v>4</v>
      </c>
      <c r="CY86">
        <f t="shared" si="36"/>
        <v>197.17</v>
      </c>
      <c r="CZ86">
        <f t="shared" si="37"/>
        <v>172.96</v>
      </c>
      <c r="DA86">
        <f t="shared" si="38"/>
        <v>1.1399999999999999</v>
      </c>
      <c r="DB86">
        <f t="shared" si="39"/>
        <v>46122.67</v>
      </c>
      <c r="DC86">
        <f t="shared" si="40"/>
        <v>0</v>
      </c>
      <c r="DD86" t="s">
        <v>3</v>
      </c>
      <c r="DE86" t="s">
        <v>3</v>
      </c>
      <c r="DF86">
        <f t="shared" si="42"/>
        <v>788.68</v>
      </c>
      <c r="DG86">
        <f t="shared" si="34"/>
        <v>0</v>
      </c>
      <c r="DH86">
        <f t="shared" si="23"/>
        <v>0</v>
      </c>
      <c r="DI86">
        <f t="shared" si="24"/>
        <v>0</v>
      </c>
      <c r="DJ86">
        <f t="shared" si="41"/>
        <v>788.68</v>
      </c>
      <c r="DK86">
        <v>0</v>
      </c>
      <c r="DL86" t="s">
        <v>3</v>
      </c>
      <c r="DM86">
        <v>0</v>
      </c>
      <c r="DN86" t="s">
        <v>3</v>
      </c>
      <c r="DO86">
        <v>0</v>
      </c>
    </row>
    <row r="87" spans="1:119" x14ac:dyDescent="0.25">
      <c r="A87">
        <f>ROW(Source!A149)</f>
        <v>149</v>
      </c>
      <c r="B87">
        <v>75604747</v>
      </c>
      <c r="C87">
        <v>75605813</v>
      </c>
      <c r="D87">
        <v>74182275</v>
      </c>
      <c r="E87">
        <v>118</v>
      </c>
      <c r="F87">
        <v>1</v>
      </c>
      <c r="G87">
        <v>1</v>
      </c>
      <c r="H87">
        <v>1</v>
      </c>
      <c r="I87" t="s">
        <v>612</v>
      </c>
      <c r="J87" t="s">
        <v>3</v>
      </c>
      <c r="K87" t="s">
        <v>613</v>
      </c>
      <c r="L87">
        <v>1191</v>
      </c>
      <c r="N87">
        <v>1013</v>
      </c>
      <c r="O87" t="s">
        <v>501</v>
      </c>
      <c r="P87" t="s">
        <v>501</v>
      </c>
      <c r="Q87">
        <v>1</v>
      </c>
      <c r="W87">
        <v>0</v>
      </c>
      <c r="X87">
        <v>-715079457</v>
      </c>
      <c r="Y87">
        <f t="shared" ref="Y87:Y93" si="43">(AT87*ROUND((0.15+1),7))</f>
        <v>84.639999999999986</v>
      </c>
      <c r="AA87">
        <v>0</v>
      </c>
      <c r="AB87">
        <v>0</v>
      </c>
      <c r="AC87">
        <v>0</v>
      </c>
      <c r="AD87">
        <v>347.42</v>
      </c>
      <c r="AE87">
        <v>0</v>
      </c>
      <c r="AF87">
        <v>0</v>
      </c>
      <c r="AG87">
        <v>0</v>
      </c>
      <c r="AH87">
        <v>347.42</v>
      </c>
      <c r="AI87">
        <v>1</v>
      </c>
      <c r="AJ87">
        <v>1</v>
      </c>
      <c r="AK87">
        <v>1</v>
      </c>
      <c r="AL87">
        <v>1</v>
      </c>
      <c r="AM87">
        <v>-2</v>
      </c>
      <c r="AN87">
        <v>0</v>
      </c>
      <c r="AO87">
        <v>0</v>
      </c>
      <c r="AP87">
        <v>1</v>
      </c>
      <c r="AQ87">
        <v>1</v>
      </c>
      <c r="AR87">
        <v>0</v>
      </c>
      <c r="AS87" t="s">
        <v>3</v>
      </c>
      <c r="AT87">
        <v>73.599999999999994</v>
      </c>
      <c r="AU87" t="s">
        <v>27</v>
      </c>
      <c r="AV87">
        <v>1</v>
      </c>
      <c r="AW87">
        <v>2</v>
      </c>
      <c r="AX87">
        <v>75605836</v>
      </c>
      <c r="AY87">
        <v>1</v>
      </c>
      <c r="AZ87">
        <v>0</v>
      </c>
      <c r="BA87">
        <v>91</v>
      </c>
      <c r="BB87">
        <v>1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25570.112000000001</v>
      </c>
      <c r="BN87">
        <v>73.599999999999994</v>
      </c>
      <c r="BO87">
        <v>0</v>
      </c>
      <c r="BP87">
        <v>1</v>
      </c>
      <c r="BQ87">
        <v>0</v>
      </c>
      <c r="BR87">
        <v>0</v>
      </c>
      <c r="BS87">
        <v>0</v>
      </c>
      <c r="BT87">
        <v>29405.628799999995</v>
      </c>
      <c r="BU87">
        <v>84.639999999999986</v>
      </c>
      <c r="BV87">
        <v>0</v>
      </c>
      <c r="BW87">
        <v>1</v>
      </c>
      <c r="CU87">
        <f>ROUND(AT87*Source!I149*AH87*AL87,2)</f>
        <v>115.07</v>
      </c>
      <c r="CV87">
        <f>ROUND(Y87*Source!I149,7)</f>
        <v>0.38088</v>
      </c>
      <c r="CW87">
        <v>0</v>
      </c>
      <c r="CX87">
        <f>ROUND(Y87*Source!I149,7)</f>
        <v>0.38088</v>
      </c>
      <c r="CY87">
        <f>AD87</f>
        <v>347.42</v>
      </c>
      <c r="CZ87">
        <f>AH87</f>
        <v>347.42</v>
      </c>
      <c r="DA87">
        <f>AL87</f>
        <v>1</v>
      </c>
      <c r="DB87">
        <f t="shared" ref="DB87:DB93" si="44">ROUND((ROUND(AT87*CZ87,2)*ROUND((0.15+1),7)),6)</f>
        <v>29405.626499999998</v>
      </c>
      <c r="DC87">
        <f t="shared" ref="DC87:DC93" si="45">ROUND((ROUND(AT87*AG87,2)*ROUND((0.15+1),7)),6)</f>
        <v>0</v>
      </c>
      <c r="DD87" t="s">
        <v>3</v>
      </c>
      <c r="DE87" t="s">
        <v>3</v>
      </c>
      <c r="DF87">
        <f t="shared" ref="DF87:DF93" si="46">ROUND(ROUND(AE87,2)*CX87,2)</f>
        <v>0</v>
      </c>
      <c r="DG87">
        <f t="shared" si="34"/>
        <v>0</v>
      </c>
      <c r="DH87">
        <f t="shared" si="23"/>
        <v>0</v>
      </c>
      <c r="DI87">
        <f t="shared" si="24"/>
        <v>132.33000000000001</v>
      </c>
      <c r="DJ87">
        <f>DI87</f>
        <v>132.33000000000001</v>
      </c>
      <c r="DK87">
        <v>1</v>
      </c>
      <c r="DL87" t="s">
        <v>3</v>
      </c>
      <c r="DM87">
        <v>0</v>
      </c>
      <c r="DN87" t="s">
        <v>3</v>
      </c>
      <c r="DO87">
        <v>0</v>
      </c>
    </row>
    <row r="88" spans="1:119" x14ac:dyDescent="0.25">
      <c r="A88">
        <f>ROW(Source!A149)</f>
        <v>149</v>
      </c>
      <c r="B88">
        <v>75604747</v>
      </c>
      <c r="C88">
        <v>75605813</v>
      </c>
      <c r="D88">
        <v>74182464</v>
      </c>
      <c r="E88">
        <v>118</v>
      </c>
      <c r="F88">
        <v>1</v>
      </c>
      <c r="G88">
        <v>1</v>
      </c>
      <c r="H88">
        <v>1</v>
      </c>
      <c r="I88" t="s">
        <v>504</v>
      </c>
      <c r="J88" t="s">
        <v>3</v>
      </c>
      <c r="K88" t="s">
        <v>505</v>
      </c>
      <c r="L88">
        <v>1191</v>
      </c>
      <c r="N88">
        <v>1013</v>
      </c>
      <c r="O88" t="s">
        <v>501</v>
      </c>
      <c r="P88" t="s">
        <v>501</v>
      </c>
      <c r="Q88">
        <v>1</v>
      </c>
      <c r="W88">
        <v>0</v>
      </c>
      <c r="X88">
        <v>-1417349443</v>
      </c>
      <c r="Y88">
        <f t="shared" si="43"/>
        <v>0.3105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1</v>
      </c>
      <c r="AJ88">
        <v>1</v>
      </c>
      <c r="AK88">
        <v>1</v>
      </c>
      <c r="AL88">
        <v>1</v>
      </c>
      <c r="AM88">
        <v>-2</v>
      </c>
      <c r="AN88">
        <v>0</v>
      </c>
      <c r="AO88">
        <v>0</v>
      </c>
      <c r="AP88">
        <v>1</v>
      </c>
      <c r="AQ88">
        <v>1</v>
      </c>
      <c r="AR88">
        <v>0</v>
      </c>
      <c r="AS88" t="s">
        <v>3</v>
      </c>
      <c r="AT88">
        <v>0.27</v>
      </c>
      <c r="AU88" t="s">
        <v>27</v>
      </c>
      <c r="AV88">
        <v>2</v>
      </c>
      <c r="AW88">
        <v>2</v>
      </c>
      <c r="AX88">
        <v>75605837</v>
      </c>
      <c r="AY88">
        <v>1</v>
      </c>
      <c r="AZ88">
        <v>0</v>
      </c>
      <c r="BA88">
        <v>92</v>
      </c>
      <c r="BB88">
        <v>1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CV88">
        <v>0</v>
      </c>
      <c r="CW88">
        <v>0</v>
      </c>
      <c r="CX88">
        <f>ROUND(Y88*Source!I149,7)</f>
        <v>1.3973E-3</v>
      </c>
      <c r="CY88">
        <f>AD88</f>
        <v>0</v>
      </c>
      <c r="CZ88">
        <f>AH88</f>
        <v>0</v>
      </c>
      <c r="DA88">
        <f>AL88</f>
        <v>1</v>
      </c>
      <c r="DB88">
        <f t="shared" si="44"/>
        <v>0</v>
      </c>
      <c r="DC88">
        <f t="shared" si="45"/>
        <v>0</v>
      </c>
      <c r="DD88" t="s">
        <v>3</v>
      </c>
      <c r="DE88" t="s">
        <v>3</v>
      </c>
      <c r="DF88">
        <f t="shared" si="46"/>
        <v>0</v>
      </c>
      <c r="DG88">
        <f t="shared" si="34"/>
        <v>0</v>
      </c>
      <c r="DH88">
        <f t="shared" si="23"/>
        <v>0</v>
      </c>
      <c r="DI88">
        <f t="shared" si="24"/>
        <v>0</v>
      </c>
      <c r="DJ88">
        <f>DI88</f>
        <v>0</v>
      </c>
      <c r="DK88">
        <v>0</v>
      </c>
      <c r="DL88" t="s">
        <v>3</v>
      </c>
      <c r="DM88">
        <v>0</v>
      </c>
      <c r="DN88" t="s">
        <v>3</v>
      </c>
      <c r="DO88">
        <v>0</v>
      </c>
    </row>
    <row r="89" spans="1:119" x14ac:dyDescent="0.25">
      <c r="A89">
        <f>ROW(Source!A149)</f>
        <v>149</v>
      </c>
      <c r="B89">
        <v>75604747</v>
      </c>
      <c r="C89">
        <v>75605813</v>
      </c>
      <c r="D89">
        <v>74308922</v>
      </c>
      <c r="E89">
        <v>1</v>
      </c>
      <c r="F89">
        <v>1</v>
      </c>
      <c r="G89">
        <v>1</v>
      </c>
      <c r="H89">
        <v>2</v>
      </c>
      <c r="I89" t="s">
        <v>574</v>
      </c>
      <c r="J89" t="s">
        <v>575</v>
      </c>
      <c r="K89" t="s">
        <v>576</v>
      </c>
      <c r="L89">
        <v>1368</v>
      </c>
      <c r="N89">
        <v>1011</v>
      </c>
      <c r="O89" t="s">
        <v>509</v>
      </c>
      <c r="P89" t="s">
        <v>509</v>
      </c>
      <c r="Q89">
        <v>1</v>
      </c>
      <c r="W89">
        <v>0</v>
      </c>
      <c r="X89">
        <v>-1068589559</v>
      </c>
      <c r="Y89">
        <f t="shared" si="43"/>
        <v>0.1265</v>
      </c>
      <c r="AA89">
        <v>0</v>
      </c>
      <c r="AB89">
        <v>1598.95</v>
      </c>
      <c r="AC89">
        <v>494.35</v>
      </c>
      <c r="AD89">
        <v>0</v>
      </c>
      <c r="AE89">
        <v>0</v>
      </c>
      <c r="AF89">
        <v>1598.95</v>
      </c>
      <c r="AG89">
        <v>494.35</v>
      </c>
      <c r="AH89">
        <v>0</v>
      </c>
      <c r="AI89">
        <v>1</v>
      </c>
      <c r="AJ89">
        <v>1</v>
      </c>
      <c r="AK89">
        <v>1</v>
      </c>
      <c r="AL89">
        <v>1</v>
      </c>
      <c r="AM89">
        <v>-2</v>
      </c>
      <c r="AN89">
        <v>0</v>
      </c>
      <c r="AO89">
        <v>0</v>
      </c>
      <c r="AP89">
        <v>1</v>
      </c>
      <c r="AQ89">
        <v>1</v>
      </c>
      <c r="AR89">
        <v>0</v>
      </c>
      <c r="AS89" t="s">
        <v>3</v>
      </c>
      <c r="AT89">
        <v>0.11</v>
      </c>
      <c r="AU89" t="s">
        <v>27</v>
      </c>
      <c r="AV89">
        <v>1</v>
      </c>
      <c r="AW89">
        <v>2</v>
      </c>
      <c r="AX89">
        <v>75605838</v>
      </c>
      <c r="AY89">
        <v>1</v>
      </c>
      <c r="AZ89">
        <v>0</v>
      </c>
      <c r="BA89">
        <v>93</v>
      </c>
      <c r="BB89">
        <v>1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175.8845</v>
      </c>
      <c r="BL89">
        <v>54.378500000000003</v>
      </c>
      <c r="BM89">
        <v>0</v>
      </c>
      <c r="BN89">
        <v>0</v>
      </c>
      <c r="BO89">
        <v>0.11</v>
      </c>
      <c r="BP89">
        <v>1</v>
      </c>
      <c r="BQ89">
        <v>0</v>
      </c>
      <c r="BR89">
        <v>202.26717500000001</v>
      </c>
      <c r="BS89">
        <v>62.535275000000006</v>
      </c>
      <c r="BT89">
        <v>0</v>
      </c>
      <c r="BU89">
        <v>0</v>
      </c>
      <c r="BV89">
        <v>0.1265</v>
      </c>
      <c r="BW89">
        <v>1</v>
      </c>
      <c r="CV89">
        <v>0</v>
      </c>
      <c r="CW89">
        <f>ROUND(Y89*Source!I149*DO89,7)</f>
        <v>5.6930000000000001E-4</v>
      </c>
      <c r="CX89">
        <f>ROUND(Y89*Source!I149,7)</f>
        <v>5.6930000000000001E-4</v>
      </c>
      <c r="CY89">
        <f>AB89</f>
        <v>1598.95</v>
      </c>
      <c r="CZ89">
        <f>AF89</f>
        <v>1598.95</v>
      </c>
      <c r="DA89">
        <f>AJ89</f>
        <v>1</v>
      </c>
      <c r="DB89">
        <f t="shared" si="44"/>
        <v>202.262</v>
      </c>
      <c r="DC89">
        <f t="shared" si="45"/>
        <v>62.536999999999999</v>
      </c>
      <c r="DD89" t="s">
        <v>3</v>
      </c>
      <c r="DE89" t="s">
        <v>3</v>
      </c>
      <c r="DF89">
        <f t="shared" si="46"/>
        <v>0</v>
      </c>
      <c r="DG89">
        <f t="shared" si="34"/>
        <v>0.91</v>
      </c>
      <c r="DH89">
        <f t="shared" si="23"/>
        <v>0.28000000000000003</v>
      </c>
      <c r="DI89">
        <f t="shared" si="24"/>
        <v>0</v>
      </c>
      <c r="DJ89">
        <f>DG89+DH89</f>
        <v>1.19</v>
      </c>
      <c r="DK89">
        <v>1</v>
      </c>
      <c r="DL89" t="s">
        <v>577</v>
      </c>
      <c r="DM89">
        <v>6</v>
      </c>
      <c r="DN89" t="s">
        <v>501</v>
      </c>
      <c r="DO89">
        <v>1</v>
      </c>
    </row>
    <row r="90" spans="1:119" x14ac:dyDescent="0.25">
      <c r="A90">
        <f>ROW(Source!A149)</f>
        <v>149</v>
      </c>
      <c r="B90">
        <v>75604747</v>
      </c>
      <c r="C90">
        <v>75605813</v>
      </c>
      <c r="D90">
        <v>74309063</v>
      </c>
      <c r="E90">
        <v>1</v>
      </c>
      <c r="F90">
        <v>1</v>
      </c>
      <c r="G90">
        <v>1</v>
      </c>
      <c r="H90">
        <v>2</v>
      </c>
      <c r="I90" t="s">
        <v>614</v>
      </c>
      <c r="J90" t="s">
        <v>615</v>
      </c>
      <c r="K90" t="s">
        <v>616</v>
      </c>
      <c r="L90">
        <v>1368</v>
      </c>
      <c r="N90">
        <v>1011</v>
      </c>
      <c r="O90" t="s">
        <v>509</v>
      </c>
      <c r="P90" t="s">
        <v>509</v>
      </c>
      <c r="Q90">
        <v>1</v>
      </c>
      <c r="W90">
        <v>0</v>
      </c>
      <c r="X90">
        <v>-769439360</v>
      </c>
      <c r="Y90">
        <f t="shared" si="43"/>
        <v>4.2549999999999999</v>
      </c>
      <c r="AA90">
        <v>0</v>
      </c>
      <c r="AB90">
        <v>20.43</v>
      </c>
      <c r="AC90">
        <v>0</v>
      </c>
      <c r="AD90">
        <v>0</v>
      </c>
      <c r="AE90">
        <v>0</v>
      </c>
      <c r="AF90">
        <v>13.44</v>
      </c>
      <c r="AG90">
        <v>0</v>
      </c>
      <c r="AH90">
        <v>0</v>
      </c>
      <c r="AI90">
        <v>1</v>
      </c>
      <c r="AJ90">
        <v>1.52</v>
      </c>
      <c r="AK90">
        <v>1</v>
      </c>
      <c r="AL90">
        <v>1</v>
      </c>
      <c r="AM90">
        <v>2</v>
      </c>
      <c r="AN90">
        <v>0</v>
      </c>
      <c r="AO90">
        <v>0</v>
      </c>
      <c r="AP90">
        <v>1</v>
      </c>
      <c r="AQ90">
        <v>1</v>
      </c>
      <c r="AR90">
        <v>0</v>
      </c>
      <c r="AS90" t="s">
        <v>3</v>
      </c>
      <c r="AT90">
        <v>3.7</v>
      </c>
      <c r="AU90" t="s">
        <v>27</v>
      </c>
      <c r="AV90">
        <v>1</v>
      </c>
      <c r="AW90">
        <v>2</v>
      </c>
      <c r="AX90">
        <v>75605839</v>
      </c>
      <c r="AY90">
        <v>1</v>
      </c>
      <c r="AZ90">
        <v>0</v>
      </c>
      <c r="BA90">
        <v>94</v>
      </c>
      <c r="BB90">
        <v>1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49.728000000000002</v>
      </c>
      <c r="BL90">
        <v>0</v>
      </c>
      <c r="BM90">
        <v>0</v>
      </c>
      <c r="BN90">
        <v>0</v>
      </c>
      <c r="BO90">
        <v>0</v>
      </c>
      <c r="BP90">
        <v>1</v>
      </c>
      <c r="BQ90">
        <v>0</v>
      </c>
      <c r="BR90">
        <v>57.187199999999997</v>
      </c>
      <c r="BS90">
        <v>0</v>
      </c>
      <c r="BT90">
        <v>0</v>
      </c>
      <c r="BU90">
        <v>0</v>
      </c>
      <c r="BV90">
        <v>0</v>
      </c>
      <c r="BW90">
        <v>1</v>
      </c>
      <c r="CV90">
        <v>0</v>
      </c>
      <c r="CW90">
        <f>ROUND(Y90*Source!I149*DO90,7)</f>
        <v>0</v>
      </c>
      <c r="CX90">
        <f>ROUND(Y90*Source!I149,7)</f>
        <v>1.9147500000000001E-2</v>
      </c>
      <c r="CY90">
        <f>AB90</f>
        <v>20.43</v>
      </c>
      <c r="CZ90">
        <f>AF90</f>
        <v>13.44</v>
      </c>
      <c r="DA90">
        <f>AJ90</f>
        <v>1.52</v>
      </c>
      <c r="DB90">
        <f t="shared" si="44"/>
        <v>57.189500000000002</v>
      </c>
      <c r="DC90">
        <f t="shared" si="45"/>
        <v>0</v>
      </c>
      <c r="DD90" t="s">
        <v>3</v>
      </c>
      <c r="DE90" t="s">
        <v>3</v>
      </c>
      <c r="DF90">
        <f t="shared" si="46"/>
        <v>0</v>
      </c>
      <c r="DG90">
        <f>ROUND(ROUND(AF90*AJ90,2)*CX90,2)</f>
        <v>0.39</v>
      </c>
      <c r="DH90">
        <f t="shared" si="23"/>
        <v>0</v>
      </c>
      <c r="DI90">
        <f t="shared" si="24"/>
        <v>0</v>
      </c>
      <c r="DJ90">
        <f>DG90+DH90</f>
        <v>0.39</v>
      </c>
      <c r="DK90">
        <v>0</v>
      </c>
      <c r="DL90" t="s">
        <v>3</v>
      </c>
      <c r="DM90">
        <v>0</v>
      </c>
      <c r="DN90" t="s">
        <v>3</v>
      </c>
      <c r="DO90">
        <v>0</v>
      </c>
    </row>
    <row r="91" spans="1:119" x14ac:dyDescent="0.25">
      <c r="A91">
        <f>ROW(Source!A149)</f>
        <v>149</v>
      </c>
      <c r="B91">
        <v>75604747</v>
      </c>
      <c r="C91">
        <v>75605813</v>
      </c>
      <c r="D91">
        <v>74309824</v>
      </c>
      <c r="E91">
        <v>1</v>
      </c>
      <c r="F91">
        <v>1</v>
      </c>
      <c r="G91">
        <v>1</v>
      </c>
      <c r="H91">
        <v>2</v>
      </c>
      <c r="I91" t="s">
        <v>527</v>
      </c>
      <c r="J91" t="s">
        <v>528</v>
      </c>
      <c r="K91" t="s">
        <v>529</v>
      </c>
      <c r="L91">
        <v>1368</v>
      </c>
      <c r="N91">
        <v>1011</v>
      </c>
      <c r="O91" t="s">
        <v>509</v>
      </c>
      <c r="P91" t="s">
        <v>509</v>
      </c>
      <c r="Q91">
        <v>1</v>
      </c>
      <c r="W91">
        <v>0</v>
      </c>
      <c r="X91">
        <v>-312038840</v>
      </c>
      <c r="Y91">
        <f t="shared" si="43"/>
        <v>0.184</v>
      </c>
      <c r="AA91">
        <v>0</v>
      </c>
      <c r="AB91">
        <v>551.45000000000005</v>
      </c>
      <c r="AC91">
        <v>368.02</v>
      </c>
      <c r="AD91">
        <v>0</v>
      </c>
      <c r="AE91">
        <v>0</v>
      </c>
      <c r="AF91">
        <v>551.45000000000005</v>
      </c>
      <c r="AG91">
        <v>368.02</v>
      </c>
      <c r="AH91">
        <v>0</v>
      </c>
      <c r="AI91">
        <v>1</v>
      </c>
      <c r="AJ91">
        <v>1</v>
      </c>
      <c r="AK91">
        <v>1</v>
      </c>
      <c r="AL91">
        <v>1</v>
      </c>
      <c r="AM91">
        <v>-2</v>
      </c>
      <c r="AN91">
        <v>0</v>
      </c>
      <c r="AO91">
        <v>0</v>
      </c>
      <c r="AP91">
        <v>1</v>
      </c>
      <c r="AQ91">
        <v>1</v>
      </c>
      <c r="AR91">
        <v>0</v>
      </c>
      <c r="AS91" t="s">
        <v>3</v>
      </c>
      <c r="AT91">
        <v>0.16</v>
      </c>
      <c r="AU91" t="s">
        <v>27</v>
      </c>
      <c r="AV91">
        <v>1</v>
      </c>
      <c r="AW91">
        <v>2</v>
      </c>
      <c r="AX91">
        <v>75605840</v>
      </c>
      <c r="AY91">
        <v>1</v>
      </c>
      <c r="AZ91">
        <v>0</v>
      </c>
      <c r="BA91">
        <v>95</v>
      </c>
      <c r="BB91">
        <v>1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88.232000000000014</v>
      </c>
      <c r="BL91">
        <v>58.883199999999995</v>
      </c>
      <c r="BM91">
        <v>0</v>
      </c>
      <c r="BN91">
        <v>0</v>
      </c>
      <c r="BO91">
        <v>0.16</v>
      </c>
      <c r="BP91">
        <v>1</v>
      </c>
      <c r="BQ91">
        <v>0</v>
      </c>
      <c r="BR91">
        <v>101.46680000000001</v>
      </c>
      <c r="BS91">
        <v>67.715679999999992</v>
      </c>
      <c r="BT91">
        <v>0</v>
      </c>
      <c r="BU91">
        <v>0</v>
      </c>
      <c r="BV91">
        <v>0.184</v>
      </c>
      <c r="BW91">
        <v>1</v>
      </c>
      <c r="CV91">
        <v>0</v>
      </c>
      <c r="CW91">
        <f>ROUND(Y91*Source!I149*DO91,7)</f>
        <v>8.2799999999999996E-4</v>
      </c>
      <c r="CX91">
        <f>ROUND(Y91*Source!I149,7)</f>
        <v>8.2799999999999996E-4</v>
      </c>
      <c r="CY91">
        <f>AB91</f>
        <v>551.45000000000005</v>
      </c>
      <c r="CZ91">
        <f>AF91</f>
        <v>551.45000000000005</v>
      </c>
      <c r="DA91">
        <f>AJ91</f>
        <v>1</v>
      </c>
      <c r="DB91">
        <f t="shared" si="44"/>
        <v>101.4645</v>
      </c>
      <c r="DC91">
        <f t="shared" si="45"/>
        <v>67.712000000000003</v>
      </c>
      <c r="DD91" t="s">
        <v>3</v>
      </c>
      <c r="DE91" t="s">
        <v>3</v>
      </c>
      <c r="DF91">
        <f t="shared" si="46"/>
        <v>0</v>
      </c>
      <c r="DG91">
        <f>ROUND(ROUND(AF91,2)*CX91,2)</f>
        <v>0.46</v>
      </c>
      <c r="DH91">
        <f t="shared" si="23"/>
        <v>0.3</v>
      </c>
      <c r="DI91">
        <f t="shared" si="24"/>
        <v>0</v>
      </c>
      <c r="DJ91">
        <f>DG91+DH91</f>
        <v>0.76</v>
      </c>
      <c r="DK91">
        <v>1</v>
      </c>
      <c r="DL91" t="s">
        <v>522</v>
      </c>
      <c r="DM91">
        <v>4</v>
      </c>
      <c r="DN91" t="s">
        <v>501</v>
      </c>
      <c r="DO91">
        <v>1</v>
      </c>
    </row>
    <row r="92" spans="1:119" x14ac:dyDescent="0.25">
      <c r="A92">
        <f>ROW(Source!A149)</f>
        <v>149</v>
      </c>
      <c r="B92">
        <v>75604747</v>
      </c>
      <c r="C92">
        <v>75605813</v>
      </c>
      <c r="D92">
        <v>74309983</v>
      </c>
      <c r="E92">
        <v>1</v>
      </c>
      <c r="F92">
        <v>1</v>
      </c>
      <c r="G92">
        <v>1</v>
      </c>
      <c r="H92">
        <v>2</v>
      </c>
      <c r="I92" t="s">
        <v>578</v>
      </c>
      <c r="J92" t="s">
        <v>579</v>
      </c>
      <c r="K92" t="s">
        <v>580</v>
      </c>
      <c r="L92">
        <v>1368</v>
      </c>
      <c r="N92">
        <v>1011</v>
      </c>
      <c r="O92" t="s">
        <v>509</v>
      </c>
      <c r="P92" t="s">
        <v>509</v>
      </c>
      <c r="Q92">
        <v>1</v>
      </c>
      <c r="W92">
        <v>0</v>
      </c>
      <c r="X92">
        <v>-536748942</v>
      </c>
      <c r="Y92">
        <f t="shared" si="43"/>
        <v>2.6679999999999997</v>
      </c>
      <c r="AA92">
        <v>0</v>
      </c>
      <c r="AB92">
        <v>5.35</v>
      </c>
      <c r="AC92">
        <v>0</v>
      </c>
      <c r="AD92">
        <v>0</v>
      </c>
      <c r="AE92">
        <v>0</v>
      </c>
      <c r="AF92">
        <v>4.3499999999999996</v>
      </c>
      <c r="AG92">
        <v>0</v>
      </c>
      <c r="AH92">
        <v>0</v>
      </c>
      <c r="AI92">
        <v>1</v>
      </c>
      <c r="AJ92">
        <v>1.23</v>
      </c>
      <c r="AK92">
        <v>1</v>
      </c>
      <c r="AL92">
        <v>1</v>
      </c>
      <c r="AM92">
        <v>2</v>
      </c>
      <c r="AN92">
        <v>0</v>
      </c>
      <c r="AO92">
        <v>0</v>
      </c>
      <c r="AP92">
        <v>1</v>
      </c>
      <c r="AQ92">
        <v>1</v>
      </c>
      <c r="AR92">
        <v>0</v>
      </c>
      <c r="AS92" t="s">
        <v>3</v>
      </c>
      <c r="AT92">
        <v>2.3199999999999998</v>
      </c>
      <c r="AU92" t="s">
        <v>27</v>
      </c>
      <c r="AV92">
        <v>1</v>
      </c>
      <c r="AW92">
        <v>2</v>
      </c>
      <c r="AX92">
        <v>75605841</v>
      </c>
      <c r="AY92">
        <v>1</v>
      </c>
      <c r="AZ92">
        <v>0</v>
      </c>
      <c r="BA92">
        <v>96</v>
      </c>
      <c r="BB92">
        <v>1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10.091999999999999</v>
      </c>
      <c r="BL92">
        <v>0</v>
      </c>
      <c r="BM92">
        <v>0</v>
      </c>
      <c r="BN92">
        <v>0</v>
      </c>
      <c r="BO92">
        <v>0</v>
      </c>
      <c r="BP92">
        <v>1</v>
      </c>
      <c r="BQ92">
        <v>0</v>
      </c>
      <c r="BR92">
        <v>11.605799999999999</v>
      </c>
      <c r="BS92">
        <v>0</v>
      </c>
      <c r="BT92">
        <v>0</v>
      </c>
      <c r="BU92">
        <v>0</v>
      </c>
      <c r="BV92">
        <v>0</v>
      </c>
      <c r="BW92">
        <v>1</v>
      </c>
      <c r="CV92">
        <v>0</v>
      </c>
      <c r="CW92">
        <f>ROUND(Y92*Source!I149*DO92,7)</f>
        <v>0</v>
      </c>
      <c r="CX92">
        <f>ROUND(Y92*Source!I149,7)</f>
        <v>1.2005999999999999E-2</v>
      </c>
      <c r="CY92">
        <f>AB92</f>
        <v>5.35</v>
      </c>
      <c r="CZ92">
        <f>AF92</f>
        <v>4.3499999999999996</v>
      </c>
      <c r="DA92">
        <f>AJ92</f>
        <v>1.23</v>
      </c>
      <c r="DB92">
        <f t="shared" si="44"/>
        <v>11.6035</v>
      </c>
      <c r="DC92">
        <f t="shared" si="45"/>
        <v>0</v>
      </c>
      <c r="DD92" t="s">
        <v>3</v>
      </c>
      <c r="DE92" t="s">
        <v>3</v>
      </c>
      <c r="DF92">
        <f t="shared" si="46"/>
        <v>0</v>
      </c>
      <c r="DG92">
        <f>ROUND(ROUND(AF92*AJ92,2)*CX92,2)</f>
        <v>0.06</v>
      </c>
      <c r="DH92">
        <f t="shared" si="23"/>
        <v>0</v>
      </c>
      <c r="DI92">
        <f t="shared" si="24"/>
        <v>0</v>
      </c>
      <c r="DJ92">
        <f>DG92+DH92</f>
        <v>0.06</v>
      </c>
      <c r="DK92">
        <v>0</v>
      </c>
      <c r="DL92" t="s">
        <v>3</v>
      </c>
      <c r="DM92">
        <v>0</v>
      </c>
      <c r="DN92" t="s">
        <v>3</v>
      </c>
      <c r="DO92">
        <v>0</v>
      </c>
    </row>
    <row r="93" spans="1:119" x14ac:dyDescent="0.25">
      <c r="A93">
        <f>ROW(Source!A149)</f>
        <v>149</v>
      </c>
      <c r="B93">
        <v>75604747</v>
      </c>
      <c r="C93">
        <v>75605813</v>
      </c>
      <c r="D93">
        <v>74310010</v>
      </c>
      <c r="E93">
        <v>1</v>
      </c>
      <c r="F93">
        <v>1</v>
      </c>
      <c r="G93">
        <v>1</v>
      </c>
      <c r="H93">
        <v>2</v>
      </c>
      <c r="I93" t="s">
        <v>617</v>
      </c>
      <c r="J93" t="s">
        <v>618</v>
      </c>
      <c r="K93" t="s">
        <v>619</v>
      </c>
      <c r="L93">
        <v>1368</v>
      </c>
      <c r="N93">
        <v>1011</v>
      </c>
      <c r="O93" t="s">
        <v>509</v>
      </c>
      <c r="P93" t="s">
        <v>509</v>
      </c>
      <c r="Q93">
        <v>1</v>
      </c>
      <c r="W93">
        <v>0</v>
      </c>
      <c r="X93">
        <v>-565700713</v>
      </c>
      <c r="Y93">
        <f t="shared" si="43"/>
        <v>18.745000000000001</v>
      </c>
      <c r="AA93">
        <v>0</v>
      </c>
      <c r="AB93">
        <v>90.36</v>
      </c>
      <c r="AC93">
        <v>0</v>
      </c>
      <c r="AD93">
        <v>0</v>
      </c>
      <c r="AE93">
        <v>0</v>
      </c>
      <c r="AF93">
        <v>90.36</v>
      </c>
      <c r="AG93">
        <v>0</v>
      </c>
      <c r="AH93">
        <v>0</v>
      </c>
      <c r="AI93">
        <v>1</v>
      </c>
      <c r="AJ93">
        <v>1</v>
      </c>
      <c r="AK93">
        <v>1</v>
      </c>
      <c r="AL93">
        <v>1</v>
      </c>
      <c r="AM93">
        <v>-2</v>
      </c>
      <c r="AN93">
        <v>0</v>
      </c>
      <c r="AO93">
        <v>0</v>
      </c>
      <c r="AP93">
        <v>1</v>
      </c>
      <c r="AQ93">
        <v>1</v>
      </c>
      <c r="AR93">
        <v>0</v>
      </c>
      <c r="AS93" t="s">
        <v>3</v>
      </c>
      <c r="AT93">
        <v>16.3</v>
      </c>
      <c r="AU93" t="s">
        <v>27</v>
      </c>
      <c r="AV93">
        <v>1</v>
      </c>
      <c r="AW93">
        <v>2</v>
      </c>
      <c r="AX93">
        <v>75605842</v>
      </c>
      <c r="AY93">
        <v>1</v>
      </c>
      <c r="AZ93">
        <v>0</v>
      </c>
      <c r="BA93">
        <v>97</v>
      </c>
      <c r="BB93">
        <v>1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1472.8680000000002</v>
      </c>
      <c r="BL93">
        <v>0</v>
      </c>
      <c r="BM93">
        <v>0</v>
      </c>
      <c r="BN93">
        <v>0</v>
      </c>
      <c r="BO93">
        <v>0</v>
      </c>
      <c r="BP93">
        <v>1</v>
      </c>
      <c r="BQ93">
        <v>0</v>
      </c>
      <c r="BR93">
        <v>1693.7982000000002</v>
      </c>
      <c r="BS93">
        <v>0</v>
      </c>
      <c r="BT93">
        <v>0</v>
      </c>
      <c r="BU93">
        <v>0</v>
      </c>
      <c r="BV93">
        <v>0</v>
      </c>
      <c r="BW93">
        <v>1</v>
      </c>
      <c r="CV93">
        <v>0</v>
      </c>
      <c r="CW93">
        <f>ROUND(Y93*Source!I149*DO93,7)</f>
        <v>0</v>
      </c>
      <c r="CX93">
        <f>ROUND(Y93*Source!I149,7)</f>
        <v>8.4352499999999997E-2</v>
      </c>
      <c r="CY93">
        <f>AB93</f>
        <v>90.36</v>
      </c>
      <c r="CZ93">
        <f>AF93</f>
        <v>90.36</v>
      </c>
      <c r="DA93">
        <f>AJ93</f>
        <v>1</v>
      </c>
      <c r="DB93">
        <f t="shared" si="44"/>
        <v>1693.8005000000001</v>
      </c>
      <c r="DC93">
        <f t="shared" si="45"/>
        <v>0</v>
      </c>
      <c r="DD93" t="s">
        <v>3</v>
      </c>
      <c r="DE93" t="s">
        <v>3</v>
      </c>
      <c r="DF93">
        <f t="shared" si="46"/>
        <v>0</v>
      </c>
      <c r="DG93">
        <f t="shared" ref="DG93:DG110" si="47">ROUND(ROUND(AF93,2)*CX93,2)</f>
        <v>7.62</v>
      </c>
      <c r="DH93">
        <f t="shared" si="23"/>
        <v>0</v>
      </c>
      <c r="DI93">
        <f t="shared" si="24"/>
        <v>0</v>
      </c>
      <c r="DJ93">
        <f>DG93+DH93</f>
        <v>7.62</v>
      </c>
      <c r="DK93">
        <v>1</v>
      </c>
      <c r="DL93" t="s">
        <v>3</v>
      </c>
      <c r="DM93">
        <v>0</v>
      </c>
      <c r="DN93" t="s">
        <v>3</v>
      </c>
      <c r="DO93">
        <v>0</v>
      </c>
    </row>
    <row r="94" spans="1:119" x14ac:dyDescent="0.25">
      <c r="A94">
        <f>ROW(Source!A149)</f>
        <v>149</v>
      </c>
      <c r="B94">
        <v>75604747</v>
      </c>
      <c r="C94">
        <v>75605813</v>
      </c>
      <c r="D94">
        <v>74257065</v>
      </c>
      <c r="E94">
        <v>1</v>
      </c>
      <c r="F94">
        <v>1</v>
      </c>
      <c r="G94">
        <v>1</v>
      </c>
      <c r="H94">
        <v>3</v>
      </c>
      <c r="I94" t="s">
        <v>581</v>
      </c>
      <c r="J94" t="s">
        <v>582</v>
      </c>
      <c r="K94" t="s">
        <v>583</v>
      </c>
      <c r="L94">
        <v>1339</v>
      </c>
      <c r="N94">
        <v>1007</v>
      </c>
      <c r="O94" t="s">
        <v>205</v>
      </c>
      <c r="P94" t="s">
        <v>205</v>
      </c>
      <c r="Q94">
        <v>1</v>
      </c>
      <c r="W94">
        <v>0</v>
      </c>
      <c r="X94">
        <v>1531571680</v>
      </c>
      <c r="Y94">
        <f t="shared" ref="Y94:Y107" si="48">AT94</f>
        <v>1.95</v>
      </c>
      <c r="AA94">
        <v>126.1</v>
      </c>
      <c r="AB94">
        <v>0</v>
      </c>
      <c r="AC94">
        <v>0</v>
      </c>
      <c r="AD94">
        <v>0</v>
      </c>
      <c r="AE94">
        <v>114.64</v>
      </c>
      <c r="AF94">
        <v>0</v>
      </c>
      <c r="AG94">
        <v>0</v>
      </c>
      <c r="AH94">
        <v>0</v>
      </c>
      <c r="AI94">
        <v>1.1000000000000001</v>
      </c>
      <c r="AJ94">
        <v>1</v>
      </c>
      <c r="AK94">
        <v>1</v>
      </c>
      <c r="AL94">
        <v>1</v>
      </c>
      <c r="AM94">
        <v>2</v>
      </c>
      <c r="AN94">
        <v>0</v>
      </c>
      <c r="AO94">
        <v>0</v>
      </c>
      <c r="AP94">
        <v>1</v>
      </c>
      <c r="AQ94">
        <v>1</v>
      </c>
      <c r="AR94">
        <v>0</v>
      </c>
      <c r="AS94" t="s">
        <v>3</v>
      </c>
      <c r="AT94">
        <v>1.95</v>
      </c>
      <c r="AU94" t="s">
        <v>3</v>
      </c>
      <c r="AV94">
        <v>0</v>
      </c>
      <c r="AW94">
        <v>2</v>
      </c>
      <c r="AX94">
        <v>75605843</v>
      </c>
      <c r="AY94">
        <v>1</v>
      </c>
      <c r="AZ94">
        <v>0</v>
      </c>
      <c r="BA94">
        <v>98</v>
      </c>
      <c r="BB94">
        <v>1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223.548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1</v>
      </c>
      <c r="BQ94">
        <v>223.548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1</v>
      </c>
      <c r="CV94">
        <v>0</v>
      </c>
      <c r="CW94">
        <v>0</v>
      </c>
      <c r="CX94">
        <f>ROUND(Y94*Source!I149,7)</f>
        <v>8.7749999999999998E-3</v>
      </c>
      <c r="CY94">
        <f t="shared" ref="CY94:CY107" si="49">AA94</f>
        <v>126.1</v>
      </c>
      <c r="CZ94">
        <f t="shared" ref="CZ94:CZ107" si="50">AE94</f>
        <v>114.64</v>
      </c>
      <c r="DA94">
        <f t="shared" ref="DA94:DA107" si="51">AI94</f>
        <v>1.1000000000000001</v>
      </c>
      <c r="DB94">
        <f t="shared" ref="DB94:DB107" si="52">ROUND(ROUND(AT94*CZ94,2),6)</f>
        <v>223.55</v>
      </c>
      <c r="DC94">
        <f t="shared" ref="DC94:DC107" si="53">ROUND(ROUND(AT94*AG94,2),6)</f>
        <v>0</v>
      </c>
      <c r="DD94" t="s">
        <v>3</v>
      </c>
      <c r="DE94" t="s">
        <v>3</v>
      </c>
      <c r="DF94">
        <f>ROUND(ROUND(AE94*AI94,2)*CX94,2)</f>
        <v>1.1100000000000001</v>
      </c>
      <c r="DG94">
        <f t="shared" si="47"/>
        <v>0</v>
      </c>
      <c r="DH94">
        <f t="shared" si="23"/>
        <v>0</v>
      </c>
      <c r="DI94">
        <f t="shared" si="24"/>
        <v>0</v>
      </c>
      <c r="DJ94">
        <f t="shared" ref="DJ94:DJ107" si="54">DF94</f>
        <v>1.1100000000000001</v>
      </c>
      <c r="DK94">
        <v>0</v>
      </c>
      <c r="DL94" t="s">
        <v>3</v>
      </c>
      <c r="DM94">
        <v>0</v>
      </c>
      <c r="DN94" t="s">
        <v>3</v>
      </c>
      <c r="DO94">
        <v>0</v>
      </c>
    </row>
    <row r="95" spans="1:119" x14ac:dyDescent="0.25">
      <c r="A95">
        <f>ROW(Source!A149)</f>
        <v>149</v>
      </c>
      <c r="B95">
        <v>75604747</v>
      </c>
      <c r="C95">
        <v>75605813</v>
      </c>
      <c r="D95">
        <v>74257069</v>
      </c>
      <c r="E95">
        <v>1</v>
      </c>
      <c r="F95">
        <v>1</v>
      </c>
      <c r="G95">
        <v>1</v>
      </c>
      <c r="H95">
        <v>3</v>
      </c>
      <c r="I95" t="s">
        <v>584</v>
      </c>
      <c r="J95" t="s">
        <v>585</v>
      </c>
      <c r="K95" t="s">
        <v>586</v>
      </c>
      <c r="L95">
        <v>1346</v>
      </c>
      <c r="N95">
        <v>1009</v>
      </c>
      <c r="O95" t="s">
        <v>240</v>
      </c>
      <c r="P95" t="s">
        <v>240</v>
      </c>
      <c r="Q95">
        <v>1</v>
      </c>
      <c r="W95">
        <v>0</v>
      </c>
      <c r="X95">
        <v>1843545816</v>
      </c>
      <c r="Y95">
        <f t="shared" si="48"/>
        <v>0.59</v>
      </c>
      <c r="AA95">
        <v>62.48</v>
      </c>
      <c r="AB95">
        <v>0</v>
      </c>
      <c r="AC95">
        <v>0</v>
      </c>
      <c r="AD95">
        <v>0</v>
      </c>
      <c r="AE95">
        <v>41.38</v>
      </c>
      <c r="AF95">
        <v>0</v>
      </c>
      <c r="AG95">
        <v>0</v>
      </c>
      <c r="AH95">
        <v>0</v>
      </c>
      <c r="AI95">
        <v>1.51</v>
      </c>
      <c r="AJ95">
        <v>1</v>
      </c>
      <c r="AK95">
        <v>1</v>
      </c>
      <c r="AL95">
        <v>1</v>
      </c>
      <c r="AM95">
        <v>2</v>
      </c>
      <c r="AN95">
        <v>0</v>
      </c>
      <c r="AO95">
        <v>0</v>
      </c>
      <c r="AP95">
        <v>1</v>
      </c>
      <c r="AQ95">
        <v>1</v>
      </c>
      <c r="AR95">
        <v>0</v>
      </c>
      <c r="AS95" t="s">
        <v>3</v>
      </c>
      <c r="AT95">
        <v>0.59</v>
      </c>
      <c r="AU95" t="s">
        <v>3</v>
      </c>
      <c r="AV95">
        <v>0</v>
      </c>
      <c r="AW95">
        <v>2</v>
      </c>
      <c r="AX95">
        <v>75605844</v>
      </c>
      <c r="AY95">
        <v>1</v>
      </c>
      <c r="AZ95">
        <v>0</v>
      </c>
      <c r="BA95">
        <v>99</v>
      </c>
      <c r="BB95">
        <v>1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24.414200000000001</v>
      </c>
      <c r="BK95">
        <v>0</v>
      </c>
      <c r="BL95">
        <v>0</v>
      </c>
      <c r="BM95">
        <v>0</v>
      </c>
      <c r="BN95">
        <v>0</v>
      </c>
      <c r="BO95">
        <v>0</v>
      </c>
      <c r="BP95">
        <v>1</v>
      </c>
      <c r="BQ95">
        <v>24.414200000000001</v>
      </c>
      <c r="BR95">
        <v>0</v>
      </c>
      <c r="BS95">
        <v>0</v>
      </c>
      <c r="BT95">
        <v>0</v>
      </c>
      <c r="BU95">
        <v>0</v>
      </c>
      <c r="BV95">
        <v>0</v>
      </c>
      <c r="BW95">
        <v>1</v>
      </c>
      <c r="CV95">
        <v>0</v>
      </c>
      <c r="CW95">
        <v>0</v>
      </c>
      <c r="CX95">
        <f>ROUND(Y95*Source!I149,7)</f>
        <v>2.6549999999999998E-3</v>
      </c>
      <c r="CY95">
        <f t="shared" si="49"/>
        <v>62.48</v>
      </c>
      <c r="CZ95">
        <f t="shared" si="50"/>
        <v>41.38</v>
      </c>
      <c r="DA95">
        <f t="shared" si="51"/>
        <v>1.51</v>
      </c>
      <c r="DB95">
        <f t="shared" si="52"/>
        <v>24.41</v>
      </c>
      <c r="DC95">
        <f t="shared" si="53"/>
        <v>0</v>
      </c>
      <c r="DD95" t="s">
        <v>3</v>
      </c>
      <c r="DE95" t="s">
        <v>3</v>
      </c>
      <c r="DF95">
        <f>ROUND(ROUND(AE95*AI95,2)*CX95,2)</f>
        <v>0.17</v>
      </c>
      <c r="DG95">
        <f t="shared" si="47"/>
        <v>0</v>
      </c>
      <c r="DH95">
        <f t="shared" si="23"/>
        <v>0</v>
      </c>
      <c r="DI95">
        <f t="shared" si="24"/>
        <v>0</v>
      </c>
      <c r="DJ95">
        <f t="shared" si="54"/>
        <v>0.17</v>
      </c>
      <c r="DK95">
        <v>0</v>
      </c>
      <c r="DL95" t="s">
        <v>3</v>
      </c>
      <c r="DM95">
        <v>0</v>
      </c>
      <c r="DN95" t="s">
        <v>3</v>
      </c>
      <c r="DO95">
        <v>0</v>
      </c>
    </row>
    <row r="96" spans="1:119" x14ac:dyDescent="0.25">
      <c r="A96">
        <f>ROW(Source!A149)</f>
        <v>149</v>
      </c>
      <c r="B96">
        <v>75604747</v>
      </c>
      <c r="C96">
        <v>75605813</v>
      </c>
      <c r="D96">
        <v>74259041</v>
      </c>
      <c r="E96">
        <v>1</v>
      </c>
      <c r="F96">
        <v>1</v>
      </c>
      <c r="G96">
        <v>1</v>
      </c>
      <c r="H96">
        <v>3</v>
      </c>
      <c r="I96" t="s">
        <v>560</v>
      </c>
      <c r="J96" t="s">
        <v>561</v>
      </c>
      <c r="K96" t="s">
        <v>562</v>
      </c>
      <c r="L96">
        <v>1383</v>
      </c>
      <c r="N96">
        <v>1013</v>
      </c>
      <c r="O96" t="s">
        <v>563</v>
      </c>
      <c r="P96" t="s">
        <v>563</v>
      </c>
      <c r="Q96">
        <v>1</v>
      </c>
      <c r="W96">
        <v>0</v>
      </c>
      <c r="X96">
        <v>-182421198</v>
      </c>
      <c r="Y96">
        <f t="shared" si="48"/>
        <v>10.353</v>
      </c>
      <c r="AA96">
        <v>9.0399999999999991</v>
      </c>
      <c r="AB96">
        <v>0</v>
      </c>
      <c r="AC96">
        <v>0</v>
      </c>
      <c r="AD96">
        <v>0</v>
      </c>
      <c r="AE96">
        <v>9.0399999999999991</v>
      </c>
      <c r="AF96">
        <v>0</v>
      </c>
      <c r="AG96">
        <v>0</v>
      </c>
      <c r="AH96">
        <v>0</v>
      </c>
      <c r="AI96">
        <v>1</v>
      </c>
      <c r="AJ96">
        <v>1</v>
      </c>
      <c r="AK96">
        <v>1</v>
      </c>
      <c r="AL96">
        <v>1</v>
      </c>
      <c r="AM96">
        <v>-2</v>
      </c>
      <c r="AN96">
        <v>0</v>
      </c>
      <c r="AO96">
        <v>0</v>
      </c>
      <c r="AP96">
        <v>1</v>
      </c>
      <c r="AQ96">
        <v>1</v>
      </c>
      <c r="AR96">
        <v>0</v>
      </c>
      <c r="AS96" t="s">
        <v>3</v>
      </c>
      <c r="AT96">
        <v>10.353</v>
      </c>
      <c r="AU96" t="s">
        <v>3</v>
      </c>
      <c r="AV96">
        <v>0</v>
      </c>
      <c r="AW96">
        <v>2</v>
      </c>
      <c r="AX96">
        <v>75605845</v>
      </c>
      <c r="AY96">
        <v>1</v>
      </c>
      <c r="AZ96">
        <v>0</v>
      </c>
      <c r="BA96">
        <v>100</v>
      </c>
      <c r="BB96">
        <v>1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93.591119999999989</v>
      </c>
      <c r="BK96">
        <v>0</v>
      </c>
      <c r="BL96">
        <v>0</v>
      </c>
      <c r="BM96">
        <v>0</v>
      </c>
      <c r="BN96">
        <v>0</v>
      </c>
      <c r="BO96">
        <v>0</v>
      </c>
      <c r="BP96">
        <v>1</v>
      </c>
      <c r="BQ96">
        <v>93.591119999999989</v>
      </c>
      <c r="BR96">
        <v>0</v>
      </c>
      <c r="BS96">
        <v>0</v>
      </c>
      <c r="BT96">
        <v>0</v>
      </c>
      <c r="BU96">
        <v>0</v>
      </c>
      <c r="BV96">
        <v>0</v>
      </c>
      <c r="BW96">
        <v>1</v>
      </c>
      <c r="CV96">
        <v>0</v>
      </c>
      <c r="CW96">
        <v>0</v>
      </c>
      <c r="CX96">
        <f>ROUND(Y96*Source!I149,7)</f>
        <v>4.6588499999999998E-2</v>
      </c>
      <c r="CY96">
        <f t="shared" si="49"/>
        <v>9.0399999999999991</v>
      </c>
      <c r="CZ96">
        <f t="shared" si="50"/>
        <v>9.0399999999999991</v>
      </c>
      <c r="DA96">
        <f t="shared" si="51"/>
        <v>1</v>
      </c>
      <c r="DB96">
        <f t="shared" si="52"/>
        <v>93.59</v>
      </c>
      <c r="DC96">
        <f t="shared" si="53"/>
        <v>0</v>
      </c>
      <c r="DD96" t="s">
        <v>3</v>
      </c>
      <c r="DE96" t="s">
        <v>3</v>
      </c>
      <c r="DF96">
        <f>ROUND(ROUND(AE96,2)*CX96,2)</f>
        <v>0.42</v>
      </c>
      <c r="DG96">
        <f t="shared" si="47"/>
        <v>0</v>
      </c>
      <c r="DH96">
        <f t="shared" si="23"/>
        <v>0</v>
      </c>
      <c r="DI96">
        <f t="shared" si="24"/>
        <v>0</v>
      </c>
      <c r="DJ96">
        <f t="shared" si="54"/>
        <v>0.42</v>
      </c>
      <c r="DK96">
        <v>1</v>
      </c>
      <c r="DL96" t="s">
        <v>3</v>
      </c>
      <c r="DM96">
        <v>0</v>
      </c>
      <c r="DN96" t="s">
        <v>3</v>
      </c>
      <c r="DO96">
        <v>0</v>
      </c>
    </row>
    <row r="97" spans="1:119" x14ac:dyDescent="0.25">
      <c r="A97">
        <f>ROW(Source!A149)</f>
        <v>149</v>
      </c>
      <c r="B97">
        <v>75604747</v>
      </c>
      <c r="C97">
        <v>75605813</v>
      </c>
      <c r="D97">
        <v>74259722</v>
      </c>
      <c r="E97">
        <v>1</v>
      </c>
      <c r="F97">
        <v>1</v>
      </c>
      <c r="G97">
        <v>1</v>
      </c>
      <c r="H97">
        <v>3</v>
      </c>
      <c r="I97" t="s">
        <v>620</v>
      </c>
      <c r="J97" t="s">
        <v>621</v>
      </c>
      <c r="K97" t="s">
        <v>622</v>
      </c>
      <c r="L97">
        <v>1346</v>
      </c>
      <c r="N97">
        <v>1009</v>
      </c>
      <c r="O97" t="s">
        <v>240</v>
      </c>
      <c r="P97" t="s">
        <v>240</v>
      </c>
      <c r="Q97">
        <v>1</v>
      </c>
      <c r="W97">
        <v>0</v>
      </c>
      <c r="X97">
        <v>-550460808</v>
      </c>
      <c r="Y97">
        <f t="shared" si="48"/>
        <v>14</v>
      </c>
      <c r="AA97">
        <v>121.28</v>
      </c>
      <c r="AB97">
        <v>0</v>
      </c>
      <c r="AC97">
        <v>0</v>
      </c>
      <c r="AD97">
        <v>0</v>
      </c>
      <c r="AE97">
        <v>142.68</v>
      </c>
      <c r="AF97">
        <v>0</v>
      </c>
      <c r="AG97">
        <v>0</v>
      </c>
      <c r="AH97">
        <v>0</v>
      </c>
      <c r="AI97">
        <v>0.85</v>
      </c>
      <c r="AJ97">
        <v>1</v>
      </c>
      <c r="AK97">
        <v>1</v>
      </c>
      <c r="AL97">
        <v>1</v>
      </c>
      <c r="AM97">
        <v>2</v>
      </c>
      <c r="AN97">
        <v>0</v>
      </c>
      <c r="AO97">
        <v>0</v>
      </c>
      <c r="AP97">
        <v>1</v>
      </c>
      <c r="AQ97">
        <v>1</v>
      </c>
      <c r="AR97">
        <v>0</v>
      </c>
      <c r="AS97" t="s">
        <v>3</v>
      </c>
      <c r="AT97">
        <v>14</v>
      </c>
      <c r="AU97" t="s">
        <v>3</v>
      </c>
      <c r="AV97">
        <v>0</v>
      </c>
      <c r="AW97">
        <v>2</v>
      </c>
      <c r="AX97">
        <v>75605846</v>
      </c>
      <c r="AY97">
        <v>1</v>
      </c>
      <c r="AZ97">
        <v>0</v>
      </c>
      <c r="BA97">
        <v>101</v>
      </c>
      <c r="BB97">
        <v>1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1997.52</v>
      </c>
      <c r="BK97">
        <v>0</v>
      </c>
      <c r="BL97">
        <v>0</v>
      </c>
      <c r="BM97">
        <v>0</v>
      </c>
      <c r="BN97">
        <v>0</v>
      </c>
      <c r="BO97">
        <v>0</v>
      </c>
      <c r="BP97">
        <v>1</v>
      </c>
      <c r="BQ97">
        <v>1997.52</v>
      </c>
      <c r="BR97">
        <v>0</v>
      </c>
      <c r="BS97">
        <v>0</v>
      </c>
      <c r="BT97">
        <v>0</v>
      </c>
      <c r="BU97">
        <v>0</v>
      </c>
      <c r="BV97">
        <v>0</v>
      </c>
      <c r="BW97">
        <v>1</v>
      </c>
      <c r="CV97">
        <v>0</v>
      </c>
      <c r="CW97">
        <v>0</v>
      </c>
      <c r="CX97">
        <f>ROUND(Y97*Source!I149,7)</f>
        <v>6.3E-2</v>
      </c>
      <c r="CY97">
        <f t="shared" si="49"/>
        <v>121.28</v>
      </c>
      <c r="CZ97">
        <f t="shared" si="50"/>
        <v>142.68</v>
      </c>
      <c r="DA97">
        <f t="shared" si="51"/>
        <v>0.85</v>
      </c>
      <c r="DB97">
        <f t="shared" si="52"/>
        <v>1997.52</v>
      </c>
      <c r="DC97">
        <f t="shared" si="53"/>
        <v>0</v>
      </c>
      <c r="DD97" t="s">
        <v>3</v>
      </c>
      <c r="DE97" t="s">
        <v>3</v>
      </c>
      <c r="DF97">
        <f t="shared" ref="DF97:DF107" si="55">ROUND(ROUND(AE97*AI97,2)*CX97,2)</f>
        <v>7.64</v>
      </c>
      <c r="DG97">
        <f t="shared" si="47"/>
        <v>0</v>
      </c>
      <c r="DH97">
        <f t="shared" si="23"/>
        <v>0</v>
      </c>
      <c r="DI97">
        <f t="shared" si="24"/>
        <v>0</v>
      </c>
      <c r="DJ97">
        <f t="shared" si="54"/>
        <v>7.64</v>
      </c>
      <c r="DK97">
        <v>0</v>
      </c>
      <c r="DL97" t="s">
        <v>3</v>
      </c>
      <c r="DM97">
        <v>0</v>
      </c>
      <c r="DN97" t="s">
        <v>3</v>
      </c>
      <c r="DO97">
        <v>0</v>
      </c>
    </row>
    <row r="98" spans="1:119" x14ac:dyDescent="0.25">
      <c r="A98">
        <f>ROW(Source!A149)</f>
        <v>149</v>
      </c>
      <c r="B98">
        <v>75604747</v>
      </c>
      <c r="C98">
        <v>75605813</v>
      </c>
      <c r="D98">
        <v>74260536</v>
      </c>
      <c r="E98">
        <v>1</v>
      </c>
      <c r="F98">
        <v>1</v>
      </c>
      <c r="G98">
        <v>1</v>
      </c>
      <c r="H98">
        <v>3</v>
      </c>
      <c r="I98" t="s">
        <v>623</v>
      </c>
      <c r="J98" t="s">
        <v>624</v>
      </c>
      <c r="K98" t="s">
        <v>625</v>
      </c>
      <c r="L98">
        <v>1346</v>
      </c>
      <c r="N98">
        <v>1009</v>
      </c>
      <c r="O98" t="s">
        <v>240</v>
      </c>
      <c r="P98" t="s">
        <v>240</v>
      </c>
      <c r="Q98">
        <v>1</v>
      </c>
      <c r="W98">
        <v>0</v>
      </c>
      <c r="X98">
        <v>-489290570</v>
      </c>
      <c r="Y98">
        <f t="shared" si="48"/>
        <v>5</v>
      </c>
      <c r="AA98">
        <v>188.92</v>
      </c>
      <c r="AB98">
        <v>0</v>
      </c>
      <c r="AC98">
        <v>0</v>
      </c>
      <c r="AD98">
        <v>0</v>
      </c>
      <c r="AE98">
        <v>174.93</v>
      </c>
      <c r="AF98">
        <v>0</v>
      </c>
      <c r="AG98">
        <v>0</v>
      </c>
      <c r="AH98">
        <v>0</v>
      </c>
      <c r="AI98">
        <v>1.08</v>
      </c>
      <c r="AJ98">
        <v>1</v>
      </c>
      <c r="AK98">
        <v>1</v>
      </c>
      <c r="AL98">
        <v>1</v>
      </c>
      <c r="AM98">
        <v>2</v>
      </c>
      <c r="AN98">
        <v>0</v>
      </c>
      <c r="AO98">
        <v>0</v>
      </c>
      <c r="AP98">
        <v>1</v>
      </c>
      <c r="AQ98">
        <v>1</v>
      </c>
      <c r="AR98">
        <v>0</v>
      </c>
      <c r="AS98" t="s">
        <v>3</v>
      </c>
      <c r="AT98">
        <v>5</v>
      </c>
      <c r="AU98" t="s">
        <v>3</v>
      </c>
      <c r="AV98">
        <v>0</v>
      </c>
      <c r="AW98">
        <v>2</v>
      </c>
      <c r="AX98">
        <v>75605847</v>
      </c>
      <c r="AY98">
        <v>1</v>
      </c>
      <c r="AZ98">
        <v>0</v>
      </c>
      <c r="BA98">
        <v>102</v>
      </c>
      <c r="BB98">
        <v>1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874.65000000000009</v>
      </c>
      <c r="BK98">
        <v>0</v>
      </c>
      <c r="BL98">
        <v>0</v>
      </c>
      <c r="BM98">
        <v>0</v>
      </c>
      <c r="BN98">
        <v>0</v>
      </c>
      <c r="BO98">
        <v>0</v>
      </c>
      <c r="BP98">
        <v>1</v>
      </c>
      <c r="BQ98">
        <v>874.65000000000009</v>
      </c>
      <c r="BR98">
        <v>0</v>
      </c>
      <c r="BS98">
        <v>0</v>
      </c>
      <c r="BT98">
        <v>0</v>
      </c>
      <c r="BU98">
        <v>0</v>
      </c>
      <c r="BV98">
        <v>0</v>
      </c>
      <c r="BW98">
        <v>1</v>
      </c>
      <c r="CV98">
        <v>0</v>
      </c>
      <c r="CW98">
        <v>0</v>
      </c>
      <c r="CX98">
        <f>ROUND(Y98*Source!I149,7)</f>
        <v>2.2499999999999999E-2</v>
      </c>
      <c r="CY98">
        <f t="shared" si="49"/>
        <v>188.92</v>
      </c>
      <c r="CZ98">
        <f t="shared" si="50"/>
        <v>174.93</v>
      </c>
      <c r="DA98">
        <f t="shared" si="51"/>
        <v>1.08</v>
      </c>
      <c r="DB98">
        <f t="shared" si="52"/>
        <v>874.65</v>
      </c>
      <c r="DC98">
        <f t="shared" si="53"/>
        <v>0</v>
      </c>
      <c r="DD98" t="s">
        <v>3</v>
      </c>
      <c r="DE98" t="s">
        <v>3</v>
      </c>
      <c r="DF98">
        <f t="shared" si="55"/>
        <v>4.25</v>
      </c>
      <c r="DG98">
        <f t="shared" si="47"/>
        <v>0</v>
      </c>
      <c r="DH98">
        <f t="shared" si="23"/>
        <v>0</v>
      </c>
      <c r="DI98">
        <f t="shared" si="24"/>
        <v>0</v>
      </c>
      <c r="DJ98">
        <f t="shared" si="54"/>
        <v>4.25</v>
      </c>
      <c r="DK98">
        <v>0</v>
      </c>
      <c r="DL98" t="s">
        <v>3</v>
      </c>
      <c r="DM98">
        <v>0</v>
      </c>
      <c r="DN98" t="s">
        <v>3</v>
      </c>
      <c r="DO98">
        <v>0</v>
      </c>
    </row>
    <row r="99" spans="1:119" x14ac:dyDescent="0.25">
      <c r="A99">
        <f>ROW(Source!A149)</f>
        <v>149</v>
      </c>
      <c r="B99">
        <v>75604747</v>
      </c>
      <c r="C99">
        <v>75605813</v>
      </c>
      <c r="D99">
        <v>74260587</v>
      </c>
      <c r="E99">
        <v>1</v>
      </c>
      <c r="F99">
        <v>1</v>
      </c>
      <c r="G99">
        <v>1</v>
      </c>
      <c r="H99">
        <v>3</v>
      </c>
      <c r="I99" t="s">
        <v>530</v>
      </c>
      <c r="J99" t="s">
        <v>531</v>
      </c>
      <c r="K99" t="s">
        <v>532</v>
      </c>
      <c r="L99">
        <v>1348</v>
      </c>
      <c r="N99">
        <v>1009</v>
      </c>
      <c r="O99" t="s">
        <v>174</v>
      </c>
      <c r="P99" t="s">
        <v>174</v>
      </c>
      <c r="Q99">
        <v>1000</v>
      </c>
      <c r="W99">
        <v>0</v>
      </c>
      <c r="X99">
        <v>1479353699</v>
      </c>
      <c r="Y99">
        <f t="shared" si="48"/>
        <v>1.0000000000000001E-5</v>
      </c>
      <c r="AA99">
        <v>92790.98</v>
      </c>
      <c r="AB99">
        <v>0</v>
      </c>
      <c r="AC99">
        <v>0</v>
      </c>
      <c r="AD99">
        <v>0</v>
      </c>
      <c r="AE99">
        <v>70296.2</v>
      </c>
      <c r="AF99">
        <v>0</v>
      </c>
      <c r="AG99">
        <v>0</v>
      </c>
      <c r="AH99">
        <v>0</v>
      </c>
      <c r="AI99">
        <v>1.32</v>
      </c>
      <c r="AJ99">
        <v>1</v>
      </c>
      <c r="AK99">
        <v>1</v>
      </c>
      <c r="AL99">
        <v>1</v>
      </c>
      <c r="AM99">
        <v>2</v>
      </c>
      <c r="AN99">
        <v>0</v>
      </c>
      <c r="AO99">
        <v>0</v>
      </c>
      <c r="AP99">
        <v>1</v>
      </c>
      <c r="AQ99">
        <v>1</v>
      </c>
      <c r="AR99">
        <v>0</v>
      </c>
      <c r="AS99" t="s">
        <v>3</v>
      </c>
      <c r="AT99">
        <v>1.0000000000000001E-5</v>
      </c>
      <c r="AU99" t="s">
        <v>3</v>
      </c>
      <c r="AV99">
        <v>0</v>
      </c>
      <c r="AW99">
        <v>2</v>
      </c>
      <c r="AX99">
        <v>75605848</v>
      </c>
      <c r="AY99">
        <v>1</v>
      </c>
      <c r="AZ99">
        <v>0</v>
      </c>
      <c r="BA99">
        <v>103</v>
      </c>
      <c r="BB99">
        <v>1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0.70296199999999998</v>
      </c>
      <c r="BK99">
        <v>0</v>
      </c>
      <c r="BL99">
        <v>0</v>
      </c>
      <c r="BM99">
        <v>0</v>
      </c>
      <c r="BN99">
        <v>0</v>
      </c>
      <c r="BO99">
        <v>0</v>
      </c>
      <c r="BP99">
        <v>1</v>
      </c>
      <c r="BQ99">
        <v>0.70296199999999998</v>
      </c>
      <c r="BR99">
        <v>0</v>
      </c>
      <c r="BS99">
        <v>0</v>
      </c>
      <c r="BT99">
        <v>0</v>
      </c>
      <c r="BU99">
        <v>0</v>
      </c>
      <c r="BV99">
        <v>0</v>
      </c>
      <c r="BW99">
        <v>1</v>
      </c>
      <c r="CV99">
        <v>0</v>
      </c>
      <c r="CW99">
        <v>0</v>
      </c>
      <c r="CX99">
        <f>ROUND(Y99*Source!I149,7)</f>
        <v>0</v>
      </c>
      <c r="CY99">
        <f t="shared" si="49"/>
        <v>92790.98</v>
      </c>
      <c r="CZ99">
        <f t="shared" si="50"/>
        <v>70296.2</v>
      </c>
      <c r="DA99">
        <f t="shared" si="51"/>
        <v>1.32</v>
      </c>
      <c r="DB99">
        <f t="shared" si="52"/>
        <v>0.7</v>
      </c>
      <c r="DC99">
        <f t="shared" si="53"/>
        <v>0</v>
      </c>
      <c r="DD99" t="s">
        <v>3</v>
      </c>
      <c r="DE99" t="s">
        <v>3</v>
      </c>
      <c r="DF99">
        <f t="shared" si="55"/>
        <v>0</v>
      </c>
      <c r="DG99">
        <f t="shared" si="47"/>
        <v>0</v>
      </c>
      <c r="DH99">
        <f t="shared" si="23"/>
        <v>0</v>
      </c>
      <c r="DI99">
        <f t="shared" si="24"/>
        <v>0</v>
      </c>
      <c r="DJ99">
        <f t="shared" si="54"/>
        <v>0</v>
      </c>
      <c r="DK99">
        <v>0</v>
      </c>
      <c r="DL99" t="s">
        <v>3</v>
      </c>
      <c r="DM99">
        <v>0</v>
      </c>
      <c r="DN99" t="s">
        <v>3</v>
      </c>
      <c r="DO99">
        <v>0</v>
      </c>
    </row>
    <row r="100" spans="1:119" x14ac:dyDescent="0.25">
      <c r="A100">
        <f>ROW(Source!A149)</f>
        <v>149</v>
      </c>
      <c r="B100">
        <v>75604747</v>
      </c>
      <c r="C100">
        <v>75605813</v>
      </c>
      <c r="D100">
        <v>74261679</v>
      </c>
      <c r="E100">
        <v>1</v>
      </c>
      <c r="F100">
        <v>1</v>
      </c>
      <c r="G100">
        <v>1</v>
      </c>
      <c r="H100">
        <v>3</v>
      </c>
      <c r="I100" t="s">
        <v>626</v>
      </c>
      <c r="J100" t="s">
        <v>627</v>
      </c>
      <c r="K100" t="s">
        <v>628</v>
      </c>
      <c r="L100">
        <v>1348</v>
      </c>
      <c r="N100">
        <v>1009</v>
      </c>
      <c r="O100" t="s">
        <v>174</v>
      </c>
      <c r="P100" t="s">
        <v>174</v>
      </c>
      <c r="Q100">
        <v>1000</v>
      </c>
      <c r="W100">
        <v>0</v>
      </c>
      <c r="X100">
        <v>-196647353</v>
      </c>
      <c r="Y100">
        <f t="shared" si="48"/>
        <v>1E-4</v>
      </c>
      <c r="AA100">
        <v>368541.89</v>
      </c>
      <c r="AB100">
        <v>0</v>
      </c>
      <c r="AC100">
        <v>0</v>
      </c>
      <c r="AD100">
        <v>0</v>
      </c>
      <c r="AE100">
        <v>231787.35</v>
      </c>
      <c r="AF100">
        <v>0</v>
      </c>
      <c r="AG100">
        <v>0</v>
      </c>
      <c r="AH100">
        <v>0</v>
      </c>
      <c r="AI100">
        <v>1.59</v>
      </c>
      <c r="AJ100">
        <v>1</v>
      </c>
      <c r="AK100">
        <v>1</v>
      </c>
      <c r="AL100">
        <v>1</v>
      </c>
      <c r="AM100">
        <v>2</v>
      </c>
      <c r="AN100">
        <v>0</v>
      </c>
      <c r="AO100">
        <v>0</v>
      </c>
      <c r="AP100">
        <v>1</v>
      </c>
      <c r="AQ100">
        <v>1</v>
      </c>
      <c r="AR100">
        <v>0</v>
      </c>
      <c r="AS100" t="s">
        <v>3</v>
      </c>
      <c r="AT100">
        <v>1E-4</v>
      </c>
      <c r="AU100" t="s">
        <v>3</v>
      </c>
      <c r="AV100">
        <v>0</v>
      </c>
      <c r="AW100">
        <v>2</v>
      </c>
      <c r="AX100">
        <v>75605849</v>
      </c>
      <c r="AY100">
        <v>1</v>
      </c>
      <c r="AZ100">
        <v>0</v>
      </c>
      <c r="BA100">
        <v>104</v>
      </c>
      <c r="BB100">
        <v>1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23.178735000000003</v>
      </c>
      <c r="BK100">
        <v>0</v>
      </c>
      <c r="BL100">
        <v>0</v>
      </c>
      <c r="BM100">
        <v>0</v>
      </c>
      <c r="BN100">
        <v>0</v>
      </c>
      <c r="BO100">
        <v>0</v>
      </c>
      <c r="BP100">
        <v>1</v>
      </c>
      <c r="BQ100">
        <v>23.178735000000003</v>
      </c>
      <c r="BR100">
        <v>0</v>
      </c>
      <c r="BS100">
        <v>0</v>
      </c>
      <c r="BT100">
        <v>0</v>
      </c>
      <c r="BU100">
        <v>0</v>
      </c>
      <c r="BV100">
        <v>0</v>
      </c>
      <c r="BW100">
        <v>1</v>
      </c>
      <c r="CV100">
        <v>0</v>
      </c>
      <c r="CW100">
        <v>0</v>
      </c>
      <c r="CX100">
        <f>ROUND(Y100*Source!I149,7)</f>
        <v>4.9999999999999998E-7</v>
      </c>
      <c r="CY100">
        <f t="shared" si="49"/>
        <v>368541.89</v>
      </c>
      <c r="CZ100">
        <f t="shared" si="50"/>
        <v>231787.35</v>
      </c>
      <c r="DA100">
        <f t="shared" si="51"/>
        <v>1.59</v>
      </c>
      <c r="DB100">
        <f t="shared" si="52"/>
        <v>23.18</v>
      </c>
      <c r="DC100">
        <f t="shared" si="53"/>
        <v>0</v>
      </c>
      <c r="DD100" t="s">
        <v>3</v>
      </c>
      <c r="DE100" t="s">
        <v>3</v>
      </c>
      <c r="DF100">
        <f t="shared" si="55"/>
        <v>0.18</v>
      </c>
      <c r="DG100">
        <f t="shared" si="47"/>
        <v>0</v>
      </c>
      <c r="DH100">
        <f t="shared" si="23"/>
        <v>0</v>
      </c>
      <c r="DI100">
        <f t="shared" si="24"/>
        <v>0</v>
      </c>
      <c r="DJ100">
        <f t="shared" si="54"/>
        <v>0.18</v>
      </c>
      <c r="DK100">
        <v>0</v>
      </c>
      <c r="DL100" t="s">
        <v>3</v>
      </c>
      <c r="DM100">
        <v>0</v>
      </c>
      <c r="DN100" t="s">
        <v>3</v>
      </c>
      <c r="DO100">
        <v>0</v>
      </c>
    </row>
    <row r="101" spans="1:119" x14ac:dyDescent="0.25">
      <c r="A101">
        <f>ROW(Source!A149)</f>
        <v>149</v>
      </c>
      <c r="B101">
        <v>75604747</v>
      </c>
      <c r="C101">
        <v>75605813</v>
      </c>
      <c r="D101">
        <v>74267062</v>
      </c>
      <c r="E101">
        <v>1</v>
      </c>
      <c r="F101">
        <v>1</v>
      </c>
      <c r="G101">
        <v>1</v>
      </c>
      <c r="H101">
        <v>3</v>
      </c>
      <c r="I101" t="s">
        <v>238</v>
      </c>
      <c r="J101" t="s">
        <v>241</v>
      </c>
      <c r="K101" t="s">
        <v>239</v>
      </c>
      <c r="L101">
        <v>1346</v>
      </c>
      <c r="N101">
        <v>1009</v>
      </c>
      <c r="O101" t="s">
        <v>240</v>
      </c>
      <c r="P101" t="s">
        <v>240</v>
      </c>
      <c r="Q101">
        <v>1</v>
      </c>
      <c r="W101">
        <v>0</v>
      </c>
      <c r="X101">
        <v>-738673789</v>
      </c>
      <c r="Y101">
        <f t="shared" si="48"/>
        <v>1000</v>
      </c>
      <c r="AA101">
        <v>230.1</v>
      </c>
      <c r="AB101">
        <v>0</v>
      </c>
      <c r="AC101">
        <v>0</v>
      </c>
      <c r="AD101">
        <v>0</v>
      </c>
      <c r="AE101">
        <v>175.65</v>
      </c>
      <c r="AF101">
        <v>0</v>
      </c>
      <c r="AG101">
        <v>0</v>
      </c>
      <c r="AH101">
        <v>0</v>
      </c>
      <c r="AI101">
        <v>1.31</v>
      </c>
      <c r="AJ101">
        <v>1</v>
      </c>
      <c r="AK101">
        <v>1</v>
      </c>
      <c r="AL101">
        <v>1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  <c r="AS101" t="s">
        <v>3</v>
      </c>
      <c r="AT101">
        <v>1000</v>
      </c>
      <c r="AU101" t="s">
        <v>3</v>
      </c>
      <c r="AV101">
        <v>0</v>
      </c>
      <c r="AW101">
        <v>1</v>
      </c>
      <c r="AX101">
        <v>-1</v>
      </c>
      <c r="AY101">
        <v>0</v>
      </c>
      <c r="AZ101">
        <v>0</v>
      </c>
      <c r="BA101" t="s">
        <v>3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0</v>
      </c>
      <c r="BM101">
        <v>0</v>
      </c>
      <c r="BN101">
        <v>0</v>
      </c>
      <c r="BO101">
        <v>0</v>
      </c>
      <c r="BP101">
        <v>0</v>
      </c>
      <c r="BQ101">
        <v>0</v>
      </c>
      <c r="BR101">
        <v>0</v>
      </c>
      <c r="BS101">
        <v>0</v>
      </c>
      <c r="BT101">
        <v>0</v>
      </c>
      <c r="BU101">
        <v>0</v>
      </c>
      <c r="BV101">
        <v>0</v>
      </c>
      <c r="BW101">
        <v>0</v>
      </c>
      <c r="CV101">
        <v>0</v>
      </c>
      <c r="CW101">
        <v>0</v>
      </c>
      <c r="CX101">
        <f>ROUND(Y101*Source!I149,7)</f>
        <v>4.5</v>
      </c>
      <c r="CY101">
        <f t="shared" si="49"/>
        <v>230.1</v>
      </c>
      <c r="CZ101">
        <f t="shared" si="50"/>
        <v>175.65</v>
      </c>
      <c r="DA101">
        <f t="shared" si="51"/>
        <v>1.31</v>
      </c>
      <c r="DB101">
        <f t="shared" si="52"/>
        <v>175650</v>
      </c>
      <c r="DC101">
        <f t="shared" si="53"/>
        <v>0</v>
      </c>
      <c r="DD101" t="s">
        <v>3</v>
      </c>
      <c r="DE101" t="s">
        <v>3</v>
      </c>
      <c r="DF101">
        <f t="shared" si="55"/>
        <v>1035.45</v>
      </c>
      <c r="DG101">
        <f t="shared" si="47"/>
        <v>0</v>
      </c>
      <c r="DH101">
        <f t="shared" si="23"/>
        <v>0</v>
      </c>
      <c r="DI101">
        <f t="shared" si="24"/>
        <v>0</v>
      </c>
      <c r="DJ101">
        <f t="shared" si="54"/>
        <v>1035.45</v>
      </c>
      <c r="DK101">
        <v>0</v>
      </c>
      <c r="DL101" t="s">
        <v>3</v>
      </c>
      <c r="DM101">
        <v>0</v>
      </c>
      <c r="DN101" t="s">
        <v>3</v>
      </c>
      <c r="DO101">
        <v>0</v>
      </c>
    </row>
    <row r="102" spans="1:119" x14ac:dyDescent="0.25">
      <c r="A102">
        <f>ROW(Source!A149)</f>
        <v>149</v>
      </c>
      <c r="B102">
        <v>75604747</v>
      </c>
      <c r="C102">
        <v>75605813</v>
      </c>
      <c r="D102">
        <v>74267598</v>
      </c>
      <c r="E102">
        <v>1</v>
      </c>
      <c r="F102">
        <v>1</v>
      </c>
      <c r="G102">
        <v>1</v>
      </c>
      <c r="H102">
        <v>3</v>
      </c>
      <c r="I102" t="s">
        <v>629</v>
      </c>
      <c r="J102" t="s">
        <v>630</v>
      </c>
      <c r="K102" t="s">
        <v>631</v>
      </c>
      <c r="L102">
        <v>1302</v>
      </c>
      <c r="N102">
        <v>1003</v>
      </c>
      <c r="O102" t="s">
        <v>632</v>
      </c>
      <c r="P102" t="s">
        <v>632</v>
      </c>
      <c r="Q102">
        <v>10</v>
      </c>
      <c r="W102">
        <v>0</v>
      </c>
      <c r="X102">
        <v>-16063298</v>
      </c>
      <c r="Y102">
        <f t="shared" si="48"/>
        <v>1.8700000000000001E-2</v>
      </c>
      <c r="AA102">
        <v>221.64</v>
      </c>
      <c r="AB102">
        <v>0</v>
      </c>
      <c r="AC102">
        <v>0</v>
      </c>
      <c r="AD102">
        <v>0</v>
      </c>
      <c r="AE102">
        <v>307.83999999999997</v>
      </c>
      <c r="AF102">
        <v>0</v>
      </c>
      <c r="AG102">
        <v>0</v>
      </c>
      <c r="AH102">
        <v>0</v>
      </c>
      <c r="AI102">
        <v>0.72</v>
      </c>
      <c r="AJ102">
        <v>1</v>
      </c>
      <c r="AK102">
        <v>1</v>
      </c>
      <c r="AL102">
        <v>1</v>
      </c>
      <c r="AM102">
        <v>2</v>
      </c>
      <c r="AN102">
        <v>0</v>
      </c>
      <c r="AO102">
        <v>0</v>
      </c>
      <c r="AP102">
        <v>1</v>
      </c>
      <c r="AQ102">
        <v>1</v>
      </c>
      <c r="AR102">
        <v>0</v>
      </c>
      <c r="AS102" t="s">
        <v>3</v>
      </c>
      <c r="AT102">
        <v>1.8700000000000001E-2</v>
      </c>
      <c r="AU102" t="s">
        <v>3</v>
      </c>
      <c r="AV102">
        <v>0</v>
      </c>
      <c r="AW102">
        <v>2</v>
      </c>
      <c r="AX102">
        <v>75605851</v>
      </c>
      <c r="AY102">
        <v>1</v>
      </c>
      <c r="AZ102">
        <v>0</v>
      </c>
      <c r="BA102">
        <v>106</v>
      </c>
      <c r="BB102">
        <v>1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5.7566079999999999</v>
      </c>
      <c r="BK102">
        <v>0</v>
      </c>
      <c r="BL102">
        <v>0</v>
      </c>
      <c r="BM102">
        <v>0</v>
      </c>
      <c r="BN102">
        <v>0</v>
      </c>
      <c r="BO102">
        <v>0</v>
      </c>
      <c r="BP102">
        <v>1</v>
      </c>
      <c r="BQ102">
        <v>5.7566079999999999</v>
      </c>
      <c r="BR102">
        <v>0</v>
      </c>
      <c r="BS102">
        <v>0</v>
      </c>
      <c r="BT102">
        <v>0</v>
      </c>
      <c r="BU102">
        <v>0</v>
      </c>
      <c r="BV102">
        <v>0</v>
      </c>
      <c r="BW102">
        <v>1</v>
      </c>
      <c r="CV102">
        <v>0</v>
      </c>
      <c r="CW102">
        <v>0</v>
      </c>
      <c r="CX102">
        <f>ROUND(Y102*Source!I149,7)</f>
        <v>8.42E-5</v>
      </c>
      <c r="CY102">
        <f t="shared" si="49"/>
        <v>221.64</v>
      </c>
      <c r="CZ102">
        <f t="shared" si="50"/>
        <v>307.83999999999997</v>
      </c>
      <c r="DA102">
        <f t="shared" si="51"/>
        <v>0.72</v>
      </c>
      <c r="DB102">
        <f t="shared" si="52"/>
        <v>5.76</v>
      </c>
      <c r="DC102">
        <f t="shared" si="53"/>
        <v>0</v>
      </c>
      <c r="DD102" t="s">
        <v>3</v>
      </c>
      <c r="DE102" t="s">
        <v>3</v>
      </c>
      <c r="DF102">
        <f t="shared" si="55"/>
        <v>0.02</v>
      </c>
      <c r="DG102">
        <f t="shared" si="47"/>
        <v>0</v>
      </c>
      <c r="DH102">
        <f t="shared" si="23"/>
        <v>0</v>
      </c>
      <c r="DI102">
        <f t="shared" si="24"/>
        <v>0</v>
      </c>
      <c r="DJ102">
        <f t="shared" si="54"/>
        <v>0.02</v>
      </c>
      <c r="DK102">
        <v>0</v>
      </c>
      <c r="DL102" t="s">
        <v>3</v>
      </c>
      <c r="DM102">
        <v>0</v>
      </c>
      <c r="DN102" t="s">
        <v>3</v>
      </c>
      <c r="DO102">
        <v>0</v>
      </c>
    </row>
    <row r="103" spans="1:119" x14ac:dyDescent="0.25">
      <c r="A103">
        <f>ROW(Source!A149)</f>
        <v>149</v>
      </c>
      <c r="B103">
        <v>75604747</v>
      </c>
      <c r="C103">
        <v>75605813</v>
      </c>
      <c r="D103">
        <v>74267758</v>
      </c>
      <c r="E103">
        <v>1</v>
      </c>
      <c r="F103">
        <v>1</v>
      </c>
      <c r="G103">
        <v>1</v>
      </c>
      <c r="H103">
        <v>3</v>
      </c>
      <c r="I103" t="s">
        <v>533</v>
      </c>
      <c r="J103" t="s">
        <v>534</v>
      </c>
      <c r="K103" t="s">
        <v>535</v>
      </c>
      <c r="L103">
        <v>1348</v>
      </c>
      <c r="N103">
        <v>1009</v>
      </c>
      <c r="O103" t="s">
        <v>174</v>
      </c>
      <c r="P103" t="s">
        <v>174</v>
      </c>
      <c r="Q103">
        <v>1000</v>
      </c>
      <c r="W103">
        <v>0</v>
      </c>
      <c r="X103">
        <v>1897739153</v>
      </c>
      <c r="Y103">
        <f t="shared" si="48"/>
        <v>3.0000000000000001E-5</v>
      </c>
      <c r="AA103">
        <v>52424.63</v>
      </c>
      <c r="AB103">
        <v>0</v>
      </c>
      <c r="AC103">
        <v>0</v>
      </c>
      <c r="AD103">
        <v>0</v>
      </c>
      <c r="AE103">
        <v>60258.2</v>
      </c>
      <c r="AF103">
        <v>0</v>
      </c>
      <c r="AG103">
        <v>0</v>
      </c>
      <c r="AH103">
        <v>0</v>
      </c>
      <c r="AI103">
        <v>0.87</v>
      </c>
      <c r="AJ103">
        <v>1</v>
      </c>
      <c r="AK103">
        <v>1</v>
      </c>
      <c r="AL103">
        <v>1</v>
      </c>
      <c r="AM103">
        <v>2</v>
      </c>
      <c r="AN103">
        <v>0</v>
      </c>
      <c r="AO103">
        <v>0</v>
      </c>
      <c r="AP103">
        <v>1</v>
      </c>
      <c r="AQ103">
        <v>1</v>
      </c>
      <c r="AR103">
        <v>0</v>
      </c>
      <c r="AS103" t="s">
        <v>3</v>
      </c>
      <c r="AT103">
        <v>3.0000000000000001E-5</v>
      </c>
      <c r="AU103" t="s">
        <v>3</v>
      </c>
      <c r="AV103">
        <v>0</v>
      </c>
      <c r="AW103">
        <v>2</v>
      </c>
      <c r="AX103">
        <v>75605852</v>
      </c>
      <c r="AY103">
        <v>1</v>
      </c>
      <c r="AZ103">
        <v>0</v>
      </c>
      <c r="BA103">
        <v>107</v>
      </c>
      <c r="BB103">
        <v>1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1.8077459999999999</v>
      </c>
      <c r="BK103">
        <v>0</v>
      </c>
      <c r="BL103">
        <v>0</v>
      </c>
      <c r="BM103">
        <v>0</v>
      </c>
      <c r="BN103">
        <v>0</v>
      </c>
      <c r="BO103">
        <v>0</v>
      </c>
      <c r="BP103">
        <v>1</v>
      </c>
      <c r="BQ103">
        <v>1.8077459999999999</v>
      </c>
      <c r="BR103">
        <v>0</v>
      </c>
      <c r="BS103">
        <v>0</v>
      </c>
      <c r="BT103">
        <v>0</v>
      </c>
      <c r="BU103">
        <v>0</v>
      </c>
      <c r="BV103">
        <v>0</v>
      </c>
      <c r="BW103">
        <v>1</v>
      </c>
      <c r="CV103">
        <v>0</v>
      </c>
      <c r="CW103">
        <v>0</v>
      </c>
      <c r="CX103">
        <f>ROUND(Y103*Source!I149,7)</f>
        <v>9.9999999999999995E-8</v>
      </c>
      <c r="CY103">
        <f t="shared" si="49"/>
        <v>52424.63</v>
      </c>
      <c r="CZ103">
        <f t="shared" si="50"/>
        <v>60258.2</v>
      </c>
      <c r="DA103">
        <f t="shared" si="51"/>
        <v>0.87</v>
      </c>
      <c r="DB103">
        <f t="shared" si="52"/>
        <v>1.81</v>
      </c>
      <c r="DC103">
        <f t="shared" si="53"/>
        <v>0</v>
      </c>
      <c r="DD103" t="s">
        <v>3</v>
      </c>
      <c r="DE103" t="s">
        <v>3</v>
      </c>
      <c r="DF103">
        <f t="shared" si="55"/>
        <v>0.01</v>
      </c>
      <c r="DG103">
        <f t="shared" si="47"/>
        <v>0</v>
      </c>
      <c r="DH103">
        <f t="shared" si="23"/>
        <v>0</v>
      </c>
      <c r="DI103">
        <f t="shared" si="24"/>
        <v>0</v>
      </c>
      <c r="DJ103">
        <f t="shared" si="54"/>
        <v>0.01</v>
      </c>
      <c r="DK103">
        <v>0</v>
      </c>
      <c r="DL103" t="s">
        <v>3</v>
      </c>
      <c r="DM103">
        <v>0</v>
      </c>
      <c r="DN103" t="s">
        <v>3</v>
      </c>
      <c r="DO103">
        <v>0</v>
      </c>
    </row>
    <row r="104" spans="1:119" x14ac:dyDescent="0.25">
      <c r="A104">
        <f>ROW(Source!A149)</f>
        <v>149</v>
      </c>
      <c r="B104">
        <v>75604747</v>
      </c>
      <c r="C104">
        <v>75605813</v>
      </c>
      <c r="D104">
        <v>74268214</v>
      </c>
      <c r="E104">
        <v>1</v>
      </c>
      <c r="F104">
        <v>1</v>
      </c>
      <c r="G104">
        <v>1</v>
      </c>
      <c r="H104">
        <v>3</v>
      </c>
      <c r="I104" t="s">
        <v>633</v>
      </c>
      <c r="J104" t="s">
        <v>634</v>
      </c>
      <c r="K104" t="s">
        <v>635</v>
      </c>
      <c r="L104">
        <v>1348</v>
      </c>
      <c r="N104">
        <v>1009</v>
      </c>
      <c r="O104" t="s">
        <v>174</v>
      </c>
      <c r="P104" t="s">
        <v>174</v>
      </c>
      <c r="Q104">
        <v>1000</v>
      </c>
      <c r="W104">
        <v>0</v>
      </c>
      <c r="X104">
        <v>506900767</v>
      </c>
      <c r="Y104">
        <f t="shared" si="48"/>
        <v>1.9400000000000001E-3</v>
      </c>
      <c r="AA104">
        <v>124451.6</v>
      </c>
      <c r="AB104">
        <v>0</v>
      </c>
      <c r="AC104">
        <v>0</v>
      </c>
      <c r="AD104">
        <v>0</v>
      </c>
      <c r="AE104">
        <v>136760</v>
      </c>
      <c r="AF104">
        <v>0</v>
      </c>
      <c r="AG104">
        <v>0</v>
      </c>
      <c r="AH104">
        <v>0</v>
      </c>
      <c r="AI104">
        <v>0.91</v>
      </c>
      <c r="AJ104">
        <v>1</v>
      </c>
      <c r="AK104">
        <v>1</v>
      </c>
      <c r="AL104">
        <v>1</v>
      </c>
      <c r="AM104">
        <v>2</v>
      </c>
      <c r="AN104">
        <v>0</v>
      </c>
      <c r="AO104">
        <v>0</v>
      </c>
      <c r="AP104">
        <v>1</v>
      </c>
      <c r="AQ104">
        <v>1</v>
      </c>
      <c r="AR104">
        <v>0</v>
      </c>
      <c r="AS104" t="s">
        <v>3</v>
      </c>
      <c r="AT104">
        <v>1.9400000000000001E-3</v>
      </c>
      <c r="AU104" t="s">
        <v>3</v>
      </c>
      <c r="AV104">
        <v>0</v>
      </c>
      <c r="AW104">
        <v>2</v>
      </c>
      <c r="AX104">
        <v>75605853</v>
      </c>
      <c r="AY104">
        <v>1</v>
      </c>
      <c r="AZ104">
        <v>0</v>
      </c>
      <c r="BA104">
        <v>108</v>
      </c>
      <c r="BB104">
        <v>1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265.31440000000003</v>
      </c>
      <c r="BK104">
        <v>0</v>
      </c>
      <c r="BL104">
        <v>0</v>
      </c>
      <c r="BM104">
        <v>0</v>
      </c>
      <c r="BN104">
        <v>0</v>
      </c>
      <c r="BO104">
        <v>0</v>
      </c>
      <c r="BP104">
        <v>1</v>
      </c>
      <c r="BQ104">
        <v>265.31440000000003</v>
      </c>
      <c r="BR104">
        <v>0</v>
      </c>
      <c r="BS104">
        <v>0</v>
      </c>
      <c r="BT104">
        <v>0</v>
      </c>
      <c r="BU104">
        <v>0</v>
      </c>
      <c r="BV104">
        <v>0</v>
      </c>
      <c r="BW104">
        <v>1</v>
      </c>
      <c r="CV104">
        <v>0</v>
      </c>
      <c r="CW104">
        <v>0</v>
      </c>
      <c r="CX104">
        <f>ROUND(Y104*Source!I149,7)</f>
        <v>8.6999999999999997E-6</v>
      </c>
      <c r="CY104">
        <f t="shared" si="49"/>
        <v>124451.6</v>
      </c>
      <c r="CZ104">
        <f t="shared" si="50"/>
        <v>136760</v>
      </c>
      <c r="DA104">
        <f t="shared" si="51"/>
        <v>0.91</v>
      </c>
      <c r="DB104">
        <f t="shared" si="52"/>
        <v>265.31</v>
      </c>
      <c r="DC104">
        <f t="shared" si="53"/>
        <v>0</v>
      </c>
      <c r="DD104" t="s">
        <v>3</v>
      </c>
      <c r="DE104" t="s">
        <v>3</v>
      </c>
      <c r="DF104">
        <f t="shared" si="55"/>
        <v>1.08</v>
      </c>
      <c r="DG104">
        <f t="shared" si="47"/>
        <v>0</v>
      </c>
      <c r="DH104">
        <f t="shared" si="23"/>
        <v>0</v>
      </c>
      <c r="DI104">
        <f t="shared" si="24"/>
        <v>0</v>
      </c>
      <c r="DJ104">
        <f t="shared" si="54"/>
        <v>1.08</v>
      </c>
      <c r="DK104">
        <v>0</v>
      </c>
      <c r="DL104" t="s">
        <v>3</v>
      </c>
      <c r="DM104">
        <v>0</v>
      </c>
      <c r="DN104" t="s">
        <v>3</v>
      </c>
      <c r="DO104">
        <v>0</v>
      </c>
    </row>
    <row r="105" spans="1:119" x14ac:dyDescent="0.25">
      <c r="A105">
        <f>ROW(Source!A149)</f>
        <v>149</v>
      </c>
      <c r="B105">
        <v>75604747</v>
      </c>
      <c r="C105">
        <v>75605813</v>
      </c>
      <c r="D105">
        <v>74269923</v>
      </c>
      <c r="E105">
        <v>1</v>
      </c>
      <c r="F105">
        <v>1</v>
      </c>
      <c r="G105">
        <v>1</v>
      </c>
      <c r="H105">
        <v>3</v>
      </c>
      <c r="I105" t="s">
        <v>636</v>
      </c>
      <c r="J105" t="s">
        <v>637</v>
      </c>
      <c r="K105" t="s">
        <v>638</v>
      </c>
      <c r="L105">
        <v>1339</v>
      </c>
      <c r="N105">
        <v>1007</v>
      </c>
      <c r="O105" t="s">
        <v>205</v>
      </c>
      <c r="P105" t="s">
        <v>205</v>
      </c>
      <c r="Q105">
        <v>1</v>
      </c>
      <c r="W105">
        <v>0</v>
      </c>
      <c r="X105">
        <v>1166267915</v>
      </c>
      <c r="Y105">
        <f t="shared" si="48"/>
        <v>1.0300000000000001E-3</v>
      </c>
      <c r="AA105">
        <v>12701.94</v>
      </c>
      <c r="AB105">
        <v>0</v>
      </c>
      <c r="AC105">
        <v>0</v>
      </c>
      <c r="AD105">
        <v>0</v>
      </c>
      <c r="AE105">
        <v>16496.03</v>
      </c>
      <c r="AF105">
        <v>0</v>
      </c>
      <c r="AG105">
        <v>0</v>
      </c>
      <c r="AH105">
        <v>0</v>
      </c>
      <c r="AI105">
        <v>0.77</v>
      </c>
      <c r="AJ105">
        <v>1</v>
      </c>
      <c r="AK105">
        <v>1</v>
      </c>
      <c r="AL105">
        <v>1</v>
      </c>
      <c r="AM105">
        <v>2</v>
      </c>
      <c r="AN105">
        <v>0</v>
      </c>
      <c r="AO105">
        <v>0</v>
      </c>
      <c r="AP105">
        <v>1</v>
      </c>
      <c r="AQ105">
        <v>1</v>
      </c>
      <c r="AR105">
        <v>0</v>
      </c>
      <c r="AS105" t="s">
        <v>3</v>
      </c>
      <c r="AT105">
        <v>1.0300000000000001E-3</v>
      </c>
      <c r="AU105" t="s">
        <v>3</v>
      </c>
      <c r="AV105">
        <v>0</v>
      </c>
      <c r="AW105">
        <v>2</v>
      </c>
      <c r="AX105">
        <v>75605854</v>
      </c>
      <c r="AY105">
        <v>1</v>
      </c>
      <c r="AZ105">
        <v>0</v>
      </c>
      <c r="BA105">
        <v>109</v>
      </c>
      <c r="BB105">
        <v>1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16.990910899999999</v>
      </c>
      <c r="BK105">
        <v>0</v>
      </c>
      <c r="BL105">
        <v>0</v>
      </c>
      <c r="BM105">
        <v>0</v>
      </c>
      <c r="BN105">
        <v>0</v>
      </c>
      <c r="BO105">
        <v>0</v>
      </c>
      <c r="BP105">
        <v>1</v>
      </c>
      <c r="BQ105">
        <v>16.990910899999999</v>
      </c>
      <c r="BR105">
        <v>0</v>
      </c>
      <c r="BS105">
        <v>0</v>
      </c>
      <c r="BT105">
        <v>0</v>
      </c>
      <c r="BU105">
        <v>0</v>
      </c>
      <c r="BV105">
        <v>0</v>
      </c>
      <c r="BW105">
        <v>1</v>
      </c>
      <c r="CV105">
        <v>0</v>
      </c>
      <c r="CW105">
        <v>0</v>
      </c>
      <c r="CX105">
        <f>ROUND(Y105*Source!I149,7)</f>
        <v>4.6E-6</v>
      </c>
      <c r="CY105">
        <f t="shared" si="49"/>
        <v>12701.94</v>
      </c>
      <c r="CZ105">
        <f t="shared" si="50"/>
        <v>16496.03</v>
      </c>
      <c r="DA105">
        <f t="shared" si="51"/>
        <v>0.77</v>
      </c>
      <c r="DB105">
        <f t="shared" si="52"/>
        <v>16.989999999999998</v>
      </c>
      <c r="DC105">
        <f t="shared" si="53"/>
        <v>0</v>
      </c>
      <c r="DD105" t="s">
        <v>3</v>
      </c>
      <c r="DE105" t="s">
        <v>3</v>
      </c>
      <c r="DF105">
        <f t="shared" si="55"/>
        <v>0.06</v>
      </c>
      <c r="DG105">
        <f t="shared" si="47"/>
        <v>0</v>
      </c>
      <c r="DH105">
        <f t="shared" si="23"/>
        <v>0</v>
      </c>
      <c r="DI105">
        <f t="shared" si="24"/>
        <v>0</v>
      </c>
      <c r="DJ105">
        <f t="shared" si="54"/>
        <v>0.06</v>
      </c>
      <c r="DK105">
        <v>0</v>
      </c>
      <c r="DL105" t="s">
        <v>3</v>
      </c>
      <c r="DM105">
        <v>0</v>
      </c>
      <c r="DN105" t="s">
        <v>3</v>
      </c>
      <c r="DO105">
        <v>0</v>
      </c>
    </row>
    <row r="106" spans="1:119" x14ac:dyDescent="0.25">
      <c r="A106">
        <f>ROW(Source!A149)</f>
        <v>149</v>
      </c>
      <c r="B106">
        <v>75604747</v>
      </c>
      <c r="C106">
        <v>75605813</v>
      </c>
      <c r="D106">
        <v>74277951</v>
      </c>
      <c r="E106">
        <v>1</v>
      </c>
      <c r="F106">
        <v>1</v>
      </c>
      <c r="G106">
        <v>1</v>
      </c>
      <c r="H106">
        <v>3</v>
      </c>
      <c r="I106" t="s">
        <v>639</v>
      </c>
      <c r="J106" t="s">
        <v>640</v>
      </c>
      <c r="K106" t="s">
        <v>641</v>
      </c>
      <c r="L106">
        <v>1348</v>
      </c>
      <c r="N106">
        <v>1009</v>
      </c>
      <c r="O106" t="s">
        <v>174</v>
      </c>
      <c r="P106" t="s">
        <v>174</v>
      </c>
      <c r="Q106">
        <v>1000</v>
      </c>
      <c r="W106">
        <v>0</v>
      </c>
      <c r="X106">
        <v>-490487806</v>
      </c>
      <c r="Y106">
        <f t="shared" si="48"/>
        <v>3.1E-4</v>
      </c>
      <c r="AA106">
        <v>81535.44</v>
      </c>
      <c r="AB106">
        <v>0</v>
      </c>
      <c r="AC106">
        <v>0</v>
      </c>
      <c r="AD106">
        <v>0</v>
      </c>
      <c r="AE106">
        <v>51280.15</v>
      </c>
      <c r="AF106">
        <v>0</v>
      </c>
      <c r="AG106">
        <v>0</v>
      </c>
      <c r="AH106">
        <v>0</v>
      </c>
      <c r="AI106">
        <v>1.59</v>
      </c>
      <c r="AJ106">
        <v>1</v>
      </c>
      <c r="AK106">
        <v>1</v>
      </c>
      <c r="AL106">
        <v>1</v>
      </c>
      <c r="AM106">
        <v>2</v>
      </c>
      <c r="AN106">
        <v>0</v>
      </c>
      <c r="AO106">
        <v>0</v>
      </c>
      <c r="AP106">
        <v>1</v>
      </c>
      <c r="AQ106">
        <v>1</v>
      </c>
      <c r="AR106">
        <v>0</v>
      </c>
      <c r="AS106" t="s">
        <v>3</v>
      </c>
      <c r="AT106">
        <v>3.1E-4</v>
      </c>
      <c r="AU106" t="s">
        <v>3</v>
      </c>
      <c r="AV106">
        <v>0</v>
      </c>
      <c r="AW106">
        <v>2</v>
      </c>
      <c r="AX106">
        <v>75605855</v>
      </c>
      <c r="AY106">
        <v>1</v>
      </c>
      <c r="AZ106">
        <v>0</v>
      </c>
      <c r="BA106">
        <v>110</v>
      </c>
      <c r="BB106">
        <v>1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15.896846500000001</v>
      </c>
      <c r="BK106">
        <v>0</v>
      </c>
      <c r="BL106">
        <v>0</v>
      </c>
      <c r="BM106">
        <v>0</v>
      </c>
      <c r="BN106">
        <v>0</v>
      </c>
      <c r="BO106">
        <v>0</v>
      </c>
      <c r="BP106">
        <v>1</v>
      </c>
      <c r="BQ106">
        <v>15.896846500000001</v>
      </c>
      <c r="BR106">
        <v>0</v>
      </c>
      <c r="BS106">
        <v>0</v>
      </c>
      <c r="BT106">
        <v>0</v>
      </c>
      <c r="BU106">
        <v>0</v>
      </c>
      <c r="BV106">
        <v>0</v>
      </c>
      <c r="BW106">
        <v>1</v>
      </c>
      <c r="CV106">
        <v>0</v>
      </c>
      <c r="CW106">
        <v>0</v>
      </c>
      <c r="CX106">
        <f>ROUND(Y106*Source!I149,7)</f>
        <v>1.3999999999999999E-6</v>
      </c>
      <c r="CY106">
        <f t="shared" si="49"/>
        <v>81535.44</v>
      </c>
      <c r="CZ106">
        <f t="shared" si="50"/>
        <v>51280.15</v>
      </c>
      <c r="DA106">
        <f t="shared" si="51"/>
        <v>1.59</v>
      </c>
      <c r="DB106">
        <f t="shared" si="52"/>
        <v>15.9</v>
      </c>
      <c r="DC106">
        <f t="shared" si="53"/>
        <v>0</v>
      </c>
      <c r="DD106" t="s">
        <v>3</v>
      </c>
      <c r="DE106" t="s">
        <v>3</v>
      </c>
      <c r="DF106">
        <f t="shared" si="55"/>
        <v>0.11</v>
      </c>
      <c r="DG106">
        <f t="shared" si="47"/>
        <v>0</v>
      </c>
      <c r="DH106">
        <f t="shared" si="23"/>
        <v>0</v>
      </c>
      <c r="DI106">
        <f t="shared" si="24"/>
        <v>0</v>
      </c>
      <c r="DJ106">
        <f t="shared" si="54"/>
        <v>0.11</v>
      </c>
      <c r="DK106">
        <v>0</v>
      </c>
      <c r="DL106" t="s">
        <v>3</v>
      </c>
      <c r="DM106">
        <v>0</v>
      </c>
      <c r="DN106" t="s">
        <v>3</v>
      </c>
      <c r="DO106">
        <v>0</v>
      </c>
    </row>
    <row r="107" spans="1:119" x14ac:dyDescent="0.25">
      <c r="A107">
        <f>ROW(Source!A149)</f>
        <v>149</v>
      </c>
      <c r="B107">
        <v>75604747</v>
      </c>
      <c r="C107">
        <v>75605813</v>
      </c>
      <c r="D107">
        <v>74278428</v>
      </c>
      <c r="E107">
        <v>1</v>
      </c>
      <c r="F107">
        <v>1</v>
      </c>
      <c r="G107">
        <v>1</v>
      </c>
      <c r="H107">
        <v>3</v>
      </c>
      <c r="I107" t="s">
        <v>642</v>
      </c>
      <c r="J107" t="s">
        <v>643</v>
      </c>
      <c r="K107" t="s">
        <v>644</v>
      </c>
      <c r="L107">
        <v>1348</v>
      </c>
      <c r="N107">
        <v>1009</v>
      </c>
      <c r="O107" t="s">
        <v>174</v>
      </c>
      <c r="P107" t="s">
        <v>174</v>
      </c>
      <c r="Q107">
        <v>1000</v>
      </c>
      <c r="W107">
        <v>0</v>
      </c>
      <c r="X107">
        <v>-970634170</v>
      </c>
      <c r="Y107">
        <f t="shared" si="48"/>
        <v>5.9999999999999995E-4</v>
      </c>
      <c r="AA107">
        <v>146804.41</v>
      </c>
      <c r="AB107">
        <v>0</v>
      </c>
      <c r="AC107">
        <v>0</v>
      </c>
      <c r="AD107">
        <v>0</v>
      </c>
      <c r="AE107">
        <v>98526.45</v>
      </c>
      <c r="AF107">
        <v>0</v>
      </c>
      <c r="AG107">
        <v>0</v>
      </c>
      <c r="AH107">
        <v>0</v>
      </c>
      <c r="AI107">
        <v>1.49</v>
      </c>
      <c r="AJ107">
        <v>1</v>
      </c>
      <c r="AK107">
        <v>1</v>
      </c>
      <c r="AL107">
        <v>1</v>
      </c>
      <c r="AM107">
        <v>2</v>
      </c>
      <c r="AN107">
        <v>0</v>
      </c>
      <c r="AO107">
        <v>0</v>
      </c>
      <c r="AP107">
        <v>1</v>
      </c>
      <c r="AQ107">
        <v>1</v>
      </c>
      <c r="AR107">
        <v>0</v>
      </c>
      <c r="AS107" t="s">
        <v>3</v>
      </c>
      <c r="AT107">
        <v>5.9999999999999995E-4</v>
      </c>
      <c r="AU107" t="s">
        <v>3</v>
      </c>
      <c r="AV107">
        <v>0</v>
      </c>
      <c r="AW107">
        <v>2</v>
      </c>
      <c r="AX107">
        <v>75605856</v>
      </c>
      <c r="AY107">
        <v>1</v>
      </c>
      <c r="AZ107">
        <v>0</v>
      </c>
      <c r="BA107">
        <v>111</v>
      </c>
      <c r="BB107">
        <v>1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59.115869999999994</v>
      </c>
      <c r="BK107">
        <v>0</v>
      </c>
      <c r="BL107">
        <v>0</v>
      </c>
      <c r="BM107">
        <v>0</v>
      </c>
      <c r="BN107">
        <v>0</v>
      </c>
      <c r="BO107">
        <v>0</v>
      </c>
      <c r="BP107">
        <v>1</v>
      </c>
      <c r="BQ107">
        <v>59.115869999999994</v>
      </c>
      <c r="BR107">
        <v>0</v>
      </c>
      <c r="BS107">
        <v>0</v>
      </c>
      <c r="BT107">
        <v>0</v>
      </c>
      <c r="BU107">
        <v>0</v>
      </c>
      <c r="BV107">
        <v>0</v>
      </c>
      <c r="BW107">
        <v>1</v>
      </c>
      <c r="CV107">
        <v>0</v>
      </c>
      <c r="CW107">
        <v>0</v>
      </c>
      <c r="CX107">
        <f>ROUND(Y107*Source!I149,7)</f>
        <v>2.7E-6</v>
      </c>
      <c r="CY107">
        <f t="shared" si="49"/>
        <v>146804.41</v>
      </c>
      <c r="CZ107">
        <f t="shared" si="50"/>
        <v>98526.45</v>
      </c>
      <c r="DA107">
        <f t="shared" si="51"/>
        <v>1.49</v>
      </c>
      <c r="DB107">
        <f t="shared" si="52"/>
        <v>59.12</v>
      </c>
      <c r="DC107">
        <f t="shared" si="53"/>
        <v>0</v>
      </c>
      <c r="DD107" t="s">
        <v>3</v>
      </c>
      <c r="DE107" t="s">
        <v>3</v>
      </c>
      <c r="DF107">
        <f t="shared" si="55"/>
        <v>0.4</v>
      </c>
      <c r="DG107">
        <f t="shared" si="47"/>
        <v>0</v>
      </c>
      <c r="DH107">
        <f t="shared" si="23"/>
        <v>0</v>
      </c>
      <c r="DI107">
        <f t="shared" si="24"/>
        <v>0</v>
      </c>
      <c r="DJ107">
        <f t="shared" si="54"/>
        <v>0.4</v>
      </c>
      <c r="DK107">
        <v>0</v>
      </c>
      <c r="DL107" t="s">
        <v>3</v>
      </c>
      <c r="DM107">
        <v>0</v>
      </c>
      <c r="DN107" t="s">
        <v>3</v>
      </c>
      <c r="DO107">
        <v>0</v>
      </c>
    </row>
    <row r="108" spans="1:119" x14ac:dyDescent="0.25">
      <c r="A108">
        <f>ROW(Source!A152)</f>
        <v>152</v>
      </c>
      <c r="B108">
        <v>75604747</v>
      </c>
      <c r="C108">
        <v>75605475</v>
      </c>
      <c r="D108">
        <v>74182291</v>
      </c>
      <c r="E108">
        <v>118</v>
      </c>
      <c r="F108">
        <v>1</v>
      </c>
      <c r="G108">
        <v>1</v>
      </c>
      <c r="H108">
        <v>1</v>
      </c>
      <c r="I108" t="s">
        <v>589</v>
      </c>
      <c r="J108" t="s">
        <v>3</v>
      </c>
      <c r="K108" t="s">
        <v>590</v>
      </c>
      <c r="L108">
        <v>1191</v>
      </c>
      <c r="N108">
        <v>1013</v>
      </c>
      <c r="O108" t="s">
        <v>501</v>
      </c>
      <c r="P108" t="s">
        <v>501</v>
      </c>
      <c r="Q108">
        <v>1</v>
      </c>
      <c r="W108">
        <v>0</v>
      </c>
      <c r="X108">
        <v>174150515</v>
      </c>
      <c r="Y108">
        <f t="shared" ref="Y108:Y115" si="56">(AT108*ROUND((0.15+1),7))</f>
        <v>492.2</v>
      </c>
      <c r="AA108">
        <v>0</v>
      </c>
      <c r="AB108">
        <v>0</v>
      </c>
      <c r="AC108">
        <v>0</v>
      </c>
      <c r="AD108">
        <v>373.51</v>
      </c>
      <c r="AE108">
        <v>0</v>
      </c>
      <c r="AF108">
        <v>0</v>
      </c>
      <c r="AG108">
        <v>0</v>
      </c>
      <c r="AH108">
        <v>373.51</v>
      </c>
      <c r="AI108">
        <v>1</v>
      </c>
      <c r="AJ108">
        <v>1</v>
      </c>
      <c r="AK108">
        <v>1</v>
      </c>
      <c r="AL108">
        <v>1</v>
      </c>
      <c r="AM108">
        <v>-2</v>
      </c>
      <c r="AN108">
        <v>0</v>
      </c>
      <c r="AO108">
        <v>0</v>
      </c>
      <c r="AP108">
        <v>1</v>
      </c>
      <c r="AQ108">
        <v>1</v>
      </c>
      <c r="AR108">
        <v>0</v>
      </c>
      <c r="AS108" t="s">
        <v>3</v>
      </c>
      <c r="AT108">
        <v>428</v>
      </c>
      <c r="AU108" t="s">
        <v>27</v>
      </c>
      <c r="AV108">
        <v>1</v>
      </c>
      <c r="AW108">
        <v>2</v>
      </c>
      <c r="AX108">
        <v>75605537</v>
      </c>
      <c r="AY108">
        <v>1</v>
      </c>
      <c r="AZ108">
        <v>0</v>
      </c>
      <c r="BA108">
        <v>112</v>
      </c>
      <c r="BB108">
        <v>1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0</v>
      </c>
      <c r="BK108">
        <v>0</v>
      </c>
      <c r="BL108">
        <v>0</v>
      </c>
      <c r="BM108">
        <v>159862.28</v>
      </c>
      <c r="BN108">
        <v>428</v>
      </c>
      <c r="BO108">
        <v>0</v>
      </c>
      <c r="BP108">
        <v>1</v>
      </c>
      <c r="BQ108">
        <v>0</v>
      </c>
      <c r="BR108">
        <v>0</v>
      </c>
      <c r="BS108">
        <v>0</v>
      </c>
      <c r="BT108">
        <v>183841.622</v>
      </c>
      <c r="BU108">
        <v>492.2</v>
      </c>
      <c r="BV108">
        <v>0</v>
      </c>
      <c r="BW108">
        <v>1</v>
      </c>
      <c r="CU108">
        <f>ROUND(AT108*Source!I152*AH108*AL108,2)</f>
        <v>7193.8</v>
      </c>
      <c r="CV108">
        <f>ROUND(Y108*Source!I152,7)</f>
        <v>22.149000000000001</v>
      </c>
      <c r="CW108">
        <v>0</v>
      </c>
      <c r="CX108">
        <f>ROUND(Y108*Source!I152,7)</f>
        <v>22.149000000000001</v>
      </c>
      <c r="CY108">
        <f>AD108</f>
        <v>373.51</v>
      </c>
      <c r="CZ108">
        <f>AH108</f>
        <v>373.51</v>
      </c>
      <c r="DA108">
        <f>AL108</f>
        <v>1</v>
      </c>
      <c r="DB108">
        <f t="shared" ref="DB108:DB115" si="57">ROUND((ROUND(AT108*CZ108,2)*ROUND((0.15+1),7)),6)</f>
        <v>183841.622</v>
      </c>
      <c r="DC108">
        <f t="shared" ref="DC108:DC115" si="58">ROUND((ROUND(AT108*AG108,2)*ROUND((0.15+1),7)),6)</f>
        <v>0</v>
      </c>
      <c r="DD108" t="s">
        <v>3</v>
      </c>
      <c r="DE108" t="s">
        <v>3</v>
      </c>
      <c r="DF108">
        <f t="shared" ref="DF108:DF115" si="59">ROUND(ROUND(AE108,2)*CX108,2)</f>
        <v>0</v>
      </c>
      <c r="DG108">
        <f t="shared" si="47"/>
        <v>0</v>
      </c>
      <c r="DH108">
        <f t="shared" si="23"/>
        <v>0</v>
      </c>
      <c r="DI108">
        <f t="shared" si="24"/>
        <v>8272.8700000000008</v>
      </c>
      <c r="DJ108">
        <f>DI108</f>
        <v>8272.8700000000008</v>
      </c>
      <c r="DK108">
        <v>1</v>
      </c>
      <c r="DL108" t="s">
        <v>3</v>
      </c>
      <c r="DM108">
        <v>0</v>
      </c>
      <c r="DN108" t="s">
        <v>3</v>
      </c>
      <c r="DO108">
        <v>0</v>
      </c>
    </row>
    <row r="109" spans="1:119" x14ac:dyDescent="0.25">
      <c r="A109">
        <f>ROW(Source!A152)</f>
        <v>152</v>
      </c>
      <c r="B109">
        <v>75604747</v>
      </c>
      <c r="C109">
        <v>75605475</v>
      </c>
      <c r="D109">
        <v>74182464</v>
      </c>
      <c r="E109">
        <v>118</v>
      </c>
      <c r="F109">
        <v>1</v>
      </c>
      <c r="G109">
        <v>1</v>
      </c>
      <c r="H109">
        <v>1</v>
      </c>
      <c r="I109" t="s">
        <v>504</v>
      </c>
      <c r="J109" t="s">
        <v>3</v>
      </c>
      <c r="K109" t="s">
        <v>505</v>
      </c>
      <c r="L109">
        <v>1191</v>
      </c>
      <c r="N109">
        <v>1013</v>
      </c>
      <c r="O109" t="s">
        <v>501</v>
      </c>
      <c r="P109" t="s">
        <v>501</v>
      </c>
      <c r="Q109">
        <v>1</v>
      </c>
      <c r="W109">
        <v>0</v>
      </c>
      <c r="X109">
        <v>-1417349443</v>
      </c>
      <c r="Y109">
        <f t="shared" si="56"/>
        <v>71.622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1</v>
      </c>
      <c r="AJ109">
        <v>1</v>
      </c>
      <c r="AK109">
        <v>1</v>
      </c>
      <c r="AL109">
        <v>1</v>
      </c>
      <c r="AM109">
        <v>-2</v>
      </c>
      <c r="AN109">
        <v>0</v>
      </c>
      <c r="AO109">
        <v>0</v>
      </c>
      <c r="AP109">
        <v>1</v>
      </c>
      <c r="AQ109">
        <v>1</v>
      </c>
      <c r="AR109">
        <v>0</v>
      </c>
      <c r="AS109" t="s">
        <v>3</v>
      </c>
      <c r="AT109">
        <v>62.28</v>
      </c>
      <c r="AU109" t="s">
        <v>27</v>
      </c>
      <c r="AV109">
        <v>2</v>
      </c>
      <c r="AW109">
        <v>2</v>
      </c>
      <c r="AX109">
        <v>75605538</v>
      </c>
      <c r="AY109">
        <v>1</v>
      </c>
      <c r="AZ109">
        <v>0</v>
      </c>
      <c r="BA109">
        <v>113</v>
      </c>
      <c r="BB109">
        <v>1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0</v>
      </c>
      <c r="BI109">
        <v>0</v>
      </c>
      <c r="BJ109">
        <v>0</v>
      </c>
      <c r="BK109">
        <v>0</v>
      </c>
      <c r="BL109">
        <v>0</v>
      </c>
      <c r="BM109">
        <v>0</v>
      </c>
      <c r="BN109">
        <v>0</v>
      </c>
      <c r="BO109">
        <v>0</v>
      </c>
      <c r="BP109">
        <v>0</v>
      </c>
      <c r="BQ109">
        <v>0</v>
      </c>
      <c r="BR109">
        <v>0</v>
      </c>
      <c r="BS109">
        <v>0</v>
      </c>
      <c r="BT109">
        <v>0</v>
      </c>
      <c r="BU109">
        <v>0</v>
      </c>
      <c r="BV109">
        <v>0</v>
      </c>
      <c r="BW109">
        <v>0</v>
      </c>
      <c r="CV109">
        <v>0</v>
      </c>
      <c r="CW109">
        <v>0</v>
      </c>
      <c r="CX109">
        <f>ROUND(Y109*Source!I152,7)</f>
        <v>3.2229899999999998</v>
      </c>
      <c r="CY109">
        <f>AD109</f>
        <v>0</v>
      </c>
      <c r="CZ109">
        <f>AH109</f>
        <v>0</v>
      </c>
      <c r="DA109">
        <f>AL109</f>
        <v>1</v>
      </c>
      <c r="DB109">
        <f t="shared" si="57"/>
        <v>0</v>
      </c>
      <c r="DC109">
        <f t="shared" si="58"/>
        <v>0</v>
      </c>
      <c r="DD109" t="s">
        <v>3</v>
      </c>
      <c r="DE109" t="s">
        <v>3</v>
      </c>
      <c r="DF109">
        <f t="shared" si="59"/>
        <v>0</v>
      </c>
      <c r="DG109">
        <f t="shared" si="47"/>
        <v>0</v>
      </c>
      <c r="DH109">
        <f t="shared" si="23"/>
        <v>0</v>
      </c>
      <c r="DI109">
        <f t="shared" si="24"/>
        <v>0</v>
      </c>
      <c r="DJ109">
        <f>DI109</f>
        <v>0</v>
      </c>
      <c r="DK109">
        <v>0</v>
      </c>
      <c r="DL109" t="s">
        <v>3</v>
      </c>
      <c r="DM109">
        <v>0</v>
      </c>
      <c r="DN109" t="s">
        <v>3</v>
      </c>
      <c r="DO109">
        <v>0</v>
      </c>
    </row>
    <row r="110" spans="1:119" x14ac:dyDescent="0.25">
      <c r="A110">
        <f>ROW(Source!A152)</f>
        <v>152</v>
      </c>
      <c r="B110">
        <v>75604747</v>
      </c>
      <c r="C110">
        <v>75605475</v>
      </c>
      <c r="D110">
        <v>74308922</v>
      </c>
      <c r="E110">
        <v>1</v>
      </c>
      <c r="F110">
        <v>1</v>
      </c>
      <c r="G110">
        <v>1</v>
      </c>
      <c r="H110">
        <v>2</v>
      </c>
      <c r="I110" t="s">
        <v>574</v>
      </c>
      <c r="J110" t="s">
        <v>575</v>
      </c>
      <c r="K110" t="s">
        <v>576</v>
      </c>
      <c r="L110">
        <v>1368</v>
      </c>
      <c r="N110">
        <v>1011</v>
      </c>
      <c r="O110" t="s">
        <v>509</v>
      </c>
      <c r="P110" t="s">
        <v>509</v>
      </c>
      <c r="Q110">
        <v>1</v>
      </c>
      <c r="W110">
        <v>0</v>
      </c>
      <c r="X110">
        <v>-1068589559</v>
      </c>
      <c r="Y110">
        <f t="shared" si="56"/>
        <v>8.0500000000000002E-2</v>
      </c>
      <c r="AA110">
        <v>0</v>
      </c>
      <c r="AB110">
        <v>1598.95</v>
      </c>
      <c r="AC110">
        <v>494.35</v>
      </c>
      <c r="AD110">
        <v>0</v>
      </c>
      <c r="AE110">
        <v>0</v>
      </c>
      <c r="AF110">
        <v>1598.95</v>
      </c>
      <c r="AG110">
        <v>494.35</v>
      </c>
      <c r="AH110">
        <v>0</v>
      </c>
      <c r="AI110">
        <v>1</v>
      </c>
      <c r="AJ110">
        <v>1</v>
      </c>
      <c r="AK110">
        <v>1</v>
      </c>
      <c r="AL110">
        <v>1</v>
      </c>
      <c r="AM110">
        <v>-2</v>
      </c>
      <c r="AN110">
        <v>0</v>
      </c>
      <c r="AO110">
        <v>0</v>
      </c>
      <c r="AP110">
        <v>1</v>
      </c>
      <c r="AQ110">
        <v>1</v>
      </c>
      <c r="AR110">
        <v>0</v>
      </c>
      <c r="AS110" t="s">
        <v>3</v>
      </c>
      <c r="AT110">
        <v>7.0000000000000007E-2</v>
      </c>
      <c r="AU110" t="s">
        <v>27</v>
      </c>
      <c r="AV110">
        <v>1</v>
      </c>
      <c r="AW110">
        <v>2</v>
      </c>
      <c r="AX110">
        <v>75605539</v>
      </c>
      <c r="AY110">
        <v>1</v>
      </c>
      <c r="AZ110">
        <v>0</v>
      </c>
      <c r="BA110">
        <v>114</v>
      </c>
      <c r="BB110">
        <v>1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0</v>
      </c>
      <c r="BK110">
        <v>111.92650000000002</v>
      </c>
      <c r="BL110">
        <v>34.604500000000002</v>
      </c>
      <c r="BM110">
        <v>0</v>
      </c>
      <c r="BN110">
        <v>0</v>
      </c>
      <c r="BO110">
        <v>7.0000000000000007E-2</v>
      </c>
      <c r="BP110">
        <v>1</v>
      </c>
      <c r="BQ110">
        <v>0</v>
      </c>
      <c r="BR110">
        <v>128.715475</v>
      </c>
      <c r="BS110">
        <v>39.795175</v>
      </c>
      <c r="BT110">
        <v>0</v>
      </c>
      <c r="BU110">
        <v>0</v>
      </c>
      <c r="BV110">
        <v>8.0500000000000002E-2</v>
      </c>
      <c r="BW110">
        <v>1</v>
      </c>
      <c r="CV110">
        <v>0</v>
      </c>
      <c r="CW110">
        <f>ROUND(Y110*Source!I152*DO110,7)</f>
        <v>3.6224999999999999E-3</v>
      </c>
      <c r="CX110">
        <f>ROUND(Y110*Source!I152,7)</f>
        <v>3.6224999999999999E-3</v>
      </c>
      <c r="CY110">
        <f t="shared" ref="CY110:CY115" si="60">AB110</f>
        <v>1598.95</v>
      </c>
      <c r="CZ110">
        <f t="shared" ref="CZ110:CZ115" si="61">AF110</f>
        <v>1598.95</v>
      </c>
      <c r="DA110">
        <f t="shared" ref="DA110:DA115" si="62">AJ110</f>
        <v>1</v>
      </c>
      <c r="DB110">
        <f t="shared" si="57"/>
        <v>128.71950000000001</v>
      </c>
      <c r="DC110">
        <f t="shared" si="58"/>
        <v>39.79</v>
      </c>
      <c r="DD110" t="s">
        <v>3</v>
      </c>
      <c r="DE110" t="s">
        <v>3</v>
      </c>
      <c r="DF110">
        <f t="shared" si="59"/>
        <v>0</v>
      </c>
      <c r="DG110">
        <f t="shared" si="47"/>
        <v>5.79</v>
      </c>
      <c r="DH110">
        <f t="shared" si="23"/>
        <v>1.79</v>
      </c>
      <c r="DI110">
        <f t="shared" si="24"/>
        <v>0</v>
      </c>
      <c r="DJ110">
        <f t="shared" ref="DJ110:DJ115" si="63">DG110+DH110</f>
        <v>7.58</v>
      </c>
      <c r="DK110">
        <v>1</v>
      </c>
      <c r="DL110" t="s">
        <v>577</v>
      </c>
      <c r="DM110">
        <v>6</v>
      </c>
      <c r="DN110" t="s">
        <v>501</v>
      </c>
      <c r="DO110">
        <v>1</v>
      </c>
    </row>
    <row r="111" spans="1:119" x14ac:dyDescent="0.25">
      <c r="A111">
        <f>ROW(Source!A152)</f>
        <v>152</v>
      </c>
      <c r="B111">
        <v>75604747</v>
      </c>
      <c r="C111">
        <v>75605475</v>
      </c>
      <c r="D111">
        <v>74309532</v>
      </c>
      <c r="E111">
        <v>1</v>
      </c>
      <c r="F111">
        <v>1</v>
      </c>
      <c r="G111">
        <v>1</v>
      </c>
      <c r="H111">
        <v>2</v>
      </c>
      <c r="I111" t="s">
        <v>591</v>
      </c>
      <c r="J111" t="s">
        <v>592</v>
      </c>
      <c r="K111" t="s">
        <v>593</v>
      </c>
      <c r="L111">
        <v>1368</v>
      </c>
      <c r="N111">
        <v>1011</v>
      </c>
      <c r="O111" t="s">
        <v>509</v>
      </c>
      <c r="P111" t="s">
        <v>509</v>
      </c>
      <c r="Q111">
        <v>1</v>
      </c>
      <c r="W111">
        <v>0</v>
      </c>
      <c r="X111">
        <v>-394322561</v>
      </c>
      <c r="Y111">
        <f t="shared" si="56"/>
        <v>28.749999999999996</v>
      </c>
      <c r="AA111">
        <v>0</v>
      </c>
      <c r="AB111">
        <v>1756.11</v>
      </c>
      <c r="AC111">
        <v>368.02</v>
      </c>
      <c r="AD111">
        <v>0</v>
      </c>
      <c r="AE111">
        <v>0</v>
      </c>
      <c r="AF111">
        <v>1416.22</v>
      </c>
      <c r="AG111">
        <v>368.02</v>
      </c>
      <c r="AH111">
        <v>0</v>
      </c>
      <c r="AI111">
        <v>1</v>
      </c>
      <c r="AJ111">
        <v>1.24</v>
      </c>
      <c r="AK111">
        <v>1</v>
      </c>
      <c r="AL111">
        <v>1</v>
      </c>
      <c r="AM111">
        <v>2</v>
      </c>
      <c r="AN111">
        <v>0</v>
      </c>
      <c r="AO111">
        <v>0</v>
      </c>
      <c r="AP111">
        <v>1</v>
      </c>
      <c r="AQ111">
        <v>1</v>
      </c>
      <c r="AR111">
        <v>0</v>
      </c>
      <c r="AS111" t="s">
        <v>3</v>
      </c>
      <c r="AT111">
        <v>25</v>
      </c>
      <c r="AU111" t="s">
        <v>27</v>
      </c>
      <c r="AV111">
        <v>1</v>
      </c>
      <c r="AW111">
        <v>2</v>
      </c>
      <c r="AX111">
        <v>75605540</v>
      </c>
      <c r="AY111">
        <v>1</v>
      </c>
      <c r="AZ111">
        <v>0</v>
      </c>
      <c r="BA111">
        <v>115</v>
      </c>
      <c r="BB111">
        <v>1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0</v>
      </c>
      <c r="BK111">
        <v>35405.5</v>
      </c>
      <c r="BL111">
        <v>9200.5</v>
      </c>
      <c r="BM111">
        <v>0</v>
      </c>
      <c r="BN111">
        <v>0</v>
      </c>
      <c r="BO111">
        <v>25</v>
      </c>
      <c r="BP111">
        <v>1</v>
      </c>
      <c r="BQ111">
        <v>0</v>
      </c>
      <c r="BR111">
        <v>40716.324999999997</v>
      </c>
      <c r="BS111">
        <v>10580.574999999999</v>
      </c>
      <c r="BT111">
        <v>0</v>
      </c>
      <c r="BU111">
        <v>0</v>
      </c>
      <c r="BV111">
        <v>28.749999999999996</v>
      </c>
      <c r="BW111">
        <v>1</v>
      </c>
      <c r="CV111">
        <v>0</v>
      </c>
      <c r="CW111">
        <f>ROUND(Y111*Source!I152*DO111,7)</f>
        <v>1.29375</v>
      </c>
      <c r="CX111">
        <f>ROUND(Y111*Source!I152,7)</f>
        <v>1.29375</v>
      </c>
      <c r="CY111">
        <f t="shared" si="60"/>
        <v>1756.11</v>
      </c>
      <c r="CZ111">
        <f t="shared" si="61"/>
        <v>1416.22</v>
      </c>
      <c r="DA111">
        <f t="shared" si="62"/>
        <v>1.24</v>
      </c>
      <c r="DB111">
        <f t="shared" si="57"/>
        <v>40716.324999999997</v>
      </c>
      <c r="DC111">
        <f t="shared" si="58"/>
        <v>10580.575000000001</v>
      </c>
      <c r="DD111" t="s">
        <v>3</v>
      </c>
      <c r="DE111" t="s">
        <v>3</v>
      </c>
      <c r="DF111">
        <f t="shared" si="59"/>
        <v>0</v>
      </c>
      <c r="DG111">
        <f>ROUND(ROUND(AF111*AJ111,2)*CX111,2)</f>
        <v>2271.9699999999998</v>
      </c>
      <c r="DH111">
        <f t="shared" si="23"/>
        <v>476.13</v>
      </c>
      <c r="DI111">
        <f t="shared" si="24"/>
        <v>0</v>
      </c>
      <c r="DJ111">
        <f t="shared" si="63"/>
        <v>2748.1</v>
      </c>
      <c r="DK111">
        <v>0</v>
      </c>
      <c r="DL111" t="s">
        <v>522</v>
      </c>
      <c r="DM111">
        <v>4</v>
      </c>
      <c r="DN111" t="s">
        <v>501</v>
      </c>
      <c r="DO111">
        <v>1</v>
      </c>
    </row>
    <row r="112" spans="1:119" x14ac:dyDescent="0.25">
      <c r="A112">
        <f>ROW(Source!A152)</f>
        <v>152</v>
      </c>
      <c r="B112">
        <v>75604747</v>
      </c>
      <c r="C112">
        <v>75605475</v>
      </c>
      <c r="D112">
        <v>74309573</v>
      </c>
      <c r="E112">
        <v>1</v>
      </c>
      <c r="F112">
        <v>1</v>
      </c>
      <c r="G112">
        <v>1</v>
      </c>
      <c r="H112">
        <v>2</v>
      </c>
      <c r="I112" t="s">
        <v>594</v>
      </c>
      <c r="J112" t="s">
        <v>595</v>
      </c>
      <c r="K112" t="s">
        <v>596</v>
      </c>
      <c r="L112">
        <v>1368</v>
      </c>
      <c r="N112">
        <v>1011</v>
      </c>
      <c r="O112" t="s">
        <v>509</v>
      </c>
      <c r="P112" t="s">
        <v>509</v>
      </c>
      <c r="Q112">
        <v>1</v>
      </c>
      <c r="W112">
        <v>0</v>
      </c>
      <c r="X112">
        <v>-1413288295</v>
      </c>
      <c r="Y112">
        <f t="shared" si="56"/>
        <v>28.29</v>
      </c>
      <c r="AA112">
        <v>0</v>
      </c>
      <c r="AB112">
        <v>1113.29</v>
      </c>
      <c r="AC112">
        <v>422.95</v>
      </c>
      <c r="AD112">
        <v>0</v>
      </c>
      <c r="AE112">
        <v>0</v>
      </c>
      <c r="AF112">
        <v>994.01</v>
      </c>
      <c r="AG112">
        <v>422.95</v>
      </c>
      <c r="AH112">
        <v>0</v>
      </c>
      <c r="AI112">
        <v>1</v>
      </c>
      <c r="AJ112">
        <v>1.1200000000000001</v>
      </c>
      <c r="AK112">
        <v>1</v>
      </c>
      <c r="AL112">
        <v>1</v>
      </c>
      <c r="AM112">
        <v>2</v>
      </c>
      <c r="AN112">
        <v>0</v>
      </c>
      <c r="AO112">
        <v>0</v>
      </c>
      <c r="AP112">
        <v>1</v>
      </c>
      <c r="AQ112">
        <v>1</v>
      </c>
      <c r="AR112">
        <v>0</v>
      </c>
      <c r="AS112" t="s">
        <v>3</v>
      </c>
      <c r="AT112">
        <v>24.6</v>
      </c>
      <c r="AU112" t="s">
        <v>27</v>
      </c>
      <c r="AV112">
        <v>1</v>
      </c>
      <c r="AW112">
        <v>2</v>
      </c>
      <c r="AX112">
        <v>75605541</v>
      </c>
      <c r="AY112">
        <v>1</v>
      </c>
      <c r="AZ112">
        <v>0</v>
      </c>
      <c r="BA112">
        <v>116</v>
      </c>
      <c r="BB112">
        <v>1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0</v>
      </c>
      <c r="BK112">
        <v>24452.646000000001</v>
      </c>
      <c r="BL112">
        <v>10404.57</v>
      </c>
      <c r="BM112">
        <v>0</v>
      </c>
      <c r="BN112">
        <v>0</v>
      </c>
      <c r="BO112">
        <v>24.6</v>
      </c>
      <c r="BP112">
        <v>1</v>
      </c>
      <c r="BQ112">
        <v>0</v>
      </c>
      <c r="BR112">
        <v>28120.5429</v>
      </c>
      <c r="BS112">
        <v>11965.255499999999</v>
      </c>
      <c r="BT112">
        <v>0</v>
      </c>
      <c r="BU112">
        <v>0</v>
      </c>
      <c r="BV112">
        <v>28.29</v>
      </c>
      <c r="BW112">
        <v>1</v>
      </c>
      <c r="CV112">
        <v>0</v>
      </c>
      <c r="CW112">
        <f>ROUND(Y112*Source!I152*DO112,7)</f>
        <v>1.27305</v>
      </c>
      <c r="CX112">
        <f>ROUND(Y112*Source!I152,7)</f>
        <v>1.27305</v>
      </c>
      <c r="CY112">
        <f t="shared" si="60"/>
        <v>1113.29</v>
      </c>
      <c r="CZ112">
        <f t="shared" si="61"/>
        <v>994.01</v>
      </c>
      <c r="DA112">
        <f t="shared" si="62"/>
        <v>1.1200000000000001</v>
      </c>
      <c r="DB112">
        <f t="shared" si="57"/>
        <v>28120.547500000001</v>
      </c>
      <c r="DC112">
        <f t="shared" si="58"/>
        <v>11965.255499999999</v>
      </c>
      <c r="DD112" t="s">
        <v>3</v>
      </c>
      <c r="DE112" t="s">
        <v>3</v>
      </c>
      <c r="DF112">
        <f t="shared" si="59"/>
        <v>0</v>
      </c>
      <c r="DG112">
        <f>ROUND(ROUND(AF112*AJ112,2)*CX112,2)</f>
        <v>1417.27</v>
      </c>
      <c r="DH112">
        <f t="shared" si="23"/>
        <v>538.44000000000005</v>
      </c>
      <c r="DI112">
        <f t="shared" si="24"/>
        <v>0</v>
      </c>
      <c r="DJ112">
        <f t="shared" si="63"/>
        <v>1955.71</v>
      </c>
      <c r="DK112">
        <v>0</v>
      </c>
      <c r="DL112" t="s">
        <v>510</v>
      </c>
      <c r="DM112">
        <v>5</v>
      </c>
      <c r="DN112" t="s">
        <v>501</v>
      </c>
      <c r="DO112">
        <v>1</v>
      </c>
    </row>
    <row r="113" spans="1:119" x14ac:dyDescent="0.25">
      <c r="A113">
        <f>ROW(Source!A152)</f>
        <v>152</v>
      </c>
      <c r="B113">
        <v>75604747</v>
      </c>
      <c r="C113">
        <v>75605475</v>
      </c>
      <c r="D113">
        <v>74309824</v>
      </c>
      <c r="E113">
        <v>1</v>
      </c>
      <c r="F113">
        <v>1</v>
      </c>
      <c r="G113">
        <v>1</v>
      </c>
      <c r="H113">
        <v>2</v>
      </c>
      <c r="I113" t="s">
        <v>527</v>
      </c>
      <c r="J113" t="s">
        <v>528</v>
      </c>
      <c r="K113" t="s">
        <v>529</v>
      </c>
      <c r="L113">
        <v>1368</v>
      </c>
      <c r="N113">
        <v>1011</v>
      </c>
      <c r="O113" t="s">
        <v>509</v>
      </c>
      <c r="P113" t="s">
        <v>509</v>
      </c>
      <c r="Q113">
        <v>1</v>
      </c>
      <c r="W113">
        <v>0</v>
      </c>
      <c r="X113">
        <v>-312038840</v>
      </c>
      <c r="Y113">
        <f t="shared" si="56"/>
        <v>0.1265</v>
      </c>
      <c r="AA113">
        <v>0</v>
      </c>
      <c r="AB113">
        <v>551.45000000000005</v>
      </c>
      <c r="AC113">
        <v>368.02</v>
      </c>
      <c r="AD113">
        <v>0</v>
      </c>
      <c r="AE113">
        <v>0</v>
      </c>
      <c r="AF113">
        <v>551.45000000000005</v>
      </c>
      <c r="AG113">
        <v>368.02</v>
      </c>
      <c r="AH113">
        <v>0</v>
      </c>
      <c r="AI113">
        <v>1</v>
      </c>
      <c r="AJ113">
        <v>1</v>
      </c>
      <c r="AK113">
        <v>1</v>
      </c>
      <c r="AL113">
        <v>1</v>
      </c>
      <c r="AM113">
        <v>-2</v>
      </c>
      <c r="AN113">
        <v>0</v>
      </c>
      <c r="AO113">
        <v>0</v>
      </c>
      <c r="AP113">
        <v>1</v>
      </c>
      <c r="AQ113">
        <v>1</v>
      </c>
      <c r="AR113">
        <v>0</v>
      </c>
      <c r="AS113" t="s">
        <v>3</v>
      </c>
      <c r="AT113">
        <v>0.11</v>
      </c>
      <c r="AU113" t="s">
        <v>27</v>
      </c>
      <c r="AV113">
        <v>1</v>
      </c>
      <c r="AW113">
        <v>2</v>
      </c>
      <c r="AX113">
        <v>75605542</v>
      </c>
      <c r="AY113">
        <v>1</v>
      </c>
      <c r="AZ113">
        <v>0</v>
      </c>
      <c r="BA113">
        <v>117</v>
      </c>
      <c r="BB113">
        <v>1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0</v>
      </c>
      <c r="BK113">
        <v>60.659500000000008</v>
      </c>
      <c r="BL113">
        <v>40.482199999999999</v>
      </c>
      <c r="BM113">
        <v>0</v>
      </c>
      <c r="BN113">
        <v>0</v>
      </c>
      <c r="BO113">
        <v>0.11</v>
      </c>
      <c r="BP113">
        <v>1</v>
      </c>
      <c r="BQ113">
        <v>0</v>
      </c>
      <c r="BR113">
        <v>69.758425000000003</v>
      </c>
      <c r="BS113">
        <v>46.55453</v>
      </c>
      <c r="BT113">
        <v>0</v>
      </c>
      <c r="BU113">
        <v>0</v>
      </c>
      <c r="BV113">
        <v>0.1265</v>
      </c>
      <c r="BW113">
        <v>1</v>
      </c>
      <c r="CV113">
        <v>0</v>
      </c>
      <c r="CW113">
        <f>ROUND(Y113*Source!I152*DO113,7)</f>
        <v>5.6924999999999996E-3</v>
      </c>
      <c r="CX113">
        <f>ROUND(Y113*Source!I152,7)</f>
        <v>5.6924999999999996E-3</v>
      </c>
      <c r="CY113">
        <f t="shared" si="60"/>
        <v>551.45000000000005</v>
      </c>
      <c r="CZ113">
        <f t="shared" si="61"/>
        <v>551.45000000000005</v>
      </c>
      <c r="DA113">
        <f t="shared" si="62"/>
        <v>1</v>
      </c>
      <c r="DB113">
        <f t="shared" si="57"/>
        <v>69.759</v>
      </c>
      <c r="DC113">
        <f t="shared" si="58"/>
        <v>46.552</v>
      </c>
      <c r="DD113" t="s">
        <v>3</v>
      </c>
      <c r="DE113" t="s">
        <v>3</v>
      </c>
      <c r="DF113">
        <f t="shared" si="59"/>
        <v>0</v>
      </c>
      <c r="DG113">
        <f t="shared" ref="DG113:DG126" si="64">ROUND(ROUND(AF113,2)*CX113,2)</f>
        <v>3.14</v>
      </c>
      <c r="DH113">
        <f t="shared" si="23"/>
        <v>2.09</v>
      </c>
      <c r="DI113">
        <f t="shared" si="24"/>
        <v>0</v>
      </c>
      <c r="DJ113">
        <f t="shared" si="63"/>
        <v>5.23</v>
      </c>
      <c r="DK113">
        <v>1</v>
      </c>
      <c r="DL113" t="s">
        <v>522</v>
      </c>
      <c r="DM113">
        <v>4</v>
      </c>
      <c r="DN113" t="s">
        <v>501</v>
      </c>
      <c r="DO113">
        <v>1</v>
      </c>
    </row>
    <row r="114" spans="1:119" x14ac:dyDescent="0.25">
      <c r="A114">
        <f>ROW(Source!A152)</f>
        <v>152</v>
      </c>
      <c r="B114">
        <v>75604747</v>
      </c>
      <c r="C114">
        <v>75605475</v>
      </c>
      <c r="D114">
        <v>74310021</v>
      </c>
      <c r="E114">
        <v>1</v>
      </c>
      <c r="F114">
        <v>1</v>
      </c>
      <c r="G114">
        <v>1</v>
      </c>
      <c r="H114">
        <v>2</v>
      </c>
      <c r="I114" t="s">
        <v>597</v>
      </c>
      <c r="J114" t="s">
        <v>598</v>
      </c>
      <c r="K114" t="s">
        <v>599</v>
      </c>
      <c r="L114">
        <v>1368</v>
      </c>
      <c r="N114">
        <v>1011</v>
      </c>
      <c r="O114" t="s">
        <v>509</v>
      </c>
      <c r="P114" t="s">
        <v>509</v>
      </c>
      <c r="Q114">
        <v>1</v>
      </c>
      <c r="W114">
        <v>0</v>
      </c>
      <c r="X114">
        <v>462025989</v>
      </c>
      <c r="Y114">
        <f t="shared" si="56"/>
        <v>83.375</v>
      </c>
      <c r="AA114">
        <v>0</v>
      </c>
      <c r="AB114">
        <v>41.5</v>
      </c>
      <c r="AC114">
        <v>0</v>
      </c>
      <c r="AD114">
        <v>0</v>
      </c>
      <c r="AE114">
        <v>0</v>
      </c>
      <c r="AF114">
        <v>41.5</v>
      </c>
      <c r="AG114">
        <v>0</v>
      </c>
      <c r="AH114">
        <v>0</v>
      </c>
      <c r="AI114">
        <v>1</v>
      </c>
      <c r="AJ114">
        <v>1</v>
      </c>
      <c r="AK114">
        <v>1</v>
      </c>
      <c r="AL114">
        <v>1</v>
      </c>
      <c r="AM114">
        <v>-2</v>
      </c>
      <c r="AN114">
        <v>0</v>
      </c>
      <c r="AO114">
        <v>0</v>
      </c>
      <c r="AP114">
        <v>1</v>
      </c>
      <c r="AQ114">
        <v>1</v>
      </c>
      <c r="AR114">
        <v>0</v>
      </c>
      <c r="AS114" t="s">
        <v>3</v>
      </c>
      <c r="AT114">
        <v>72.5</v>
      </c>
      <c r="AU114" t="s">
        <v>27</v>
      </c>
      <c r="AV114">
        <v>1</v>
      </c>
      <c r="AW114">
        <v>2</v>
      </c>
      <c r="AX114">
        <v>75605543</v>
      </c>
      <c r="AY114">
        <v>1</v>
      </c>
      <c r="AZ114">
        <v>0</v>
      </c>
      <c r="BA114">
        <v>118</v>
      </c>
      <c r="BB114">
        <v>1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0</v>
      </c>
      <c r="BK114">
        <v>3008.75</v>
      </c>
      <c r="BL114">
        <v>0</v>
      </c>
      <c r="BM114">
        <v>0</v>
      </c>
      <c r="BN114">
        <v>0</v>
      </c>
      <c r="BO114">
        <v>0</v>
      </c>
      <c r="BP114">
        <v>1</v>
      </c>
      <c r="BQ114">
        <v>0</v>
      </c>
      <c r="BR114">
        <v>3460.0625</v>
      </c>
      <c r="BS114">
        <v>0</v>
      </c>
      <c r="BT114">
        <v>0</v>
      </c>
      <c r="BU114">
        <v>0</v>
      </c>
      <c r="BV114">
        <v>0</v>
      </c>
      <c r="BW114">
        <v>1</v>
      </c>
      <c r="CV114">
        <v>0</v>
      </c>
      <c r="CW114">
        <f>ROUND(Y114*Source!I152*DO114,7)</f>
        <v>0</v>
      </c>
      <c r="CX114">
        <f>ROUND(Y114*Source!I152,7)</f>
        <v>3.7518750000000001</v>
      </c>
      <c r="CY114">
        <f t="shared" si="60"/>
        <v>41.5</v>
      </c>
      <c r="CZ114">
        <f t="shared" si="61"/>
        <v>41.5</v>
      </c>
      <c r="DA114">
        <f t="shared" si="62"/>
        <v>1</v>
      </c>
      <c r="DB114">
        <f t="shared" si="57"/>
        <v>3460.0625</v>
      </c>
      <c r="DC114">
        <f t="shared" si="58"/>
        <v>0</v>
      </c>
      <c r="DD114" t="s">
        <v>3</v>
      </c>
      <c r="DE114" t="s">
        <v>3</v>
      </c>
      <c r="DF114">
        <f t="shared" si="59"/>
        <v>0</v>
      </c>
      <c r="DG114">
        <f t="shared" si="64"/>
        <v>155.69999999999999</v>
      </c>
      <c r="DH114">
        <f t="shared" si="23"/>
        <v>0</v>
      </c>
      <c r="DI114">
        <f t="shared" si="24"/>
        <v>0</v>
      </c>
      <c r="DJ114">
        <f t="shared" si="63"/>
        <v>155.69999999999999</v>
      </c>
      <c r="DK114">
        <v>1</v>
      </c>
      <c r="DL114" t="s">
        <v>3</v>
      </c>
      <c r="DM114">
        <v>0</v>
      </c>
      <c r="DN114" t="s">
        <v>3</v>
      </c>
      <c r="DO114">
        <v>0</v>
      </c>
    </row>
    <row r="115" spans="1:119" x14ac:dyDescent="0.25">
      <c r="A115">
        <f>ROW(Source!A152)</f>
        <v>152</v>
      </c>
      <c r="B115">
        <v>75604747</v>
      </c>
      <c r="C115">
        <v>75605475</v>
      </c>
      <c r="D115">
        <v>74310033</v>
      </c>
      <c r="E115">
        <v>1</v>
      </c>
      <c r="F115">
        <v>1</v>
      </c>
      <c r="G115">
        <v>1</v>
      </c>
      <c r="H115">
        <v>2</v>
      </c>
      <c r="I115" t="s">
        <v>519</v>
      </c>
      <c r="J115" t="s">
        <v>520</v>
      </c>
      <c r="K115" t="s">
        <v>521</v>
      </c>
      <c r="L115">
        <v>1368</v>
      </c>
      <c r="N115">
        <v>1011</v>
      </c>
      <c r="O115" t="s">
        <v>509</v>
      </c>
      <c r="P115" t="s">
        <v>509</v>
      </c>
      <c r="Q115">
        <v>1</v>
      </c>
      <c r="W115">
        <v>0</v>
      </c>
      <c r="X115">
        <v>1818041354</v>
      </c>
      <c r="Y115">
        <f t="shared" si="56"/>
        <v>14.374999999999998</v>
      </c>
      <c r="AA115">
        <v>0</v>
      </c>
      <c r="AB115">
        <v>385.61</v>
      </c>
      <c r="AC115">
        <v>368.02</v>
      </c>
      <c r="AD115">
        <v>0</v>
      </c>
      <c r="AE115">
        <v>0</v>
      </c>
      <c r="AF115">
        <v>385.61</v>
      </c>
      <c r="AG115">
        <v>368.02</v>
      </c>
      <c r="AH115">
        <v>0</v>
      </c>
      <c r="AI115">
        <v>1</v>
      </c>
      <c r="AJ115">
        <v>1</v>
      </c>
      <c r="AK115">
        <v>1</v>
      </c>
      <c r="AL115">
        <v>1</v>
      </c>
      <c r="AM115">
        <v>-2</v>
      </c>
      <c r="AN115">
        <v>0</v>
      </c>
      <c r="AO115">
        <v>0</v>
      </c>
      <c r="AP115">
        <v>1</v>
      </c>
      <c r="AQ115">
        <v>1</v>
      </c>
      <c r="AR115">
        <v>0</v>
      </c>
      <c r="AS115" t="s">
        <v>3</v>
      </c>
      <c r="AT115">
        <v>12.5</v>
      </c>
      <c r="AU115" t="s">
        <v>27</v>
      </c>
      <c r="AV115">
        <v>1</v>
      </c>
      <c r="AW115">
        <v>2</v>
      </c>
      <c r="AX115">
        <v>75605544</v>
      </c>
      <c r="AY115">
        <v>1</v>
      </c>
      <c r="AZ115">
        <v>0</v>
      </c>
      <c r="BA115">
        <v>119</v>
      </c>
      <c r="BB115">
        <v>1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0</v>
      </c>
      <c r="BK115">
        <v>4820.125</v>
      </c>
      <c r="BL115">
        <v>4600.25</v>
      </c>
      <c r="BM115">
        <v>0</v>
      </c>
      <c r="BN115">
        <v>0</v>
      </c>
      <c r="BO115">
        <v>12.5</v>
      </c>
      <c r="BP115">
        <v>1</v>
      </c>
      <c r="BQ115">
        <v>0</v>
      </c>
      <c r="BR115">
        <v>5543.1437499999993</v>
      </c>
      <c r="BS115">
        <v>5290.2874999999995</v>
      </c>
      <c r="BT115">
        <v>0</v>
      </c>
      <c r="BU115">
        <v>0</v>
      </c>
      <c r="BV115">
        <v>14.374999999999998</v>
      </c>
      <c r="BW115">
        <v>1</v>
      </c>
      <c r="CV115">
        <v>0</v>
      </c>
      <c r="CW115">
        <f>ROUND(Y115*Source!I152*DO115,7)</f>
        <v>0.64687499999999998</v>
      </c>
      <c r="CX115">
        <f>ROUND(Y115*Source!I152,7)</f>
        <v>0.64687499999999998</v>
      </c>
      <c r="CY115">
        <f t="shared" si="60"/>
        <v>385.61</v>
      </c>
      <c r="CZ115">
        <f t="shared" si="61"/>
        <v>385.61</v>
      </c>
      <c r="DA115">
        <f t="shared" si="62"/>
        <v>1</v>
      </c>
      <c r="DB115">
        <f t="shared" si="57"/>
        <v>5543.1495000000004</v>
      </c>
      <c r="DC115">
        <f t="shared" si="58"/>
        <v>5290.2875000000004</v>
      </c>
      <c r="DD115" t="s">
        <v>3</v>
      </c>
      <c r="DE115" t="s">
        <v>3</v>
      </c>
      <c r="DF115">
        <f t="shared" si="59"/>
        <v>0</v>
      </c>
      <c r="DG115">
        <f t="shared" si="64"/>
        <v>249.44</v>
      </c>
      <c r="DH115">
        <f t="shared" si="23"/>
        <v>238.06</v>
      </c>
      <c r="DI115">
        <f t="shared" si="24"/>
        <v>0</v>
      </c>
      <c r="DJ115">
        <f t="shared" si="63"/>
        <v>487.5</v>
      </c>
      <c r="DK115">
        <v>1</v>
      </c>
      <c r="DL115" t="s">
        <v>522</v>
      </c>
      <c r="DM115">
        <v>4</v>
      </c>
      <c r="DN115" t="s">
        <v>501</v>
      </c>
      <c r="DO115">
        <v>1</v>
      </c>
    </row>
    <row r="116" spans="1:119" x14ac:dyDescent="0.25">
      <c r="A116">
        <f>ROW(Source!A152)</f>
        <v>152</v>
      </c>
      <c r="B116">
        <v>75604747</v>
      </c>
      <c r="C116">
        <v>75605475</v>
      </c>
      <c r="D116">
        <v>74259029</v>
      </c>
      <c r="E116">
        <v>1</v>
      </c>
      <c r="F116">
        <v>1</v>
      </c>
      <c r="G116">
        <v>1</v>
      </c>
      <c r="H116">
        <v>3</v>
      </c>
      <c r="I116" t="s">
        <v>600</v>
      </c>
      <c r="J116" t="s">
        <v>601</v>
      </c>
      <c r="K116" t="s">
        <v>602</v>
      </c>
      <c r="L116">
        <v>1339</v>
      </c>
      <c r="N116">
        <v>1007</v>
      </c>
      <c r="O116" t="s">
        <v>205</v>
      </c>
      <c r="P116" t="s">
        <v>205</v>
      </c>
      <c r="Q116">
        <v>1</v>
      </c>
      <c r="W116">
        <v>0</v>
      </c>
      <c r="X116">
        <v>727623859</v>
      </c>
      <c r="Y116">
        <f t="shared" ref="Y116:Y123" si="65">AT116</f>
        <v>19</v>
      </c>
      <c r="AA116">
        <v>31.42</v>
      </c>
      <c r="AB116">
        <v>0</v>
      </c>
      <c r="AC116">
        <v>0</v>
      </c>
      <c r="AD116">
        <v>0</v>
      </c>
      <c r="AE116">
        <v>35.71</v>
      </c>
      <c r="AF116">
        <v>0</v>
      </c>
      <c r="AG116">
        <v>0</v>
      </c>
      <c r="AH116">
        <v>0</v>
      </c>
      <c r="AI116">
        <v>0.88</v>
      </c>
      <c r="AJ116">
        <v>1</v>
      </c>
      <c r="AK116">
        <v>1</v>
      </c>
      <c r="AL116">
        <v>1</v>
      </c>
      <c r="AM116">
        <v>2</v>
      </c>
      <c r="AN116">
        <v>0</v>
      </c>
      <c r="AO116">
        <v>0</v>
      </c>
      <c r="AP116">
        <v>1</v>
      </c>
      <c r="AQ116">
        <v>1</v>
      </c>
      <c r="AR116">
        <v>0</v>
      </c>
      <c r="AS116" t="s">
        <v>3</v>
      </c>
      <c r="AT116">
        <v>19</v>
      </c>
      <c r="AU116" t="s">
        <v>3</v>
      </c>
      <c r="AV116">
        <v>0</v>
      </c>
      <c r="AW116">
        <v>2</v>
      </c>
      <c r="AX116">
        <v>75605545</v>
      </c>
      <c r="AY116">
        <v>1</v>
      </c>
      <c r="AZ116">
        <v>0</v>
      </c>
      <c r="BA116">
        <v>120</v>
      </c>
      <c r="BB116">
        <v>1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0</v>
      </c>
      <c r="BI116">
        <v>0</v>
      </c>
      <c r="BJ116">
        <v>678.49</v>
      </c>
      <c r="BK116">
        <v>0</v>
      </c>
      <c r="BL116">
        <v>0</v>
      </c>
      <c r="BM116">
        <v>0</v>
      </c>
      <c r="BN116">
        <v>0</v>
      </c>
      <c r="BO116">
        <v>0</v>
      </c>
      <c r="BP116">
        <v>1</v>
      </c>
      <c r="BQ116">
        <v>678.49</v>
      </c>
      <c r="BR116">
        <v>0</v>
      </c>
      <c r="BS116">
        <v>0</v>
      </c>
      <c r="BT116">
        <v>0</v>
      </c>
      <c r="BU116">
        <v>0</v>
      </c>
      <c r="BV116">
        <v>0</v>
      </c>
      <c r="BW116">
        <v>1</v>
      </c>
      <c r="CV116">
        <v>0</v>
      </c>
      <c r="CW116">
        <v>0</v>
      </c>
      <c r="CX116">
        <f>ROUND(Y116*Source!I152,7)</f>
        <v>0.85499999999999998</v>
      </c>
      <c r="CY116">
        <f t="shared" ref="CY116:CY123" si="66">AA116</f>
        <v>31.42</v>
      </c>
      <c r="CZ116">
        <f t="shared" ref="CZ116:CZ123" si="67">AE116</f>
        <v>35.71</v>
      </c>
      <c r="DA116">
        <f t="shared" ref="DA116:DA123" si="68">AI116</f>
        <v>0.88</v>
      </c>
      <c r="DB116">
        <f t="shared" ref="DB116:DB123" si="69">ROUND(ROUND(AT116*CZ116,2),6)</f>
        <v>678.49</v>
      </c>
      <c r="DC116">
        <f t="shared" ref="DC116:DC123" si="70">ROUND(ROUND(AT116*AG116,2),6)</f>
        <v>0</v>
      </c>
      <c r="DD116" t="s">
        <v>3</v>
      </c>
      <c r="DE116" t="s">
        <v>3</v>
      </c>
      <c r="DF116">
        <f>ROUND(ROUND(AE116*AI116,2)*CX116,2)</f>
        <v>26.86</v>
      </c>
      <c r="DG116">
        <f t="shared" si="64"/>
        <v>0</v>
      </c>
      <c r="DH116">
        <f t="shared" si="23"/>
        <v>0</v>
      </c>
      <c r="DI116">
        <f t="shared" si="24"/>
        <v>0</v>
      </c>
      <c r="DJ116">
        <f t="shared" ref="DJ116:DJ123" si="71">DF116</f>
        <v>26.86</v>
      </c>
      <c r="DK116">
        <v>0</v>
      </c>
      <c r="DL116" t="s">
        <v>3</v>
      </c>
      <c r="DM116">
        <v>0</v>
      </c>
      <c r="DN116" t="s">
        <v>3</v>
      </c>
      <c r="DO116">
        <v>0</v>
      </c>
    </row>
    <row r="117" spans="1:119" x14ac:dyDescent="0.25">
      <c r="A117">
        <f>ROW(Source!A152)</f>
        <v>152</v>
      </c>
      <c r="B117">
        <v>75604747</v>
      </c>
      <c r="C117">
        <v>75605475</v>
      </c>
      <c r="D117">
        <v>74259041</v>
      </c>
      <c r="E117">
        <v>1</v>
      </c>
      <c r="F117">
        <v>1</v>
      </c>
      <c r="G117">
        <v>1</v>
      </c>
      <c r="H117">
        <v>3</v>
      </c>
      <c r="I117" t="s">
        <v>560</v>
      </c>
      <c r="J117" t="s">
        <v>561</v>
      </c>
      <c r="K117" t="s">
        <v>562</v>
      </c>
      <c r="L117">
        <v>1383</v>
      </c>
      <c r="N117">
        <v>1013</v>
      </c>
      <c r="O117" t="s">
        <v>563</v>
      </c>
      <c r="P117" t="s">
        <v>563</v>
      </c>
      <c r="Q117">
        <v>1</v>
      </c>
      <c r="W117">
        <v>0</v>
      </c>
      <c r="X117">
        <v>-182421198</v>
      </c>
      <c r="Y117">
        <f t="shared" si="65"/>
        <v>10.395</v>
      </c>
      <c r="AA117">
        <v>9.0399999999999991</v>
      </c>
      <c r="AB117">
        <v>0</v>
      </c>
      <c r="AC117">
        <v>0</v>
      </c>
      <c r="AD117">
        <v>0</v>
      </c>
      <c r="AE117">
        <v>9.0399999999999991</v>
      </c>
      <c r="AF117">
        <v>0</v>
      </c>
      <c r="AG117">
        <v>0</v>
      </c>
      <c r="AH117">
        <v>0</v>
      </c>
      <c r="AI117">
        <v>1</v>
      </c>
      <c r="AJ117">
        <v>1</v>
      </c>
      <c r="AK117">
        <v>1</v>
      </c>
      <c r="AL117">
        <v>1</v>
      </c>
      <c r="AM117">
        <v>-2</v>
      </c>
      <c r="AN117">
        <v>0</v>
      </c>
      <c r="AO117">
        <v>0</v>
      </c>
      <c r="AP117">
        <v>1</v>
      </c>
      <c r="AQ117">
        <v>1</v>
      </c>
      <c r="AR117">
        <v>0</v>
      </c>
      <c r="AS117" t="s">
        <v>3</v>
      </c>
      <c r="AT117">
        <v>10.395</v>
      </c>
      <c r="AU117" t="s">
        <v>3</v>
      </c>
      <c r="AV117">
        <v>0</v>
      </c>
      <c r="AW117">
        <v>2</v>
      </c>
      <c r="AX117">
        <v>75605546</v>
      </c>
      <c r="AY117">
        <v>1</v>
      </c>
      <c r="AZ117">
        <v>0</v>
      </c>
      <c r="BA117">
        <v>121</v>
      </c>
      <c r="BB117">
        <v>1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93.970799999999983</v>
      </c>
      <c r="BK117">
        <v>0</v>
      </c>
      <c r="BL117">
        <v>0</v>
      </c>
      <c r="BM117">
        <v>0</v>
      </c>
      <c r="BN117">
        <v>0</v>
      </c>
      <c r="BO117">
        <v>0</v>
      </c>
      <c r="BP117">
        <v>1</v>
      </c>
      <c r="BQ117">
        <v>93.970799999999983</v>
      </c>
      <c r="BR117">
        <v>0</v>
      </c>
      <c r="BS117">
        <v>0</v>
      </c>
      <c r="BT117">
        <v>0</v>
      </c>
      <c r="BU117">
        <v>0</v>
      </c>
      <c r="BV117">
        <v>0</v>
      </c>
      <c r="BW117">
        <v>1</v>
      </c>
      <c r="CV117">
        <v>0</v>
      </c>
      <c r="CW117">
        <v>0</v>
      </c>
      <c r="CX117">
        <f>ROUND(Y117*Source!I152,7)</f>
        <v>0.467775</v>
      </c>
      <c r="CY117">
        <f t="shared" si="66"/>
        <v>9.0399999999999991</v>
      </c>
      <c r="CZ117">
        <f t="shared" si="67"/>
        <v>9.0399999999999991</v>
      </c>
      <c r="DA117">
        <f t="shared" si="68"/>
        <v>1</v>
      </c>
      <c r="DB117">
        <f t="shared" si="69"/>
        <v>93.97</v>
      </c>
      <c r="DC117">
        <f t="shared" si="70"/>
        <v>0</v>
      </c>
      <c r="DD117" t="s">
        <v>3</v>
      </c>
      <c r="DE117" t="s">
        <v>3</v>
      </c>
      <c r="DF117">
        <f>ROUND(ROUND(AE117,2)*CX117,2)</f>
        <v>4.2300000000000004</v>
      </c>
      <c r="DG117">
        <f t="shared" si="64"/>
        <v>0</v>
      </c>
      <c r="DH117">
        <f t="shared" si="23"/>
        <v>0</v>
      </c>
      <c r="DI117">
        <f t="shared" si="24"/>
        <v>0</v>
      </c>
      <c r="DJ117">
        <f t="shared" si="71"/>
        <v>4.2300000000000004</v>
      </c>
      <c r="DK117">
        <v>1</v>
      </c>
      <c r="DL117" t="s">
        <v>3</v>
      </c>
      <c r="DM117">
        <v>0</v>
      </c>
      <c r="DN117" t="s">
        <v>3</v>
      </c>
      <c r="DO117">
        <v>0</v>
      </c>
    </row>
    <row r="118" spans="1:119" x14ac:dyDescent="0.25">
      <c r="A118">
        <f>ROW(Source!A152)</f>
        <v>152</v>
      </c>
      <c r="B118">
        <v>75604747</v>
      </c>
      <c r="C118">
        <v>75605475</v>
      </c>
      <c r="D118">
        <v>74259783</v>
      </c>
      <c r="E118">
        <v>1</v>
      </c>
      <c r="F118">
        <v>1</v>
      </c>
      <c r="G118">
        <v>1</v>
      </c>
      <c r="H118">
        <v>3</v>
      </c>
      <c r="I118" t="s">
        <v>603</v>
      </c>
      <c r="J118" t="s">
        <v>604</v>
      </c>
      <c r="K118" t="s">
        <v>605</v>
      </c>
      <c r="L118">
        <v>1346</v>
      </c>
      <c r="N118">
        <v>1009</v>
      </c>
      <c r="O118" t="s">
        <v>240</v>
      </c>
      <c r="P118" t="s">
        <v>240</v>
      </c>
      <c r="Q118">
        <v>1</v>
      </c>
      <c r="W118">
        <v>0</v>
      </c>
      <c r="X118">
        <v>-1476217930</v>
      </c>
      <c r="Y118">
        <f t="shared" si="65"/>
        <v>50</v>
      </c>
      <c r="AA118">
        <v>132.29</v>
      </c>
      <c r="AB118">
        <v>0</v>
      </c>
      <c r="AC118">
        <v>0</v>
      </c>
      <c r="AD118">
        <v>0</v>
      </c>
      <c r="AE118">
        <v>155.63</v>
      </c>
      <c r="AF118">
        <v>0</v>
      </c>
      <c r="AG118">
        <v>0</v>
      </c>
      <c r="AH118">
        <v>0</v>
      </c>
      <c r="AI118">
        <v>0.85</v>
      </c>
      <c r="AJ118">
        <v>1</v>
      </c>
      <c r="AK118">
        <v>1</v>
      </c>
      <c r="AL118">
        <v>1</v>
      </c>
      <c r="AM118">
        <v>2</v>
      </c>
      <c r="AN118">
        <v>0</v>
      </c>
      <c r="AO118">
        <v>0</v>
      </c>
      <c r="AP118">
        <v>1</v>
      </c>
      <c r="AQ118">
        <v>1</v>
      </c>
      <c r="AR118">
        <v>0</v>
      </c>
      <c r="AS118" t="s">
        <v>3</v>
      </c>
      <c r="AT118">
        <v>50</v>
      </c>
      <c r="AU118" t="s">
        <v>3</v>
      </c>
      <c r="AV118">
        <v>0</v>
      </c>
      <c r="AW118">
        <v>2</v>
      </c>
      <c r="AX118">
        <v>75605547</v>
      </c>
      <c r="AY118">
        <v>1</v>
      </c>
      <c r="AZ118">
        <v>0</v>
      </c>
      <c r="BA118">
        <v>122</v>
      </c>
      <c r="BB118">
        <v>1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7781.5</v>
      </c>
      <c r="BK118">
        <v>0</v>
      </c>
      <c r="BL118">
        <v>0</v>
      </c>
      <c r="BM118">
        <v>0</v>
      </c>
      <c r="BN118">
        <v>0</v>
      </c>
      <c r="BO118">
        <v>0</v>
      </c>
      <c r="BP118">
        <v>1</v>
      </c>
      <c r="BQ118">
        <v>7781.5</v>
      </c>
      <c r="BR118">
        <v>0</v>
      </c>
      <c r="BS118">
        <v>0</v>
      </c>
      <c r="BT118">
        <v>0</v>
      </c>
      <c r="BU118">
        <v>0</v>
      </c>
      <c r="BV118">
        <v>0</v>
      </c>
      <c r="BW118">
        <v>1</v>
      </c>
      <c r="CV118">
        <v>0</v>
      </c>
      <c r="CW118">
        <v>0</v>
      </c>
      <c r="CX118">
        <f>ROUND(Y118*Source!I152,7)</f>
        <v>2.25</v>
      </c>
      <c r="CY118">
        <f t="shared" si="66"/>
        <v>132.29</v>
      </c>
      <c r="CZ118">
        <f t="shared" si="67"/>
        <v>155.63</v>
      </c>
      <c r="DA118">
        <f t="shared" si="68"/>
        <v>0.85</v>
      </c>
      <c r="DB118">
        <f t="shared" si="69"/>
        <v>7781.5</v>
      </c>
      <c r="DC118">
        <f t="shared" si="70"/>
        <v>0</v>
      </c>
      <c r="DD118" t="s">
        <v>3</v>
      </c>
      <c r="DE118" t="s">
        <v>3</v>
      </c>
      <c r="DF118">
        <f t="shared" ref="DF118:DF123" si="72">ROUND(ROUND(AE118*AI118,2)*CX118,2)</f>
        <v>297.64999999999998</v>
      </c>
      <c r="DG118">
        <f t="shared" si="64"/>
        <v>0</v>
      </c>
      <c r="DH118">
        <f t="shared" si="23"/>
        <v>0</v>
      </c>
      <c r="DI118">
        <f t="shared" si="24"/>
        <v>0</v>
      </c>
      <c r="DJ118">
        <f t="shared" si="71"/>
        <v>297.64999999999998</v>
      </c>
      <c r="DK118">
        <v>0</v>
      </c>
      <c r="DL118" t="s">
        <v>3</v>
      </c>
      <c r="DM118">
        <v>0</v>
      </c>
      <c r="DN118" t="s">
        <v>3</v>
      </c>
      <c r="DO118">
        <v>0</v>
      </c>
    </row>
    <row r="119" spans="1:119" x14ac:dyDescent="0.25">
      <c r="A119">
        <f>ROW(Source!A152)</f>
        <v>152</v>
      </c>
      <c r="B119">
        <v>75604747</v>
      </c>
      <c r="C119">
        <v>75605475</v>
      </c>
      <c r="D119">
        <v>74262400</v>
      </c>
      <c r="E119">
        <v>1</v>
      </c>
      <c r="F119">
        <v>1</v>
      </c>
      <c r="G119">
        <v>1</v>
      </c>
      <c r="H119">
        <v>3</v>
      </c>
      <c r="I119" t="s">
        <v>606</v>
      </c>
      <c r="J119" t="s">
        <v>607</v>
      </c>
      <c r="K119" t="s">
        <v>608</v>
      </c>
      <c r="L119">
        <v>1348</v>
      </c>
      <c r="N119">
        <v>1009</v>
      </c>
      <c r="O119" t="s">
        <v>174</v>
      </c>
      <c r="P119" t="s">
        <v>174</v>
      </c>
      <c r="Q119">
        <v>1000</v>
      </c>
      <c r="W119">
        <v>0</v>
      </c>
      <c r="X119">
        <v>1065500328</v>
      </c>
      <c r="Y119">
        <f t="shared" si="65"/>
        <v>1.1999999999999999E-3</v>
      </c>
      <c r="AA119">
        <v>38176.699999999997</v>
      </c>
      <c r="AB119">
        <v>0</v>
      </c>
      <c r="AC119">
        <v>0</v>
      </c>
      <c r="AD119">
        <v>0</v>
      </c>
      <c r="AE119">
        <v>26885</v>
      </c>
      <c r="AF119">
        <v>0</v>
      </c>
      <c r="AG119">
        <v>0</v>
      </c>
      <c r="AH119">
        <v>0</v>
      </c>
      <c r="AI119">
        <v>1.42</v>
      </c>
      <c r="AJ119">
        <v>1</v>
      </c>
      <c r="AK119">
        <v>1</v>
      </c>
      <c r="AL119">
        <v>1</v>
      </c>
      <c r="AM119">
        <v>2</v>
      </c>
      <c r="AN119">
        <v>0</v>
      </c>
      <c r="AO119">
        <v>0</v>
      </c>
      <c r="AP119">
        <v>1</v>
      </c>
      <c r="AQ119">
        <v>1</v>
      </c>
      <c r="AR119">
        <v>0</v>
      </c>
      <c r="AS119" t="s">
        <v>3</v>
      </c>
      <c r="AT119">
        <v>1.1999999999999999E-3</v>
      </c>
      <c r="AU119" t="s">
        <v>3</v>
      </c>
      <c r="AV119">
        <v>0</v>
      </c>
      <c r="AW119">
        <v>2</v>
      </c>
      <c r="AX119">
        <v>75605549</v>
      </c>
      <c r="AY119">
        <v>1</v>
      </c>
      <c r="AZ119">
        <v>0</v>
      </c>
      <c r="BA119">
        <v>124</v>
      </c>
      <c r="BB119">
        <v>1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32.262</v>
      </c>
      <c r="BK119">
        <v>0</v>
      </c>
      <c r="BL119">
        <v>0</v>
      </c>
      <c r="BM119">
        <v>0</v>
      </c>
      <c r="BN119">
        <v>0</v>
      </c>
      <c r="BO119">
        <v>0</v>
      </c>
      <c r="BP119">
        <v>1</v>
      </c>
      <c r="BQ119">
        <v>32.262</v>
      </c>
      <c r="BR119">
        <v>0</v>
      </c>
      <c r="BS119">
        <v>0</v>
      </c>
      <c r="BT119">
        <v>0</v>
      </c>
      <c r="BU119">
        <v>0</v>
      </c>
      <c r="BV119">
        <v>0</v>
      </c>
      <c r="BW119">
        <v>1</v>
      </c>
      <c r="CV119">
        <v>0</v>
      </c>
      <c r="CW119">
        <v>0</v>
      </c>
      <c r="CX119">
        <f>ROUND(Y119*Source!I152,7)</f>
        <v>5.3999999999999998E-5</v>
      </c>
      <c r="CY119">
        <f t="shared" si="66"/>
        <v>38176.699999999997</v>
      </c>
      <c r="CZ119">
        <f t="shared" si="67"/>
        <v>26885</v>
      </c>
      <c r="DA119">
        <f t="shared" si="68"/>
        <v>1.42</v>
      </c>
      <c r="DB119">
        <f t="shared" si="69"/>
        <v>32.26</v>
      </c>
      <c r="DC119">
        <f t="shared" si="70"/>
        <v>0</v>
      </c>
      <c r="DD119" t="s">
        <v>3</v>
      </c>
      <c r="DE119" t="s">
        <v>3</v>
      </c>
      <c r="DF119">
        <f t="shared" si="72"/>
        <v>2.06</v>
      </c>
      <c r="DG119">
        <f t="shared" si="64"/>
        <v>0</v>
      </c>
      <c r="DH119">
        <f t="shared" si="23"/>
        <v>0</v>
      </c>
      <c r="DI119">
        <f t="shared" si="24"/>
        <v>0</v>
      </c>
      <c r="DJ119">
        <f t="shared" si="71"/>
        <v>2.06</v>
      </c>
      <c r="DK119">
        <v>0</v>
      </c>
      <c r="DL119" t="s">
        <v>3</v>
      </c>
      <c r="DM119">
        <v>0</v>
      </c>
      <c r="DN119" t="s">
        <v>3</v>
      </c>
      <c r="DO119">
        <v>0</v>
      </c>
    </row>
    <row r="120" spans="1:119" x14ac:dyDescent="0.25">
      <c r="A120">
        <f>ROW(Source!A152)</f>
        <v>152</v>
      </c>
      <c r="B120">
        <v>75604747</v>
      </c>
      <c r="C120">
        <v>75605475</v>
      </c>
      <c r="D120">
        <v>74265693</v>
      </c>
      <c r="E120">
        <v>1</v>
      </c>
      <c r="F120">
        <v>1</v>
      </c>
      <c r="G120">
        <v>1</v>
      </c>
      <c r="H120">
        <v>3</v>
      </c>
      <c r="I120" t="s">
        <v>609</v>
      </c>
      <c r="J120" t="s">
        <v>610</v>
      </c>
      <c r="K120" t="s">
        <v>611</v>
      </c>
      <c r="L120">
        <v>1348</v>
      </c>
      <c r="N120">
        <v>1009</v>
      </c>
      <c r="O120" t="s">
        <v>174</v>
      </c>
      <c r="P120" t="s">
        <v>174</v>
      </c>
      <c r="Q120">
        <v>1000</v>
      </c>
      <c r="W120">
        <v>0</v>
      </c>
      <c r="X120">
        <v>-28959261</v>
      </c>
      <c r="Y120">
        <f t="shared" si="65"/>
        <v>0.01</v>
      </c>
      <c r="AA120">
        <v>140114.95000000001</v>
      </c>
      <c r="AB120">
        <v>0</v>
      </c>
      <c r="AC120">
        <v>0</v>
      </c>
      <c r="AD120">
        <v>0</v>
      </c>
      <c r="AE120">
        <v>106957.98</v>
      </c>
      <c r="AF120">
        <v>0</v>
      </c>
      <c r="AG120">
        <v>0</v>
      </c>
      <c r="AH120">
        <v>0</v>
      </c>
      <c r="AI120">
        <v>1.31</v>
      </c>
      <c r="AJ120">
        <v>1</v>
      </c>
      <c r="AK120">
        <v>1</v>
      </c>
      <c r="AL120">
        <v>1</v>
      </c>
      <c r="AM120">
        <v>2</v>
      </c>
      <c r="AN120">
        <v>0</v>
      </c>
      <c r="AO120">
        <v>0</v>
      </c>
      <c r="AP120">
        <v>1</v>
      </c>
      <c r="AQ120">
        <v>1</v>
      </c>
      <c r="AR120">
        <v>0</v>
      </c>
      <c r="AS120" t="s">
        <v>3</v>
      </c>
      <c r="AT120">
        <v>0.01</v>
      </c>
      <c r="AU120" t="s">
        <v>3</v>
      </c>
      <c r="AV120">
        <v>0</v>
      </c>
      <c r="AW120">
        <v>2</v>
      </c>
      <c r="AX120">
        <v>75605551</v>
      </c>
      <c r="AY120">
        <v>1</v>
      </c>
      <c r="AZ120">
        <v>0</v>
      </c>
      <c r="BA120">
        <v>126</v>
      </c>
      <c r="BB120">
        <v>1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1069.5798</v>
      </c>
      <c r="BK120">
        <v>0</v>
      </c>
      <c r="BL120">
        <v>0</v>
      </c>
      <c r="BM120">
        <v>0</v>
      </c>
      <c r="BN120">
        <v>0</v>
      </c>
      <c r="BO120">
        <v>0</v>
      </c>
      <c r="BP120">
        <v>1</v>
      </c>
      <c r="BQ120">
        <v>1069.5798</v>
      </c>
      <c r="BR120">
        <v>0</v>
      </c>
      <c r="BS120">
        <v>0</v>
      </c>
      <c r="BT120">
        <v>0</v>
      </c>
      <c r="BU120">
        <v>0</v>
      </c>
      <c r="BV120">
        <v>0</v>
      </c>
      <c r="BW120">
        <v>1</v>
      </c>
      <c r="CV120">
        <v>0</v>
      </c>
      <c r="CW120">
        <v>0</v>
      </c>
      <c r="CX120">
        <f>ROUND(Y120*Source!I152,7)</f>
        <v>4.4999999999999999E-4</v>
      </c>
      <c r="CY120">
        <f t="shared" si="66"/>
        <v>140114.95000000001</v>
      </c>
      <c r="CZ120">
        <f t="shared" si="67"/>
        <v>106957.98</v>
      </c>
      <c r="DA120">
        <f t="shared" si="68"/>
        <v>1.31</v>
      </c>
      <c r="DB120">
        <f t="shared" si="69"/>
        <v>1069.58</v>
      </c>
      <c r="DC120">
        <f t="shared" si="70"/>
        <v>0</v>
      </c>
      <c r="DD120" t="s">
        <v>3</v>
      </c>
      <c r="DE120" t="s">
        <v>3</v>
      </c>
      <c r="DF120">
        <f t="shared" si="72"/>
        <v>63.05</v>
      </c>
      <c r="DG120">
        <f t="shared" si="64"/>
        <v>0</v>
      </c>
      <c r="DH120">
        <f t="shared" si="23"/>
        <v>0</v>
      </c>
      <c r="DI120">
        <f t="shared" si="24"/>
        <v>0</v>
      </c>
      <c r="DJ120">
        <f t="shared" si="71"/>
        <v>63.05</v>
      </c>
      <c r="DK120">
        <v>0</v>
      </c>
      <c r="DL120" t="s">
        <v>3</v>
      </c>
      <c r="DM120">
        <v>0</v>
      </c>
      <c r="DN120" t="s">
        <v>3</v>
      </c>
      <c r="DO120">
        <v>0</v>
      </c>
    </row>
    <row r="121" spans="1:119" x14ac:dyDescent="0.25">
      <c r="A121">
        <f>ROW(Source!A152)</f>
        <v>152</v>
      </c>
      <c r="B121">
        <v>75604747</v>
      </c>
      <c r="C121">
        <v>75605475</v>
      </c>
      <c r="D121">
        <v>74267062</v>
      </c>
      <c r="E121">
        <v>1</v>
      </c>
      <c r="F121">
        <v>1</v>
      </c>
      <c r="G121">
        <v>1</v>
      </c>
      <c r="H121">
        <v>3</v>
      </c>
      <c r="I121" t="s">
        <v>238</v>
      </c>
      <c r="J121" t="s">
        <v>241</v>
      </c>
      <c r="K121" t="s">
        <v>266</v>
      </c>
      <c r="L121">
        <v>1346</v>
      </c>
      <c r="N121">
        <v>1009</v>
      </c>
      <c r="O121" t="s">
        <v>240</v>
      </c>
      <c r="P121" t="s">
        <v>240</v>
      </c>
      <c r="Q121">
        <v>1</v>
      </c>
      <c r="W121">
        <v>0</v>
      </c>
      <c r="X121">
        <v>601571053</v>
      </c>
      <c r="Y121">
        <f t="shared" si="65"/>
        <v>290</v>
      </c>
      <c r="AA121">
        <v>230.1</v>
      </c>
      <c r="AB121">
        <v>0</v>
      </c>
      <c r="AC121">
        <v>0</v>
      </c>
      <c r="AD121">
        <v>0</v>
      </c>
      <c r="AE121">
        <v>175.65</v>
      </c>
      <c r="AF121">
        <v>0</v>
      </c>
      <c r="AG121">
        <v>0</v>
      </c>
      <c r="AH121">
        <v>0</v>
      </c>
      <c r="AI121">
        <v>1.31</v>
      </c>
      <c r="AJ121">
        <v>1</v>
      </c>
      <c r="AK121">
        <v>1</v>
      </c>
      <c r="AL121">
        <v>1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  <c r="AS121" t="s">
        <v>3</v>
      </c>
      <c r="AT121">
        <v>290</v>
      </c>
      <c r="AU121" t="s">
        <v>3</v>
      </c>
      <c r="AV121">
        <v>0</v>
      </c>
      <c r="AW121">
        <v>1</v>
      </c>
      <c r="AX121">
        <v>-1</v>
      </c>
      <c r="AY121">
        <v>0</v>
      </c>
      <c r="AZ121">
        <v>0</v>
      </c>
      <c r="BA121" t="s">
        <v>3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0</v>
      </c>
      <c r="BK121">
        <v>0</v>
      </c>
      <c r="BL121">
        <v>0</v>
      </c>
      <c r="BM121">
        <v>0</v>
      </c>
      <c r="BN121">
        <v>0</v>
      </c>
      <c r="BO121">
        <v>0</v>
      </c>
      <c r="BP121">
        <v>0</v>
      </c>
      <c r="BQ121">
        <v>0</v>
      </c>
      <c r="BR121">
        <v>0</v>
      </c>
      <c r="BS121">
        <v>0</v>
      </c>
      <c r="BT121">
        <v>0</v>
      </c>
      <c r="BU121">
        <v>0</v>
      </c>
      <c r="BV121">
        <v>0</v>
      </c>
      <c r="BW121">
        <v>0</v>
      </c>
      <c r="CV121">
        <v>0</v>
      </c>
      <c r="CW121">
        <v>0</v>
      </c>
      <c r="CX121">
        <f>ROUND(Y121*Source!I152,7)</f>
        <v>13.05</v>
      </c>
      <c r="CY121">
        <f t="shared" si="66"/>
        <v>230.1</v>
      </c>
      <c r="CZ121">
        <f t="shared" si="67"/>
        <v>175.65</v>
      </c>
      <c r="DA121">
        <f t="shared" si="68"/>
        <v>1.31</v>
      </c>
      <c r="DB121">
        <f t="shared" si="69"/>
        <v>50938.5</v>
      </c>
      <c r="DC121">
        <f t="shared" si="70"/>
        <v>0</v>
      </c>
      <c r="DD121" t="s">
        <v>3</v>
      </c>
      <c r="DE121" t="s">
        <v>3</v>
      </c>
      <c r="DF121">
        <f t="shared" si="72"/>
        <v>3002.81</v>
      </c>
      <c r="DG121">
        <f t="shared" si="64"/>
        <v>0</v>
      </c>
      <c r="DH121">
        <f t="shared" si="23"/>
        <v>0</v>
      </c>
      <c r="DI121">
        <f t="shared" si="24"/>
        <v>0</v>
      </c>
      <c r="DJ121">
        <f t="shared" si="71"/>
        <v>3002.81</v>
      </c>
      <c r="DK121">
        <v>0</v>
      </c>
      <c r="DL121" t="s">
        <v>3</v>
      </c>
      <c r="DM121">
        <v>0</v>
      </c>
      <c r="DN121" t="s">
        <v>3</v>
      </c>
      <c r="DO121">
        <v>0</v>
      </c>
    </row>
    <row r="122" spans="1:119" x14ac:dyDescent="0.25">
      <c r="A122">
        <f>ROW(Source!A152)</f>
        <v>152</v>
      </c>
      <c r="B122">
        <v>75604747</v>
      </c>
      <c r="C122">
        <v>75605475</v>
      </c>
      <c r="D122">
        <v>74297273</v>
      </c>
      <c r="E122">
        <v>1</v>
      </c>
      <c r="F122">
        <v>1</v>
      </c>
      <c r="G122">
        <v>1</v>
      </c>
      <c r="H122">
        <v>3</v>
      </c>
      <c r="I122" t="s">
        <v>268</v>
      </c>
      <c r="J122" t="s">
        <v>270</v>
      </c>
      <c r="K122" t="s">
        <v>269</v>
      </c>
      <c r="L122">
        <v>1301</v>
      </c>
      <c r="N122">
        <v>1003</v>
      </c>
      <c r="O122" t="s">
        <v>98</v>
      </c>
      <c r="P122" t="s">
        <v>98</v>
      </c>
      <c r="Q122">
        <v>1</v>
      </c>
      <c r="W122">
        <v>0</v>
      </c>
      <c r="X122">
        <v>2107056787</v>
      </c>
      <c r="Y122">
        <f t="shared" si="65"/>
        <v>1000</v>
      </c>
      <c r="AA122">
        <v>405.51</v>
      </c>
      <c r="AB122">
        <v>0</v>
      </c>
      <c r="AC122">
        <v>0</v>
      </c>
      <c r="AD122">
        <v>0</v>
      </c>
      <c r="AE122">
        <v>494.52</v>
      </c>
      <c r="AF122">
        <v>0</v>
      </c>
      <c r="AG122">
        <v>0</v>
      </c>
      <c r="AH122">
        <v>0</v>
      </c>
      <c r="AI122">
        <v>0.82</v>
      </c>
      <c r="AJ122">
        <v>1</v>
      </c>
      <c r="AK122">
        <v>1</v>
      </c>
      <c r="AL122">
        <v>1</v>
      </c>
      <c r="AM122">
        <v>0</v>
      </c>
      <c r="AN122">
        <v>0</v>
      </c>
      <c r="AO122">
        <v>0</v>
      </c>
      <c r="AP122">
        <v>1</v>
      </c>
      <c r="AQ122">
        <v>0</v>
      </c>
      <c r="AR122">
        <v>0</v>
      </c>
      <c r="AS122" t="s">
        <v>3</v>
      </c>
      <c r="AT122">
        <v>1000</v>
      </c>
      <c r="AU122" t="s">
        <v>3</v>
      </c>
      <c r="AV122">
        <v>0</v>
      </c>
      <c r="AW122">
        <v>1</v>
      </c>
      <c r="AX122">
        <v>-1</v>
      </c>
      <c r="AY122">
        <v>0</v>
      </c>
      <c r="AZ122">
        <v>0</v>
      </c>
      <c r="BA122" t="s">
        <v>3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0</v>
      </c>
      <c r="BI122">
        <v>0</v>
      </c>
      <c r="BJ122">
        <v>0</v>
      </c>
      <c r="BK122">
        <v>0</v>
      </c>
      <c r="BL122">
        <v>0</v>
      </c>
      <c r="BM122">
        <v>0</v>
      </c>
      <c r="BN122">
        <v>0</v>
      </c>
      <c r="BO122">
        <v>0</v>
      </c>
      <c r="BP122">
        <v>0</v>
      </c>
      <c r="BQ122">
        <v>0</v>
      </c>
      <c r="BR122">
        <v>0</v>
      </c>
      <c r="BS122">
        <v>0</v>
      </c>
      <c r="BT122">
        <v>0</v>
      </c>
      <c r="BU122">
        <v>0</v>
      </c>
      <c r="BV122">
        <v>0</v>
      </c>
      <c r="BW122">
        <v>0</v>
      </c>
      <c r="CV122">
        <v>0</v>
      </c>
      <c r="CW122">
        <v>0</v>
      </c>
      <c r="CX122">
        <f>ROUND(Y122*Source!I152,7)</f>
        <v>45</v>
      </c>
      <c r="CY122">
        <f t="shared" si="66"/>
        <v>405.51</v>
      </c>
      <c r="CZ122">
        <f t="shared" si="67"/>
        <v>494.52</v>
      </c>
      <c r="DA122">
        <f t="shared" si="68"/>
        <v>0.82</v>
      </c>
      <c r="DB122">
        <f t="shared" si="69"/>
        <v>494520</v>
      </c>
      <c r="DC122">
        <f t="shared" si="70"/>
        <v>0</v>
      </c>
      <c r="DD122" t="s">
        <v>3</v>
      </c>
      <c r="DE122" t="s">
        <v>3</v>
      </c>
      <c r="DF122">
        <f t="shared" si="72"/>
        <v>18247.95</v>
      </c>
      <c r="DG122">
        <f t="shared" si="64"/>
        <v>0</v>
      </c>
      <c r="DH122">
        <f t="shared" si="23"/>
        <v>0</v>
      </c>
      <c r="DI122">
        <f t="shared" si="24"/>
        <v>0</v>
      </c>
      <c r="DJ122">
        <f t="shared" si="71"/>
        <v>18247.95</v>
      </c>
      <c r="DK122">
        <v>0</v>
      </c>
      <c r="DL122" t="s">
        <v>3</v>
      </c>
      <c r="DM122">
        <v>0</v>
      </c>
      <c r="DN122" t="s">
        <v>3</v>
      </c>
      <c r="DO122">
        <v>0</v>
      </c>
    </row>
    <row r="123" spans="1:119" x14ac:dyDescent="0.25">
      <c r="A123">
        <f>ROW(Source!A152)</f>
        <v>152</v>
      </c>
      <c r="B123">
        <v>75604747</v>
      </c>
      <c r="C123">
        <v>75605475</v>
      </c>
      <c r="D123">
        <v>74298743</v>
      </c>
      <c r="E123">
        <v>1</v>
      </c>
      <c r="F123">
        <v>1</v>
      </c>
      <c r="G123">
        <v>1</v>
      </c>
      <c r="H123">
        <v>3</v>
      </c>
      <c r="I123" t="s">
        <v>272</v>
      </c>
      <c r="J123" t="s">
        <v>274</v>
      </c>
      <c r="K123" t="s">
        <v>273</v>
      </c>
      <c r="L123">
        <v>1371</v>
      </c>
      <c r="N123">
        <v>1013</v>
      </c>
      <c r="O123" t="s">
        <v>222</v>
      </c>
      <c r="P123" t="s">
        <v>222</v>
      </c>
      <c r="Q123">
        <v>1</v>
      </c>
      <c r="W123">
        <v>0</v>
      </c>
      <c r="X123">
        <v>-1145901236</v>
      </c>
      <c r="Y123">
        <f t="shared" si="65"/>
        <v>266.66666670000001</v>
      </c>
      <c r="AA123">
        <v>315.77999999999997</v>
      </c>
      <c r="AB123">
        <v>0</v>
      </c>
      <c r="AC123">
        <v>0</v>
      </c>
      <c r="AD123">
        <v>0</v>
      </c>
      <c r="AE123">
        <v>277</v>
      </c>
      <c r="AF123">
        <v>0</v>
      </c>
      <c r="AG123">
        <v>0</v>
      </c>
      <c r="AH123">
        <v>0</v>
      </c>
      <c r="AI123">
        <v>1.1399999999999999</v>
      </c>
      <c r="AJ123">
        <v>1</v>
      </c>
      <c r="AK123">
        <v>1</v>
      </c>
      <c r="AL123">
        <v>1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  <c r="AS123" t="s">
        <v>3</v>
      </c>
      <c r="AT123">
        <v>266.66666670000001</v>
      </c>
      <c r="AU123" t="s">
        <v>3</v>
      </c>
      <c r="AV123">
        <v>0</v>
      </c>
      <c r="AW123">
        <v>1</v>
      </c>
      <c r="AX123">
        <v>-1</v>
      </c>
      <c r="AY123">
        <v>0</v>
      </c>
      <c r="AZ123">
        <v>0</v>
      </c>
      <c r="BA123" t="s">
        <v>3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0</v>
      </c>
      <c r="BK123">
        <v>0</v>
      </c>
      <c r="BL123">
        <v>0</v>
      </c>
      <c r="BM123">
        <v>0</v>
      </c>
      <c r="BN123">
        <v>0</v>
      </c>
      <c r="BO123">
        <v>0</v>
      </c>
      <c r="BP123">
        <v>0</v>
      </c>
      <c r="BQ123">
        <v>0</v>
      </c>
      <c r="BR123">
        <v>0</v>
      </c>
      <c r="BS123">
        <v>0</v>
      </c>
      <c r="BT123">
        <v>0</v>
      </c>
      <c r="BU123">
        <v>0</v>
      </c>
      <c r="BV123">
        <v>0</v>
      </c>
      <c r="BW123">
        <v>0</v>
      </c>
      <c r="CV123">
        <v>0</v>
      </c>
      <c r="CW123">
        <v>0</v>
      </c>
      <c r="CX123">
        <f>ROUND(Y123*Source!I152,7)</f>
        <v>12</v>
      </c>
      <c r="CY123">
        <f t="shared" si="66"/>
        <v>315.77999999999997</v>
      </c>
      <c r="CZ123">
        <f t="shared" si="67"/>
        <v>277</v>
      </c>
      <c r="DA123">
        <f t="shared" si="68"/>
        <v>1.1399999999999999</v>
      </c>
      <c r="DB123">
        <f t="shared" si="69"/>
        <v>73866.67</v>
      </c>
      <c r="DC123">
        <f t="shared" si="70"/>
        <v>0</v>
      </c>
      <c r="DD123" t="s">
        <v>3</v>
      </c>
      <c r="DE123" t="s">
        <v>3</v>
      </c>
      <c r="DF123">
        <f t="shared" si="72"/>
        <v>3789.36</v>
      </c>
      <c r="DG123">
        <f t="shared" si="64"/>
        <v>0</v>
      </c>
      <c r="DH123">
        <f t="shared" si="23"/>
        <v>0</v>
      </c>
      <c r="DI123">
        <f t="shared" si="24"/>
        <v>0</v>
      </c>
      <c r="DJ123">
        <f t="shared" si="71"/>
        <v>3789.36</v>
      </c>
      <c r="DK123">
        <v>0</v>
      </c>
      <c r="DL123" t="s">
        <v>3</v>
      </c>
      <c r="DM123">
        <v>0</v>
      </c>
      <c r="DN123" t="s">
        <v>3</v>
      </c>
      <c r="DO123">
        <v>0</v>
      </c>
    </row>
    <row r="124" spans="1:119" x14ac:dyDescent="0.25">
      <c r="A124">
        <f>ROW(Source!A157)</f>
        <v>157</v>
      </c>
      <c r="B124">
        <v>75604747</v>
      </c>
      <c r="C124">
        <v>75605869</v>
      </c>
      <c r="D124">
        <v>37064928</v>
      </c>
      <c r="E124">
        <v>118</v>
      </c>
      <c r="F124">
        <v>1</v>
      </c>
      <c r="G124">
        <v>1</v>
      </c>
      <c r="H124">
        <v>1</v>
      </c>
      <c r="I124" t="s">
        <v>612</v>
      </c>
      <c r="J124" t="s">
        <v>3</v>
      </c>
      <c r="K124" t="s">
        <v>613</v>
      </c>
      <c r="L124">
        <v>1191</v>
      </c>
      <c r="N124">
        <v>1013</v>
      </c>
      <c r="O124" t="s">
        <v>501</v>
      </c>
      <c r="P124" t="s">
        <v>501</v>
      </c>
      <c r="Q124">
        <v>1</v>
      </c>
      <c r="W124">
        <v>0</v>
      </c>
      <c r="X124">
        <v>-715079457</v>
      </c>
      <c r="Y124">
        <f t="shared" ref="Y124:Y130" si="73">(AT124*ROUND((0.15+1),7))</f>
        <v>84.639999999999986</v>
      </c>
      <c r="AA124">
        <v>0</v>
      </c>
      <c r="AB124">
        <v>0</v>
      </c>
      <c r="AC124">
        <v>0</v>
      </c>
      <c r="AD124">
        <v>347.42</v>
      </c>
      <c r="AE124">
        <v>0</v>
      </c>
      <c r="AF124">
        <v>0</v>
      </c>
      <c r="AG124">
        <v>0</v>
      </c>
      <c r="AH124">
        <v>347.42</v>
      </c>
      <c r="AI124">
        <v>1</v>
      </c>
      <c r="AJ124">
        <v>1</v>
      </c>
      <c r="AK124">
        <v>1</v>
      </c>
      <c r="AL124">
        <v>1</v>
      </c>
      <c r="AM124">
        <v>-2</v>
      </c>
      <c r="AN124">
        <v>0</v>
      </c>
      <c r="AO124">
        <v>0</v>
      </c>
      <c r="AP124">
        <v>1</v>
      </c>
      <c r="AQ124">
        <v>1</v>
      </c>
      <c r="AR124">
        <v>0</v>
      </c>
      <c r="AS124" t="s">
        <v>3</v>
      </c>
      <c r="AT124">
        <v>73.599999999999994</v>
      </c>
      <c r="AU124" t="s">
        <v>27</v>
      </c>
      <c r="AV124">
        <v>1</v>
      </c>
      <c r="AW124">
        <v>2</v>
      </c>
      <c r="AX124">
        <v>75605891</v>
      </c>
      <c r="AY124">
        <v>1</v>
      </c>
      <c r="AZ124">
        <v>0</v>
      </c>
      <c r="BA124">
        <v>131</v>
      </c>
      <c r="BB124">
        <v>1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0</v>
      </c>
      <c r="BK124">
        <v>0</v>
      </c>
      <c r="BL124">
        <v>0</v>
      </c>
      <c r="BM124">
        <v>25570.112000000001</v>
      </c>
      <c r="BN124">
        <v>73.599999999999994</v>
      </c>
      <c r="BO124">
        <v>0</v>
      </c>
      <c r="BP124">
        <v>1</v>
      </c>
      <c r="BQ124">
        <v>0</v>
      </c>
      <c r="BR124">
        <v>0</v>
      </c>
      <c r="BS124">
        <v>0</v>
      </c>
      <c r="BT124">
        <v>29405.628799999995</v>
      </c>
      <c r="BU124">
        <v>84.639999999999986</v>
      </c>
      <c r="BV124">
        <v>0</v>
      </c>
      <c r="BW124">
        <v>1</v>
      </c>
      <c r="CU124">
        <f>ROUND(AT124*Source!I157*AH124*AL124,2)</f>
        <v>410.4</v>
      </c>
      <c r="CV124">
        <f>ROUND(Y124*Source!I157,7)</f>
        <v>1.3584719999999999</v>
      </c>
      <c r="CW124">
        <v>0</v>
      </c>
      <c r="CX124">
        <f>ROUND(Y124*Source!I157,7)</f>
        <v>1.3584719999999999</v>
      </c>
      <c r="CY124">
        <f>AD124</f>
        <v>347.42</v>
      </c>
      <c r="CZ124">
        <f>AH124</f>
        <v>347.42</v>
      </c>
      <c r="DA124">
        <f>AL124</f>
        <v>1</v>
      </c>
      <c r="DB124">
        <f t="shared" ref="DB124:DB130" si="74">ROUND((ROUND(AT124*CZ124,2)*ROUND((0.15+1),7)),6)</f>
        <v>29405.626499999998</v>
      </c>
      <c r="DC124">
        <f t="shared" ref="DC124:DC130" si="75">ROUND((ROUND(AT124*AG124,2)*ROUND((0.15+1),7)),6)</f>
        <v>0</v>
      </c>
      <c r="DD124" t="s">
        <v>3</v>
      </c>
      <c r="DE124" t="s">
        <v>3</v>
      </c>
      <c r="DF124">
        <f t="shared" ref="DF124:DF130" si="76">ROUND(ROUND(AE124,2)*CX124,2)</f>
        <v>0</v>
      </c>
      <c r="DG124">
        <f t="shared" si="64"/>
        <v>0</v>
      </c>
      <c r="DH124">
        <f t="shared" si="23"/>
        <v>0</v>
      </c>
      <c r="DI124">
        <f t="shared" si="24"/>
        <v>471.96</v>
      </c>
      <c r="DJ124">
        <f>DI124</f>
        <v>471.96</v>
      </c>
      <c r="DK124">
        <v>1</v>
      </c>
      <c r="DL124" t="s">
        <v>3</v>
      </c>
      <c r="DM124">
        <v>0</v>
      </c>
      <c r="DN124" t="s">
        <v>3</v>
      </c>
      <c r="DO124">
        <v>0</v>
      </c>
    </row>
    <row r="125" spans="1:119" x14ac:dyDescent="0.25">
      <c r="A125">
        <f>ROW(Source!A157)</f>
        <v>157</v>
      </c>
      <c r="B125">
        <v>75604747</v>
      </c>
      <c r="C125">
        <v>75605869</v>
      </c>
      <c r="D125">
        <v>37064876</v>
      </c>
      <c r="E125">
        <v>118</v>
      </c>
      <c r="F125">
        <v>1</v>
      </c>
      <c r="G125">
        <v>1</v>
      </c>
      <c r="H125">
        <v>1</v>
      </c>
      <c r="I125" t="s">
        <v>504</v>
      </c>
      <c r="J125" t="s">
        <v>3</v>
      </c>
      <c r="K125" t="s">
        <v>505</v>
      </c>
      <c r="L125">
        <v>1191</v>
      </c>
      <c r="N125">
        <v>1013</v>
      </c>
      <c r="O125" t="s">
        <v>501</v>
      </c>
      <c r="P125" t="s">
        <v>501</v>
      </c>
      <c r="Q125">
        <v>1</v>
      </c>
      <c r="W125">
        <v>0</v>
      </c>
      <c r="X125">
        <v>-1417349443</v>
      </c>
      <c r="Y125">
        <f t="shared" si="73"/>
        <v>0.3105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1</v>
      </c>
      <c r="AJ125">
        <v>1</v>
      </c>
      <c r="AK125">
        <v>1</v>
      </c>
      <c r="AL125">
        <v>1</v>
      </c>
      <c r="AM125">
        <v>-2</v>
      </c>
      <c r="AN125">
        <v>0</v>
      </c>
      <c r="AO125">
        <v>0</v>
      </c>
      <c r="AP125">
        <v>1</v>
      </c>
      <c r="AQ125">
        <v>1</v>
      </c>
      <c r="AR125">
        <v>0</v>
      </c>
      <c r="AS125" t="s">
        <v>3</v>
      </c>
      <c r="AT125">
        <v>0.27</v>
      </c>
      <c r="AU125" t="s">
        <v>27</v>
      </c>
      <c r="AV125">
        <v>2</v>
      </c>
      <c r="AW125">
        <v>2</v>
      </c>
      <c r="AX125">
        <v>75605892</v>
      </c>
      <c r="AY125">
        <v>1</v>
      </c>
      <c r="AZ125">
        <v>0</v>
      </c>
      <c r="BA125">
        <v>132</v>
      </c>
      <c r="BB125">
        <v>1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0</v>
      </c>
      <c r="BK125">
        <v>0</v>
      </c>
      <c r="BL125">
        <v>0</v>
      </c>
      <c r="BM125">
        <v>0</v>
      </c>
      <c r="BN125">
        <v>0</v>
      </c>
      <c r="BO125">
        <v>0</v>
      </c>
      <c r="BP125">
        <v>0</v>
      </c>
      <c r="BQ125">
        <v>0</v>
      </c>
      <c r="BR125">
        <v>0</v>
      </c>
      <c r="BS125">
        <v>0</v>
      </c>
      <c r="BT125">
        <v>0</v>
      </c>
      <c r="BU125">
        <v>0</v>
      </c>
      <c r="BV125">
        <v>0</v>
      </c>
      <c r="BW125">
        <v>0</v>
      </c>
      <c r="CV125">
        <v>0</v>
      </c>
      <c r="CW125">
        <v>0</v>
      </c>
      <c r="CX125">
        <f>ROUND(Y125*Source!I157,7)</f>
        <v>4.9835000000000001E-3</v>
      </c>
      <c r="CY125">
        <f>AD125</f>
        <v>0</v>
      </c>
      <c r="CZ125">
        <f>AH125</f>
        <v>0</v>
      </c>
      <c r="DA125">
        <f>AL125</f>
        <v>1</v>
      </c>
      <c r="DB125">
        <f t="shared" si="74"/>
        <v>0</v>
      </c>
      <c r="DC125">
        <f t="shared" si="75"/>
        <v>0</v>
      </c>
      <c r="DD125" t="s">
        <v>3</v>
      </c>
      <c r="DE125" t="s">
        <v>3</v>
      </c>
      <c r="DF125">
        <f t="shared" si="76"/>
        <v>0</v>
      </c>
      <c r="DG125">
        <f t="shared" si="64"/>
        <v>0</v>
      </c>
      <c r="DH125">
        <f t="shared" si="23"/>
        <v>0</v>
      </c>
      <c r="DI125">
        <f t="shared" si="24"/>
        <v>0</v>
      </c>
      <c r="DJ125">
        <f>DI125</f>
        <v>0</v>
      </c>
      <c r="DK125">
        <v>0</v>
      </c>
      <c r="DL125" t="s">
        <v>3</v>
      </c>
      <c r="DM125">
        <v>0</v>
      </c>
      <c r="DN125" t="s">
        <v>3</v>
      </c>
      <c r="DO125">
        <v>0</v>
      </c>
    </row>
    <row r="126" spans="1:119" x14ac:dyDescent="0.25">
      <c r="A126">
        <f>ROW(Source!A157)</f>
        <v>157</v>
      </c>
      <c r="B126">
        <v>75604747</v>
      </c>
      <c r="C126">
        <v>75605869</v>
      </c>
      <c r="D126">
        <v>74308922</v>
      </c>
      <c r="E126">
        <v>1</v>
      </c>
      <c r="F126">
        <v>1</v>
      </c>
      <c r="G126">
        <v>1</v>
      </c>
      <c r="H126">
        <v>2</v>
      </c>
      <c r="I126" t="s">
        <v>574</v>
      </c>
      <c r="J126" t="s">
        <v>575</v>
      </c>
      <c r="K126" t="s">
        <v>576</v>
      </c>
      <c r="L126">
        <v>1368</v>
      </c>
      <c r="N126">
        <v>1011</v>
      </c>
      <c r="O126" t="s">
        <v>509</v>
      </c>
      <c r="P126" t="s">
        <v>509</v>
      </c>
      <c r="Q126">
        <v>1</v>
      </c>
      <c r="W126">
        <v>0</v>
      </c>
      <c r="X126">
        <v>-1068589559</v>
      </c>
      <c r="Y126">
        <f t="shared" si="73"/>
        <v>0.1265</v>
      </c>
      <c r="AA126">
        <v>0</v>
      </c>
      <c r="AB126">
        <v>1598.95</v>
      </c>
      <c r="AC126">
        <v>494.35</v>
      </c>
      <c r="AD126">
        <v>0</v>
      </c>
      <c r="AE126">
        <v>0</v>
      </c>
      <c r="AF126">
        <v>1598.95</v>
      </c>
      <c r="AG126">
        <v>494.35</v>
      </c>
      <c r="AH126">
        <v>0</v>
      </c>
      <c r="AI126">
        <v>1</v>
      </c>
      <c r="AJ126">
        <v>1</v>
      </c>
      <c r="AK126">
        <v>1</v>
      </c>
      <c r="AL126">
        <v>1</v>
      </c>
      <c r="AM126">
        <v>-2</v>
      </c>
      <c r="AN126">
        <v>0</v>
      </c>
      <c r="AO126">
        <v>0</v>
      </c>
      <c r="AP126">
        <v>1</v>
      </c>
      <c r="AQ126">
        <v>1</v>
      </c>
      <c r="AR126">
        <v>0</v>
      </c>
      <c r="AS126" t="s">
        <v>3</v>
      </c>
      <c r="AT126">
        <v>0.11</v>
      </c>
      <c r="AU126" t="s">
        <v>27</v>
      </c>
      <c r="AV126">
        <v>1</v>
      </c>
      <c r="AW126">
        <v>2</v>
      </c>
      <c r="AX126">
        <v>75605893</v>
      </c>
      <c r="AY126">
        <v>1</v>
      </c>
      <c r="AZ126">
        <v>0</v>
      </c>
      <c r="BA126">
        <v>133</v>
      </c>
      <c r="BB126">
        <v>1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0</v>
      </c>
      <c r="BK126">
        <v>175.8845</v>
      </c>
      <c r="BL126">
        <v>54.378500000000003</v>
      </c>
      <c r="BM126">
        <v>0</v>
      </c>
      <c r="BN126">
        <v>0</v>
      </c>
      <c r="BO126">
        <v>0.11</v>
      </c>
      <c r="BP126">
        <v>1</v>
      </c>
      <c r="BQ126">
        <v>0</v>
      </c>
      <c r="BR126">
        <v>202.26717500000001</v>
      </c>
      <c r="BS126">
        <v>62.535275000000006</v>
      </c>
      <c r="BT126">
        <v>0</v>
      </c>
      <c r="BU126">
        <v>0</v>
      </c>
      <c r="BV126">
        <v>0.1265</v>
      </c>
      <c r="BW126">
        <v>1</v>
      </c>
      <c r="CV126">
        <v>0</v>
      </c>
      <c r="CW126">
        <f>ROUND(Y126*Source!I157*DO126,7)</f>
        <v>2.0303000000000001E-3</v>
      </c>
      <c r="CX126">
        <f>ROUND(Y126*Source!I157,7)</f>
        <v>2.0303000000000001E-3</v>
      </c>
      <c r="CY126">
        <f>AB126</f>
        <v>1598.95</v>
      </c>
      <c r="CZ126">
        <f>AF126</f>
        <v>1598.95</v>
      </c>
      <c r="DA126">
        <f>AJ126</f>
        <v>1</v>
      </c>
      <c r="DB126">
        <f t="shared" si="74"/>
        <v>202.262</v>
      </c>
      <c r="DC126">
        <f t="shared" si="75"/>
        <v>62.536999999999999</v>
      </c>
      <c r="DD126" t="s">
        <v>3</v>
      </c>
      <c r="DE126" t="s">
        <v>3</v>
      </c>
      <c r="DF126">
        <f t="shared" si="76"/>
        <v>0</v>
      </c>
      <c r="DG126">
        <f t="shared" si="64"/>
        <v>3.25</v>
      </c>
      <c r="DH126">
        <f t="shared" si="23"/>
        <v>1</v>
      </c>
      <c r="DI126">
        <f t="shared" si="24"/>
        <v>0</v>
      </c>
      <c r="DJ126">
        <f>DG126+DH126</f>
        <v>4.25</v>
      </c>
      <c r="DK126">
        <v>1</v>
      </c>
      <c r="DL126" t="s">
        <v>577</v>
      </c>
      <c r="DM126">
        <v>6</v>
      </c>
      <c r="DN126" t="s">
        <v>501</v>
      </c>
      <c r="DO126">
        <v>1</v>
      </c>
    </row>
    <row r="127" spans="1:119" x14ac:dyDescent="0.25">
      <c r="A127">
        <f>ROW(Source!A157)</f>
        <v>157</v>
      </c>
      <c r="B127">
        <v>75604747</v>
      </c>
      <c r="C127">
        <v>75605869</v>
      </c>
      <c r="D127">
        <v>74309063</v>
      </c>
      <c r="E127">
        <v>1</v>
      </c>
      <c r="F127">
        <v>1</v>
      </c>
      <c r="G127">
        <v>1</v>
      </c>
      <c r="H127">
        <v>2</v>
      </c>
      <c r="I127" t="s">
        <v>614</v>
      </c>
      <c r="J127" t="s">
        <v>615</v>
      </c>
      <c r="K127" t="s">
        <v>616</v>
      </c>
      <c r="L127">
        <v>1368</v>
      </c>
      <c r="N127">
        <v>1011</v>
      </c>
      <c r="O127" t="s">
        <v>509</v>
      </c>
      <c r="P127" t="s">
        <v>509</v>
      </c>
      <c r="Q127">
        <v>1</v>
      </c>
      <c r="W127">
        <v>0</v>
      </c>
      <c r="X127">
        <v>-769439360</v>
      </c>
      <c r="Y127">
        <f t="shared" si="73"/>
        <v>4.2549999999999999</v>
      </c>
      <c r="AA127">
        <v>0</v>
      </c>
      <c r="AB127">
        <v>20.43</v>
      </c>
      <c r="AC127">
        <v>0</v>
      </c>
      <c r="AD127">
        <v>0</v>
      </c>
      <c r="AE127">
        <v>0</v>
      </c>
      <c r="AF127">
        <v>13.44</v>
      </c>
      <c r="AG127">
        <v>0</v>
      </c>
      <c r="AH127">
        <v>0</v>
      </c>
      <c r="AI127">
        <v>1</v>
      </c>
      <c r="AJ127">
        <v>1.52</v>
      </c>
      <c r="AK127">
        <v>1</v>
      </c>
      <c r="AL127">
        <v>1</v>
      </c>
      <c r="AM127">
        <v>2</v>
      </c>
      <c r="AN127">
        <v>0</v>
      </c>
      <c r="AO127">
        <v>0</v>
      </c>
      <c r="AP127">
        <v>1</v>
      </c>
      <c r="AQ127">
        <v>1</v>
      </c>
      <c r="AR127">
        <v>0</v>
      </c>
      <c r="AS127" t="s">
        <v>3</v>
      </c>
      <c r="AT127">
        <v>3.7</v>
      </c>
      <c r="AU127" t="s">
        <v>27</v>
      </c>
      <c r="AV127">
        <v>1</v>
      </c>
      <c r="AW127">
        <v>2</v>
      </c>
      <c r="AX127">
        <v>75605894</v>
      </c>
      <c r="AY127">
        <v>1</v>
      </c>
      <c r="AZ127">
        <v>0</v>
      </c>
      <c r="BA127">
        <v>134</v>
      </c>
      <c r="BB127">
        <v>1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0</v>
      </c>
      <c r="BK127">
        <v>49.728000000000002</v>
      </c>
      <c r="BL127">
        <v>0</v>
      </c>
      <c r="BM127">
        <v>0</v>
      </c>
      <c r="BN127">
        <v>0</v>
      </c>
      <c r="BO127">
        <v>0</v>
      </c>
      <c r="BP127">
        <v>1</v>
      </c>
      <c r="BQ127">
        <v>0</v>
      </c>
      <c r="BR127">
        <v>57.187199999999997</v>
      </c>
      <c r="BS127">
        <v>0</v>
      </c>
      <c r="BT127">
        <v>0</v>
      </c>
      <c r="BU127">
        <v>0</v>
      </c>
      <c r="BV127">
        <v>0</v>
      </c>
      <c r="BW127">
        <v>1</v>
      </c>
      <c r="CV127">
        <v>0</v>
      </c>
      <c r="CW127">
        <f>ROUND(Y127*Source!I157*DO127,7)</f>
        <v>0</v>
      </c>
      <c r="CX127">
        <f>ROUND(Y127*Source!I157,7)</f>
        <v>6.8292800000000001E-2</v>
      </c>
      <c r="CY127">
        <f>AB127</f>
        <v>20.43</v>
      </c>
      <c r="CZ127">
        <f>AF127</f>
        <v>13.44</v>
      </c>
      <c r="DA127">
        <f>AJ127</f>
        <v>1.52</v>
      </c>
      <c r="DB127">
        <f t="shared" si="74"/>
        <v>57.189500000000002</v>
      </c>
      <c r="DC127">
        <f t="shared" si="75"/>
        <v>0</v>
      </c>
      <c r="DD127" t="s">
        <v>3</v>
      </c>
      <c r="DE127" t="s">
        <v>3</v>
      </c>
      <c r="DF127">
        <f t="shared" si="76"/>
        <v>0</v>
      </c>
      <c r="DG127">
        <f>ROUND(ROUND(AF127*AJ127,2)*CX127,2)</f>
        <v>1.4</v>
      </c>
      <c r="DH127">
        <f t="shared" si="23"/>
        <v>0</v>
      </c>
      <c r="DI127">
        <f t="shared" si="24"/>
        <v>0</v>
      </c>
      <c r="DJ127">
        <f>DG127+DH127</f>
        <v>1.4</v>
      </c>
      <c r="DK127">
        <v>0</v>
      </c>
      <c r="DL127" t="s">
        <v>3</v>
      </c>
      <c r="DM127">
        <v>0</v>
      </c>
      <c r="DN127" t="s">
        <v>3</v>
      </c>
      <c r="DO127">
        <v>0</v>
      </c>
    </row>
    <row r="128" spans="1:119" x14ac:dyDescent="0.25">
      <c r="A128">
        <f>ROW(Source!A157)</f>
        <v>157</v>
      </c>
      <c r="B128">
        <v>75604747</v>
      </c>
      <c r="C128">
        <v>75605869</v>
      </c>
      <c r="D128">
        <v>74309824</v>
      </c>
      <c r="E128">
        <v>1</v>
      </c>
      <c r="F128">
        <v>1</v>
      </c>
      <c r="G128">
        <v>1</v>
      </c>
      <c r="H128">
        <v>2</v>
      </c>
      <c r="I128" t="s">
        <v>527</v>
      </c>
      <c r="J128" t="s">
        <v>528</v>
      </c>
      <c r="K128" t="s">
        <v>529</v>
      </c>
      <c r="L128">
        <v>1368</v>
      </c>
      <c r="N128">
        <v>1011</v>
      </c>
      <c r="O128" t="s">
        <v>509</v>
      </c>
      <c r="P128" t="s">
        <v>509</v>
      </c>
      <c r="Q128">
        <v>1</v>
      </c>
      <c r="W128">
        <v>0</v>
      </c>
      <c r="X128">
        <v>-312038840</v>
      </c>
      <c r="Y128">
        <f t="shared" si="73"/>
        <v>0.184</v>
      </c>
      <c r="AA128">
        <v>0</v>
      </c>
      <c r="AB128">
        <v>551.45000000000005</v>
      </c>
      <c r="AC128">
        <v>368.02</v>
      </c>
      <c r="AD128">
        <v>0</v>
      </c>
      <c r="AE128">
        <v>0</v>
      </c>
      <c r="AF128">
        <v>551.45000000000005</v>
      </c>
      <c r="AG128">
        <v>368.02</v>
      </c>
      <c r="AH128">
        <v>0</v>
      </c>
      <c r="AI128">
        <v>1</v>
      </c>
      <c r="AJ128">
        <v>1</v>
      </c>
      <c r="AK128">
        <v>1</v>
      </c>
      <c r="AL128">
        <v>1</v>
      </c>
      <c r="AM128">
        <v>-2</v>
      </c>
      <c r="AN128">
        <v>0</v>
      </c>
      <c r="AO128">
        <v>0</v>
      </c>
      <c r="AP128">
        <v>1</v>
      </c>
      <c r="AQ128">
        <v>1</v>
      </c>
      <c r="AR128">
        <v>0</v>
      </c>
      <c r="AS128" t="s">
        <v>3</v>
      </c>
      <c r="AT128">
        <v>0.16</v>
      </c>
      <c r="AU128" t="s">
        <v>27</v>
      </c>
      <c r="AV128">
        <v>1</v>
      </c>
      <c r="AW128">
        <v>2</v>
      </c>
      <c r="AX128">
        <v>75605895</v>
      </c>
      <c r="AY128">
        <v>1</v>
      </c>
      <c r="AZ128">
        <v>0</v>
      </c>
      <c r="BA128">
        <v>135</v>
      </c>
      <c r="BB128">
        <v>1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0</v>
      </c>
      <c r="BI128">
        <v>0</v>
      </c>
      <c r="BJ128">
        <v>0</v>
      </c>
      <c r="BK128">
        <v>88.232000000000014</v>
      </c>
      <c r="BL128">
        <v>58.883199999999995</v>
      </c>
      <c r="BM128">
        <v>0</v>
      </c>
      <c r="BN128">
        <v>0</v>
      </c>
      <c r="BO128">
        <v>0.16</v>
      </c>
      <c r="BP128">
        <v>1</v>
      </c>
      <c r="BQ128">
        <v>0</v>
      </c>
      <c r="BR128">
        <v>101.46680000000001</v>
      </c>
      <c r="BS128">
        <v>67.715679999999992</v>
      </c>
      <c r="BT128">
        <v>0</v>
      </c>
      <c r="BU128">
        <v>0</v>
      </c>
      <c r="BV128">
        <v>0.184</v>
      </c>
      <c r="BW128">
        <v>1</v>
      </c>
      <c r="CV128">
        <v>0</v>
      </c>
      <c r="CW128">
        <f>ROUND(Y128*Source!I157*DO128,7)</f>
        <v>2.9532E-3</v>
      </c>
      <c r="CX128">
        <f>ROUND(Y128*Source!I157,7)</f>
        <v>2.9532E-3</v>
      </c>
      <c r="CY128">
        <f>AB128</f>
        <v>551.45000000000005</v>
      </c>
      <c r="CZ128">
        <f>AF128</f>
        <v>551.45000000000005</v>
      </c>
      <c r="DA128">
        <f>AJ128</f>
        <v>1</v>
      </c>
      <c r="DB128">
        <f t="shared" si="74"/>
        <v>101.4645</v>
      </c>
      <c r="DC128">
        <f t="shared" si="75"/>
        <v>67.712000000000003</v>
      </c>
      <c r="DD128" t="s">
        <v>3</v>
      </c>
      <c r="DE128" t="s">
        <v>3</v>
      </c>
      <c r="DF128">
        <f t="shared" si="76"/>
        <v>0</v>
      </c>
      <c r="DG128">
        <f>ROUND(ROUND(AF128,2)*CX128,2)</f>
        <v>1.63</v>
      </c>
      <c r="DH128">
        <f t="shared" si="23"/>
        <v>1.0900000000000001</v>
      </c>
      <c r="DI128">
        <f t="shared" si="24"/>
        <v>0</v>
      </c>
      <c r="DJ128">
        <f>DG128+DH128</f>
        <v>2.7199999999999998</v>
      </c>
      <c r="DK128">
        <v>1</v>
      </c>
      <c r="DL128" t="s">
        <v>522</v>
      </c>
      <c r="DM128">
        <v>4</v>
      </c>
      <c r="DN128" t="s">
        <v>501</v>
      </c>
      <c r="DO128">
        <v>1</v>
      </c>
    </row>
    <row r="129" spans="1:119" x14ac:dyDescent="0.25">
      <c r="A129">
        <f>ROW(Source!A157)</f>
        <v>157</v>
      </c>
      <c r="B129">
        <v>75604747</v>
      </c>
      <c r="C129">
        <v>75605869</v>
      </c>
      <c r="D129">
        <v>74309983</v>
      </c>
      <c r="E129">
        <v>1</v>
      </c>
      <c r="F129">
        <v>1</v>
      </c>
      <c r="G129">
        <v>1</v>
      </c>
      <c r="H129">
        <v>2</v>
      </c>
      <c r="I129" t="s">
        <v>578</v>
      </c>
      <c r="J129" t="s">
        <v>579</v>
      </c>
      <c r="K129" t="s">
        <v>580</v>
      </c>
      <c r="L129">
        <v>1368</v>
      </c>
      <c r="N129">
        <v>1011</v>
      </c>
      <c r="O129" t="s">
        <v>509</v>
      </c>
      <c r="P129" t="s">
        <v>509</v>
      </c>
      <c r="Q129">
        <v>1</v>
      </c>
      <c r="W129">
        <v>0</v>
      </c>
      <c r="X129">
        <v>-536748942</v>
      </c>
      <c r="Y129">
        <f t="shared" si="73"/>
        <v>2.6679999999999997</v>
      </c>
      <c r="AA129">
        <v>0</v>
      </c>
      <c r="AB129">
        <v>5.35</v>
      </c>
      <c r="AC129">
        <v>0</v>
      </c>
      <c r="AD129">
        <v>0</v>
      </c>
      <c r="AE129">
        <v>0</v>
      </c>
      <c r="AF129">
        <v>4.3499999999999996</v>
      </c>
      <c r="AG129">
        <v>0</v>
      </c>
      <c r="AH129">
        <v>0</v>
      </c>
      <c r="AI129">
        <v>1</v>
      </c>
      <c r="AJ129">
        <v>1.23</v>
      </c>
      <c r="AK129">
        <v>1</v>
      </c>
      <c r="AL129">
        <v>1</v>
      </c>
      <c r="AM129">
        <v>2</v>
      </c>
      <c r="AN129">
        <v>0</v>
      </c>
      <c r="AO129">
        <v>0</v>
      </c>
      <c r="AP129">
        <v>1</v>
      </c>
      <c r="AQ129">
        <v>1</v>
      </c>
      <c r="AR129">
        <v>0</v>
      </c>
      <c r="AS129" t="s">
        <v>3</v>
      </c>
      <c r="AT129">
        <v>2.3199999999999998</v>
      </c>
      <c r="AU129" t="s">
        <v>27</v>
      </c>
      <c r="AV129">
        <v>1</v>
      </c>
      <c r="AW129">
        <v>2</v>
      </c>
      <c r="AX129">
        <v>75605896</v>
      </c>
      <c r="AY129">
        <v>1</v>
      </c>
      <c r="AZ129">
        <v>0</v>
      </c>
      <c r="BA129">
        <v>136</v>
      </c>
      <c r="BB129">
        <v>1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0</v>
      </c>
      <c r="BJ129">
        <v>0</v>
      </c>
      <c r="BK129">
        <v>10.091999999999999</v>
      </c>
      <c r="BL129">
        <v>0</v>
      </c>
      <c r="BM129">
        <v>0</v>
      </c>
      <c r="BN129">
        <v>0</v>
      </c>
      <c r="BO129">
        <v>0</v>
      </c>
      <c r="BP129">
        <v>1</v>
      </c>
      <c r="BQ129">
        <v>0</v>
      </c>
      <c r="BR129">
        <v>11.605799999999999</v>
      </c>
      <c r="BS129">
        <v>0</v>
      </c>
      <c r="BT129">
        <v>0</v>
      </c>
      <c r="BU129">
        <v>0</v>
      </c>
      <c r="BV129">
        <v>0</v>
      </c>
      <c r="BW129">
        <v>1</v>
      </c>
      <c r="CV129">
        <v>0</v>
      </c>
      <c r="CW129">
        <f>ROUND(Y129*Source!I157*DO129,7)</f>
        <v>0</v>
      </c>
      <c r="CX129">
        <f>ROUND(Y129*Source!I157,7)</f>
        <v>4.2821400000000003E-2</v>
      </c>
      <c r="CY129">
        <f>AB129</f>
        <v>5.35</v>
      </c>
      <c r="CZ129">
        <f>AF129</f>
        <v>4.3499999999999996</v>
      </c>
      <c r="DA129">
        <f>AJ129</f>
        <v>1.23</v>
      </c>
      <c r="DB129">
        <f t="shared" si="74"/>
        <v>11.6035</v>
      </c>
      <c r="DC129">
        <f t="shared" si="75"/>
        <v>0</v>
      </c>
      <c r="DD129" t="s">
        <v>3</v>
      </c>
      <c r="DE129" t="s">
        <v>3</v>
      </c>
      <c r="DF129">
        <f t="shared" si="76"/>
        <v>0</v>
      </c>
      <c r="DG129">
        <f>ROUND(ROUND(AF129*AJ129,2)*CX129,2)</f>
        <v>0.23</v>
      </c>
      <c r="DH129">
        <f t="shared" ref="DH129:DH192" si="77">ROUND(ROUND(AG129,2)*CX129,2)</f>
        <v>0</v>
      </c>
      <c r="DI129">
        <f t="shared" ref="DI129:DI192" si="78">ROUND(ROUND(AH129,2)*CX129,2)</f>
        <v>0</v>
      </c>
      <c r="DJ129">
        <f>DG129+DH129</f>
        <v>0.23</v>
      </c>
      <c r="DK129">
        <v>0</v>
      </c>
      <c r="DL129" t="s">
        <v>3</v>
      </c>
      <c r="DM129">
        <v>0</v>
      </c>
      <c r="DN129" t="s">
        <v>3</v>
      </c>
      <c r="DO129">
        <v>0</v>
      </c>
    </row>
    <row r="130" spans="1:119" x14ac:dyDescent="0.25">
      <c r="A130">
        <f>ROW(Source!A157)</f>
        <v>157</v>
      </c>
      <c r="B130">
        <v>75604747</v>
      </c>
      <c r="C130">
        <v>75605869</v>
      </c>
      <c r="D130">
        <v>74310010</v>
      </c>
      <c r="E130">
        <v>1</v>
      </c>
      <c r="F130">
        <v>1</v>
      </c>
      <c r="G130">
        <v>1</v>
      </c>
      <c r="H130">
        <v>2</v>
      </c>
      <c r="I130" t="s">
        <v>617</v>
      </c>
      <c r="J130" t="s">
        <v>618</v>
      </c>
      <c r="K130" t="s">
        <v>619</v>
      </c>
      <c r="L130">
        <v>1368</v>
      </c>
      <c r="N130">
        <v>1011</v>
      </c>
      <c r="O130" t="s">
        <v>509</v>
      </c>
      <c r="P130" t="s">
        <v>509</v>
      </c>
      <c r="Q130">
        <v>1</v>
      </c>
      <c r="W130">
        <v>0</v>
      </c>
      <c r="X130">
        <v>-565700713</v>
      </c>
      <c r="Y130">
        <f t="shared" si="73"/>
        <v>18.745000000000001</v>
      </c>
      <c r="AA130">
        <v>0</v>
      </c>
      <c r="AB130">
        <v>90.36</v>
      </c>
      <c r="AC130">
        <v>0</v>
      </c>
      <c r="AD130">
        <v>0</v>
      </c>
      <c r="AE130">
        <v>0</v>
      </c>
      <c r="AF130">
        <v>90.36</v>
      </c>
      <c r="AG130">
        <v>0</v>
      </c>
      <c r="AH130">
        <v>0</v>
      </c>
      <c r="AI130">
        <v>1</v>
      </c>
      <c r="AJ130">
        <v>1</v>
      </c>
      <c r="AK130">
        <v>1</v>
      </c>
      <c r="AL130">
        <v>1</v>
      </c>
      <c r="AM130">
        <v>-2</v>
      </c>
      <c r="AN130">
        <v>0</v>
      </c>
      <c r="AO130">
        <v>0</v>
      </c>
      <c r="AP130">
        <v>1</v>
      </c>
      <c r="AQ130">
        <v>1</v>
      </c>
      <c r="AR130">
        <v>0</v>
      </c>
      <c r="AS130" t="s">
        <v>3</v>
      </c>
      <c r="AT130">
        <v>16.3</v>
      </c>
      <c r="AU130" t="s">
        <v>27</v>
      </c>
      <c r="AV130">
        <v>1</v>
      </c>
      <c r="AW130">
        <v>2</v>
      </c>
      <c r="AX130">
        <v>75605897</v>
      </c>
      <c r="AY130">
        <v>1</v>
      </c>
      <c r="AZ130">
        <v>0</v>
      </c>
      <c r="BA130">
        <v>137</v>
      </c>
      <c r="BB130">
        <v>1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0</v>
      </c>
      <c r="BI130">
        <v>0</v>
      </c>
      <c r="BJ130">
        <v>0</v>
      </c>
      <c r="BK130">
        <v>1472.8680000000002</v>
      </c>
      <c r="BL130">
        <v>0</v>
      </c>
      <c r="BM130">
        <v>0</v>
      </c>
      <c r="BN130">
        <v>0</v>
      </c>
      <c r="BO130">
        <v>0</v>
      </c>
      <c r="BP130">
        <v>1</v>
      </c>
      <c r="BQ130">
        <v>0</v>
      </c>
      <c r="BR130">
        <v>1693.7982000000002</v>
      </c>
      <c r="BS130">
        <v>0</v>
      </c>
      <c r="BT130">
        <v>0</v>
      </c>
      <c r="BU130">
        <v>0</v>
      </c>
      <c r="BV130">
        <v>0</v>
      </c>
      <c r="BW130">
        <v>1</v>
      </c>
      <c r="CV130">
        <v>0</v>
      </c>
      <c r="CW130">
        <f>ROUND(Y130*Source!I157*DO130,7)</f>
        <v>0</v>
      </c>
      <c r="CX130">
        <f>ROUND(Y130*Source!I157,7)</f>
        <v>0.30085729999999999</v>
      </c>
      <c r="CY130">
        <f>AB130</f>
        <v>90.36</v>
      </c>
      <c r="CZ130">
        <f>AF130</f>
        <v>90.36</v>
      </c>
      <c r="DA130">
        <f>AJ130</f>
        <v>1</v>
      </c>
      <c r="DB130">
        <f t="shared" si="74"/>
        <v>1693.8005000000001</v>
      </c>
      <c r="DC130">
        <f t="shared" si="75"/>
        <v>0</v>
      </c>
      <c r="DD130" t="s">
        <v>3</v>
      </c>
      <c r="DE130" t="s">
        <v>3</v>
      </c>
      <c r="DF130">
        <f t="shared" si="76"/>
        <v>0</v>
      </c>
      <c r="DG130">
        <f t="shared" ref="DG130:DG146" si="79">ROUND(ROUND(AF130,2)*CX130,2)</f>
        <v>27.19</v>
      </c>
      <c r="DH130">
        <f t="shared" si="77"/>
        <v>0</v>
      </c>
      <c r="DI130">
        <f t="shared" si="78"/>
        <v>0</v>
      </c>
      <c r="DJ130">
        <f>DG130+DH130</f>
        <v>27.19</v>
      </c>
      <c r="DK130">
        <v>1</v>
      </c>
      <c r="DL130" t="s">
        <v>3</v>
      </c>
      <c r="DM130">
        <v>0</v>
      </c>
      <c r="DN130" t="s">
        <v>3</v>
      </c>
      <c r="DO130">
        <v>0</v>
      </c>
    </row>
    <row r="131" spans="1:119" x14ac:dyDescent="0.25">
      <c r="A131">
        <f>ROW(Source!A157)</f>
        <v>157</v>
      </c>
      <c r="B131">
        <v>75604747</v>
      </c>
      <c r="C131">
        <v>75605869</v>
      </c>
      <c r="D131">
        <v>74257065</v>
      </c>
      <c r="E131">
        <v>1</v>
      </c>
      <c r="F131">
        <v>1</v>
      </c>
      <c r="G131">
        <v>1</v>
      </c>
      <c r="H131">
        <v>3</v>
      </c>
      <c r="I131" t="s">
        <v>581</v>
      </c>
      <c r="J131" t="s">
        <v>582</v>
      </c>
      <c r="K131" t="s">
        <v>583</v>
      </c>
      <c r="L131">
        <v>1339</v>
      </c>
      <c r="N131">
        <v>1007</v>
      </c>
      <c r="O131" t="s">
        <v>205</v>
      </c>
      <c r="P131" t="s">
        <v>205</v>
      </c>
      <c r="Q131">
        <v>1</v>
      </c>
      <c r="W131">
        <v>0</v>
      </c>
      <c r="X131">
        <v>1531571680</v>
      </c>
      <c r="Y131">
        <f t="shared" ref="Y131:Y144" si="80">AT131</f>
        <v>1.95</v>
      </c>
      <c r="AA131">
        <v>126.1</v>
      </c>
      <c r="AB131">
        <v>0</v>
      </c>
      <c r="AC131">
        <v>0</v>
      </c>
      <c r="AD131">
        <v>0</v>
      </c>
      <c r="AE131">
        <v>114.64</v>
      </c>
      <c r="AF131">
        <v>0</v>
      </c>
      <c r="AG131">
        <v>0</v>
      </c>
      <c r="AH131">
        <v>0</v>
      </c>
      <c r="AI131">
        <v>1.1000000000000001</v>
      </c>
      <c r="AJ131">
        <v>1</v>
      </c>
      <c r="AK131">
        <v>1</v>
      </c>
      <c r="AL131">
        <v>1</v>
      </c>
      <c r="AM131">
        <v>2</v>
      </c>
      <c r="AN131">
        <v>0</v>
      </c>
      <c r="AO131">
        <v>0</v>
      </c>
      <c r="AP131">
        <v>1</v>
      </c>
      <c r="AQ131">
        <v>1</v>
      </c>
      <c r="AR131">
        <v>0</v>
      </c>
      <c r="AS131" t="s">
        <v>3</v>
      </c>
      <c r="AT131">
        <v>1.95</v>
      </c>
      <c r="AU131" t="s">
        <v>3</v>
      </c>
      <c r="AV131">
        <v>0</v>
      </c>
      <c r="AW131">
        <v>2</v>
      </c>
      <c r="AX131">
        <v>75605898</v>
      </c>
      <c r="AY131">
        <v>1</v>
      </c>
      <c r="AZ131">
        <v>0</v>
      </c>
      <c r="BA131">
        <v>138</v>
      </c>
      <c r="BB131">
        <v>1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0</v>
      </c>
      <c r="BI131">
        <v>0</v>
      </c>
      <c r="BJ131">
        <v>223.548</v>
      </c>
      <c r="BK131">
        <v>0</v>
      </c>
      <c r="BL131">
        <v>0</v>
      </c>
      <c r="BM131">
        <v>0</v>
      </c>
      <c r="BN131">
        <v>0</v>
      </c>
      <c r="BO131">
        <v>0</v>
      </c>
      <c r="BP131">
        <v>1</v>
      </c>
      <c r="BQ131">
        <v>223.548</v>
      </c>
      <c r="BR131">
        <v>0</v>
      </c>
      <c r="BS131">
        <v>0</v>
      </c>
      <c r="BT131">
        <v>0</v>
      </c>
      <c r="BU131">
        <v>0</v>
      </c>
      <c r="BV131">
        <v>0</v>
      </c>
      <c r="BW131">
        <v>1</v>
      </c>
      <c r="CV131">
        <v>0</v>
      </c>
      <c r="CW131">
        <v>0</v>
      </c>
      <c r="CX131">
        <f>ROUND(Y131*Source!I157,7)</f>
        <v>3.1297499999999999E-2</v>
      </c>
      <c r="CY131">
        <f t="shared" ref="CY131:CY144" si="81">AA131</f>
        <v>126.1</v>
      </c>
      <c r="CZ131">
        <f t="shared" ref="CZ131:CZ144" si="82">AE131</f>
        <v>114.64</v>
      </c>
      <c r="DA131">
        <f t="shared" ref="DA131:DA144" si="83">AI131</f>
        <v>1.1000000000000001</v>
      </c>
      <c r="DB131">
        <f t="shared" ref="DB131:DB144" si="84">ROUND(ROUND(AT131*CZ131,2),6)</f>
        <v>223.55</v>
      </c>
      <c r="DC131">
        <f t="shared" ref="DC131:DC144" si="85">ROUND(ROUND(AT131*AG131,2),6)</f>
        <v>0</v>
      </c>
      <c r="DD131" t="s">
        <v>3</v>
      </c>
      <c r="DE131" t="s">
        <v>3</v>
      </c>
      <c r="DF131">
        <f>ROUND(ROUND(AE131*AI131,2)*CX131,2)</f>
        <v>3.95</v>
      </c>
      <c r="DG131">
        <f t="shared" si="79"/>
        <v>0</v>
      </c>
      <c r="DH131">
        <f t="shared" si="77"/>
        <v>0</v>
      </c>
      <c r="DI131">
        <f t="shared" si="78"/>
        <v>0</v>
      </c>
      <c r="DJ131">
        <f t="shared" ref="DJ131:DJ144" si="86">DF131</f>
        <v>3.95</v>
      </c>
      <c r="DK131">
        <v>0</v>
      </c>
      <c r="DL131" t="s">
        <v>3</v>
      </c>
      <c r="DM131">
        <v>0</v>
      </c>
      <c r="DN131" t="s">
        <v>3</v>
      </c>
      <c r="DO131">
        <v>0</v>
      </c>
    </row>
    <row r="132" spans="1:119" x14ac:dyDescent="0.25">
      <c r="A132">
        <f>ROW(Source!A157)</f>
        <v>157</v>
      </c>
      <c r="B132">
        <v>75604747</v>
      </c>
      <c r="C132">
        <v>75605869</v>
      </c>
      <c r="D132">
        <v>74257069</v>
      </c>
      <c r="E132">
        <v>1</v>
      </c>
      <c r="F132">
        <v>1</v>
      </c>
      <c r="G132">
        <v>1</v>
      </c>
      <c r="H132">
        <v>3</v>
      </c>
      <c r="I132" t="s">
        <v>584</v>
      </c>
      <c r="J132" t="s">
        <v>585</v>
      </c>
      <c r="K132" t="s">
        <v>586</v>
      </c>
      <c r="L132">
        <v>1346</v>
      </c>
      <c r="N132">
        <v>1009</v>
      </c>
      <c r="O132" t="s">
        <v>240</v>
      </c>
      <c r="P132" t="s">
        <v>240</v>
      </c>
      <c r="Q132">
        <v>1</v>
      </c>
      <c r="W132">
        <v>0</v>
      </c>
      <c r="X132">
        <v>1843545816</v>
      </c>
      <c r="Y132">
        <f t="shared" si="80"/>
        <v>0.59</v>
      </c>
      <c r="AA132">
        <v>62.48</v>
      </c>
      <c r="AB132">
        <v>0</v>
      </c>
      <c r="AC132">
        <v>0</v>
      </c>
      <c r="AD132">
        <v>0</v>
      </c>
      <c r="AE132">
        <v>41.38</v>
      </c>
      <c r="AF132">
        <v>0</v>
      </c>
      <c r="AG132">
        <v>0</v>
      </c>
      <c r="AH132">
        <v>0</v>
      </c>
      <c r="AI132">
        <v>1.51</v>
      </c>
      <c r="AJ132">
        <v>1</v>
      </c>
      <c r="AK132">
        <v>1</v>
      </c>
      <c r="AL132">
        <v>1</v>
      </c>
      <c r="AM132">
        <v>2</v>
      </c>
      <c r="AN132">
        <v>0</v>
      </c>
      <c r="AO132">
        <v>0</v>
      </c>
      <c r="AP132">
        <v>1</v>
      </c>
      <c r="AQ132">
        <v>1</v>
      </c>
      <c r="AR132">
        <v>0</v>
      </c>
      <c r="AS132" t="s">
        <v>3</v>
      </c>
      <c r="AT132">
        <v>0.59</v>
      </c>
      <c r="AU132" t="s">
        <v>3</v>
      </c>
      <c r="AV132">
        <v>0</v>
      </c>
      <c r="AW132">
        <v>2</v>
      </c>
      <c r="AX132">
        <v>75605899</v>
      </c>
      <c r="AY132">
        <v>1</v>
      </c>
      <c r="AZ132">
        <v>0</v>
      </c>
      <c r="BA132">
        <v>139</v>
      </c>
      <c r="BB132">
        <v>1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0</v>
      </c>
      <c r="BI132">
        <v>0</v>
      </c>
      <c r="BJ132">
        <v>24.414200000000001</v>
      </c>
      <c r="BK132">
        <v>0</v>
      </c>
      <c r="BL132">
        <v>0</v>
      </c>
      <c r="BM132">
        <v>0</v>
      </c>
      <c r="BN132">
        <v>0</v>
      </c>
      <c r="BO132">
        <v>0</v>
      </c>
      <c r="BP132">
        <v>1</v>
      </c>
      <c r="BQ132">
        <v>24.414200000000001</v>
      </c>
      <c r="BR132">
        <v>0</v>
      </c>
      <c r="BS132">
        <v>0</v>
      </c>
      <c r="BT132">
        <v>0</v>
      </c>
      <c r="BU132">
        <v>0</v>
      </c>
      <c r="BV132">
        <v>0</v>
      </c>
      <c r="BW132">
        <v>1</v>
      </c>
      <c r="CV132">
        <v>0</v>
      </c>
      <c r="CW132">
        <v>0</v>
      </c>
      <c r="CX132">
        <f>ROUND(Y132*Source!I157,7)</f>
        <v>9.4695000000000005E-3</v>
      </c>
      <c r="CY132">
        <f t="shared" si="81"/>
        <v>62.48</v>
      </c>
      <c r="CZ132">
        <f t="shared" si="82"/>
        <v>41.38</v>
      </c>
      <c r="DA132">
        <f t="shared" si="83"/>
        <v>1.51</v>
      </c>
      <c r="DB132">
        <f t="shared" si="84"/>
        <v>24.41</v>
      </c>
      <c r="DC132">
        <f t="shared" si="85"/>
        <v>0</v>
      </c>
      <c r="DD132" t="s">
        <v>3</v>
      </c>
      <c r="DE132" t="s">
        <v>3</v>
      </c>
      <c r="DF132">
        <f>ROUND(ROUND(AE132*AI132,2)*CX132,2)</f>
        <v>0.59</v>
      </c>
      <c r="DG132">
        <f t="shared" si="79"/>
        <v>0</v>
      </c>
      <c r="DH132">
        <f t="shared" si="77"/>
        <v>0</v>
      </c>
      <c r="DI132">
        <f t="shared" si="78"/>
        <v>0</v>
      </c>
      <c r="DJ132">
        <f t="shared" si="86"/>
        <v>0.59</v>
      </c>
      <c r="DK132">
        <v>0</v>
      </c>
      <c r="DL132" t="s">
        <v>3</v>
      </c>
      <c r="DM132">
        <v>0</v>
      </c>
      <c r="DN132" t="s">
        <v>3</v>
      </c>
      <c r="DO132">
        <v>0</v>
      </c>
    </row>
    <row r="133" spans="1:119" x14ac:dyDescent="0.25">
      <c r="A133">
        <f>ROW(Source!A157)</f>
        <v>157</v>
      </c>
      <c r="B133">
        <v>75604747</v>
      </c>
      <c r="C133">
        <v>75605869</v>
      </c>
      <c r="D133">
        <v>74259041</v>
      </c>
      <c r="E133">
        <v>1</v>
      </c>
      <c r="F133">
        <v>1</v>
      </c>
      <c r="G133">
        <v>1</v>
      </c>
      <c r="H133">
        <v>3</v>
      </c>
      <c r="I133" t="s">
        <v>560</v>
      </c>
      <c r="J133" t="s">
        <v>561</v>
      </c>
      <c r="K133" t="s">
        <v>562</v>
      </c>
      <c r="L133">
        <v>1383</v>
      </c>
      <c r="N133">
        <v>1013</v>
      </c>
      <c r="O133" t="s">
        <v>563</v>
      </c>
      <c r="P133" t="s">
        <v>563</v>
      </c>
      <c r="Q133">
        <v>1</v>
      </c>
      <c r="W133">
        <v>0</v>
      </c>
      <c r="X133">
        <v>-182421198</v>
      </c>
      <c r="Y133">
        <f t="shared" si="80"/>
        <v>10.353</v>
      </c>
      <c r="AA133">
        <v>9.0399999999999991</v>
      </c>
      <c r="AB133">
        <v>0</v>
      </c>
      <c r="AC133">
        <v>0</v>
      </c>
      <c r="AD133">
        <v>0</v>
      </c>
      <c r="AE133">
        <v>9.0399999999999991</v>
      </c>
      <c r="AF133">
        <v>0</v>
      </c>
      <c r="AG133">
        <v>0</v>
      </c>
      <c r="AH133">
        <v>0</v>
      </c>
      <c r="AI133">
        <v>1</v>
      </c>
      <c r="AJ133">
        <v>1</v>
      </c>
      <c r="AK133">
        <v>1</v>
      </c>
      <c r="AL133">
        <v>1</v>
      </c>
      <c r="AM133">
        <v>-2</v>
      </c>
      <c r="AN133">
        <v>0</v>
      </c>
      <c r="AO133">
        <v>0</v>
      </c>
      <c r="AP133">
        <v>1</v>
      </c>
      <c r="AQ133">
        <v>1</v>
      </c>
      <c r="AR133">
        <v>0</v>
      </c>
      <c r="AS133" t="s">
        <v>3</v>
      </c>
      <c r="AT133">
        <v>10.353</v>
      </c>
      <c r="AU133" t="s">
        <v>3</v>
      </c>
      <c r="AV133">
        <v>0</v>
      </c>
      <c r="AW133">
        <v>2</v>
      </c>
      <c r="AX133">
        <v>75605900</v>
      </c>
      <c r="AY133">
        <v>1</v>
      </c>
      <c r="AZ133">
        <v>0</v>
      </c>
      <c r="BA133">
        <v>140</v>
      </c>
      <c r="BB133">
        <v>1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0</v>
      </c>
      <c r="BI133">
        <v>0</v>
      </c>
      <c r="BJ133">
        <v>93.591119999999989</v>
      </c>
      <c r="BK133">
        <v>0</v>
      </c>
      <c r="BL133">
        <v>0</v>
      </c>
      <c r="BM133">
        <v>0</v>
      </c>
      <c r="BN133">
        <v>0</v>
      </c>
      <c r="BO133">
        <v>0</v>
      </c>
      <c r="BP133">
        <v>1</v>
      </c>
      <c r="BQ133">
        <v>93.591119999999989</v>
      </c>
      <c r="BR133">
        <v>0</v>
      </c>
      <c r="BS133">
        <v>0</v>
      </c>
      <c r="BT133">
        <v>0</v>
      </c>
      <c r="BU133">
        <v>0</v>
      </c>
      <c r="BV133">
        <v>0</v>
      </c>
      <c r="BW133">
        <v>1</v>
      </c>
      <c r="CV133">
        <v>0</v>
      </c>
      <c r="CW133">
        <v>0</v>
      </c>
      <c r="CX133">
        <f>ROUND(Y133*Source!I157,7)</f>
        <v>0.1661657</v>
      </c>
      <c r="CY133">
        <f t="shared" si="81"/>
        <v>9.0399999999999991</v>
      </c>
      <c r="CZ133">
        <f t="shared" si="82"/>
        <v>9.0399999999999991</v>
      </c>
      <c r="DA133">
        <f t="shared" si="83"/>
        <v>1</v>
      </c>
      <c r="DB133">
        <f t="shared" si="84"/>
        <v>93.59</v>
      </c>
      <c r="DC133">
        <f t="shared" si="85"/>
        <v>0</v>
      </c>
      <c r="DD133" t="s">
        <v>3</v>
      </c>
      <c r="DE133" t="s">
        <v>3</v>
      </c>
      <c r="DF133">
        <f>ROUND(ROUND(AE133,2)*CX133,2)</f>
        <v>1.5</v>
      </c>
      <c r="DG133">
        <f t="shared" si="79"/>
        <v>0</v>
      </c>
      <c r="DH133">
        <f t="shared" si="77"/>
        <v>0</v>
      </c>
      <c r="DI133">
        <f t="shared" si="78"/>
        <v>0</v>
      </c>
      <c r="DJ133">
        <f t="shared" si="86"/>
        <v>1.5</v>
      </c>
      <c r="DK133">
        <v>1</v>
      </c>
      <c r="DL133" t="s">
        <v>3</v>
      </c>
      <c r="DM133">
        <v>0</v>
      </c>
      <c r="DN133" t="s">
        <v>3</v>
      </c>
      <c r="DO133">
        <v>0</v>
      </c>
    </row>
    <row r="134" spans="1:119" x14ac:dyDescent="0.25">
      <c r="A134">
        <f>ROW(Source!A157)</f>
        <v>157</v>
      </c>
      <c r="B134">
        <v>75604747</v>
      </c>
      <c r="C134">
        <v>75605869</v>
      </c>
      <c r="D134">
        <v>74259722</v>
      </c>
      <c r="E134">
        <v>1</v>
      </c>
      <c r="F134">
        <v>1</v>
      </c>
      <c r="G134">
        <v>1</v>
      </c>
      <c r="H134">
        <v>3</v>
      </c>
      <c r="I134" t="s">
        <v>620</v>
      </c>
      <c r="J134" t="s">
        <v>621</v>
      </c>
      <c r="K134" t="s">
        <v>622</v>
      </c>
      <c r="L134">
        <v>1346</v>
      </c>
      <c r="N134">
        <v>1009</v>
      </c>
      <c r="O134" t="s">
        <v>240</v>
      </c>
      <c r="P134" t="s">
        <v>240</v>
      </c>
      <c r="Q134">
        <v>1</v>
      </c>
      <c r="W134">
        <v>0</v>
      </c>
      <c r="X134">
        <v>-550460808</v>
      </c>
      <c r="Y134">
        <f t="shared" si="80"/>
        <v>14</v>
      </c>
      <c r="AA134">
        <v>121.28</v>
      </c>
      <c r="AB134">
        <v>0</v>
      </c>
      <c r="AC134">
        <v>0</v>
      </c>
      <c r="AD134">
        <v>0</v>
      </c>
      <c r="AE134">
        <v>142.68</v>
      </c>
      <c r="AF134">
        <v>0</v>
      </c>
      <c r="AG134">
        <v>0</v>
      </c>
      <c r="AH134">
        <v>0</v>
      </c>
      <c r="AI134">
        <v>0.85</v>
      </c>
      <c r="AJ134">
        <v>1</v>
      </c>
      <c r="AK134">
        <v>1</v>
      </c>
      <c r="AL134">
        <v>1</v>
      </c>
      <c r="AM134">
        <v>2</v>
      </c>
      <c r="AN134">
        <v>0</v>
      </c>
      <c r="AO134">
        <v>0</v>
      </c>
      <c r="AP134">
        <v>1</v>
      </c>
      <c r="AQ134">
        <v>1</v>
      </c>
      <c r="AR134">
        <v>0</v>
      </c>
      <c r="AS134" t="s">
        <v>3</v>
      </c>
      <c r="AT134">
        <v>14</v>
      </c>
      <c r="AU134" t="s">
        <v>3</v>
      </c>
      <c r="AV134">
        <v>0</v>
      </c>
      <c r="AW134">
        <v>2</v>
      </c>
      <c r="AX134">
        <v>75605901</v>
      </c>
      <c r="AY134">
        <v>1</v>
      </c>
      <c r="AZ134">
        <v>0</v>
      </c>
      <c r="BA134">
        <v>141</v>
      </c>
      <c r="BB134">
        <v>1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0</v>
      </c>
      <c r="BI134">
        <v>0</v>
      </c>
      <c r="BJ134">
        <v>1997.52</v>
      </c>
      <c r="BK134">
        <v>0</v>
      </c>
      <c r="BL134">
        <v>0</v>
      </c>
      <c r="BM134">
        <v>0</v>
      </c>
      <c r="BN134">
        <v>0</v>
      </c>
      <c r="BO134">
        <v>0</v>
      </c>
      <c r="BP134">
        <v>1</v>
      </c>
      <c r="BQ134">
        <v>1997.52</v>
      </c>
      <c r="BR134">
        <v>0</v>
      </c>
      <c r="BS134">
        <v>0</v>
      </c>
      <c r="BT134">
        <v>0</v>
      </c>
      <c r="BU134">
        <v>0</v>
      </c>
      <c r="BV134">
        <v>0</v>
      </c>
      <c r="BW134">
        <v>1</v>
      </c>
      <c r="CV134">
        <v>0</v>
      </c>
      <c r="CW134">
        <v>0</v>
      </c>
      <c r="CX134">
        <f>ROUND(Y134*Source!I157,7)</f>
        <v>0.22470000000000001</v>
      </c>
      <c r="CY134">
        <f t="shared" si="81"/>
        <v>121.28</v>
      </c>
      <c r="CZ134">
        <f t="shared" si="82"/>
        <v>142.68</v>
      </c>
      <c r="DA134">
        <f t="shared" si="83"/>
        <v>0.85</v>
      </c>
      <c r="DB134">
        <f t="shared" si="84"/>
        <v>1997.52</v>
      </c>
      <c r="DC134">
        <f t="shared" si="85"/>
        <v>0</v>
      </c>
      <c r="DD134" t="s">
        <v>3</v>
      </c>
      <c r="DE134" t="s">
        <v>3</v>
      </c>
      <c r="DF134">
        <f t="shared" ref="DF134:DF144" si="87">ROUND(ROUND(AE134*AI134,2)*CX134,2)</f>
        <v>27.25</v>
      </c>
      <c r="DG134">
        <f t="shared" si="79"/>
        <v>0</v>
      </c>
      <c r="DH134">
        <f t="shared" si="77"/>
        <v>0</v>
      </c>
      <c r="DI134">
        <f t="shared" si="78"/>
        <v>0</v>
      </c>
      <c r="DJ134">
        <f t="shared" si="86"/>
        <v>27.25</v>
      </c>
      <c r="DK134">
        <v>0</v>
      </c>
      <c r="DL134" t="s">
        <v>3</v>
      </c>
      <c r="DM134">
        <v>0</v>
      </c>
      <c r="DN134" t="s">
        <v>3</v>
      </c>
      <c r="DO134">
        <v>0</v>
      </c>
    </row>
    <row r="135" spans="1:119" x14ac:dyDescent="0.25">
      <c r="A135">
        <f>ROW(Source!A157)</f>
        <v>157</v>
      </c>
      <c r="B135">
        <v>75604747</v>
      </c>
      <c r="C135">
        <v>75605869</v>
      </c>
      <c r="D135">
        <v>74260536</v>
      </c>
      <c r="E135">
        <v>1</v>
      </c>
      <c r="F135">
        <v>1</v>
      </c>
      <c r="G135">
        <v>1</v>
      </c>
      <c r="H135">
        <v>3</v>
      </c>
      <c r="I135" t="s">
        <v>623</v>
      </c>
      <c r="J135" t="s">
        <v>624</v>
      </c>
      <c r="K135" t="s">
        <v>625</v>
      </c>
      <c r="L135">
        <v>1346</v>
      </c>
      <c r="N135">
        <v>1009</v>
      </c>
      <c r="O135" t="s">
        <v>240</v>
      </c>
      <c r="P135" t="s">
        <v>240</v>
      </c>
      <c r="Q135">
        <v>1</v>
      </c>
      <c r="W135">
        <v>0</v>
      </c>
      <c r="X135">
        <v>-489290570</v>
      </c>
      <c r="Y135">
        <f t="shared" si="80"/>
        <v>5</v>
      </c>
      <c r="AA135">
        <v>188.92</v>
      </c>
      <c r="AB135">
        <v>0</v>
      </c>
      <c r="AC135">
        <v>0</v>
      </c>
      <c r="AD135">
        <v>0</v>
      </c>
      <c r="AE135">
        <v>174.93</v>
      </c>
      <c r="AF135">
        <v>0</v>
      </c>
      <c r="AG135">
        <v>0</v>
      </c>
      <c r="AH135">
        <v>0</v>
      </c>
      <c r="AI135">
        <v>1.08</v>
      </c>
      <c r="AJ135">
        <v>1</v>
      </c>
      <c r="AK135">
        <v>1</v>
      </c>
      <c r="AL135">
        <v>1</v>
      </c>
      <c r="AM135">
        <v>2</v>
      </c>
      <c r="AN135">
        <v>0</v>
      </c>
      <c r="AO135">
        <v>0</v>
      </c>
      <c r="AP135">
        <v>1</v>
      </c>
      <c r="AQ135">
        <v>1</v>
      </c>
      <c r="AR135">
        <v>0</v>
      </c>
      <c r="AS135" t="s">
        <v>3</v>
      </c>
      <c r="AT135">
        <v>5</v>
      </c>
      <c r="AU135" t="s">
        <v>3</v>
      </c>
      <c r="AV135">
        <v>0</v>
      </c>
      <c r="AW135">
        <v>2</v>
      </c>
      <c r="AX135">
        <v>75605902</v>
      </c>
      <c r="AY135">
        <v>1</v>
      </c>
      <c r="AZ135">
        <v>0</v>
      </c>
      <c r="BA135">
        <v>142</v>
      </c>
      <c r="BB135">
        <v>1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0</v>
      </c>
      <c r="BI135">
        <v>0</v>
      </c>
      <c r="BJ135">
        <v>874.65000000000009</v>
      </c>
      <c r="BK135">
        <v>0</v>
      </c>
      <c r="BL135">
        <v>0</v>
      </c>
      <c r="BM135">
        <v>0</v>
      </c>
      <c r="BN135">
        <v>0</v>
      </c>
      <c r="BO135">
        <v>0</v>
      </c>
      <c r="BP135">
        <v>1</v>
      </c>
      <c r="BQ135">
        <v>874.65000000000009</v>
      </c>
      <c r="BR135">
        <v>0</v>
      </c>
      <c r="BS135">
        <v>0</v>
      </c>
      <c r="BT135">
        <v>0</v>
      </c>
      <c r="BU135">
        <v>0</v>
      </c>
      <c r="BV135">
        <v>0</v>
      </c>
      <c r="BW135">
        <v>1</v>
      </c>
      <c r="CV135">
        <v>0</v>
      </c>
      <c r="CW135">
        <v>0</v>
      </c>
      <c r="CX135">
        <f>ROUND(Y135*Source!I157,7)</f>
        <v>8.0250000000000002E-2</v>
      </c>
      <c r="CY135">
        <f t="shared" si="81"/>
        <v>188.92</v>
      </c>
      <c r="CZ135">
        <f t="shared" si="82"/>
        <v>174.93</v>
      </c>
      <c r="DA135">
        <f t="shared" si="83"/>
        <v>1.08</v>
      </c>
      <c r="DB135">
        <f t="shared" si="84"/>
        <v>874.65</v>
      </c>
      <c r="DC135">
        <f t="shared" si="85"/>
        <v>0</v>
      </c>
      <c r="DD135" t="s">
        <v>3</v>
      </c>
      <c r="DE135" t="s">
        <v>3</v>
      </c>
      <c r="DF135">
        <f t="shared" si="87"/>
        <v>15.16</v>
      </c>
      <c r="DG135">
        <f t="shared" si="79"/>
        <v>0</v>
      </c>
      <c r="DH135">
        <f t="shared" si="77"/>
        <v>0</v>
      </c>
      <c r="DI135">
        <f t="shared" si="78"/>
        <v>0</v>
      </c>
      <c r="DJ135">
        <f t="shared" si="86"/>
        <v>15.16</v>
      </c>
      <c r="DK135">
        <v>0</v>
      </c>
      <c r="DL135" t="s">
        <v>3</v>
      </c>
      <c r="DM135">
        <v>0</v>
      </c>
      <c r="DN135" t="s">
        <v>3</v>
      </c>
      <c r="DO135">
        <v>0</v>
      </c>
    </row>
    <row r="136" spans="1:119" x14ac:dyDescent="0.25">
      <c r="A136">
        <f>ROW(Source!A157)</f>
        <v>157</v>
      </c>
      <c r="B136">
        <v>75604747</v>
      </c>
      <c r="C136">
        <v>75605869</v>
      </c>
      <c r="D136">
        <v>74260587</v>
      </c>
      <c r="E136">
        <v>1</v>
      </c>
      <c r="F136">
        <v>1</v>
      </c>
      <c r="G136">
        <v>1</v>
      </c>
      <c r="H136">
        <v>3</v>
      </c>
      <c r="I136" t="s">
        <v>530</v>
      </c>
      <c r="J136" t="s">
        <v>531</v>
      </c>
      <c r="K136" t="s">
        <v>532</v>
      </c>
      <c r="L136">
        <v>1348</v>
      </c>
      <c r="N136">
        <v>1009</v>
      </c>
      <c r="O136" t="s">
        <v>174</v>
      </c>
      <c r="P136" t="s">
        <v>174</v>
      </c>
      <c r="Q136">
        <v>1000</v>
      </c>
      <c r="W136">
        <v>0</v>
      </c>
      <c r="X136">
        <v>1479353699</v>
      </c>
      <c r="Y136">
        <f t="shared" si="80"/>
        <v>1.0000000000000001E-5</v>
      </c>
      <c r="AA136">
        <v>92790.98</v>
      </c>
      <c r="AB136">
        <v>0</v>
      </c>
      <c r="AC136">
        <v>0</v>
      </c>
      <c r="AD136">
        <v>0</v>
      </c>
      <c r="AE136">
        <v>70296.2</v>
      </c>
      <c r="AF136">
        <v>0</v>
      </c>
      <c r="AG136">
        <v>0</v>
      </c>
      <c r="AH136">
        <v>0</v>
      </c>
      <c r="AI136">
        <v>1.32</v>
      </c>
      <c r="AJ136">
        <v>1</v>
      </c>
      <c r="AK136">
        <v>1</v>
      </c>
      <c r="AL136">
        <v>1</v>
      </c>
      <c r="AM136">
        <v>2</v>
      </c>
      <c r="AN136">
        <v>0</v>
      </c>
      <c r="AO136">
        <v>0</v>
      </c>
      <c r="AP136">
        <v>1</v>
      </c>
      <c r="AQ136">
        <v>1</v>
      </c>
      <c r="AR136">
        <v>0</v>
      </c>
      <c r="AS136" t="s">
        <v>3</v>
      </c>
      <c r="AT136">
        <v>1.0000000000000001E-5</v>
      </c>
      <c r="AU136" t="s">
        <v>3</v>
      </c>
      <c r="AV136">
        <v>0</v>
      </c>
      <c r="AW136">
        <v>2</v>
      </c>
      <c r="AX136">
        <v>75605903</v>
      </c>
      <c r="AY136">
        <v>1</v>
      </c>
      <c r="AZ136">
        <v>0</v>
      </c>
      <c r="BA136">
        <v>143</v>
      </c>
      <c r="BB136">
        <v>1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0</v>
      </c>
      <c r="BI136">
        <v>0</v>
      </c>
      <c r="BJ136">
        <v>0.70296199999999998</v>
      </c>
      <c r="BK136">
        <v>0</v>
      </c>
      <c r="BL136">
        <v>0</v>
      </c>
      <c r="BM136">
        <v>0</v>
      </c>
      <c r="BN136">
        <v>0</v>
      </c>
      <c r="BO136">
        <v>0</v>
      </c>
      <c r="BP136">
        <v>1</v>
      </c>
      <c r="BQ136">
        <v>0.70296199999999998</v>
      </c>
      <c r="BR136">
        <v>0</v>
      </c>
      <c r="BS136">
        <v>0</v>
      </c>
      <c r="BT136">
        <v>0</v>
      </c>
      <c r="BU136">
        <v>0</v>
      </c>
      <c r="BV136">
        <v>0</v>
      </c>
      <c r="BW136">
        <v>1</v>
      </c>
      <c r="CV136">
        <v>0</v>
      </c>
      <c r="CW136">
        <v>0</v>
      </c>
      <c r="CX136">
        <f>ROUND(Y136*Source!I157,7)</f>
        <v>1.9999999999999999E-7</v>
      </c>
      <c r="CY136">
        <f t="shared" si="81"/>
        <v>92790.98</v>
      </c>
      <c r="CZ136">
        <f t="shared" si="82"/>
        <v>70296.2</v>
      </c>
      <c r="DA136">
        <f t="shared" si="83"/>
        <v>1.32</v>
      </c>
      <c r="DB136">
        <f t="shared" si="84"/>
        <v>0.7</v>
      </c>
      <c r="DC136">
        <f t="shared" si="85"/>
        <v>0</v>
      </c>
      <c r="DD136" t="s">
        <v>3</v>
      </c>
      <c r="DE136" t="s">
        <v>3</v>
      </c>
      <c r="DF136">
        <f t="shared" si="87"/>
        <v>0.02</v>
      </c>
      <c r="DG136">
        <f t="shared" si="79"/>
        <v>0</v>
      </c>
      <c r="DH136">
        <f t="shared" si="77"/>
        <v>0</v>
      </c>
      <c r="DI136">
        <f t="shared" si="78"/>
        <v>0</v>
      </c>
      <c r="DJ136">
        <f t="shared" si="86"/>
        <v>0.02</v>
      </c>
      <c r="DK136">
        <v>0</v>
      </c>
      <c r="DL136" t="s">
        <v>3</v>
      </c>
      <c r="DM136">
        <v>0</v>
      </c>
      <c r="DN136" t="s">
        <v>3</v>
      </c>
      <c r="DO136">
        <v>0</v>
      </c>
    </row>
    <row r="137" spans="1:119" x14ac:dyDescent="0.25">
      <c r="A137">
        <f>ROW(Source!A157)</f>
        <v>157</v>
      </c>
      <c r="B137">
        <v>75604747</v>
      </c>
      <c r="C137">
        <v>75605869</v>
      </c>
      <c r="D137">
        <v>74261679</v>
      </c>
      <c r="E137">
        <v>1</v>
      </c>
      <c r="F137">
        <v>1</v>
      </c>
      <c r="G137">
        <v>1</v>
      </c>
      <c r="H137">
        <v>3</v>
      </c>
      <c r="I137" t="s">
        <v>626</v>
      </c>
      <c r="J137" t="s">
        <v>627</v>
      </c>
      <c r="K137" t="s">
        <v>628</v>
      </c>
      <c r="L137">
        <v>1348</v>
      </c>
      <c r="N137">
        <v>1009</v>
      </c>
      <c r="O137" t="s">
        <v>174</v>
      </c>
      <c r="P137" t="s">
        <v>174</v>
      </c>
      <c r="Q137">
        <v>1000</v>
      </c>
      <c r="W137">
        <v>0</v>
      </c>
      <c r="X137">
        <v>-196647353</v>
      </c>
      <c r="Y137">
        <f t="shared" si="80"/>
        <v>1E-4</v>
      </c>
      <c r="AA137">
        <v>368541.89</v>
      </c>
      <c r="AB137">
        <v>0</v>
      </c>
      <c r="AC137">
        <v>0</v>
      </c>
      <c r="AD137">
        <v>0</v>
      </c>
      <c r="AE137">
        <v>231787.35</v>
      </c>
      <c r="AF137">
        <v>0</v>
      </c>
      <c r="AG137">
        <v>0</v>
      </c>
      <c r="AH137">
        <v>0</v>
      </c>
      <c r="AI137">
        <v>1.59</v>
      </c>
      <c r="AJ137">
        <v>1</v>
      </c>
      <c r="AK137">
        <v>1</v>
      </c>
      <c r="AL137">
        <v>1</v>
      </c>
      <c r="AM137">
        <v>2</v>
      </c>
      <c r="AN137">
        <v>0</v>
      </c>
      <c r="AO137">
        <v>0</v>
      </c>
      <c r="AP137">
        <v>1</v>
      </c>
      <c r="AQ137">
        <v>1</v>
      </c>
      <c r="AR137">
        <v>0</v>
      </c>
      <c r="AS137" t="s">
        <v>3</v>
      </c>
      <c r="AT137">
        <v>1E-4</v>
      </c>
      <c r="AU137" t="s">
        <v>3</v>
      </c>
      <c r="AV137">
        <v>0</v>
      </c>
      <c r="AW137">
        <v>2</v>
      </c>
      <c r="AX137">
        <v>75605904</v>
      </c>
      <c r="AY137">
        <v>1</v>
      </c>
      <c r="AZ137">
        <v>0</v>
      </c>
      <c r="BA137">
        <v>144</v>
      </c>
      <c r="BB137">
        <v>1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0</v>
      </c>
      <c r="BI137">
        <v>0</v>
      </c>
      <c r="BJ137">
        <v>23.178735000000003</v>
      </c>
      <c r="BK137">
        <v>0</v>
      </c>
      <c r="BL137">
        <v>0</v>
      </c>
      <c r="BM137">
        <v>0</v>
      </c>
      <c r="BN137">
        <v>0</v>
      </c>
      <c r="BO137">
        <v>0</v>
      </c>
      <c r="BP137">
        <v>1</v>
      </c>
      <c r="BQ137">
        <v>23.178735000000003</v>
      </c>
      <c r="BR137">
        <v>0</v>
      </c>
      <c r="BS137">
        <v>0</v>
      </c>
      <c r="BT137">
        <v>0</v>
      </c>
      <c r="BU137">
        <v>0</v>
      </c>
      <c r="BV137">
        <v>0</v>
      </c>
      <c r="BW137">
        <v>1</v>
      </c>
      <c r="CV137">
        <v>0</v>
      </c>
      <c r="CW137">
        <v>0</v>
      </c>
      <c r="CX137">
        <f>ROUND(Y137*Source!I157,7)</f>
        <v>1.5999999999999999E-6</v>
      </c>
      <c r="CY137">
        <f t="shared" si="81"/>
        <v>368541.89</v>
      </c>
      <c r="CZ137">
        <f t="shared" si="82"/>
        <v>231787.35</v>
      </c>
      <c r="DA137">
        <f t="shared" si="83"/>
        <v>1.59</v>
      </c>
      <c r="DB137">
        <f t="shared" si="84"/>
        <v>23.18</v>
      </c>
      <c r="DC137">
        <f t="shared" si="85"/>
        <v>0</v>
      </c>
      <c r="DD137" t="s">
        <v>3</v>
      </c>
      <c r="DE137" t="s">
        <v>3</v>
      </c>
      <c r="DF137">
        <f t="shared" si="87"/>
        <v>0.59</v>
      </c>
      <c r="DG137">
        <f t="shared" si="79"/>
        <v>0</v>
      </c>
      <c r="DH137">
        <f t="shared" si="77"/>
        <v>0</v>
      </c>
      <c r="DI137">
        <f t="shared" si="78"/>
        <v>0</v>
      </c>
      <c r="DJ137">
        <f t="shared" si="86"/>
        <v>0.59</v>
      </c>
      <c r="DK137">
        <v>0</v>
      </c>
      <c r="DL137" t="s">
        <v>3</v>
      </c>
      <c r="DM137">
        <v>0</v>
      </c>
      <c r="DN137" t="s">
        <v>3</v>
      </c>
      <c r="DO137">
        <v>0</v>
      </c>
    </row>
    <row r="138" spans="1:119" x14ac:dyDescent="0.25">
      <c r="A138">
        <f>ROW(Source!A157)</f>
        <v>157</v>
      </c>
      <c r="B138">
        <v>75604747</v>
      </c>
      <c r="C138">
        <v>75605869</v>
      </c>
      <c r="D138">
        <v>74267062</v>
      </c>
      <c r="E138">
        <v>1</v>
      </c>
      <c r="F138">
        <v>1</v>
      </c>
      <c r="G138">
        <v>1</v>
      </c>
      <c r="H138">
        <v>3</v>
      </c>
      <c r="I138" t="s">
        <v>238</v>
      </c>
      <c r="J138" t="s">
        <v>241</v>
      </c>
      <c r="K138" t="s">
        <v>266</v>
      </c>
      <c r="L138">
        <v>1346</v>
      </c>
      <c r="N138">
        <v>1009</v>
      </c>
      <c r="O138" t="s">
        <v>240</v>
      </c>
      <c r="P138" t="s">
        <v>240</v>
      </c>
      <c r="Q138">
        <v>1</v>
      </c>
      <c r="W138">
        <v>0</v>
      </c>
      <c r="X138">
        <v>601571053</v>
      </c>
      <c r="Y138">
        <f t="shared" si="80"/>
        <v>1000</v>
      </c>
      <c r="AA138">
        <v>230.1</v>
      </c>
      <c r="AB138">
        <v>0</v>
      </c>
      <c r="AC138">
        <v>0</v>
      </c>
      <c r="AD138">
        <v>0</v>
      </c>
      <c r="AE138">
        <v>175.65</v>
      </c>
      <c r="AF138">
        <v>0</v>
      </c>
      <c r="AG138">
        <v>0</v>
      </c>
      <c r="AH138">
        <v>0</v>
      </c>
      <c r="AI138">
        <v>1.31</v>
      </c>
      <c r="AJ138">
        <v>1</v>
      </c>
      <c r="AK138">
        <v>1</v>
      </c>
      <c r="AL138">
        <v>1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  <c r="AS138" t="s">
        <v>3</v>
      </c>
      <c r="AT138">
        <v>1000</v>
      </c>
      <c r="AU138" t="s">
        <v>3</v>
      </c>
      <c r="AV138">
        <v>0</v>
      </c>
      <c r="AW138">
        <v>1</v>
      </c>
      <c r="AX138">
        <v>-1</v>
      </c>
      <c r="AY138">
        <v>0</v>
      </c>
      <c r="AZ138">
        <v>0</v>
      </c>
      <c r="BA138" t="s">
        <v>3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0</v>
      </c>
      <c r="BI138">
        <v>0</v>
      </c>
      <c r="BJ138">
        <v>0</v>
      </c>
      <c r="BK138">
        <v>0</v>
      </c>
      <c r="BL138">
        <v>0</v>
      </c>
      <c r="BM138">
        <v>0</v>
      </c>
      <c r="BN138">
        <v>0</v>
      </c>
      <c r="BO138">
        <v>0</v>
      </c>
      <c r="BP138">
        <v>0</v>
      </c>
      <c r="BQ138">
        <v>0</v>
      </c>
      <c r="BR138">
        <v>0</v>
      </c>
      <c r="BS138">
        <v>0</v>
      </c>
      <c r="BT138">
        <v>0</v>
      </c>
      <c r="BU138">
        <v>0</v>
      </c>
      <c r="BV138">
        <v>0</v>
      </c>
      <c r="BW138">
        <v>0</v>
      </c>
      <c r="CV138">
        <v>0</v>
      </c>
      <c r="CW138">
        <v>0</v>
      </c>
      <c r="CX138">
        <f>ROUND(Y138*Source!I157,7)</f>
        <v>16.05</v>
      </c>
      <c r="CY138">
        <f t="shared" si="81"/>
        <v>230.1</v>
      </c>
      <c r="CZ138">
        <f t="shared" si="82"/>
        <v>175.65</v>
      </c>
      <c r="DA138">
        <f t="shared" si="83"/>
        <v>1.31</v>
      </c>
      <c r="DB138">
        <f t="shared" si="84"/>
        <v>175650</v>
      </c>
      <c r="DC138">
        <f t="shared" si="85"/>
        <v>0</v>
      </c>
      <c r="DD138" t="s">
        <v>3</v>
      </c>
      <c r="DE138" t="s">
        <v>3</v>
      </c>
      <c r="DF138">
        <f t="shared" si="87"/>
        <v>3693.11</v>
      </c>
      <c r="DG138">
        <f t="shared" si="79"/>
        <v>0</v>
      </c>
      <c r="DH138">
        <f t="shared" si="77"/>
        <v>0</v>
      </c>
      <c r="DI138">
        <f t="shared" si="78"/>
        <v>0</v>
      </c>
      <c r="DJ138">
        <f t="shared" si="86"/>
        <v>3693.11</v>
      </c>
      <c r="DK138">
        <v>0</v>
      </c>
      <c r="DL138" t="s">
        <v>3</v>
      </c>
      <c r="DM138">
        <v>0</v>
      </c>
      <c r="DN138" t="s">
        <v>3</v>
      </c>
      <c r="DO138">
        <v>0</v>
      </c>
    </row>
    <row r="139" spans="1:119" x14ac:dyDescent="0.25">
      <c r="A139">
        <f>ROW(Source!A157)</f>
        <v>157</v>
      </c>
      <c r="B139">
        <v>75604747</v>
      </c>
      <c r="C139">
        <v>75605869</v>
      </c>
      <c r="D139">
        <v>74267598</v>
      </c>
      <c r="E139">
        <v>1</v>
      </c>
      <c r="F139">
        <v>1</v>
      </c>
      <c r="G139">
        <v>1</v>
      </c>
      <c r="H139">
        <v>3</v>
      </c>
      <c r="I139" t="s">
        <v>629</v>
      </c>
      <c r="J139" t="s">
        <v>630</v>
      </c>
      <c r="K139" t="s">
        <v>631</v>
      </c>
      <c r="L139">
        <v>1302</v>
      </c>
      <c r="N139">
        <v>1003</v>
      </c>
      <c r="O139" t="s">
        <v>632</v>
      </c>
      <c r="P139" t="s">
        <v>632</v>
      </c>
      <c r="Q139">
        <v>10</v>
      </c>
      <c r="W139">
        <v>0</v>
      </c>
      <c r="X139">
        <v>-16063298</v>
      </c>
      <c r="Y139">
        <f t="shared" si="80"/>
        <v>1.8700000000000001E-2</v>
      </c>
      <c r="AA139">
        <v>221.64</v>
      </c>
      <c r="AB139">
        <v>0</v>
      </c>
      <c r="AC139">
        <v>0</v>
      </c>
      <c r="AD139">
        <v>0</v>
      </c>
      <c r="AE139">
        <v>307.83999999999997</v>
      </c>
      <c r="AF139">
        <v>0</v>
      </c>
      <c r="AG139">
        <v>0</v>
      </c>
      <c r="AH139">
        <v>0</v>
      </c>
      <c r="AI139">
        <v>0.72</v>
      </c>
      <c r="AJ139">
        <v>1</v>
      </c>
      <c r="AK139">
        <v>1</v>
      </c>
      <c r="AL139">
        <v>1</v>
      </c>
      <c r="AM139">
        <v>2</v>
      </c>
      <c r="AN139">
        <v>0</v>
      </c>
      <c r="AO139">
        <v>0</v>
      </c>
      <c r="AP139">
        <v>1</v>
      </c>
      <c r="AQ139">
        <v>1</v>
      </c>
      <c r="AR139">
        <v>0</v>
      </c>
      <c r="AS139" t="s">
        <v>3</v>
      </c>
      <c r="AT139">
        <v>1.8700000000000001E-2</v>
      </c>
      <c r="AU139" t="s">
        <v>3</v>
      </c>
      <c r="AV139">
        <v>0</v>
      </c>
      <c r="AW139">
        <v>2</v>
      </c>
      <c r="AX139">
        <v>75605906</v>
      </c>
      <c r="AY139">
        <v>1</v>
      </c>
      <c r="AZ139">
        <v>0</v>
      </c>
      <c r="BA139">
        <v>146</v>
      </c>
      <c r="BB139">
        <v>1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0</v>
      </c>
      <c r="BI139">
        <v>0</v>
      </c>
      <c r="BJ139">
        <v>5.7566079999999999</v>
      </c>
      <c r="BK139">
        <v>0</v>
      </c>
      <c r="BL139">
        <v>0</v>
      </c>
      <c r="BM139">
        <v>0</v>
      </c>
      <c r="BN139">
        <v>0</v>
      </c>
      <c r="BO139">
        <v>0</v>
      </c>
      <c r="BP139">
        <v>1</v>
      </c>
      <c r="BQ139">
        <v>5.7566079999999999</v>
      </c>
      <c r="BR139">
        <v>0</v>
      </c>
      <c r="BS139">
        <v>0</v>
      </c>
      <c r="BT139">
        <v>0</v>
      </c>
      <c r="BU139">
        <v>0</v>
      </c>
      <c r="BV139">
        <v>0</v>
      </c>
      <c r="BW139">
        <v>1</v>
      </c>
      <c r="CV139">
        <v>0</v>
      </c>
      <c r="CW139">
        <v>0</v>
      </c>
      <c r="CX139">
        <f>ROUND(Y139*Source!I157,7)</f>
        <v>3.0009999999999998E-4</v>
      </c>
      <c r="CY139">
        <f t="shared" si="81"/>
        <v>221.64</v>
      </c>
      <c r="CZ139">
        <f t="shared" si="82"/>
        <v>307.83999999999997</v>
      </c>
      <c r="DA139">
        <f t="shared" si="83"/>
        <v>0.72</v>
      </c>
      <c r="DB139">
        <f t="shared" si="84"/>
        <v>5.76</v>
      </c>
      <c r="DC139">
        <f t="shared" si="85"/>
        <v>0</v>
      </c>
      <c r="DD139" t="s">
        <v>3</v>
      </c>
      <c r="DE139" t="s">
        <v>3</v>
      </c>
      <c r="DF139">
        <f t="shared" si="87"/>
        <v>7.0000000000000007E-2</v>
      </c>
      <c r="DG139">
        <f t="shared" si="79"/>
        <v>0</v>
      </c>
      <c r="DH139">
        <f t="shared" si="77"/>
        <v>0</v>
      </c>
      <c r="DI139">
        <f t="shared" si="78"/>
        <v>0</v>
      </c>
      <c r="DJ139">
        <f t="shared" si="86"/>
        <v>7.0000000000000007E-2</v>
      </c>
      <c r="DK139">
        <v>0</v>
      </c>
      <c r="DL139" t="s">
        <v>3</v>
      </c>
      <c r="DM139">
        <v>0</v>
      </c>
      <c r="DN139" t="s">
        <v>3</v>
      </c>
      <c r="DO139">
        <v>0</v>
      </c>
    </row>
    <row r="140" spans="1:119" x14ac:dyDescent="0.25">
      <c r="A140">
        <f>ROW(Source!A157)</f>
        <v>157</v>
      </c>
      <c r="B140">
        <v>75604747</v>
      </c>
      <c r="C140">
        <v>75605869</v>
      </c>
      <c r="D140">
        <v>74267758</v>
      </c>
      <c r="E140">
        <v>1</v>
      </c>
      <c r="F140">
        <v>1</v>
      </c>
      <c r="G140">
        <v>1</v>
      </c>
      <c r="H140">
        <v>3</v>
      </c>
      <c r="I140" t="s">
        <v>533</v>
      </c>
      <c r="J140" t="s">
        <v>534</v>
      </c>
      <c r="K140" t="s">
        <v>535</v>
      </c>
      <c r="L140">
        <v>1348</v>
      </c>
      <c r="N140">
        <v>1009</v>
      </c>
      <c r="O140" t="s">
        <v>174</v>
      </c>
      <c r="P140" t="s">
        <v>174</v>
      </c>
      <c r="Q140">
        <v>1000</v>
      </c>
      <c r="W140">
        <v>0</v>
      </c>
      <c r="X140">
        <v>1897739153</v>
      </c>
      <c r="Y140">
        <f t="shared" si="80"/>
        <v>3.0000000000000001E-5</v>
      </c>
      <c r="AA140">
        <v>52424.63</v>
      </c>
      <c r="AB140">
        <v>0</v>
      </c>
      <c r="AC140">
        <v>0</v>
      </c>
      <c r="AD140">
        <v>0</v>
      </c>
      <c r="AE140">
        <v>60258.2</v>
      </c>
      <c r="AF140">
        <v>0</v>
      </c>
      <c r="AG140">
        <v>0</v>
      </c>
      <c r="AH140">
        <v>0</v>
      </c>
      <c r="AI140">
        <v>0.87</v>
      </c>
      <c r="AJ140">
        <v>1</v>
      </c>
      <c r="AK140">
        <v>1</v>
      </c>
      <c r="AL140">
        <v>1</v>
      </c>
      <c r="AM140">
        <v>2</v>
      </c>
      <c r="AN140">
        <v>0</v>
      </c>
      <c r="AO140">
        <v>0</v>
      </c>
      <c r="AP140">
        <v>1</v>
      </c>
      <c r="AQ140">
        <v>1</v>
      </c>
      <c r="AR140">
        <v>0</v>
      </c>
      <c r="AS140" t="s">
        <v>3</v>
      </c>
      <c r="AT140">
        <v>3.0000000000000001E-5</v>
      </c>
      <c r="AU140" t="s">
        <v>3</v>
      </c>
      <c r="AV140">
        <v>0</v>
      </c>
      <c r="AW140">
        <v>2</v>
      </c>
      <c r="AX140">
        <v>75605907</v>
      </c>
      <c r="AY140">
        <v>1</v>
      </c>
      <c r="AZ140">
        <v>0</v>
      </c>
      <c r="BA140">
        <v>147</v>
      </c>
      <c r="BB140">
        <v>1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0</v>
      </c>
      <c r="BI140">
        <v>0</v>
      </c>
      <c r="BJ140">
        <v>1.8077459999999999</v>
      </c>
      <c r="BK140">
        <v>0</v>
      </c>
      <c r="BL140">
        <v>0</v>
      </c>
      <c r="BM140">
        <v>0</v>
      </c>
      <c r="BN140">
        <v>0</v>
      </c>
      <c r="BO140">
        <v>0</v>
      </c>
      <c r="BP140">
        <v>1</v>
      </c>
      <c r="BQ140">
        <v>1.8077459999999999</v>
      </c>
      <c r="BR140">
        <v>0</v>
      </c>
      <c r="BS140">
        <v>0</v>
      </c>
      <c r="BT140">
        <v>0</v>
      </c>
      <c r="BU140">
        <v>0</v>
      </c>
      <c r="BV140">
        <v>0</v>
      </c>
      <c r="BW140">
        <v>1</v>
      </c>
      <c r="CV140">
        <v>0</v>
      </c>
      <c r="CW140">
        <v>0</v>
      </c>
      <c r="CX140">
        <f>ROUND(Y140*Source!I157,7)</f>
        <v>4.9999999999999998E-7</v>
      </c>
      <c r="CY140">
        <f t="shared" si="81"/>
        <v>52424.63</v>
      </c>
      <c r="CZ140">
        <f t="shared" si="82"/>
        <v>60258.2</v>
      </c>
      <c r="DA140">
        <f t="shared" si="83"/>
        <v>0.87</v>
      </c>
      <c r="DB140">
        <f t="shared" si="84"/>
        <v>1.81</v>
      </c>
      <c r="DC140">
        <f t="shared" si="85"/>
        <v>0</v>
      </c>
      <c r="DD140" t="s">
        <v>3</v>
      </c>
      <c r="DE140" t="s">
        <v>3</v>
      </c>
      <c r="DF140">
        <f t="shared" si="87"/>
        <v>0.03</v>
      </c>
      <c r="DG140">
        <f t="shared" si="79"/>
        <v>0</v>
      </c>
      <c r="DH140">
        <f t="shared" si="77"/>
        <v>0</v>
      </c>
      <c r="DI140">
        <f t="shared" si="78"/>
        <v>0</v>
      </c>
      <c r="DJ140">
        <f t="shared" si="86"/>
        <v>0.03</v>
      </c>
      <c r="DK140">
        <v>0</v>
      </c>
      <c r="DL140" t="s">
        <v>3</v>
      </c>
      <c r="DM140">
        <v>0</v>
      </c>
      <c r="DN140" t="s">
        <v>3</v>
      </c>
      <c r="DO140">
        <v>0</v>
      </c>
    </row>
    <row r="141" spans="1:119" x14ac:dyDescent="0.25">
      <c r="A141">
        <f>ROW(Source!A157)</f>
        <v>157</v>
      </c>
      <c r="B141">
        <v>75604747</v>
      </c>
      <c r="C141">
        <v>75605869</v>
      </c>
      <c r="D141">
        <v>74268214</v>
      </c>
      <c r="E141">
        <v>1</v>
      </c>
      <c r="F141">
        <v>1</v>
      </c>
      <c r="G141">
        <v>1</v>
      </c>
      <c r="H141">
        <v>3</v>
      </c>
      <c r="I141" t="s">
        <v>633</v>
      </c>
      <c r="J141" t="s">
        <v>634</v>
      </c>
      <c r="K141" t="s">
        <v>635</v>
      </c>
      <c r="L141">
        <v>1348</v>
      </c>
      <c r="N141">
        <v>1009</v>
      </c>
      <c r="O141" t="s">
        <v>174</v>
      </c>
      <c r="P141" t="s">
        <v>174</v>
      </c>
      <c r="Q141">
        <v>1000</v>
      </c>
      <c r="W141">
        <v>0</v>
      </c>
      <c r="X141">
        <v>506900767</v>
      </c>
      <c r="Y141">
        <f t="shared" si="80"/>
        <v>1.9400000000000001E-3</v>
      </c>
      <c r="AA141">
        <v>124451.6</v>
      </c>
      <c r="AB141">
        <v>0</v>
      </c>
      <c r="AC141">
        <v>0</v>
      </c>
      <c r="AD141">
        <v>0</v>
      </c>
      <c r="AE141">
        <v>136760</v>
      </c>
      <c r="AF141">
        <v>0</v>
      </c>
      <c r="AG141">
        <v>0</v>
      </c>
      <c r="AH141">
        <v>0</v>
      </c>
      <c r="AI141">
        <v>0.91</v>
      </c>
      <c r="AJ141">
        <v>1</v>
      </c>
      <c r="AK141">
        <v>1</v>
      </c>
      <c r="AL141">
        <v>1</v>
      </c>
      <c r="AM141">
        <v>2</v>
      </c>
      <c r="AN141">
        <v>0</v>
      </c>
      <c r="AO141">
        <v>0</v>
      </c>
      <c r="AP141">
        <v>1</v>
      </c>
      <c r="AQ141">
        <v>1</v>
      </c>
      <c r="AR141">
        <v>0</v>
      </c>
      <c r="AS141" t="s">
        <v>3</v>
      </c>
      <c r="AT141">
        <v>1.9400000000000001E-3</v>
      </c>
      <c r="AU141" t="s">
        <v>3</v>
      </c>
      <c r="AV141">
        <v>0</v>
      </c>
      <c r="AW141">
        <v>2</v>
      </c>
      <c r="AX141">
        <v>75605908</v>
      </c>
      <c r="AY141">
        <v>1</v>
      </c>
      <c r="AZ141">
        <v>0</v>
      </c>
      <c r="BA141">
        <v>148</v>
      </c>
      <c r="BB141">
        <v>1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265.31440000000003</v>
      </c>
      <c r="BK141">
        <v>0</v>
      </c>
      <c r="BL141">
        <v>0</v>
      </c>
      <c r="BM141">
        <v>0</v>
      </c>
      <c r="BN141">
        <v>0</v>
      </c>
      <c r="BO141">
        <v>0</v>
      </c>
      <c r="BP141">
        <v>1</v>
      </c>
      <c r="BQ141">
        <v>265.31440000000003</v>
      </c>
      <c r="BR141">
        <v>0</v>
      </c>
      <c r="BS141">
        <v>0</v>
      </c>
      <c r="BT141">
        <v>0</v>
      </c>
      <c r="BU141">
        <v>0</v>
      </c>
      <c r="BV141">
        <v>0</v>
      </c>
      <c r="BW141">
        <v>1</v>
      </c>
      <c r="CV141">
        <v>0</v>
      </c>
      <c r="CW141">
        <v>0</v>
      </c>
      <c r="CX141">
        <f>ROUND(Y141*Source!I157,7)</f>
        <v>3.1099999999999997E-5</v>
      </c>
      <c r="CY141">
        <f t="shared" si="81"/>
        <v>124451.6</v>
      </c>
      <c r="CZ141">
        <f t="shared" si="82"/>
        <v>136760</v>
      </c>
      <c r="DA141">
        <f t="shared" si="83"/>
        <v>0.91</v>
      </c>
      <c r="DB141">
        <f t="shared" si="84"/>
        <v>265.31</v>
      </c>
      <c r="DC141">
        <f t="shared" si="85"/>
        <v>0</v>
      </c>
      <c r="DD141" t="s">
        <v>3</v>
      </c>
      <c r="DE141" t="s">
        <v>3</v>
      </c>
      <c r="DF141">
        <f t="shared" si="87"/>
        <v>3.87</v>
      </c>
      <c r="DG141">
        <f t="shared" si="79"/>
        <v>0</v>
      </c>
      <c r="DH141">
        <f t="shared" si="77"/>
        <v>0</v>
      </c>
      <c r="DI141">
        <f t="shared" si="78"/>
        <v>0</v>
      </c>
      <c r="DJ141">
        <f t="shared" si="86"/>
        <v>3.87</v>
      </c>
      <c r="DK141">
        <v>0</v>
      </c>
      <c r="DL141" t="s">
        <v>3</v>
      </c>
      <c r="DM141">
        <v>0</v>
      </c>
      <c r="DN141" t="s">
        <v>3</v>
      </c>
      <c r="DO141">
        <v>0</v>
      </c>
    </row>
    <row r="142" spans="1:119" x14ac:dyDescent="0.25">
      <c r="A142">
        <f>ROW(Source!A157)</f>
        <v>157</v>
      </c>
      <c r="B142">
        <v>75604747</v>
      </c>
      <c r="C142">
        <v>75605869</v>
      </c>
      <c r="D142">
        <v>74269923</v>
      </c>
      <c r="E142">
        <v>1</v>
      </c>
      <c r="F142">
        <v>1</v>
      </c>
      <c r="G142">
        <v>1</v>
      </c>
      <c r="H142">
        <v>3</v>
      </c>
      <c r="I142" t="s">
        <v>636</v>
      </c>
      <c r="J142" t="s">
        <v>637</v>
      </c>
      <c r="K142" t="s">
        <v>638</v>
      </c>
      <c r="L142">
        <v>1339</v>
      </c>
      <c r="N142">
        <v>1007</v>
      </c>
      <c r="O142" t="s">
        <v>205</v>
      </c>
      <c r="P142" t="s">
        <v>205</v>
      </c>
      <c r="Q142">
        <v>1</v>
      </c>
      <c r="W142">
        <v>0</v>
      </c>
      <c r="X142">
        <v>1166267915</v>
      </c>
      <c r="Y142">
        <f t="shared" si="80"/>
        <v>1.0300000000000001E-3</v>
      </c>
      <c r="AA142">
        <v>12701.94</v>
      </c>
      <c r="AB142">
        <v>0</v>
      </c>
      <c r="AC142">
        <v>0</v>
      </c>
      <c r="AD142">
        <v>0</v>
      </c>
      <c r="AE142">
        <v>16496.03</v>
      </c>
      <c r="AF142">
        <v>0</v>
      </c>
      <c r="AG142">
        <v>0</v>
      </c>
      <c r="AH142">
        <v>0</v>
      </c>
      <c r="AI142">
        <v>0.77</v>
      </c>
      <c r="AJ142">
        <v>1</v>
      </c>
      <c r="AK142">
        <v>1</v>
      </c>
      <c r="AL142">
        <v>1</v>
      </c>
      <c r="AM142">
        <v>2</v>
      </c>
      <c r="AN142">
        <v>0</v>
      </c>
      <c r="AO142">
        <v>0</v>
      </c>
      <c r="AP142">
        <v>1</v>
      </c>
      <c r="AQ142">
        <v>1</v>
      </c>
      <c r="AR142">
        <v>0</v>
      </c>
      <c r="AS142" t="s">
        <v>3</v>
      </c>
      <c r="AT142">
        <v>1.0300000000000001E-3</v>
      </c>
      <c r="AU142" t="s">
        <v>3</v>
      </c>
      <c r="AV142">
        <v>0</v>
      </c>
      <c r="AW142">
        <v>2</v>
      </c>
      <c r="AX142">
        <v>75605909</v>
      </c>
      <c r="AY142">
        <v>1</v>
      </c>
      <c r="AZ142">
        <v>0</v>
      </c>
      <c r="BA142">
        <v>149</v>
      </c>
      <c r="BB142">
        <v>1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0</v>
      </c>
      <c r="BI142">
        <v>0</v>
      </c>
      <c r="BJ142">
        <v>16.990910899999999</v>
      </c>
      <c r="BK142">
        <v>0</v>
      </c>
      <c r="BL142">
        <v>0</v>
      </c>
      <c r="BM142">
        <v>0</v>
      </c>
      <c r="BN142">
        <v>0</v>
      </c>
      <c r="BO142">
        <v>0</v>
      </c>
      <c r="BP142">
        <v>1</v>
      </c>
      <c r="BQ142">
        <v>16.990910899999999</v>
      </c>
      <c r="BR142">
        <v>0</v>
      </c>
      <c r="BS142">
        <v>0</v>
      </c>
      <c r="BT142">
        <v>0</v>
      </c>
      <c r="BU142">
        <v>0</v>
      </c>
      <c r="BV142">
        <v>0</v>
      </c>
      <c r="BW142">
        <v>1</v>
      </c>
      <c r="CV142">
        <v>0</v>
      </c>
      <c r="CW142">
        <v>0</v>
      </c>
      <c r="CX142">
        <f>ROUND(Y142*Source!I157,7)</f>
        <v>1.6500000000000001E-5</v>
      </c>
      <c r="CY142">
        <f t="shared" si="81"/>
        <v>12701.94</v>
      </c>
      <c r="CZ142">
        <f t="shared" si="82"/>
        <v>16496.03</v>
      </c>
      <c r="DA142">
        <f t="shared" si="83"/>
        <v>0.77</v>
      </c>
      <c r="DB142">
        <f t="shared" si="84"/>
        <v>16.989999999999998</v>
      </c>
      <c r="DC142">
        <f t="shared" si="85"/>
        <v>0</v>
      </c>
      <c r="DD142" t="s">
        <v>3</v>
      </c>
      <c r="DE142" t="s">
        <v>3</v>
      </c>
      <c r="DF142">
        <f t="shared" si="87"/>
        <v>0.21</v>
      </c>
      <c r="DG142">
        <f t="shared" si="79"/>
        <v>0</v>
      </c>
      <c r="DH142">
        <f t="shared" si="77"/>
        <v>0</v>
      </c>
      <c r="DI142">
        <f t="shared" si="78"/>
        <v>0</v>
      </c>
      <c r="DJ142">
        <f t="shared" si="86"/>
        <v>0.21</v>
      </c>
      <c r="DK142">
        <v>0</v>
      </c>
      <c r="DL142" t="s">
        <v>3</v>
      </c>
      <c r="DM142">
        <v>0</v>
      </c>
      <c r="DN142" t="s">
        <v>3</v>
      </c>
      <c r="DO142">
        <v>0</v>
      </c>
    </row>
    <row r="143" spans="1:119" x14ac:dyDescent="0.25">
      <c r="A143">
        <f>ROW(Source!A157)</f>
        <v>157</v>
      </c>
      <c r="B143">
        <v>75604747</v>
      </c>
      <c r="C143">
        <v>75605869</v>
      </c>
      <c r="D143">
        <v>74277951</v>
      </c>
      <c r="E143">
        <v>1</v>
      </c>
      <c r="F143">
        <v>1</v>
      </c>
      <c r="G143">
        <v>1</v>
      </c>
      <c r="H143">
        <v>3</v>
      </c>
      <c r="I143" t="s">
        <v>639</v>
      </c>
      <c r="J143" t="s">
        <v>640</v>
      </c>
      <c r="K143" t="s">
        <v>641</v>
      </c>
      <c r="L143">
        <v>1348</v>
      </c>
      <c r="N143">
        <v>1009</v>
      </c>
      <c r="O143" t="s">
        <v>174</v>
      </c>
      <c r="P143" t="s">
        <v>174</v>
      </c>
      <c r="Q143">
        <v>1000</v>
      </c>
      <c r="W143">
        <v>0</v>
      </c>
      <c r="X143">
        <v>-490487806</v>
      </c>
      <c r="Y143">
        <f t="shared" si="80"/>
        <v>3.1E-4</v>
      </c>
      <c r="AA143">
        <v>81535.44</v>
      </c>
      <c r="AB143">
        <v>0</v>
      </c>
      <c r="AC143">
        <v>0</v>
      </c>
      <c r="AD143">
        <v>0</v>
      </c>
      <c r="AE143">
        <v>51280.15</v>
      </c>
      <c r="AF143">
        <v>0</v>
      </c>
      <c r="AG143">
        <v>0</v>
      </c>
      <c r="AH143">
        <v>0</v>
      </c>
      <c r="AI143">
        <v>1.59</v>
      </c>
      <c r="AJ143">
        <v>1</v>
      </c>
      <c r="AK143">
        <v>1</v>
      </c>
      <c r="AL143">
        <v>1</v>
      </c>
      <c r="AM143">
        <v>2</v>
      </c>
      <c r="AN143">
        <v>0</v>
      </c>
      <c r="AO143">
        <v>0</v>
      </c>
      <c r="AP143">
        <v>1</v>
      </c>
      <c r="AQ143">
        <v>1</v>
      </c>
      <c r="AR143">
        <v>0</v>
      </c>
      <c r="AS143" t="s">
        <v>3</v>
      </c>
      <c r="AT143">
        <v>3.1E-4</v>
      </c>
      <c r="AU143" t="s">
        <v>3</v>
      </c>
      <c r="AV143">
        <v>0</v>
      </c>
      <c r="AW143">
        <v>2</v>
      </c>
      <c r="AX143">
        <v>75605910</v>
      </c>
      <c r="AY143">
        <v>1</v>
      </c>
      <c r="AZ143">
        <v>0</v>
      </c>
      <c r="BA143">
        <v>150</v>
      </c>
      <c r="BB143">
        <v>1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0</v>
      </c>
      <c r="BI143">
        <v>0</v>
      </c>
      <c r="BJ143">
        <v>15.896846500000001</v>
      </c>
      <c r="BK143">
        <v>0</v>
      </c>
      <c r="BL143">
        <v>0</v>
      </c>
      <c r="BM143">
        <v>0</v>
      </c>
      <c r="BN143">
        <v>0</v>
      </c>
      <c r="BO143">
        <v>0</v>
      </c>
      <c r="BP143">
        <v>1</v>
      </c>
      <c r="BQ143">
        <v>15.896846500000001</v>
      </c>
      <c r="BR143">
        <v>0</v>
      </c>
      <c r="BS143">
        <v>0</v>
      </c>
      <c r="BT143">
        <v>0</v>
      </c>
      <c r="BU143">
        <v>0</v>
      </c>
      <c r="BV143">
        <v>0</v>
      </c>
      <c r="BW143">
        <v>1</v>
      </c>
      <c r="CV143">
        <v>0</v>
      </c>
      <c r="CW143">
        <v>0</v>
      </c>
      <c r="CX143">
        <f>ROUND(Y143*Source!I157,7)</f>
        <v>5.0000000000000004E-6</v>
      </c>
      <c r="CY143">
        <f t="shared" si="81"/>
        <v>81535.44</v>
      </c>
      <c r="CZ143">
        <f t="shared" si="82"/>
        <v>51280.15</v>
      </c>
      <c r="DA143">
        <f t="shared" si="83"/>
        <v>1.59</v>
      </c>
      <c r="DB143">
        <f t="shared" si="84"/>
        <v>15.9</v>
      </c>
      <c r="DC143">
        <f t="shared" si="85"/>
        <v>0</v>
      </c>
      <c r="DD143" t="s">
        <v>3</v>
      </c>
      <c r="DE143" t="s">
        <v>3</v>
      </c>
      <c r="DF143">
        <f t="shared" si="87"/>
        <v>0.41</v>
      </c>
      <c r="DG143">
        <f t="shared" si="79"/>
        <v>0</v>
      </c>
      <c r="DH143">
        <f t="shared" si="77"/>
        <v>0</v>
      </c>
      <c r="DI143">
        <f t="shared" si="78"/>
        <v>0</v>
      </c>
      <c r="DJ143">
        <f t="shared" si="86"/>
        <v>0.41</v>
      </c>
      <c r="DK143">
        <v>0</v>
      </c>
      <c r="DL143" t="s">
        <v>3</v>
      </c>
      <c r="DM143">
        <v>0</v>
      </c>
      <c r="DN143" t="s">
        <v>3</v>
      </c>
      <c r="DO143">
        <v>0</v>
      </c>
    </row>
    <row r="144" spans="1:119" x14ac:dyDescent="0.25">
      <c r="A144">
        <f>ROW(Source!A157)</f>
        <v>157</v>
      </c>
      <c r="B144">
        <v>75604747</v>
      </c>
      <c r="C144">
        <v>75605869</v>
      </c>
      <c r="D144">
        <v>74278428</v>
      </c>
      <c r="E144">
        <v>1</v>
      </c>
      <c r="F144">
        <v>1</v>
      </c>
      <c r="G144">
        <v>1</v>
      </c>
      <c r="H144">
        <v>3</v>
      </c>
      <c r="I144" t="s">
        <v>642</v>
      </c>
      <c r="J144" t="s">
        <v>643</v>
      </c>
      <c r="K144" t="s">
        <v>644</v>
      </c>
      <c r="L144">
        <v>1348</v>
      </c>
      <c r="N144">
        <v>1009</v>
      </c>
      <c r="O144" t="s">
        <v>174</v>
      </c>
      <c r="P144" t="s">
        <v>174</v>
      </c>
      <c r="Q144">
        <v>1000</v>
      </c>
      <c r="W144">
        <v>0</v>
      </c>
      <c r="X144">
        <v>-970634170</v>
      </c>
      <c r="Y144">
        <f t="shared" si="80"/>
        <v>5.9999999999999995E-4</v>
      </c>
      <c r="AA144">
        <v>146804.41</v>
      </c>
      <c r="AB144">
        <v>0</v>
      </c>
      <c r="AC144">
        <v>0</v>
      </c>
      <c r="AD144">
        <v>0</v>
      </c>
      <c r="AE144">
        <v>98526.45</v>
      </c>
      <c r="AF144">
        <v>0</v>
      </c>
      <c r="AG144">
        <v>0</v>
      </c>
      <c r="AH144">
        <v>0</v>
      </c>
      <c r="AI144">
        <v>1.49</v>
      </c>
      <c r="AJ144">
        <v>1</v>
      </c>
      <c r="AK144">
        <v>1</v>
      </c>
      <c r="AL144">
        <v>1</v>
      </c>
      <c r="AM144">
        <v>2</v>
      </c>
      <c r="AN144">
        <v>0</v>
      </c>
      <c r="AO144">
        <v>0</v>
      </c>
      <c r="AP144">
        <v>1</v>
      </c>
      <c r="AQ144">
        <v>1</v>
      </c>
      <c r="AR144">
        <v>0</v>
      </c>
      <c r="AS144" t="s">
        <v>3</v>
      </c>
      <c r="AT144">
        <v>5.9999999999999995E-4</v>
      </c>
      <c r="AU144" t="s">
        <v>3</v>
      </c>
      <c r="AV144">
        <v>0</v>
      </c>
      <c r="AW144">
        <v>2</v>
      </c>
      <c r="AX144">
        <v>75605911</v>
      </c>
      <c r="AY144">
        <v>1</v>
      </c>
      <c r="AZ144">
        <v>0</v>
      </c>
      <c r="BA144">
        <v>151</v>
      </c>
      <c r="BB144">
        <v>1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0</v>
      </c>
      <c r="BI144">
        <v>0</v>
      </c>
      <c r="BJ144">
        <v>59.115869999999994</v>
      </c>
      <c r="BK144">
        <v>0</v>
      </c>
      <c r="BL144">
        <v>0</v>
      </c>
      <c r="BM144">
        <v>0</v>
      </c>
      <c r="BN144">
        <v>0</v>
      </c>
      <c r="BO144">
        <v>0</v>
      </c>
      <c r="BP144">
        <v>1</v>
      </c>
      <c r="BQ144">
        <v>59.115869999999994</v>
      </c>
      <c r="BR144">
        <v>0</v>
      </c>
      <c r="BS144">
        <v>0</v>
      </c>
      <c r="BT144">
        <v>0</v>
      </c>
      <c r="BU144">
        <v>0</v>
      </c>
      <c r="BV144">
        <v>0</v>
      </c>
      <c r="BW144">
        <v>1</v>
      </c>
      <c r="CV144">
        <v>0</v>
      </c>
      <c r="CW144">
        <v>0</v>
      </c>
      <c r="CX144">
        <f>ROUND(Y144*Source!I157,7)</f>
        <v>9.5999999999999996E-6</v>
      </c>
      <c r="CY144">
        <f t="shared" si="81"/>
        <v>146804.41</v>
      </c>
      <c r="CZ144">
        <f t="shared" si="82"/>
        <v>98526.45</v>
      </c>
      <c r="DA144">
        <f t="shared" si="83"/>
        <v>1.49</v>
      </c>
      <c r="DB144">
        <f t="shared" si="84"/>
        <v>59.12</v>
      </c>
      <c r="DC144">
        <f t="shared" si="85"/>
        <v>0</v>
      </c>
      <c r="DD144" t="s">
        <v>3</v>
      </c>
      <c r="DE144" t="s">
        <v>3</v>
      </c>
      <c r="DF144">
        <f t="shared" si="87"/>
        <v>1.41</v>
      </c>
      <c r="DG144">
        <f t="shared" si="79"/>
        <v>0</v>
      </c>
      <c r="DH144">
        <f t="shared" si="77"/>
        <v>0</v>
      </c>
      <c r="DI144">
        <f t="shared" si="78"/>
        <v>0</v>
      </c>
      <c r="DJ144">
        <f t="shared" si="86"/>
        <v>1.41</v>
      </c>
      <c r="DK144">
        <v>0</v>
      </c>
      <c r="DL144" t="s">
        <v>3</v>
      </c>
      <c r="DM144">
        <v>0</v>
      </c>
      <c r="DN144" t="s">
        <v>3</v>
      </c>
      <c r="DO144">
        <v>0</v>
      </c>
    </row>
    <row r="145" spans="1:119" x14ac:dyDescent="0.25">
      <c r="A145">
        <f>ROW(Source!A160)</f>
        <v>160</v>
      </c>
      <c r="B145">
        <v>75604747</v>
      </c>
      <c r="C145">
        <v>75605616</v>
      </c>
      <c r="D145">
        <v>74182287</v>
      </c>
      <c r="E145">
        <v>118</v>
      </c>
      <c r="F145">
        <v>1</v>
      </c>
      <c r="G145">
        <v>1</v>
      </c>
      <c r="H145">
        <v>1</v>
      </c>
      <c r="I145" t="s">
        <v>645</v>
      </c>
      <c r="J145" t="s">
        <v>3</v>
      </c>
      <c r="K145" t="s">
        <v>646</v>
      </c>
      <c r="L145">
        <v>1191</v>
      </c>
      <c r="N145">
        <v>1013</v>
      </c>
      <c r="O145" t="s">
        <v>501</v>
      </c>
      <c r="P145" t="s">
        <v>501</v>
      </c>
      <c r="Q145">
        <v>1</v>
      </c>
      <c r="W145">
        <v>0</v>
      </c>
      <c r="X145">
        <v>888410196</v>
      </c>
      <c r="Y145">
        <f>(AT145*ROUND((0.15+1),7))</f>
        <v>97.06</v>
      </c>
      <c r="AA145">
        <v>0</v>
      </c>
      <c r="AB145">
        <v>0</v>
      </c>
      <c r="AC145">
        <v>0</v>
      </c>
      <c r="AD145">
        <v>368.02</v>
      </c>
      <c r="AE145">
        <v>0</v>
      </c>
      <c r="AF145">
        <v>0</v>
      </c>
      <c r="AG145">
        <v>0</v>
      </c>
      <c r="AH145">
        <v>368.02</v>
      </c>
      <c r="AI145">
        <v>1</v>
      </c>
      <c r="AJ145">
        <v>1</v>
      </c>
      <c r="AK145">
        <v>1</v>
      </c>
      <c r="AL145">
        <v>1</v>
      </c>
      <c r="AM145">
        <v>-2</v>
      </c>
      <c r="AN145">
        <v>0</v>
      </c>
      <c r="AO145">
        <v>0</v>
      </c>
      <c r="AP145">
        <v>1</v>
      </c>
      <c r="AQ145">
        <v>1</v>
      </c>
      <c r="AR145">
        <v>0</v>
      </c>
      <c r="AS145" t="s">
        <v>3</v>
      </c>
      <c r="AT145">
        <v>84.4</v>
      </c>
      <c r="AU145" t="s">
        <v>27</v>
      </c>
      <c r="AV145">
        <v>1</v>
      </c>
      <c r="AW145">
        <v>2</v>
      </c>
      <c r="AX145">
        <v>75605617</v>
      </c>
      <c r="AY145">
        <v>1</v>
      </c>
      <c r="AZ145">
        <v>0</v>
      </c>
      <c r="BA145">
        <v>152</v>
      </c>
      <c r="BB145">
        <v>1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0</v>
      </c>
      <c r="BK145">
        <v>0</v>
      </c>
      <c r="BL145">
        <v>0</v>
      </c>
      <c r="BM145">
        <v>31060.887999999999</v>
      </c>
      <c r="BN145">
        <v>84.4</v>
      </c>
      <c r="BO145">
        <v>0</v>
      </c>
      <c r="BP145">
        <v>1</v>
      </c>
      <c r="BQ145">
        <v>0</v>
      </c>
      <c r="BR145">
        <v>0</v>
      </c>
      <c r="BS145">
        <v>0</v>
      </c>
      <c r="BT145">
        <v>35720.021199999996</v>
      </c>
      <c r="BU145">
        <v>97.06</v>
      </c>
      <c r="BV145">
        <v>0</v>
      </c>
      <c r="BW145">
        <v>1</v>
      </c>
      <c r="CU145">
        <f>ROUND(AT145*Source!I160*AH145*AL145,2)</f>
        <v>14909.23</v>
      </c>
      <c r="CV145">
        <f>ROUND(Y145*Source!I160,7)</f>
        <v>46.588799999999999</v>
      </c>
      <c r="CW145">
        <v>0</v>
      </c>
      <c r="CX145">
        <f>ROUND(Y145*Source!I160,7)</f>
        <v>46.588799999999999</v>
      </c>
      <c r="CY145">
        <f>AD145</f>
        <v>368.02</v>
      </c>
      <c r="CZ145">
        <f>AH145</f>
        <v>368.02</v>
      </c>
      <c r="DA145">
        <f>AL145</f>
        <v>1</v>
      </c>
      <c r="DB145">
        <f>ROUND((ROUND(AT145*CZ145,2)*ROUND((0.15+1),7)),6)</f>
        <v>35720.023500000003</v>
      </c>
      <c r="DC145">
        <f>ROUND((ROUND(AT145*AG145,2)*ROUND((0.15+1),7)),6)</f>
        <v>0</v>
      </c>
      <c r="DD145" t="s">
        <v>3</v>
      </c>
      <c r="DE145" t="s">
        <v>3</v>
      </c>
      <c r="DF145">
        <f>ROUND(ROUND(AE145,2)*CX145,2)</f>
        <v>0</v>
      </c>
      <c r="DG145">
        <f t="shared" si="79"/>
        <v>0</v>
      </c>
      <c r="DH145">
        <f t="shared" si="77"/>
        <v>0</v>
      </c>
      <c r="DI145">
        <f t="shared" si="78"/>
        <v>17145.61</v>
      </c>
      <c r="DJ145">
        <f>DI145</f>
        <v>17145.61</v>
      </c>
      <c r="DK145">
        <v>1</v>
      </c>
      <c r="DL145" t="s">
        <v>3</v>
      </c>
      <c r="DM145">
        <v>0</v>
      </c>
      <c r="DN145" t="s">
        <v>3</v>
      </c>
      <c r="DO145">
        <v>0</v>
      </c>
    </row>
    <row r="146" spans="1:119" x14ac:dyDescent="0.25">
      <c r="A146">
        <f>ROW(Source!A160)</f>
        <v>160</v>
      </c>
      <c r="B146">
        <v>75604747</v>
      </c>
      <c r="C146">
        <v>75605616</v>
      </c>
      <c r="D146">
        <v>74182464</v>
      </c>
      <c r="E146">
        <v>118</v>
      </c>
      <c r="F146">
        <v>1</v>
      </c>
      <c r="G146">
        <v>1</v>
      </c>
      <c r="H146">
        <v>1</v>
      </c>
      <c r="I146" t="s">
        <v>504</v>
      </c>
      <c r="J146" t="s">
        <v>3</v>
      </c>
      <c r="K146" t="s">
        <v>505</v>
      </c>
      <c r="L146">
        <v>1191</v>
      </c>
      <c r="N146">
        <v>1013</v>
      </c>
      <c r="O146" t="s">
        <v>501</v>
      </c>
      <c r="P146" t="s">
        <v>501</v>
      </c>
      <c r="Q146">
        <v>1</v>
      </c>
      <c r="W146">
        <v>0</v>
      </c>
      <c r="X146">
        <v>-1417349443</v>
      </c>
      <c r="Y146">
        <f>(AT146*ROUND((0.15+1),7))</f>
        <v>0.19550000000000001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1</v>
      </c>
      <c r="AJ146">
        <v>1</v>
      </c>
      <c r="AK146">
        <v>1</v>
      </c>
      <c r="AL146">
        <v>1</v>
      </c>
      <c r="AM146">
        <v>-2</v>
      </c>
      <c r="AN146">
        <v>0</v>
      </c>
      <c r="AO146">
        <v>0</v>
      </c>
      <c r="AP146">
        <v>1</v>
      </c>
      <c r="AQ146">
        <v>1</v>
      </c>
      <c r="AR146">
        <v>0</v>
      </c>
      <c r="AS146" t="s">
        <v>3</v>
      </c>
      <c r="AT146">
        <v>0.17</v>
      </c>
      <c r="AU146" t="s">
        <v>27</v>
      </c>
      <c r="AV146">
        <v>2</v>
      </c>
      <c r="AW146">
        <v>2</v>
      </c>
      <c r="AX146">
        <v>75605618</v>
      </c>
      <c r="AY146">
        <v>1</v>
      </c>
      <c r="AZ146">
        <v>0</v>
      </c>
      <c r="BA146">
        <v>153</v>
      </c>
      <c r="BB146">
        <v>1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0</v>
      </c>
      <c r="BI146">
        <v>0</v>
      </c>
      <c r="BJ146">
        <v>0</v>
      </c>
      <c r="BK146">
        <v>0</v>
      </c>
      <c r="BL146">
        <v>0</v>
      </c>
      <c r="BM146">
        <v>0</v>
      </c>
      <c r="BN146">
        <v>0</v>
      </c>
      <c r="BO146">
        <v>0</v>
      </c>
      <c r="BP146">
        <v>0</v>
      </c>
      <c r="BQ146">
        <v>0</v>
      </c>
      <c r="BR146">
        <v>0</v>
      </c>
      <c r="BS146">
        <v>0</v>
      </c>
      <c r="BT146">
        <v>0</v>
      </c>
      <c r="BU146">
        <v>0</v>
      </c>
      <c r="BV146">
        <v>0</v>
      </c>
      <c r="BW146">
        <v>0</v>
      </c>
      <c r="CV146">
        <v>0</v>
      </c>
      <c r="CW146">
        <v>0</v>
      </c>
      <c r="CX146">
        <f>ROUND(Y146*Source!I160,7)</f>
        <v>9.3840000000000007E-2</v>
      </c>
      <c r="CY146">
        <f>AD146</f>
        <v>0</v>
      </c>
      <c r="CZ146">
        <f>AH146</f>
        <v>0</v>
      </c>
      <c r="DA146">
        <f>AL146</f>
        <v>1</v>
      </c>
      <c r="DB146">
        <f>ROUND((ROUND(AT146*CZ146,2)*ROUND((0.15+1),7)),6)</f>
        <v>0</v>
      </c>
      <c r="DC146">
        <f>ROUND((ROUND(AT146*AG146,2)*ROUND((0.15+1),7)),6)</f>
        <v>0</v>
      </c>
      <c r="DD146" t="s">
        <v>3</v>
      </c>
      <c r="DE146" t="s">
        <v>3</v>
      </c>
      <c r="DF146">
        <f>ROUND(ROUND(AE146,2)*CX146,2)</f>
        <v>0</v>
      </c>
      <c r="DG146">
        <f t="shared" si="79"/>
        <v>0</v>
      </c>
      <c r="DH146">
        <f t="shared" si="77"/>
        <v>0</v>
      </c>
      <c r="DI146">
        <f t="shared" si="78"/>
        <v>0</v>
      </c>
      <c r="DJ146">
        <f>DI146</f>
        <v>0</v>
      </c>
      <c r="DK146">
        <v>0</v>
      </c>
      <c r="DL146" t="s">
        <v>3</v>
      </c>
      <c r="DM146">
        <v>0</v>
      </c>
      <c r="DN146" t="s">
        <v>3</v>
      </c>
      <c r="DO146">
        <v>0</v>
      </c>
    </row>
    <row r="147" spans="1:119" x14ac:dyDescent="0.25">
      <c r="A147">
        <f>ROW(Source!A160)</f>
        <v>160</v>
      </c>
      <c r="B147">
        <v>75604747</v>
      </c>
      <c r="C147">
        <v>75605616</v>
      </c>
      <c r="D147">
        <v>74309047</v>
      </c>
      <c r="E147">
        <v>1</v>
      </c>
      <c r="F147">
        <v>1</v>
      </c>
      <c r="G147">
        <v>1</v>
      </c>
      <c r="H147">
        <v>2</v>
      </c>
      <c r="I147" t="s">
        <v>647</v>
      </c>
      <c r="J147" t="s">
        <v>648</v>
      </c>
      <c r="K147" t="s">
        <v>649</v>
      </c>
      <c r="L147">
        <v>1368</v>
      </c>
      <c r="N147">
        <v>1011</v>
      </c>
      <c r="O147" t="s">
        <v>509</v>
      </c>
      <c r="P147" t="s">
        <v>509</v>
      </c>
      <c r="Q147">
        <v>1</v>
      </c>
      <c r="W147">
        <v>0</v>
      </c>
      <c r="X147">
        <v>-708290275</v>
      </c>
      <c r="Y147">
        <f>(AT147*ROUND((0.15+1),7))</f>
        <v>29.991999999999997</v>
      </c>
      <c r="AA147">
        <v>0</v>
      </c>
      <c r="AB147">
        <v>2.13</v>
      </c>
      <c r="AC147">
        <v>0</v>
      </c>
      <c r="AD147">
        <v>0</v>
      </c>
      <c r="AE147">
        <v>0</v>
      </c>
      <c r="AF147">
        <v>1.4</v>
      </c>
      <c r="AG147">
        <v>0</v>
      </c>
      <c r="AH147">
        <v>0</v>
      </c>
      <c r="AI147">
        <v>1</v>
      </c>
      <c r="AJ147">
        <v>1.52</v>
      </c>
      <c r="AK147">
        <v>1</v>
      </c>
      <c r="AL147">
        <v>1</v>
      </c>
      <c r="AM147">
        <v>2</v>
      </c>
      <c r="AN147">
        <v>0</v>
      </c>
      <c r="AO147">
        <v>0</v>
      </c>
      <c r="AP147">
        <v>1</v>
      </c>
      <c r="AQ147">
        <v>1</v>
      </c>
      <c r="AR147">
        <v>0</v>
      </c>
      <c r="AS147" t="s">
        <v>3</v>
      </c>
      <c r="AT147">
        <v>26.08</v>
      </c>
      <c r="AU147" t="s">
        <v>27</v>
      </c>
      <c r="AV147">
        <v>1</v>
      </c>
      <c r="AW147">
        <v>2</v>
      </c>
      <c r="AX147">
        <v>75605619</v>
      </c>
      <c r="AY147">
        <v>1</v>
      </c>
      <c r="AZ147">
        <v>0</v>
      </c>
      <c r="BA147">
        <v>154</v>
      </c>
      <c r="BB147">
        <v>1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0</v>
      </c>
      <c r="BI147">
        <v>0</v>
      </c>
      <c r="BJ147">
        <v>0</v>
      </c>
      <c r="BK147">
        <v>36.511999999999993</v>
      </c>
      <c r="BL147">
        <v>0</v>
      </c>
      <c r="BM147">
        <v>0</v>
      </c>
      <c r="BN147">
        <v>0</v>
      </c>
      <c r="BO147">
        <v>0</v>
      </c>
      <c r="BP147">
        <v>1</v>
      </c>
      <c r="BQ147">
        <v>0</v>
      </c>
      <c r="BR147">
        <v>41.988799999999991</v>
      </c>
      <c r="BS147">
        <v>0</v>
      </c>
      <c r="BT147">
        <v>0</v>
      </c>
      <c r="BU147">
        <v>0</v>
      </c>
      <c r="BV147">
        <v>0</v>
      </c>
      <c r="BW147">
        <v>1</v>
      </c>
      <c r="CV147">
        <v>0</v>
      </c>
      <c r="CW147">
        <f>ROUND(Y147*Source!I160*DO147,7)</f>
        <v>0</v>
      </c>
      <c r="CX147">
        <f>ROUND(Y147*Source!I160,7)</f>
        <v>14.39616</v>
      </c>
      <c r="CY147">
        <f>AB147</f>
        <v>2.13</v>
      </c>
      <c r="CZ147">
        <f>AF147</f>
        <v>1.4</v>
      </c>
      <c r="DA147">
        <f>AJ147</f>
        <v>1.52</v>
      </c>
      <c r="DB147">
        <f>ROUND((ROUND(AT147*CZ147,2)*ROUND((0.15+1),7)),6)</f>
        <v>41.986499999999999</v>
      </c>
      <c r="DC147">
        <f>ROUND((ROUND(AT147*AG147,2)*ROUND((0.15+1),7)),6)</f>
        <v>0</v>
      </c>
      <c r="DD147" t="s">
        <v>3</v>
      </c>
      <c r="DE147" t="s">
        <v>3</v>
      </c>
      <c r="DF147">
        <f>ROUND(ROUND(AE147,2)*CX147,2)</f>
        <v>0</v>
      </c>
      <c r="DG147">
        <f>ROUND(ROUND(AF147*AJ147,2)*CX147,2)</f>
        <v>30.66</v>
      </c>
      <c r="DH147">
        <f t="shared" si="77"/>
        <v>0</v>
      </c>
      <c r="DI147">
        <f t="shared" si="78"/>
        <v>0</v>
      </c>
      <c r="DJ147">
        <f>DG147+DH147</f>
        <v>30.66</v>
      </c>
      <c r="DK147">
        <v>0</v>
      </c>
      <c r="DL147" t="s">
        <v>3</v>
      </c>
      <c r="DM147">
        <v>0</v>
      </c>
      <c r="DN147" t="s">
        <v>3</v>
      </c>
      <c r="DO147">
        <v>0</v>
      </c>
    </row>
    <row r="148" spans="1:119" x14ac:dyDescent="0.25">
      <c r="A148">
        <f>ROW(Source!A160)</f>
        <v>160</v>
      </c>
      <c r="B148">
        <v>75604747</v>
      </c>
      <c r="C148">
        <v>75605616</v>
      </c>
      <c r="D148">
        <v>74309824</v>
      </c>
      <c r="E148">
        <v>1</v>
      </c>
      <c r="F148">
        <v>1</v>
      </c>
      <c r="G148">
        <v>1</v>
      </c>
      <c r="H148">
        <v>2</v>
      </c>
      <c r="I148" t="s">
        <v>527</v>
      </c>
      <c r="J148" t="s">
        <v>528</v>
      </c>
      <c r="K148" t="s">
        <v>529</v>
      </c>
      <c r="L148">
        <v>1368</v>
      </c>
      <c r="N148">
        <v>1011</v>
      </c>
      <c r="O148" t="s">
        <v>509</v>
      </c>
      <c r="P148" t="s">
        <v>509</v>
      </c>
      <c r="Q148">
        <v>1</v>
      </c>
      <c r="W148">
        <v>0</v>
      </c>
      <c r="X148">
        <v>-312038840</v>
      </c>
      <c r="Y148">
        <f>(AT148*ROUND((0.15+1),7))</f>
        <v>0.19550000000000001</v>
      </c>
      <c r="AA148">
        <v>0</v>
      </c>
      <c r="AB148">
        <v>551.45000000000005</v>
      </c>
      <c r="AC148">
        <v>368.02</v>
      </c>
      <c r="AD148">
        <v>0</v>
      </c>
      <c r="AE148">
        <v>0</v>
      </c>
      <c r="AF148">
        <v>551.45000000000005</v>
      </c>
      <c r="AG148">
        <v>368.02</v>
      </c>
      <c r="AH148">
        <v>0</v>
      </c>
      <c r="AI148">
        <v>1</v>
      </c>
      <c r="AJ148">
        <v>1</v>
      </c>
      <c r="AK148">
        <v>1</v>
      </c>
      <c r="AL148">
        <v>1</v>
      </c>
      <c r="AM148">
        <v>-2</v>
      </c>
      <c r="AN148">
        <v>0</v>
      </c>
      <c r="AO148">
        <v>0</v>
      </c>
      <c r="AP148">
        <v>1</v>
      </c>
      <c r="AQ148">
        <v>1</v>
      </c>
      <c r="AR148">
        <v>0</v>
      </c>
      <c r="AS148" t="s">
        <v>3</v>
      </c>
      <c r="AT148">
        <v>0.17</v>
      </c>
      <c r="AU148" t="s">
        <v>27</v>
      </c>
      <c r="AV148">
        <v>1</v>
      </c>
      <c r="AW148">
        <v>2</v>
      </c>
      <c r="AX148">
        <v>75605620</v>
      </c>
      <c r="AY148">
        <v>1</v>
      </c>
      <c r="AZ148">
        <v>0</v>
      </c>
      <c r="BA148">
        <v>155</v>
      </c>
      <c r="BB148">
        <v>1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0</v>
      </c>
      <c r="BI148">
        <v>0</v>
      </c>
      <c r="BJ148">
        <v>0</v>
      </c>
      <c r="BK148">
        <v>93.746500000000012</v>
      </c>
      <c r="BL148">
        <v>62.563400000000001</v>
      </c>
      <c r="BM148">
        <v>0</v>
      </c>
      <c r="BN148">
        <v>0</v>
      </c>
      <c r="BO148">
        <v>0.17</v>
      </c>
      <c r="BP148">
        <v>1</v>
      </c>
      <c r="BQ148">
        <v>0</v>
      </c>
      <c r="BR148">
        <v>107.80847500000002</v>
      </c>
      <c r="BS148">
        <v>71.947909999999993</v>
      </c>
      <c r="BT148">
        <v>0</v>
      </c>
      <c r="BU148">
        <v>0</v>
      </c>
      <c r="BV148">
        <v>0.19550000000000001</v>
      </c>
      <c r="BW148">
        <v>1</v>
      </c>
      <c r="CV148">
        <v>0</v>
      </c>
      <c r="CW148">
        <f>ROUND(Y148*Source!I160*DO148,7)</f>
        <v>9.3840000000000007E-2</v>
      </c>
      <c r="CX148">
        <f>ROUND(Y148*Source!I160,7)</f>
        <v>9.3840000000000007E-2</v>
      </c>
      <c r="CY148">
        <f>AB148</f>
        <v>551.45000000000005</v>
      </c>
      <c r="CZ148">
        <f>AF148</f>
        <v>551.45000000000005</v>
      </c>
      <c r="DA148">
        <f>AJ148</f>
        <v>1</v>
      </c>
      <c r="DB148">
        <f>ROUND((ROUND(AT148*CZ148,2)*ROUND((0.15+1),7)),6)</f>
        <v>107.8125</v>
      </c>
      <c r="DC148">
        <f>ROUND((ROUND(AT148*AG148,2)*ROUND((0.15+1),7)),6)</f>
        <v>71.944000000000003</v>
      </c>
      <c r="DD148" t="s">
        <v>3</v>
      </c>
      <c r="DE148" t="s">
        <v>3</v>
      </c>
      <c r="DF148">
        <f>ROUND(ROUND(AE148,2)*CX148,2)</f>
        <v>0</v>
      </c>
      <c r="DG148">
        <f t="shared" ref="DG148:DG153" si="88">ROUND(ROUND(AF148,2)*CX148,2)</f>
        <v>51.75</v>
      </c>
      <c r="DH148">
        <f t="shared" si="77"/>
        <v>34.53</v>
      </c>
      <c r="DI148">
        <f t="shared" si="78"/>
        <v>0</v>
      </c>
      <c r="DJ148">
        <f>DG148+DH148</f>
        <v>86.28</v>
      </c>
      <c r="DK148">
        <v>1</v>
      </c>
      <c r="DL148" t="s">
        <v>522</v>
      </c>
      <c r="DM148">
        <v>4</v>
      </c>
      <c r="DN148" t="s">
        <v>501</v>
      </c>
      <c r="DO148">
        <v>1</v>
      </c>
    </row>
    <row r="149" spans="1:119" x14ac:dyDescent="0.25">
      <c r="A149">
        <f>ROW(Source!A160)</f>
        <v>160</v>
      </c>
      <c r="B149">
        <v>75604747</v>
      </c>
      <c r="C149">
        <v>75605616</v>
      </c>
      <c r="D149">
        <v>74257021</v>
      </c>
      <c r="E149">
        <v>1</v>
      </c>
      <c r="F149">
        <v>1</v>
      </c>
      <c r="G149">
        <v>1</v>
      </c>
      <c r="H149">
        <v>3</v>
      </c>
      <c r="I149" t="s">
        <v>650</v>
      </c>
      <c r="J149" t="s">
        <v>651</v>
      </c>
      <c r="K149" t="s">
        <v>652</v>
      </c>
      <c r="L149">
        <v>1346</v>
      </c>
      <c r="N149">
        <v>1009</v>
      </c>
      <c r="O149" t="s">
        <v>240</v>
      </c>
      <c r="P149" t="s">
        <v>240</v>
      </c>
      <c r="Q149">
        <v>1</v>
      </c>
      <c r="W149">
        <v>0</v>
      </c>
      <c r="X149">
        <v>-1881778700</v>
      </c>
      <c r="Y149">
        <f>(AT149*ROUND(0,7))</f>
        <v>0</v>
      </c>
      <c r="AA149">
        <v>90.72</v>
      </c>
      <c r="AB149">
        <v>0</v>
      </c>
      <c r="AC149">
        <v>0</v>
      </c>
      <c r="AD149">
        <v>0</v>
      </c>
      <c r="AE149">
        <v>58.53</v>
      </c>
      <c r="AF149">
        <v>0</v>
      </c>
      <c r="AG149">
        <v>0</v>
      </c>
      <c r="AH149">
        <v>0</v>
      </c>
      <c r="AI149">
        <v>1.55</v>
      </c>
      <c r="AJ149">
        <v>1</v>
      </c>
      <c r="AK149">
        <v>1</v>
      </c>
      <c r="AL149">
        <v>1</v>
      </c>
      <c r="AM149">
        <v>2</v>
      </c>
      <c r="AN149">
        <v>0</v>
      </c>
      <c r="AO149">
        <v>0</v>
      </c>
      <c r="AP149">
        <v>1</v>
      </c>
      <c r="AQ149">
        <v>1</v>
      </c>
      <c r="AR149">
        <v>0</v>
      </c>
      <c r="AS149" t="s">
        <v>3</v>
      </c>
      <c r="AT149">
        <v>3.7</v>
      </c>
      <c r="AU149" t="s">
        <v>178</v>
      </c>
      <c r="AV149">
        <v>0</v>
      </c>
      <c r="AW149">
        <v>2</v>
      </c>
      <c r="AX149">
        <v>75605621</v>
      </c>
      <c r="AY149">
        <v>1</v>
      </c>
      <c r="AZ149">
        <v>0</v>
      </c>
      <c r="BA149">
        <v>156</v>
      </c>
      <c r="BB149">
        <v>1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0</v>
      </c>
      <c r="BI149">
        <v>0</v>
      </c>
      <c r="BJ149">
        <v>216.56100000000001</v>
      </c>
      <c r="BK149">
        <v>0</v>
      </c>
      <c r="BL149">
        <v>0</v>
      </c>
      <c r="BM149">
        <v>0</v>
      </c>
      <c r="BN149">
        <v>0</v>
      </c>
      <c r="BO149">
        <v>0</v>
      </c>
      <c r="BP149">
        <v>1</v>
      </c>
      <c r="BQ149">
        <v>0</v>
      </c>
      <c r="BR149">
        <v>0</v>
      </c>
      <c r="BS149">
        <v>0</v>
      </c>
      <c r="BT149">
        <v>0</v>
      </c>
      <c r="BU149">
        <v>0</v>
      </c>
      <c r="BV149">
        <v>0</v>
      </c>
      <c r="BW149">
        <v>0</v>
      </c>
      <c r="CV149">
        <v>0</v>
      </c>
      <c r="CW149">
        <v>0</v>
      </c>
      <c r="CX149">
        <f>ROUND(Y149*Source!I160,7)</f>
        <v>0</v>
      </c>
      <c r="CY149">
        <f>AA149</f>
        <v>90.72</v>
      </c>
      <c r="CZ149">
        <f>AE149</f>
        <v>58.53</v>
      </c>
      <c r="DA149">
        <f>AI149</f>
        <v>1.55</v>
      </c>
      <c r="DB149">
        <f>ROUND((ROUND(AT149*CZ149,2)*ROUND(0,7)),6)</f>
        <v>0</v>
      </c>
      <c r="DC149">
        <f>ROUND((ROUND(AT149*AG149,2)*ROUND(0,7)),6)</f>
        <v>0</v>
      </c>
      <c r="DD149" t="s">
        <v>3</v>
      </c>
      <c r="DE149" t="s">
        <v>3</v>
      </c>
      <c r="DF149">
        <f>ROUND(ROUND(AE149*AI149,2)*CX149,2)</f>
        <v>0</v>
      </c>
      <c r="DG149">
        <f t="shared" si="88"/>
        <v>0</v>
      </c>
      <c r="DH149">
        <f t="shared" si="77"/>
        <v>0</v>
      </c>
      <c r="DI149">
        <f t="shared" si="78"/>
        <v>0</v>
      </c>
      <c r="DJ149">
        <f>DF149</f>
        <v>0</v>
      </c>
      <c r="DK149">
        <v>0</v>
      </c>
      <c r="DL149" t="s">
        <v>3</v>
      </c>
      <c r="DM149">
        <v>0</v>
      </c>
      <c r="DN149" t="s">
        <v>3</v>
      </c>
      <c r="DO149">
        <v>0</v>
      </c>
    </row>
    <row r="150" spans="1:119" x14ac:dyDescent="0.25">
      <c r="A150">
        <f>ROW(Source!A160)</f>
        <v>160</v>
      </c>
      <c r="B150">
        <v>75604747</v>
      </c>
      <c r="C150">
        <v>75605616</v>
      </c>
      <c r="D150">
        <v>74261529</v>
      </c>
      <c r="E150">
        <v>1</v>
      </c>
      <c r="F150">
        <v>1</v>
      </c>
      <c r="G150">
        <v>1</v>
      </c>
      <c r="H150">
        <v>3</v>
      </c>
      <c r="I150" t="s">
        <v>653</v>
      </c>
      <c r="J150" t="s">
        <v>654</v>
      </c>
      <c r="K150" t="s">
        <v>655</v>
      </c>
      <c r="L150">
        <v>1346</v>
      </c>
      <c r="N150">
        <v>1009</v>
      </c>
      <c r="O150" t="s">
        <v>240</v>
      </c>
      <c r="P150" t="s">
        <v>240</v>
      </c>
      <c r="Q150">
        <v>1</v>
      </c>
      <c r="W150">
        <v>0</v>
      </c>
      <c r="X150">
        <v>1012565652</v>
      </c>
      <c r="Y150">
        <f>(AT150*ROUND(0,7))</f>
        <v>0</v>
      </c>
      <c r="AA150">
        <v>131.93</v>
      </c>
      <c r="AB150">
        <v>0</v>
      </c>
      <c r="AC150">
        <v>0</v>
      </c>
      <c r="AD150">
        <v>0</v>
      </c>
      <c r="AE150">
        <v>89.75</v>
      </c>
      <c r="AF150">
        <v>0</v>
      </c>
      <c r="AG150">
        <v>0</v>
      </c>
      <c r="AH150">
        <v>0</v>
      </c>
      <c r="AI150">
        <v>1.47</v>
      </c>
      <c r="AJ150">
        <v>1</v>
      </c>
      <c r="AK150">
        <v>1</v>
      </c>
      <c r="AL150">
        <v>1</v>
      </c>
      <c r="AM150">
        <v>2</v>
      </c>
      <c r="AN150">
        <v>0</v>
      </c>
      <c r="AO150">
        <v>0</v>
      </c>
      <c r="AP150">
        <v>1</v>
      </c>
      <c r="AQ150">
        <v>1</v>
      </c>
      <c r="AR150">
        <v>0</v>
      </c>
      <c r="AS150" t="s">
        <v>3</v>
      </c>
      <c r="AT150">
        <v>22.6</v>
      </c>
      <c r="AU150" t="s">
        <v>178</v>
      </c>
      <c r="AV150">
        <v>0</v>
      </c>
      <c r="AW150">
        <v>2</v>
      </c>
      <c r="AX150">
        <v>75605622</v>
      </c>
      <c r="AY150">
        <v>1</v>
      </c>
      <c r="AZ150">
        <v>0</v>
      </c>
      <c r="BA150">
        <v>157</v>
      </c>
      <c r="BB150">
        <v>1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0</v>
      </c>
      <c r="BI150">
        <v>0</v>
      </c>
      <c r="BJ150">
        <v>2028.3500000000001</v>
      </c>
      <c r="BK150">
        <v>0</v>
      </c>
      <c r="BL150">
        <v>0</v>
      </c>
      <c r="BM150">
        <v>0</v>
      </c>
      <c r="BN150">
        <v>0</v>
      </c>
      <c r="BO150">
        <v>0</v>
      </c>
      <c r="BP150">
        <v>1</v>
      </c>
      <c r="BQ150">
        <v>0</v>
      </c>
      <c r="BR150">
        <v>0</v>
      </c>
      <c r="BS150">
        <v>0</v>
      </c>
      <c r="BT150">
        <v>0</v>
      </c>
      <c r="BU150">
        <v>0</v>
      </c>
      <c r="BV150">
        <v>0</v>
      </c>
      <c r="BW150">
        <v>0</v>
      </c>
      <c r="CV150">
        <v>0</v>
      </c>
      <c r="CW150">
        <v>0</v>
      </c>
      <c r="CX150">
        <f>ROUND(Y150*Source!I160,7)</f>
        <v>0</v>
      </c>
      <c r="CY150">
        <f>AA150</f>
        <v>131.93</v>
      </c>
      <c r="CZ150">
        <f>AE150</f>
        <v>89.75</v>
      </c>
      <c r="DA150">
        <f>AI150</f>
        <v>1.47</v>
      </c>
      <c r="DB150">
        <f>ROUND((ROUND(AT150*CZ150,2)*ROUND(0,7)),6)</f>
        <v>0</v>
      </c>
      <c r="DC150">
        <f>ROUND((ROUND(AT150*AG150,2)*ROUND(0,7)),6)</f>
        <v>0</v>
      </c>
      <c r="DD150" t="s">
        <v>3</v>
      </c>
      <c r="DE150" t="s">
        <v>3</v>
      </c>
      <c r="DF150">
        <f>ROUND(ROUND(AE150*AI150,2)*CX150,2)</f>
        <v>0</v>
      </c>
      <c r="DG150">
        <f t="shared" si="88"/>
        <v>0</v>
      </c>
      <c r="DH150">
        <f t="shared" si="77"/>
        <v>0</v>
      </c>
      <c r="DI150">
        <f t="shared" si="78"/>
        <v>0</v>
      </c>
      <c r="DJ150">
        <f>DF150</f>
        <v>0</v>
      </c>
      <c r="DK150">
        <v>0</v>
      </c>
      <c r="DL150" t="s">
        <v>3</v>
      </c>
      <c r="DM150">
        <v>0</v>
      </c>
      <c r="DN150" t="s">
        <v>3</v>
      </c>
      <c r="DO150">
        <v>0</v>
      </c>
    </row>
    <row r="151" spans="1:119" x14ac:dyDescent="0.25">
      <c r="A151">
        <f>ROW(Source!A160)</f>
        <v>160</v>
      </c>
      <c r="B151">
        <v>75604747</v>
      </c>
      <c r="C151">
        <v>75605616</v>
      </c>
      <c r="D151">
        <v>74266474</v>
      </c>
      <c r="E151">
        <v>1</v>
      </c>
      <c r="F151">
        <v>1</v>
      </c>
      <c r="G151">
        <v>1</v>
      </c>
      <c r="H151">
        <v>3</v>
      </c>
      <c r="I151" t="s">
        <v>656</v>
      </c>
      <c r="J151" t="s">
        <v>657</v>
      </c>
      <c r="K151" t="s">
        <v>658</v>
      </c>
      <c r="L151">
        <v>1348</v>
      </c>
      <c r="N151">
        <v>1009</v>
      </c>
      <c r="O151" t="s">
        <v>174</v>
      </c>
      <c r="P151" t="s">
        <v>174</v>
      </c>
      <c r="Q151">
        <v>1000</v>
      </c>
      <c r="W151">
        <v>0</v>
      </c>
      <c r="X151">
        <v>-1732801658</v>
      </c>
      <c r="Y151">
        <f>(AT151*ROUND(0,7))</f>
        <v>0</v>
      </c>
      <c r="AA151">
        <v>73226.62</v>
      </c>
      <c r="AB151">
        <v>0</v>
      </c>
      <c r="AC151">
        <v>0</v>
      </c>
      <c r="AD151">
        <v>0</v>
      </c>
      <c r="AE151">
        <v>55898.18</v>
      </c>
      <c r="AF151">
        <v>0</v>
      </c>
      <c r="AG151">
        <v>0</v>
      </c>
      <c r="AH151">
        <v>0</v>
      </c>
      <c r="AI151">
        <v>1.31</v>
      </c>
      <c r="AJ151">
        <v>1</v>
      </c>
      <c r="AK151">
        <v>1</v>
      </c>
      <c r="AL151">
        <v>1</v>
      </c>
      <c r="AM151">
        <v>2</v>
      </c>
      <c r="AN151">
        <v>0</v>
      </c>
      <c r="AO151">
        <v>0</v>
      </c>
      <c r="AP151">
        <v>1</v>
      </c>
      <c r="AQ151">
        <v>1</v>
      </c>
      <c r="AR151">
        <v>0</v>
      </c>
      <c r="AS151" t="s">
        <v>3</v>
      </c>
      <c r="AT151">
        <v>5.3800000000000001E-2</v>
      </c>
      <c r="AU151" t="s">
        <v>178</v>
      </c>
      <c r="AV151">
        <v>0</v>
      </c>
      <c r="AW151">
        <v>2</v>
      </c>
      <c r="AX151">
        <v>75605623</v>
      </c>
      <c r="AY151">
        <v>1</v>
      </c>
      <c r="AZ151">
        <v>0</v>
      </c>
      <c r="BA151">
        <v>158</v>
      </c>
      <c r="BB151">
        <v>1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0</v>
      </c>
      <c r="BI151">
        <v>0</v>
      </c>
      <c r="BJ151">
        <v>3007.3220839999999</v>
      </c>
      <c r="BK151">
        <v>0</v>
      </c>
      <c r="BL151">
        <v>0</v>
      </c>
      <c r="BM151">
        <v>0</v>
      </c>
      <c r="BN151">
        <v>0</v>
      </c>
      <c r="BO151">
        <v>0</v>
      </c>
      <c r="BP151">
        <v>1</v>
      </c>
      <c r="BQ151">
        <v>0</v>
      </c>
      <c r="BR151">
        <v>0</v>
      </c>
      <c r="BS151">
        <v>0</v>
      </c>
      <c r="BT151">
        <v>0</v>
      </c>
      <c r="BU151">
        <v>0</v>
      </c>
      <c r="BV151">
        <v>0</v>
      </c>
      <c r="BW151">
        <v>0</v>
      </c>
      <c r="CV151">
        <v>0</v>
      </c>
      <c r="CW151">
        <v>0</v>
      </c>
      <c r="CX151">
        <f>ROUND(Y151*Source!I160,7)</f>
        <v>0</v>
      </c>
      <c r="CY151">
        <f>AA151</f>
        <v>73226.62</v>
      </c>
      <c r="CZ151">
        <f>AE151</f>
        <v>55898.18</v>
      </c>
      <c r="DA151">
        <f>AI151</f>
        <v>1.31</v>
      </c>
      <c r="DB151">
        <f>ROUND((ROUND(AT151*CZ151,2)*ROUND(0,7)),6)</f>
        <v>0</v>
      </c>
      <c r="DC151">
        <f>ROUND((ROUND(AT151*AG151,2)*ROUND(0,7)),6)</f>
        <v>0</v>
      </c>
      <c r="DD151" t="s">
        <v>3</v>
      </c>
      <c r="DE151" t="s">
        <v>3</v>
      </c>
      <c r="DF151">
        <f>ROUND(ROUND(AE151*AI151,2)*CX151,2)</f>
        <v>0</v>
      </c>
      <c r="DG151">
        <f t="shared" si="88"/>
        <v>0</v>
      </c>
      <c r="DH151">
        <f t="shared" si="77"/>
        <v>0</v>
      </c>
      <c r="DI151">
        <f t="shared" si="78"/>
        <v>0</v>
      </c>
      <c r="DJ151">
        <f>DF151</f>
        <v>0</v>
      </c>
      <c r="DK151">
        <v>0</v>
      </c>
      <c r="DL151" t="s">
        <v>3</v>
      </c>
      <c r="DM151">
        <v>0</v>
      </c>
      <c r="DN151" t="s">
        <v>3</v>
      </c>
      <c r="DO151">
        <v>0</v>
      </c>
    </row>
    <row r="152" spans="1:119" x14ac:dyDescent="0.25">
      <c r="A152">
        <f>ROW(Source!A162)</f>
        <v>162</v>
      </c>
      <c r="B152">
        <v>75604747</v>
      </c>
      <c r="C152">
        <v>75605288</v>
      </c>
      <c r="D152">
        <v>37064928</v>
      </c>
      <c r="E152">
        <v>114</v>
      </c>
      <c r="F152">
        <v>1</v>
      </c>
      <c r="G152">
        <v>1</v>
      </c>
      <c r="H152">
        <v>1</v>
      </c>
      <c r="I152" t="s">
        <v>612</v>
      </c>
      <c r="J152" t="s">
        <v>3</v>
      </c>
      <c r="K152" t="s">
        <v>613</v>
      </c>
      <c r="L152">
        <v>1191</v>
      </c>
      <c r="N152">
        <v>1013</v>
      </c>
      <c r="O152" t="s">
        <v>501</v>
      </c>
      <c r="P152" t="s">
        <v>501</v>
      </c>
      <c r="Q152">
        <v>1</v>
      </c>
      <c r="W152">
        <v>0</v>
      </c>
      <c r="X152">
        <v>-715079457</v>
      </c>
      <c r="Y152">
        <f t="shared" ref="Y152:Y157" si="89">(AT152*ROUND(((0.15+1)*2),7))</f>
        <v>5.8419999999999996</v>
      </c>
      <c r="AA152">
        <v>0</v>
      </c>
      <c r="AB152">
        <v>0</v>
      </c>
      <c r="AC152">
        <v>0</v>
      </c>
      <c r="AD152">
        <v>347.42</v>
      </c>
      <c r="AE152">
        <v>0</v>
      </c>
      <c r="AF152">
        <v>0</v>
      </c>
      <c r="AG152">
        <v>0</v>
      </c>
      <c r="AH152">
        <v>347.42</v>
      </c>
      <c r="AI152">
        <v>1</v>
      </c>
      <c r="AJ152">
        <v>1</v>
      </c>
      <c r="AK152">
        <v>1</v>
      </c>
      <c r="AL152">
        <v>1</v>
      </c>
      <c r="AM152">
        <v>-2</v>
      </c>
      <c r="AN152">
        <v>0</v>
      </c>
      <c r="AO152">
        <v>0</v>
      </c>
      <c r="AP152">
        <v>1</v>
      </c>
      <c r="AQ152">
        <v>1</v>
      </c>
      <c r="AR152">
        <v>0</v>
      </c>
      <c r="AS152" t="s">
        <v>3</v>
      </c>
      <c r="AT152">
        <v>2.54</v>
      </c>
      <c r="AU152" t="s">
        <v>289</v>
      </c>
      <c r="AV152">
        <v>1</v>
      </c>
      <c r="AW152">
        <v>2</v>
      </c>
      <c r="AX152">
        <v>75605297</v>
      </c>
      <c r="AY152">
        <v>1</v>
      </c>
      <c r="AZ152">
        <v>0</v>
      </c>
      <c r="BA152">
        <v>159</v>
      </c>
      <c r="BB152">
        <v>1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0</v>
      </c>
      <c r="BI152">
        <v>0</v>
      </c>
      <c r="BJ152">
        <v>0</v>
      </c>
      <c r="BK152">
        <v>0</v>
      </c>
      <c r="BL152">
        <v>0</v>
      </c>
      <c r="BM152">
        <v>882.44680000000005</v>
      </c>
      <c r="BN152">
        <v>2.54</v>
      </c>
      <c r="BO152">
        <v>0</v>
      </c>
      <c r="BP152">
        <v>1</v>
      </c>
      <c r="BQ152">
        <v>0</v>
      </c>
      <c r="BR152">
        <v>0</v>
      </c>
      <c r="BS152">
        <v>0</v>
      </c>
      <c r="BT152">
        <v>2029.6276399999999</v>
      </c>
      <c r="BU152">
        <v>5.8419999999999996</v>
      </c>
      <c r="BV152">
        <v>0</v>
      </c>
      <c r="BW152">
        <v>1</v>
      </c>
      <c r="CU152">
        <f>ROUND(AT152*Source!I162*AH152*AL152,2)</f>
        <v>141.19</v>
      </c>
      <c r="CV152">
        <f>ROUND(Y152*Source!I162,7)</f>
        <v>0.93472</v>
      </c>
      <c r="CW152">
        <v>0</v>
      </c>
      <c r="CX152">
        <f>ROUND(Y152*Source!I162,7)</f>
        <v>0.93472</v>
      </c>
      <c r="CY152">
        <f>AD152</f>
        <v>347.42</v>
      </c>
      <c r="CZ152">
        <f>AH152</f>
        <v>347.42</v>
      </c>
      <c r="DA152">
        <f>AL152</f>
        <v>1</v>
      </c>
      <c r="DB152">
        <f t="shared" ref="DB152:DB157" si="90">ROUND((ROUND(AT152*CZ152,2)*ROUND(((0.15+1)*2),7)),6)</f>
        <v>2029.635</v>
      </c>
      <c r="DC152">
        <f t="shared" ref="DC152:DC157" si="91">ROUND((ROUND(AT152*AG152,2)*ROUND(((0.15+1)*2),7)),6)</f>
        <v>0</v>
      </c>
      <c r="DD152" t="s">
        <v>3</v>
      </c>
      <c r="DE152" t="s">
        <v>3</v>
      </c>
      <c r="DF152">
        <f t="shared" ref="DF152:DF157" si="92">ROUND(ROUND(AE152,2)*CX152,2)</f>
        <v>0</v>
      </c>
      <c r="DG152">
        <f t="shared" si="88"/>
        <v>0</v>
      </c>
      <c r="DH152">
        <f t="shared" si="77"/>
        <v>0</v>
      </c>
      <c r="DI152">
        <f t="shared" si="78"/>
        <v>324.74</v>
      </c>
      <c r="DJ152">
        <f>DI152</f>
        <v>324.74</v>
      </c>
      <c r="DK152">
        <v>1</v>
      </c>
      <c r="DL152" t="s">
        <v>3</v>
      </c>
      <c r="DM152">
        <v>0</v>
      </c>
      <c r="DN152" t="s">
        <v>3</v>
      </c>
      <c r="DO152">
        <v>0</v>
      </c>
    </row>
    <row r="153" spans="1:119" x14ac:dyDescent="0.25">
      <c r="A153">
        <f>ROW(Source!A162)</f>
        <v>162</v>
      </c>
      <c r="B153">
        <v>75604747</v>
      </c>
      <c r="C153">
        <v>75605288</v>
      </c>
      <c r="D153">
        <v>37064876</v>
      </c>
      <c r="E153">
        <v>114</v>
      </c>
      <c r="F153">
        <v>1</v>
      </c>
      <c r="G153">
        <v>1</v>
      </c>
      <c r="H153">
        <v>1</v>
      </c>
      <c r="I153" t="s">
        <v>504</v>
      </c>
      <c r="J153" t="s">
        <v>3</v>
      </c>
      <c r="K153" t="s">
        <v>505</v>
      </c>
      <c r="L153">
        <v>1191</v>
      </c>
      <c r="N153">
        <v>1013</v>
      </c>
      <c r="O153" t="s">
        <v>501</v>
      </c>
      <c r="P153" t="s">
        <v>501</v>
      </c>
      <c r="Q153">
        <v>1</v>
      </c>
      <c r="W153">
        <v>0</v>
      </c>
      <c r="X153">
        <v>-1417349443</v>
      </c>
      <c r="Y153">
        <f t="shared" si="89"/>
        <v>9.1999999999999998E-2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1</v>
      </c>
      <c r="AJ153">
        <v>1</v>
      </c>
      <c r="AK153">
        <v>1</v>
      </c>
      <c r="AL153">
        <v>1</v>
      </c>
      <c r="AM153">
        <v>-2</v>
      </c>
      <c r="AN153">
        <v>0</v>
      </c>
      <c r="AO153">
        <v>0</v>
      </c>
      <c r="AP153">
        <v>1</v>
      </c>
      <c r="AQ153">
        <v>1</v>
      </c>
      <c r="AR153">
        <v>0</v>
      </c>
      <c r="AS153" t="s">
        <v>3</v>
      </c>
      <c r="AT153">
        <v>0.04</v>
      </c>
      <c r="AU153" t="s">
        <v>289</v>
      </c>
      <c r="AV153">
        <v>2</v>
      </c>
      <c r="AW153">
        <v>2</v>
      </c>
      <c r="AX153">
        <v>75605298</v>
      </c>
      <c r="AY153">
        <v>1</v>
      </c>
      <c r="AZ153">
        <v>0</v>
      </c>
      <c r="BA153">
        <v>160</v>
      </c>
      <c r="BB153">
        <v>1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0</v>
      </c>
      <c r="BI153">
        <v>0</v>
      </c>
      <c r="BJ153">
        <v>0</v>
      </c>
      <c r="BK153">
        <v>0</v>
      </c>
      <c r="BL153">
        <v>0</v>
      </c>
      <c r="BM153">
        <v>0</v>
      </c>
      <c r="BN153">
        <v>0</v>
      </c>
      <c r="BO153">
        <v>0</v>
      </c>
      <c r="BP153">
        <v>0</v>
      </c>
      <c r="BQ153">
        <v>0</v>
      </c>
      <c r="BR153">
        <v>0</v>
      </c>
      <c r="BS153">
        <v>0</v>
      </c>
      <c r="BT153">
        <v>0</v>
      </c>
      <c r="BU153">
        <v>0</v>
      </c>
      <c r="BV153">
        <v>0</v>
      </c>
      <c r="BW153">
        <v>0</v>
      </c>
      <c r="CV153">
        <v>0</v>
      </c>
      <c r="CW153">
        <v>0</v>
      </c>
      <c r="CX153">
        <f>ROUND(Y153*Source!I162,7)</f>
        <v>1.472E-2</v>
      </c>
      <c r="CY153">
        <f>AD153</f>
        <v>0</v>
      </c>
      <c r="CZ153">
        <f>AH153</f>
        <v>0</v>
      </c>
      <c r="DA153">
        <f>AL153</f>
        <v>1</v>
      </c>
      <c r="DB153">
        <f t="shared" si="90"/>
        <v>0</v>
      </c>
      <c r="DC153">
        <f t="shared" si="91"/>
        <v>0</v>
      </c>
      <c r="DD153" t="s">
        <v>3</v>
      </c>
      <c r="DE153" t="s">
        <v>3</v>
      </c>
      <c r="DF153">
        <f t="shared" si="92"/>
        <v>0</v>
      </c>
      <c r="DG153">
        <f t="shared" si="88"/>
        <v>0</v>
      </c>
      <c r="DH153">
        <f t="shared" si="77"/>
        <v>0</v>
      </c>
      <c r="DI153">
        <f t="shared" si="78"/>
        <v>0</v>
      </c>
      <c r="DJ153">
        <f>DI153</f>
        <v>0</v>
      </c>
      <c r="DK153">
        <v>0</v>
      </c>
      <c r="DL153" t="s">
        <v>3</v>
      </c>
      <c r="DM153">
        <v>0</v>
      </c>
      <c r="DN153" t="s">
        <v>3</v>
      </c>
      <c r="DO153">
        <v>0</v>
      </c>
    </row>
    <row r="154" spans="1:119" x14ac:dyDescent="0.25">
      <c r="A154">
        <f>ROW(Source!A162)</f>
        <v>162</v>
      </c>
      <c r="B154">
        <v>75604747</v>
      </c>
      <c r="C154">
        <v>75605288</v>
      </c>
      <c r="D154">
        <v>69432788</v>
      </c>
      <c r="E154">
        <v>1</v>
      </c>
      <c r="F154">
        <v>1</v>
      </c>
      <c r="G154">
        <v>1</v>
      </c>
      <c r="H154">
        <v>2</v>
      </c>
      <c r="I154" t="s">
        <v>659</v>
      </c>
      <c r="J154" t="s">
        <v>660</v>
      </c>
      <c r="K154" t="s">
        <v>661</v>
      </c>
      <c r="L154">
        <v>1368</v>
      </c>
      <c r="N154">
        <v>1011</v>
      </c>
      <c r="O154" t="s">
        <v>509</v>
      </c>
      <c r="P154" t="s">
        <v>509</v>
      </c>
      <c r="Q154">
        <v>1</v>
      </c>
      <c r="W154">
        <v>0</v>
      </c>
      <c r="X154">
        <v>-651536190</v>
      </c>
      <c r="Y154">
        <f t="shared" si="89"/>
        <v>2.3E-2</v>
      </c>
      <c r="AA154">
        <v>0</v>
      </c>
      <c r="AB154">
        <v>10.06</v>
      </c>
      <c r="AC154">
        <v>0</v>
      </c>
      <c r="AD154">
        <v>0</v>
      </c>
      <c r="AE154">
        <v>0</v>
      </c>
      <c r="AF154">
        <v>6.62</v>
      </c>
      <c r="AG154">
        <v>0</v>
      </c>
      <c r="AH154">
        <v>0</v>
      </c>
      <c r="AI154">
        <v>1</v>
      </c>
      <c r="AJ154">
        <v>1.52</v>
      </c>
      <c r="AK154">
        <v>1</v>
      </c>
      <c r="AL154">
        <v>1</v>
      </c>
      <c r="AM154">
        <v>2</v>
      </c>
      <c r="AN154">
        <v>0</v>
      </c>
      <c r="AO154">
        <v>0</v>
      </c>
      <c r="AP154">
        <v>1</v>
      </c>
      <c r="AQ154">
        <v>1</v>
      </c>
      <c r="AR154">
        <v>0</v>
      </c>
      <c r="AS154" t="s">
        <v>3</v>
      </c>
      <c r="AT154">
        <v>0.01</v>
      </c>
      <c r="AU154" t="s">
        <v>289</v>
      </c>
      <c r="AV154">
        <v>1</v>
      </c>
      <c r="AW154">
        <v>2</v>
      </c>
      <c r="AX154">
        <v>75605299</v>
      </c>
      <c r="AY154">
        <v>1</v>
      </c>
      <c r="AZ154">
        <v>0</v>
      </c>
      <c r="BA154">
        <v>161</v>
      </c>
      <c r="BB154">
        <v>1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0</v>
      </c>
      <c r="BI154">
        <v>0</v>
      </c>
      <c r="BJ154">
        <v>0</v>
      </c>
      <c r="BK154">
        <v>6.6200000000000009E-2</v>
      </c>
      <c r="BL154">
        <v>0</v>
      </c>
      <c r="BM154">
        <v>0</v>
      </c>
      <c r="BN154">
        <v>0</v>
      </c>
      <c r="BO154">
        <v>0</v>
      </c>
      <c r="BP154">
        <v>1</v>
      </c>
      <c r="BQ154">
        <v>0</v>
      </c>
      <c r="BR154">
        <v>0.15226000000000001</v>
      </c>
      <c r="BS154">
        <v>0</v>
      </c>
      <c r="BT154">
        <v>0</v>
      </c>
      <c r="BU154">
        <v>0</v>
      </c>
      <c r="BV154">
        <v>0</v>
      </c>
      <c r="BW154">
        <v>1</v>
      </c>
      <c r="CV154">
        <v>0</v>
      </c>
      <c r="CW154">
        <f>ROUND(Y154*Source!I162*DO154,7)</f>
        <v>0</v>
      </c>
      <c r="CX154">
        <f>ROUND(Y154*Source!I162,7)</f>
        <v>3.6800000000000001E-3</v>
      </c>
      <c r="CY154">
        <f>AB154</f>
        <v>10.06</v>
      </c>
      <c r="CZ154">
        <f>AF154</f>
        <v>6.62</v>
      </c>
      <c r="DA154">
        <f>AJ154</f>
        <v>1.52</v>
      </c>
      <c r="DB154">
        <f t="shared" si="90"/>
        <v>0.161</v>
      </c>
      <c r="DC154">
        <f t="shared" si="91"/>
        <v>0</v>
      </c>
      <c r="DD154" t="s">
        <v>3</v>
      </c>
      <c r="DE154" t="s">
        <v>3</v>
      </c>
      <c r="DF154">
        <f t="shared" si="92"/>
        <v>0</v>
      </c>
      <c r="DG154">
        <f>ROUND(ROUND(AF154*AJ154,2)*CX154,2)</f>
        <v>0.04</v>
      </c>
      <c r="DH154">
        <f t="shared" si="77"/>
        <v>0</v>
      </c>
      <c r="DI154">
        <f t="shared" si="78"/>
        <v>0</v>
      </c>
      <c r="DJ154">
        <f>DG154+DH154</f>
        <v>0.04</v>
      </c>
      <c r="DK154">
        <v>0</v>
      </c>
      <c r="DL154" t="s">
        <v>3</v>
      </c>
      <c r="DM154">
        <v>0</v>
      </c>
      <c r="DN154" t="s">
        <v>3</v>
      </c>
      <c r="DO154">
        <v>0</v>
      </c>
    </row>
    <row r="155" spans="1:119" x14ac:dyDescent="0.25">
      <c r="A155">
        <f>ROW(Source!A162)</f>
        <v>162</v>
      </c>
      <c r="B155">
        <v>75604747</v>
      </c>
      <c r="C155">
        <v>75605288</v>
      </c>
      <c r="D155">
        <v>69432805</v>
      </c>
      <c r="E155">
        <v>1</v>
      </c>
      <c r="F155">
        <v>1</v>
      </c>
      <c r="G155">
        <v>1</v>
      </c>
      <c r="H155">
        <v>2</v>
      </c>
      <c r="I155" t="s">
        <v>662</v>
      </c>
      <c r="J155" t="s">
        <v>663</v>
      </c>
      <c r="K155" t="s">
        <v>664</v>
      </c>
      <c r="L155">
        <v>1368</v>
      </c>
      <c r="N155">
        <v>1011</v>
      </c>
      <c r="O155" t="s">
        <v>509</v>
      </c>
      <c r="P155" t="s">
        <v>509</v>
      </c>
      <c r="Q155">
        <v>1</v>
      </c>
      <c r="W155">
        <v>0</v>
      </c>
      <c r="X155">
        <v>645920724</v>
      </c>
      <c r="Y155">
        <f t="shared" si="89"/>
        <v>2.3E-2</v>
      </c>
      <c r="AA155">
        <v>0</v>
      </c>
      <c r="AB155">
        <v>1569.2</v>
      </c>
      <c r="AC155">
        <v>422.95</v>
      </c>
      <c r="AD155">
        <v>0</v>
      </c>
      <c r="AE155">
        <v>0</v>
      </c>
      <c r="AF155">
        <v>1569.2</v>
      </c>
      <c r="AG155">
        <v>422.95</v>
      </c>
      <c r="AH155">
        <v>0</v>
      </c>
      <c r="AI155">
        <v>1</v>
      </c>
      <c r="AJ155">
        <v>1</v>
      </c>
      <c r="AK155">
        <v>1</v>
      </c>
      <c r="AL155">
        <v>1</v>
      </c>
      <c r="AM155">
        <v>-2</v>
      </c>
      <c r="AN155">
        <v>0</v>
      </c>
      <c r="AO155">
        <v>0</v>
      </c>
      <c r="AP155">
        <v>1</v>
      </c>
      <c r="AQ155">
        <v>1</v>
      </c>
      <c r="AR155">
        <v>0</v>
      </c>
      <c r="AS155" t="s">
        <v>3</v>
      </c>
      <c r="AT155">
        <v>0.01</v>
      </c>
      <c r="AU155" t="s">
        <v>289</v>
      </c>
      <c r="AV155">
        <v>1</v>
      </c>
      <c r="AW155">
        <v>2</v>
      </c>
      <c r="AX155">
        <v>75605300</v>
      </c>
      <c r="AY155">
        <v>1</v>
      </c>
      <c r="AZ155">
        <v>0</v>
      </c>
      <c r="BA155">
        <v>162</v>
      </c>
      <c r="BB155">
        <v>1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0</v>
      </c>
      <c r="BI155">
        <v>0</v>
      </c>
      <c r="BJ155">
        <v>0</v>
      </c>
      <c r="BK155">
        <v>15.692</v>
      </c>
      <c r="BL155">
        <v>4.2294999999999998</v>
      </c>
      <c r="BM155">
        <v>0</v>
      </c>
      <c r="BN155">
        <v>0</v>
      </c>
      <c r="BO155">
        <v>0.01</v>
      </c>
      <c r="BP155">
        <v>1</v>
      </c>
      <c r="BQ155">
        <v>0</v>
      </c>
      <c r="BR155">
        <v>36.0916</v>
      </c>
      <c r="BS155">
        <v>9.7278500000000001</v>
      </c>
      <c r="BT155">
        <v>0</v>
      </c>
      <c r="BU155">
        <v>0</v>
      </c>
      <c r="BV155">
        <v>2.3E-2</v>
      </c>
      <c r="BW155">
        <v>1</v>
      </c>
      <c r="CV155">
        <v>0</v>
      </c>
      <c r="CW155">
        <f>ROUND(Y155*Source!I162*DO155,7)</f>
        <v>3.6800000000000001E-3</v>
      </c>
      <c r="CX155">
        <f>ROUND(Y155*Source!I162,7)</f>
        <v>3.6800000000000001E-3</v>
      </c>
      <c r="CY155">
        <f>AB155</f>
        <v>1569.2</v>
      </c>
      <c r="CZ155">
        <f>AF155</f>
        <v>1569.2</v>
      </c>
      <c r="DA155">
        <f>AJ155</f>
        <v>1</v>
      </c>
      <c r="DB155">
        <f t="shared" si="90"/>
        <v>36.087000000000003</v>
      </c>
      <c r="DC155">
        <f t="shared" si="91"/>
        <v>9.7289999999999992</v>
      </c>
      <c r="DD155" t="s">
        <v>3</v>
      </c>
      <c r="DE155" t="s">
        <v>3</v>
      </c>
      <c r="DF155">
        <f t="shared" si="92"/>
        <v>0</v>
      </c>
      <c r="DG155">
        <f>ROUND(ROUND(AF155,2)*CX155,2)</f>
        <v>5.77</v>
      </c>
      <c r="DH155">
        <f t="shared" si="77"/>
        <v>1.56</v>
      </c>
      <c r="DI155">
        <f t="shared" si="78"/>
        <v>0</v>
      </c>
      <c r="DJ155">
        <f>DG155+DH155</f>
        <v>7.33</v>
      </c>
      <c r="DK155">
        <v>1</v>
      </c>
      <c r="DL155" t="s">
        <v>510</v>
      </c>
      <c r="DM155">
        <v>5</v>
      </c>
      <c r="DN155" t="s">
        <v>501</v>
      </c>
      <c r="DO155">
        <v>1</v>
      </c>
    </row>
    <row r="156" spans="1:119" x14ac:dyDescent="0.25">
      <c r="A156">
        <f>ROW(Source!A162)</f>
        <v>162</v>
      </c>
      <c r="B156">
        <v>75604747</v>
      </c>
      <c r="C156">
        <v>75605288</v>
      </c>
      <c r="D156">
        <v>69433540</v>
      </c>
      <c r="E156">
        <v>1</v>
      </c>
      <c r="F156">
        <v>1</v>
      </c>
      <c r="G156">
        <v>1</v>
      </c>
      <c r="H156">
        <v>2</v>
      </c>
      <c r="I156" t="s">
        <v>527</v>
      </c>
      <c r="J156" t="s">
        <v>528</v>
      </c>
      <c r="K156" t="s">
        <v>529</v>
      </c>
      <c r="L156">
        <v>1368</v>
      </c>
      <c r="N156">
        <v>1011</v>
      </c>
      <c r="O156" t="s">
        <v>509</v>
      </c>
      <c r="P156" t="s">
        <v>509</v>
      </c>
      <c r="Q156">
        <v>1</v>
      </c>
      <c r="W156">
        <v>0</v>
      </c>
      <c r="X156">
        <v>-1152394969</v>
      </c>
      <c r="Y156">
        <f t="shared" si="89"/>
        <v>6.8999999999999992E-2</v>
      </c>
      <c r="AA156">
        <v>0</v>
      </c>
      <c r="AB156">
        <v>551.45000000000005</v>
      </c>
      <c r="AC156">
        <v>368.02</v>
      </c>
      <c r="AD156">
        <v>0</v>
      </c>
      <c r="AE156">
        <v>0</v>
      </c>
      <c r="AF156">
        <v>551.45000000000005</v>
      </c>
      <c r="AG156">
        <v>368.02</v>
      </c>
      <c r="AH156">
        <v>0</v>
      </c>
      <c r="AI156">
        <v>1</v>
      </c>
      <c r="AJ156">
        <v>1</v>
      </c>
      <c r="AK156">
        <v>1</v>
      </c>
      <c r="AL156">
        <v>1</v>
      </c>
      <c r="AM156">
        <v>-2</v>
      </c>
      <c r="AN156">
        <v>0</v>
      </c>
      <c r="AO156">
        <v>0</v>
      </c>
      <c r="AP156">
        <v>1</v>
      </c>
      <c r="AQ156">
        <v>1</v>
      </c>
      <c r="AR156">
        <v>0</v>
      </c>
      <c r="AS156" t="s">
        <v>3</v>
      </c>
      <c r="AT156">
        <v>0.03</v>
      </c>
      <c r="AU156" t="s">
        <v>289</v>
      </c>
      <c r="AV156">
        <v>1</v>
      </c>
      <c r="AW156">
        <v>2</v>
      </c>
      <c r="AX156">
        <v>75605301</v>
      </c>
      <c r="AY156">
        <v>1</v>
      </c>
      <c r="AZ156">
        <v>0</v>
      </c>
      <c r="BA156">
        <v>163</v>
      </c>
      <c r="BB156">
        <v>1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0</v>
      </c>
      <c r="BI156">
        <v>0</v>
      </c>
      <c r="BJ156">
        <v>0</v>
      </c>
      <c r="BK156">
        <v>16.543500000000002</v>
      </c>
      <c r="BL156">
        <v>11.0406</v>
      </c>
      <c r="BM156">
        <v>0</v>
      </c>
      <c r="BN156">
        <v>0</v>
      </c>
      <c r="BO156">
        <v>0.03</v>
      </c>
      <c r="BP156">
        <v>1</v>
      </c>
      <c r="BQ156">
        <v>0</v>
      </c>
      <c r="BR156">
        <v>38.050049999999999</v>
      </c>
      <c r="BS156">
        <v>25.393379999999997</v>
      </c>
      <c r="BT156">
        <v>0</v>
      </c>
      <c r="BU156">
        <v>0</v>
      </c>
      <c r="BV156">
        <v>6.8999999999999992E-2</v>
      </c>
      <c r="BW156">
        <v>1</v>
      </c>
      <c r="CV156">
        <v>0</v>
      </c>
      <c r="CW156">
        <f>ROUND(Y156*Source!I162*DO156,7)</f>
        <v>1.1039999999999999E-2</v>
      </c>
      <c r="CX156">
        <f>ROUND(Y156*Source!I162,7)</f>
        <v>1.1039999999999999E-2</v>
      </c>
      <c r="CY156">
        <f>AB156</f>
        <v>551.45000000000005</v>
      </c>
      <c r="CZ156">
        <f>AF156</f>
        <v>551.45000000000005</v>
      </c>
      <c r="DA156">
        <f>AJ156</f>
        <v>1</v>
      </c>
      <c r="DB156">
        <f t="shared" si="90"/>
        <v>38.042000000000002</v>
      </c>
      <c r="DC156">
        <f t="shared" si="91"/>
        <v>25.391999999999999</v>
      </c>
      <c r="DD156" t="s">
        <v>3</v>
      </c>
      <c r="DE156" t="s">
        <v>3</v>
      </c>
      <c r="DF156">
        <f t="shared" si="92"/>
        <v>0</v>
      </c>
      <c r="DG156">
        <f>ROUND(ROUND(AF156,2)*CX156,2)</f>
        <v>6.09</v>
      </c>
      <c r="DH156">
        <f t="shared" si="77"/>
        <v>4.0599999999999996</v>
      </c>
      <c r="DI156">
        <f t="shared" si="78"/>
        <v>0</v>
      </c>
      <c r="DJ156">
        <f>DG156+DH156</f>
        <v>10.149999999999999</v>
      </c>
      <c r="DK156">
        <v>1</v>
      </c>
      <c r="DL156" t="s">
        <v>522</v>
      </c>
      <c r="DM156">
        <v>4</v>
      </c>
      <c r="DN156" t="s">
        <v>501</v>
      </c>
      <c r="DO156">
        <v>1</v>
      </c>
    </row>
    <row r="157" spans="1:119" x14ac:dyDescent="0.25">
      <c r="A157">
        <f>ROW(Source!A162)</f>
        <v>162</v>
      </c>
      <c r="B157">
        <v>75604747</v>
      </c>
      <c r="C157">
        <v>75605288</v>
      </c>
      <c r="D157">
        <v>69434096</v>
      </c>
      <c r="E157">
        <v>1</v>
      </c>
      <c r="F157">
        <v>1</v>
      </c>
      <c r="G157">
        <v>1</v>
      </c>
      <c r="H157">
        <v>2</v>
      </c>
      <c r="I157" t="s">
        <v>665</v>
      </c>
      <c r="J157" t="s">
        <v>666</v>
      </c>
      <c r="K157" t="s">
        <v>667</v>
      </c>
      <c r="L157">
        <v>1368</v>
      </c>
      <c r="N157">
        <v>1011</v>
      </c>
      <c r="O157" t="s">
        <v>509</v>
      </c>
      <c r="P157" t="s">
        <v>509</v>
      </c>
      <c r="Q157">
        <v>1</v>
      </c>
      <c r="W157">
        <v>0</v>
      </c>
      <c r="X157">
        <v>1093807191</v>
      </c>
      <c r="Y157">
        <f t="shared" si="89"/>
        <v>2.5760000000000001</v>
      </c>
      <c r="AA157">
        <v>0</v>
      </c>
      <c r="AB157">
        <v>6.33</v>
      </c>
      <c r="AC157">
        <v>0</v>
      </c>
      <c r="AD157">
        <v>0</v>
      </c>
      <c r="AE157">
        <v>0</v>
      </c>
      <c r="AF157">
        <v>4.5199999999999996</v>
      </c>
      <c r="AG157">
        <v>0</v>
      </c>
      <c r="AH157">
        <v>0</v>
      </c>
      <c r="AI157">
        <v>1</v>
      </c>
      <c r="AJ157">
        <v>1.4</v>
      </c>
      <c r="AK157">
        <v>1</v>
      </c>
      <c r="AL157">
        <v>1</v>
      </c>
      <c r="AM157">
        <v>2</v>
      </c>
      <c r="AN157">
        <v>0</v>
      </c>
      <c r="AO157">
        <v>0</v>
      </c>
      <c r="AP157">
        <v>1</v>
      </c>
      <c r="AQ157">
        <v>1</v>
      </c>
      <c r="AR157">
        <v>0</v>
      </c>
      <c r="AS157" t="s">
        <v>3</v>
      </c>
      <c r="AT157">
        <v>1.1200000000000001</v>
      </c>
      <c r="AU157" t="s">
        <v>289</v>
      </c>
      <c r="AV157">
        <v>1</v>
      </c>
      <c r="AW157">
        <v>2</v>
      </c>
      <c r="AX157">
        <v>75605302</v>
      </c>
      <c r="AY157">
        <v>1</v>
      </c>
      <c r="AZ157">
        <v>0</v>
      </c>
      <c r="BA157">
        <v>164</v>
      </c>
      <c r="BB157">
        <v>1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0</v>
      </c>
      <c r="BI157">
        <v>0</v>
      </c>
      <c r="BJ157">
        <v>0</v>
      </c>
      <c r="BK157">
        <v>5.0624000000000002</v>
      </c>
      <c r="BL157">
        <v>0</v>
      </c>
      <c r="BM157">
        <v>0</v>
      </c>
      <c r="BN157">
        <v>0</v>
      </c>
      <c r="BO157">
        <v>0</v>
      </c>
      <c r="BP157">
        <v>1</v>
      </c>
      <c r="BQ157">
        <v>0</v>
      </c>
      <c r="BR157">
        <v>11.643519999999999</v>
      </c>
      <c r="BS157">
        <v>0</v>
      </c>
      <c r="BT157">
        <v>0</v>
      </c>
      <c r="BU157">
        <v>0</v>
      </c>
      <c r="BV157">
        <v>0</v>
      </c>
      <c r="BW157">
        <v>1</v>
      </c>
      <c r="CV157">
        <v>0</v>
      </c>
      <c r="CW157">
        <f>ROUND(Y157*Source!I162*DO157,7)</f>
        <v>0</v>
      </c>
      <c r="CX157">
        <f>ROUND(Y157*Source!I162,7)</f>
        <v>0.41216000000000003</v>
      </c>
      <c r="CY157">
        <f>AB157</f>
        <v>6.33</v>
      </c>
      <c r="CZ157">
        <f>AF157</f>
        <v>4.5199999999999996</v>
      </c>
      <c r="DA157">
        <f>AJ157</f>
        <v>1.4</v>
      </c>
      <c r="DB157">
        <f t="shared" si="90"/>
        <v>11.638</v>
      </c>
      <c r="DC157">
        <f t="shared" si="91"/>
        <v>0</v>
      </c>
      <c r="DD157" t="s">
        <v>3</v>
      </c>
      <c r="DE157" t="s">
        <v>3</v>
      </c>
      <c r="DF157">
        <f t="shared" si="92"/>
        <v>0</v>
      </c>
      <c r="DG157">
        <f>ROUND(ROUND(AF157*AJ157,2)*CX157,2)</f>
        <v>2.61</v>
      </c>
      <c r="DH157">
        <f t="shared" si="77"/>
        <v>0</v>
      </c>
      <c r="DI157">
        <f t="shared" si="78"/>
        <v>0</v>
      </c>
      <c r="DJ157">
        <f>DG157+DH157</f>
        <v>2.61</v>
      </c>
      <c r="DK157">
        <v>0</v>
      </c>
      <c r="DL157" t="s">
        <v>3</v>
      </c>
      <c r="DM157">
        <v>0</v>
      </c>
      <c r="DN157" t="s">
        <v>3</v>
      </c>
      <c r="DO157">
        <v>0</v>
      </c>
    </row>
    <row r="158" spans="1:119" x14ac:dyDescent="0.25">
      <c r="A158">
        <f>ROW(Source!A162)</f>
        <v>162</v>
      </c>
      <c r="B158">
        <v>75604747</v>
      </c>
      <c r="C158">
        <v>75605288</v>
      </c>
      <c r="D158">
        <v>69398506</v>
      </c>
      <c r="E158">
        <v>1</v>
      </c>
      <c r="F158">
        <v>1</v>
      </c>
      <c r="G158">
        <v>1</v>
      </c>
      <c r="H158">
        <v>3</v>
      </c>
      <c r="I158" t="s">
        <v>372</v>
      </c>
      <c r="J158" t="s">
        <v>374</v>
      </c>
      <c r="K158" t="s">
        <v>373</v>
      </c>
      <c r="L158">
        <v>1348</v>
      </c>
      <c r="N158">
        <v>1009</v>
      </c>
      <c r="O158" t="s">
        <v>174</v>
      </c>
      <c r="P158" t="s">
        <v>174</v>
      </c>
      <c r="Q158">
        <v>1000</v>
      </c>
      <c r="W158">
        <v>0</v>
      </c>
      <c r="X158">
        <v>1196991779</v>
      </c>
      <c r="Y158">
        <f>(AT158*ROUND(2,7))</f>
        <v>3.5999999999999997E-2</v>
      </c>
      <c r="AA158">
        <v>249201.71</v>
      </c>
      <c r="AB158">
        <v>0</v>
      </c>
      <c r="AC158">
        <v>0</v>
      </c>
      <c r="AD158">
        <v>0</v>
      </c>
      <c r="AE158">
        <v>130472.1</v>
      </c>
      <c r="AF158">
        <v>0</v>
      </c>
      <c r="AG158">
        <v>0</v>
      </c>
      <c r="AH158">
        <v>0</v>
      </c>
      <c r="AI158">
        <v>1.91</v>
      </c>
      <c r="AJ158">
        <v>1</v>
      </c>
      <c r="AK158">
        <v>1</v>
      </c>
      <c r="AL158">
        <v>1</v>
      </c>
      <c r="AM158">
        <v>2</v>
      </c>
      <c r="AN158">
        <v>0</v>
      </c>
      <c r="AO158">
        <v>0</v>
      </c>
      <c r="AP158">
        <v>1</v>
      </c>
      <c r="AQ158">
        <v>1</v>
      </c>
      <c r="AR158">
        <v>0</v>
      </c>
      <c r="AS158" t="s">
        <v>3</v>
      </c>
      <c r="AT158">
        <v>1.7999999999999999E-2</v>
      </c>
      <c r="AU158" t="s">
        <v>288</v>
      </c>
      <c r="AV158">
        <v>0</v>
      </c>
      <c r="AW158">
        <v>2</v>
      </c>
      <c r="AX158">
        <v>75605303</v>
      </c>
      <c r="AY158">
        <v>1</v>
      </c>
      <c r="AZ158">
        <v>0</v>
      </c>
      <c r="BA158">
        <v>165</v>
      </c>
      <c r="BB158">
        <v>1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0</v>
      </c>
      <c r="BI158">
        <v>0</v>
      </c>
      <c r="BJ158">
        <v>2348.4978000000001</v>
      </c>
      <c r="BK158">
        <v>0</v>
      </c>
      <c r="BL158">
        <v>0</v>
      </c>
      <c r="BM158">
        <v>0</v>
      </c>
      <c r="BN158">
        <v>0</v>
      </c>
      <c r="BO158">
        <v>0</v>
      </c>
      <c r="BP158">
        <v>1</v>
      </c>
      <c r="BQ158">
        <v>4696.9956000000002</v>
      </c>
      <c r="BR158">
        <v>0</v>
      </c>
      <c r="BS158">
        <v>0</v>
      </c>
      <c r="BT158">
        <v>0</v>
      </c>
      <c r="BU158">
        <v>0</v>
      </c>
      <c r="BV158">
        <v>0</v>
      </c>
      <c r="BW158">
        <v>1</v>
      </c>
      <c r="CV158">
        <v>0</v>
      </c>
      <c r="CW158">
        <v>0</v>
      </c>
      <c r="CX158">
        <f>ROUND(Y158*Source!I162,7)</f>
        <v>5.7600000000000004E-3</v>
      </c>
      <c r="CY158">
        <f>AA158</f>
        <v>249201.71</v>
      </c>
      <c r="CZ158">
        <f>AE158</f>
        <v>130472.1</v>
      </c>
      <c r="DA158">
        <f>AI158</f>
        <v>1.91</v>
      </c>
      <c r="DB158">
        <f>ROUND((ROUND(AT158*CZ158,2)*ROUND(2,7)),6)</f>
        <v>4697</v>
      </c>
      <c r="DC158">
        <f>ROUND((ROUND(AT158*AG158,2)*ROUND(2,7)),6)</f>
        <v>0</v>
      </c>
      <c r="DD158" t="s">
        <v>3</v>
      </c>
      <c r="DE158" t="s">
        <v>3</v>
      </c>
      <c r="DF158">
        <f>ROUND(ROUND(AE158*AI158,2)*CX158,2)</f>
        <v>1435.4</v>
      </c>
      <c r="DG158">
        <f>ROUND(ROUND(AF158,2)*CX158,2)</f>
        <v>0</v>
      </c>
      <c r="DH158">
        <f t="shared" si="77"/>
        <v>0</v>
      </c>
      <c r="DI158">
        <f t="shared" si="78"/>
        <v>0</v>
      </c>
      <c r="DJ158">
        <f>DF158</f>
        <v>1435.4</v>
      </c>
      <c r="DK158">
        <v>0</v>
      </c>
      <c r="DL158" t="s">
        <v>3</v>
      </c>
      <c r="DM158">
        <v>0</v>
      </c>
      <c r="DN158" t="s">
        <v>3</v>
      </c>
      <c r="DO158">
        <v>0</v>
      </c>
    </row>
    <row r="159" spans="1:119" x14ac:dyDescent="0.25">
      <c r="A159">
        <f>ROW(Source!A162)</f>
        <v>162</v>
      </c>
      <c r="B159">
        <v>75604747</v>
      </c>
      <c r="C159">
        <v>75605288</v>
      </c>
      <c r="D159">
        <v>69399308</v>
      </c>
      <c r="E159">
        <v>1</v>
      </c>
      <c r="F159">
        <v>1</v>
      </c>
      <c r="G159">
        <v>1</v>
      </c>
      <c r="H159">
        <v>3</v>
      </c>
      <c r="I159" t="s">
        <v>376</v>
      </c>
      <c r="J159" t="s">
        <v>378</v>
      </c>
      <c r="K159" t="s">
        <v>377</v>
      </c>
      <c r="L159">
        <v>1348</v>
      </c>
      <c r="N159">
        <v>1009</v>
      </c>
      <c r="O159" t="s">
        <v>174</v>
      </c>
      <c r="P159" t="s">
        <v>174</v>
      </c>
      <c r="Q159">
        <v>1000</v>
      </c>
      <c r="W159">
        <v>0</v>
      </c>
      <c r="X159">
        <v>-1779412701</v>
      </c>
      <c r="Y159">
        <f>(AT159*ROUND(2,7))</f>
        <v>4.0000000000000001E-3</v>
      </c>
      <c r="AA159">
        <v>110506.94</v>
      </c>
      <c r="AB159">
        <v>0</v>
      </c>
      <c r="AC159">
        <v>0</v>
      </c>
      <c r="AD159">
        <v>0</v>
      </c>
      <c r="AE159">
        <v>74165.73</v>
      </c>
      <c r="AF159">
        <v>0</v>
      </c>
      <c r="AG159">
        <v>0</v>
      </c>
      <c r="AH159">
        <v>0</v>
      </c>
      <c r="AI159">
        <v>1.49</v>
      </c>
      <c r="AJ159">
        <v>1</v>
      </c>
      <c r="AK159">
        <v>1</v>
      </c>
      <c r="AL159">
        <v>1</v>
      </c>
      <c r="AM159">
        <v>2</v>
      </c>
      <c r="AN159">
        <v>0</v>
      </c>
      <c r="AO159">
        <v>0</v>
      </c>
      <c r="AP159">
        <v>1</v>
      </c>
      <c r="AQ159">
        <v>1</v>
      </c>
      <c r="AR159">
        <v>0</v>
      </c>
      <c r="AS159" t="s">
        <v>3</v>
      </c>
      <c r="AT159">
        <v>2E-3</v>
      </c>
      <c r="AU159" t="s">
        <v>288</v>
      </c>
      <c r="AV159">
        <v>0</v>
      </c>
      <c r="AW159">
        <v>2</v>
      </c>
      <c r="AX159">
        <v>75605304</v>
      </c>
      <c r="AY159">
        <v>1</v>
      </c>
      <c r="AZ159">
        <v>0</v>
      </c>
      <c r="BA159">
        <v>166</v>
      </c>
      <c r="BB159">
        <v>1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0</v>
      </c>
      <c r="BI159">
        <v>0</v>
      </c>
      <c r="BJ159">
        <v>148.33145999999999</v>
      </c>
      <c r="BK159">
        <v>0</v>
      </c>
      <c r="BL159">
        <v>0</v>
      </c>
      <c r="BM159">
        <v>0</v>
      </c>
      <c r="BN159">
        <v>0</v>
      </c>
      <c r="BO159">
        <v>0</v>
      </c>
      <c r="BP159">
        <v>1</v>
      </c>
      <c r="BQ159">
        <v>296.66291999999999</v>
      </c>
      <c r="BR159">
        <v>0</v>
      </c>
      <c r="BS159">
        <v>0</v>
      </c>
      <c r="BT159">
        <v>0</v>
      </c>
      <c r="BU159">
        <v>0</v>
      </c>
      <c r="BV159">
        <v>0</v>
      </c>
      <c r="BW159">
        <v>1</v>
      </c>
      <c r="CV159">
        <v>0</v>
      </c>
      <c r="CW159">
        <v>0</v>
      </c>
      <c r="CX159">
        <f>ROUND(Y159*Source!I162,7)</f>
        <v>6.4000000000000005E-4</v>
      </c>
      <c r="CY159">
        <f>AA159</f>
        <v>110506.94</v>
      </c>
      <c r="CZ159">
        <f>AE159</f>
        <v>74165.73</v>
      </c>
      <c r="DA159">
        <f>AI159</f>
        <v>1.49</v>
      </c>
      <c r="DB159">
        <f>ROUND((ROUND(AT159*CZ159,2)*ROUND(2,7)),6)</f>
        <v>296.66000000000003</v>
      </c>
      <c r="DC159">
        <f>ROUND((ROUND(AT159*AG159,2)*ROUND(2,7)),6)</f>
        <v>0</v>
      </c>
      <c r="DD159" t="s">
        <v>3</v>
      </c>
      <c r="DE159" t="s">
        <v>3</v>
      </c>
      <c r="DF159">
        <f>ROUND(ROUND(AE159*AI159,2)*CX159,2)</f>
        <v>70.72</v>
      </c>
      <c r="DG159">
        <f>ROUND(ROUND(AF159,2)*CX159,2)</f>
        <v>0</v>
      </c>
      <c r="DH159">
        <f t="shared" si="77"/>
        <v>0</v>
      </c>
      <c r="DI159">
        <f t="shared" si="78"/>
        <v>0</v>
      </c>
      <c r="DJ159">
        <f>DF159</f>
        <v>70.72</v>
      </c>
      <c r="DK159">
        <v>0</v>
      </c>
      <c r="DL159" t="s">
        <v>3</v>
      </c>
      <c r="DM159">
        <v>0</v>
      </c>
      <c r="DN159" t="s">
        <v>3</v>
      </c>
      <c r="DO159">
        <v>0</v>
      </c>
    </row>
    <row r="160" spans="1:119" x14ac:dyDescent="0.25">
      <c r="A160">
        <f>ROW(Source!A163)</f>
        <v>163</v>
      </c>
      <c r="B160">
        <v>75604747</v>
      </c>
      <c r="C160">
        <v>75605305</v>
      </c>
      <c r="D160">
        <v>37082223</v>
      </c>
      <c r="E160">
        <v>114</v>
      </c>
      <c r="F160">
        <v>1</v>
      </c>
      <c r="G160">
        <v>1</v>
      </c>
      <c r="H160">
        <v>1</v>
      </c>
      <c r="I160" t="s">
        <v>589</v>
      </c>
      <c r="J160" t="s">
        <v>3</v>
      </c>
      <c r="K160" t="s">
        <v>590</v>
      </c>
      <c r="L160">
        <v>1191</v>
      </c>
      <c r="N160">
        <v>1013</v>
      </c>
      <c r="O160" t="s">
        <v>501</v>
      </c>
      <c r="P160" t="s">
        <v>501</v>
      </c>
      <c r="Q160">
        <v>1</v>
      </c>
      <c r="W160">
        <v>0</v>
      </c>
      <c r="X160">
        <v>174150515</v>
      </c>
      <c r="Y160">
        <f>(AT160*ROUND((0.15+1),7))</f>
        <v>16.099999999999998</v>
      </c>
      <c r="AA160">
        <v>0</v>
      </c>
      <c r="AB160">
        <v>0</v>
      </c>
      <c r="AC160">
        <v>0</v>
      </c>
      <c r="AD160">
        <v>373.51</v>
      </c>
      <c r="AE160">
        <v>0</v>
      </c>
      <c r="AF160">
        <v>0</v>
      </c>
      <c r="AG160">
        <v>0</v>
      </c>
      <c r="AH160">
        <v>373.51</v>
      </c>
      <c r="AI160">
        <v>1</v>
      </c>
      <c r="AJ160">
        <v>1</v>
      </c>
      <c r="AK160">
        <v>1</v>
      </c>
      <c r="AL160">
        <v>1</v>
      </c>
      <c r="AM160">
        <v>-2</v>
      </c>
      <c r="AN160">
        <v>0</v>
      </c>
      <c r="AO160">
        <v>0</v>
      </c>
      <c r="AP160">
        <v>1</v>
      </c>
      <c r="AQ160">
        <v>1</v>
      </c>
      <c r="AR160">
        <v>0</v>
      </c>
      <c r="AS160" t="s">
        <v>3</v>
      </c>
      <c r="AT160">
        <v>14</v>
      </c>
      <c r="AU160" t="s">
        <v>27</v>
      </c>
      <c r="AV160">
        <v>1</v>
      </c>
      <c r="AW160">
        <v>2</v>
      </c>
      <c r="AX160">
        <v>75605317</v>
      </c>
      <c r="AY160">
        <v>1</v>
      </c>
      <c r="AZ160">
        <v>0</v>
      </c>
      <c r="BA160">
        <v>167</v>
      </c>
      <c r="BB160">
        <v>1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0</v>
      </c>
      <c r="BI160">
        <v>0</v>
      </c>
      <c r="BJ160">
        <v>0</v>
      </c>
      <c r="BK160">
        <v>0</v>
      </c>
      <c r="BL160">
        <v>0</v>
      </c>
      <c r="BM160">
        <v>5229.1399999999994</v>
      </c>
      <c r="BN160">
        <v>14</v>
      </c>
      <c r="BO160">
        <v>0</v>
      </c>
      <c r="BP160">
        <v>1</v>
      </c>
      <c r="BQ160">
        <v>0</v>
      </c>
      <c r="BR160">
        <v>0</v>
      </c>
      <c r="BS160">
        <v>0</v>
      </c>
      <c r="BT160">
        <v>6013.5109999999986</v>
      </c>
      <c r="BU160">
        <v>16.099999999999998</v>
      </c>
      <c r="BV160">
        <v>0</v>
      </c>
      <c r="BW160">
        <v>1</v>
      </c>
      <c r="CU160">
        <f>ROUND(AT160*Source!I163*AH160*AL160,2)</f>
        <v>6274.97</v>
      </c>
      <c r="CV160">
        <f>ROUND(Y160*Source!I163,7)</f>
        <v>19.32</v>
      </c>
      <c r="CW160">
        <v>0</v>
      </c>
      <c r="CX160">
        <f>ROUND(Y160*Source!I163,7)</f>
        <v>19.32</v>
      </c>
      <c r="CY160">
        <f>AD160</f>
        <v>373.51</v>
      </c>
      <c r="CZ160">
        <f>AH160</f>
        <v>373.51</v>
      </c>
      <c r="DA160">
        <f>AL160</f>
        <v>1</v>
      </c>
      <c r="DB160">
        <f>ROUND((ROUND(AT160*CZ160,2)*ROUND((0.15+1),7)),6)</f>
        <v>6013.5110000000004</v>
      </c>
      <c r="DC160">
        <f>ROUND((ROUND(AT160*AG160,2)*ROUND((0.15+1),7)),6)</f>
        <v>0</v>
      </c>
      <c r="DD160" t="s">
        <v>3</v>
      </c>
      <c r="DE160" t="s">
        <v>3</v>
      </c>
      <c r="DF160">
        <f>ROUND(ROUND(AE160,2)*CX160,2)</f>
        <v>0</v>
      </c>
      <c r="DG160">
        <f>ROUND(ROUND(AF160,2)*CX160,2)</f>
        <v>0</v>
      </c>
      <c r="DH160">
        <f t="shared" si="77"/>
        <v>0</v>
      </c>
      <c r="DI160">
        <f t="shared" si="78"/>
        <v>7216.21</v>
      </c>
      <c r="DJ160">
        <f>DI160</f>
        <v>7216.21</v>
      </c>
      <c r="DK160">
        <v>1</v>
      </c>
      <c r="DL160" t="s">
        <v>3</v>
      </c>
      <c r="DM160">
        <v>0</v>
      </c>
      <c r="DN160" t="s">
        <v>3</v>
      </c>
      <c r="DO160">
        <v>0</v>
      </c>
    </row>
    <row r="161" spans="1:119" x14ac:dyDescent="0.25">
      <c r="A161">
        <f>ROW(Source!A163)</f>
        <v>163</v>
      </c>
      <c r="B161">
        <v>75604747</v>
      </c>
      <c r="C161">
        <v>75605305</v>
      </c>
      <c r="D161">
        <v>37064876</v>
      </c>
      <c r="E161">
        <v>114</v>
      </c>
      <c r="F161">
        <v>1</v>
      </c>
      <c r="G161">
        <v>1</v>
      </c>
      <c r="H161">
        <v>1</v>
      </c>
      <c r="I161" t="s">
        <v>504</v>
      </c>
      <c r="J161" t="s">
        <v>3</v>
      </c>
      <c r="K161" t="s">
        <v>505</v>
      </c>
      <c r="L161">
        <v>1191</v>
      </c>
      <c r="N161">
        <v>1013</v>
      </c>
      <c r="O161" t="s">
        <v>501</v>
      </c>
      <c r="P161" t="s">
        <v>501</v>
      </c>
      <c r="Q161">
        <v>1</v>
      </c>
      <c r="W161">
        <v>0</v>
      </c>
      <c r="X161">
        <v>-1417349443</v>
      </c>
      <c r="Y161">
        <f>(AT161*ROUND((0.15+1),7))</f>
        <v>0.67849999999999988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1</v>
      </c>
      <c r="AJ161">
        <v>1</v>
      </c>
      <c r="AK161">
        <v>1</v>
      </c>
      <c r="AL161">
        <v>1</v>
      </c>
      <c r="AM161">
        <v>-2</v>
      </c>
      <c r="AN161">
        <v>0</v>
      </c>
      <c r="AO161">
        <v>0</v>
      </c>
      <c r="AP161">
        <v>1</v>
      </c>
      <c r="AQ161">
        <v>1</v>
      </c>
      <c r="AR161">
        <v>0</v>
      </c>
      <c r="AS161" t="s">
        <v>3</v>
      </c>
      <c r="AT161">
        <v>0.59</v>
      </c>
      <c r="AU161" t="s">
        <v>27</v>
      </c>
      <c r="AV161">
        <v>2</v>
      </c>
      <c r="AW161">
        <v>2</v>
      </c>
      <c r="AX161">
        <v>75605318</v>
      </c>
      <c r="AY161">
        <v>1</v>
      </c>
      <c r="AZ161">
        <v>0</v>
      </c>
      <c r="BA161">
        <v>168</v>
      </c>
      <c r="BB161">
        <v>1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0</v>
      </c>
      <c r="BI161">
        <v>0</v>
      </c>
      <c r="BJ161">
        <v>0</v>
      </c>
      <c r="BK161">
        <v>0</v>
      </c>
      <c r="BL161">
        <v>0</v>
      </c>
      <c r="BM161">
        <v>0</v>
      </c>
      <c r="BN161">
        <v>0</v>
      </c>
      <c r="BO161">
        <v>0</v>
      </c>
      <c r="BP161">
        <v>0</v>
      </c>
      <c r="BQ161">
        <v>0</v>
      </c>
      <c r="BR161">
        <v>0</v>
      </c>
      <c r="BS161">
        <v>0</v>
      </c>
      <c r="BT161">
        <v>0</v>
      </c>
      <c r="BU161">
        <v>0</v>
      </c>
      <c r="BV161">
        <v>0</v>
      </c>
      <c r="BW161">
        <v>0</v>
      </c>
      <c r="CV161">
        <v>0</v>
      </c>
      <c r="CW161">
        <v>0</v>
      </c>
      <c r="CX161">
        <f>ROUND(Y161*Source!I163,7)</f>
        <v>0.81420000000000003</v>
      </c>
      <c r="CY161">
        <f>AD161</f>
        <v>0</v>
      </c>
      <c r="CZ161">
        <f>AH161</f>
        <v>0</v>
      </c>
      <c r="DA161">
        <f>AL161</f>
        <v>1</v>
      </c>
      <c r="DB161">
        <f>ROUND((ROUND(AT161*CZ161,2)*ROUND((0.15+1),7)),6)</f>
        <v>0</v>
      </c>
      <c r="DC161">
        <f>ROUND((ROUND(AT161*AG161,2)*ROUND((0.15+1),7)),6)</f>
        <v>0</v>
      </c>
      <c r="DD161" t="s">
        <v>3</v>
      </c>
      <c r="DE161" t="s">
        <v>3</v>
      </c>
      <c r="DF161">
        <f>ROUND(ROUND(AE161,2)*CX161,2)</f>
        <v>0</v>
      </c>
      <c r="DG161">
        <f>ROUND(ROUND(AF161,2)*CX161,2)</f>
        <v>0</v>
      </c>
      <c r="DH161">
        <f t="shared" si="77"/>
        <v>0</v>
      </c>
      <c r="DI161">
        <f t="shared" si="78"/>
        <v>0</v>
      </c>
      <c r="DJ161">
        <f>DI161</f>
        <v>0</v>
      </c>
      <c r="DK161">
        <v>0</v>
      </c>
      <c r="DL161" t="s">
        <v>3</v>
      </c>
      <c r="DM161">
        <v>0</v>
      </c>
      <c r="DN161" t="s">
        <v>3</v>
      </c>
      <c r="DO161">
        <v>0</v>
      </c>
    </row>
    <row r="162" spans="1:119" x14ac:dyDescent="0.25">
      <c r="A162">
        <f>ROW(Source!A163)</f>
        <v>163</v>
      </c>
      <c r="B162">
        <v>75604747</v>
      </c>
      <c r="C162">
        <v>75605305</v>
      </c>
      <c r="D162">
        <v>69433540</v>
      </c>
      <c r="E162">
        <v>1</v>
      </c>
      <c r="F162">
        <v>1</v>
      </c>
      <c r="G162">
        <v>1</v>
      </c>
      <c r="H162">
        <v>2</v>
      </c>
      <c r="I162" t="s">
        <v>527</v>
      </c>
      <c r="J162" t="s">
        <v>528</v>
      </c>
      <c r="K162" t="s">
        <v>529</v>
      </c>
      <c r="L162">
        <v>1368</v>
      </c>
      <c r="N162">
        <v>1011</v>
      </c>
      <c r="O162" t="s">
        <v>509</v>
      </c>
      <c r="P162" t="s">
        <v>509</v>
      </c>
      <c r="Q162">
        <v>1</v>
      </c>
      <c r="W162">
        <v>0</v>
      </c>
      <c r="X162">
        <v>-1152394969</v>
      </c>
      <c r="Y162">
        <f>(AT162*ROUND((0.15+1),7))</f>
        <v>0.67849999999999988</v>
      </c>
      <c r="AA162">
        <v>0</v>
      </c>
      <c r="AB162">
        <v>551.45000000000005</v>
      </c>
      <c r="AC162">
        <v>368.02</v>
      </c>
      <c r="AD162">
        <v>0</v>
      </c>
      <c r="AE162">
        <v>0</v>
      </c>
      <c r="AF162">
        <v>551.45000000000005</v>
      </c>
      <c r="AG162">
        <v>368.02</v>
      </c>
      <c r="AH162">
        <v>0</v>
      </c>
      <c r="AI162">
        <v>1</v>
      </c>
      <c r="AJ162">
        <v>1</v>
      </c>
      <c r="AK162">
        <v>1</v>
      </c>
      <c r="AL162">
        <v>1</v>
      </c>
      <c r="AM162">
        <v>-2</v>
      </c>
      <c r="AN162">
        <v>0</v>
      </c>
      <c r="AO162">
        <v>0</v>
      </c>
      <c r="AP162">
        <v>1</v>
      </c>
      <c r="AQ162">
        <v>1</v>
      </c>
      <c r="AR162">
        <v>0</v>
      </c>
      <c r="AS162" t="s">
        <v>3</v>
      </c>
      <c r="AT162">
        <v>0.59</v>
      </c>
      <c r="AU162" t="s">
        <v>27</v>
      </c>
      <c r="AV162">
        <v>1</v>
      </c>
      <c r="AW162">
        <v>2</v>
      </c>
      <c r="AX162">
        <v>75605319</v>
      </c>
      <c r="AY162">
        <v>1</v>
      </c>
      <c r="AZ162">
        <v>0</v>
      </c>
      <c r="BA162">
        <v>169</v>
      </c>
      <c r="BB162">
        <v>1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0</v>
      </c>
      <c r="BI162">
        <v>0</v>
      </c>
      <c r="BJ162">
        <v>0</v>
      </c>
      <c r="BK162">
        <v>325.35550000000001</v>
      </c>
      <c r="BL162">
        <v>217.13179999999997</v>
      </c>
      <c r="BM162">
        <v>0</v>
      </c>
      <c r="BN162">
        <v>0</v>
      </c>
      <c r="BO162">
        <v>0.59</v>
      </c>
      <c r="BP162">
        <v>1</v>
      </c>
      <c r="BQ162">
        <v>0</v>
      </c>
      <c r="BR162">
        <v>374.15882499999998</v>
      </c>
      <c r="BS162">
        <v>249.70156999999995</v>
      </c>
      <c r="BT162">
        <v>0</v>
      </c>
      <c r="BU162">
        <v>0</v>
      </c>
      <c r="BV162">
        <v>0.67849999999999988</v>
      </c>
      <c r="BW162">
        <v>1</v>
      </c>
      <c r="CV162">
        <v>0</v>
      </c>
      <c r="CW162">
        <f>ROUND(Y162*Source!I163*DO162,7)</f>
        <v>0.81420000000000003</v>
      </c>
      <c r="CX162">
        <f>ROUND(Y162*Source!I163,7)</f>
        <v>0.81420000000000003</v>
      </c>
      <c r="CY162">
        <f>AB162</f>
        <v>551.45000000000005</v>
      </c>
      <c r="CZ162">
        <f>AF162</f>
        <v>551.45000000000005</v>
      </c>
      <c r="DA162">
        <f>AJ162</f>
        <v>1</v>
      </c>
      <c r="DB162">
        <f>ROUND((ROUND(AT162*CZ162,2)*ROUND((0.15+1),7)),6)</f>
        <v>374.16399999999999</v>
      </c>
      <c r="DC162">
        <f>ROUND((ROUND(AT162*AG162,2)*ROUND((0.15+1),7)),6)</f>
        <v>249.6995</v>
      </c>
      <c r="DD162" t="s">
        <v>3</v>
      </c>
      <c r="DE162" t="s">
        <v>3</v>
      </c>
      <c r="DF162">
        <f>ROUND(ROUND(AE162,2)*CX162,2)</f>
        <v>0</v>
      </c>
      <c r="DG162">
        <f>ROUND(ROUND(AF162,2)*CX162,2)</f>
        <v>448.99</v>
      </c>
      <c r="DH162">
        <f t="shared" si="77"/>
        <v>299.64</v>
      </c>
      <c r="DI162">
        <f t="shared" si="78"/>
        <v>0</v>
      </c>
      <c r="DJ162">
        <f>DG162+DH162</f>
        <v>748.63</v>
      </c>
      <c r="DK162">
        <v>1</v>
      </c>
      <c r="DL162" t="s">
        <v>522</v>
      </c>
      <c r="DM162">
        <v>4</v>
      </c>
      <c r="DN162" t="s">
        <v>501</v>
      </c>
      <c r="DO162">
        <v>1</v>
      </c>
    </row>
    <row r="163" spans="1:119" x14ac:dyDescent="0.25">
      <c r="A163">
        <f>ROW(Source!A163)</f>
        <v>163</v>
      </c>
      <c r="B163">
        <v>75604747</v>
      </c>
      <c r="C163">
        <v>75605305</v>
      </c>
      <c r="D163">
        <v>69434289</v>
      </c>
      <c r="E163">
        <v>1</v>
      </c>
      <c r="F163">
        <v>1</v>
      </c>
      <c r="G163">
        <v>1</v>
      </c>
      <c r="H163">
        <v>2</v>
      </c>
      <c r="I163" t="s">
        <v>668</v>
      </c>
      <c r="J163" t="s">
        <v>669</v>
      </c>
      <c r="K163" t="s">
        <v>670</v>
      </c>
      <c r="L163">
        <v>1368</v>
      </c>
      <c r="N163">
        <v>1011</v>
      </c>
      <c r="O163" t="s">
        <v>509</v>
      </c>
      <c r="P163" t="s">
        <v>509</v>
      </c>
      <c r="Q163">
        <v>1</v>
      </c>
      <c r="W163">
        <v>0</v>
      </c>
      <c r="X163">
        <v>210516533</v>
      </c>
      <c r="Y163">
        <f>(AT163*ROUND((0.15+1),7))</f>
        <v>0.72449999999999992</v>
      </c>
      <c r="AA163">
        <v>0</v>
      </c>
      <c r="AB163">
        <v>33.15</v>
      </c>
      <c r="AC163">
        <v>0</v>
      </c>
      <c r="AD163">
        <v>0</v>
      </c>
      <c r="AE163">
        <v>0</v>
      </c>
      <c r="AF163">
        <v>21.39</v>
      </c>
      <c r="AG163">
        <v>0</v>
      </c>
      <c r="AH163">
        <v>0</v>
      </c>
      <c r="AI163">
        <v>1</v>
      </c>
      <c r="AJ163">
        <v>1.55</v>
      </c>
      <c r="AK163">
        <v>1</v>
      </c>
      <c r="AL163">
        <v>1</v>
      </c>
      <c r="AM163">
        <v>2</v>
      </c>
      <c r="AN163">
        <v>0</v>
      </c>
      <c r="AO163">
        <v>0</v>
      </c>
      <c r="AP163">
        <v>1</v>
      </c>
      <c r="AQ163">
        <v>1</v>
      </c>
      <c r="AR163">
        <v>0</v>
      </c>
      <c r="AS163" t="s">
        <v>3</v>
      </c>
      <c r="AT163">
        <v>0.63</v>
      </c>
      <c r="AU163" t="s">
        <v>27</v>
      </c>
      <c r="AV163">
        <v>1</v>
      </c>
      <c r="AW163">
        <v>2</v>
      </c>
      <c r="AX163">
        <v>75605320</v>
      </c>
      <c r="AY163">
        <v>1</v>
      </c>
      <c r="AZ163">
        <v>0</v>
      </c>
      <c r="BA163">
        <v>170</v>
      </c>
      <c r="BB163">
        <v>1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0</v>
      </c>
      <c r="BI163">
        <v>0</v>
      </c>
      <c r="BJ163">
        <v>0</v>
      </c>
      <c r="BK163">
        <v>13.4757</v>
      </c>
      <c r="BL163">
        <v>0</v>
      </c>
      <c r="BM163">
        <v>0</v>
      </c>
      <c r="BN163">
        <v>0</v>
      </c>
      <c r="BO163">
        <v>0</v>
      </c>
      <c r="BP163">
        <v>1</v>
      </c>
      <c r="BQ163">
        <v>0</v>
      </c>
      <c r="BR163">
        <v>15.497055</v>
      </c>
      <c r="BS163">
        <v>0</v>
      </c>
      <c r="BT163">
        <v>0</v>
      </c>
      <c r="BU163">
        <v>0</v>
      </c>
      <c r="BV163">
        <v>0</v>
      </c>
      <c r="BW163">
        <v>1</v>
      </c>
      <c r="CV163">
        <v>0</v>
      </c>
      <c r="CW163">
        <f>ROUND(Y163*Source!I163*DO163,7)</f>
        <v>0</v>
      </c>
      <c r="CX163">
        <f>ROUND(Y163*Source!I163,7)</f>
        <v>0.86939999999999995</v>
      </c>
      <c r="CY163">
        <f>AB163</f>
        <v>33.15</v>
      </c>
      <c r="CZ163">
        <f>AF163</f>
        <v>21.39</v>
      </c>
      <c r="DA163">
        <f>AJ163</f>
        <v>1.55</v>
      </c>
      <c r="DB163">
        <f>ROUND((ROUND(AT163*CZ163,2)*ROUND((0.15+1),7)),6)</f>
        <v>15.502000000000001</v>
      </c>
      <c r="DC163">
        <f>ROUND((ROUND(AT163*AG163,2)*ROUND((0.15+1),7)),6)</f>
        <v>0</v>
      </c>
      <c r="DD163" t="s">
        <v>3</v>
      </c>
      <c r="DE163" t="s">
        <v>3</v>
      </c>
      <c r="DF163">
        <f>ROUND(ROUND(AE163,2)*CX163,2)</f>
        <v>0</v>
      </c>
      <c r="DG163">
        <f>ROUND(ROUND(AF163*AJ163,2)*CX163,2)</f>
        <v>28.82</v>
      </c>
      <c r="DH163">
        <f t="shared" si="77"/>
        <v>0</v>
      </c>
      <c r="DI163">
        <f t="shared" si="78"/>
        <v>0</v>
      </c>
      <c r="DJ163">
        <f>DG163+DH163</f>
        <v>28.82</v>
      </c>
      <c r="DK163">
        <v>0</v>
      </c>
      <c r="DL163" t="s">
        <v>3</v>
      </c>
      <c r="DM163">
        <v>0</v>
      </c>
      <c r="DN163" t="s">
        <v>3</v>
      </c>
      <c r="DO163">
        <v>0</v>
      </c>
    </row>
    <row r="164" spans="1:119" x14ac:dyDescent="0.25">
      <c r="A164">
        <f>ROW(Source!A163)</f>
        <v>163</v>
      </c>
      <c r="B164">
        <v>75604747</v>
      </c>
      <c r="C164">
        <v>75605305</v>
      </c>
      <c r="D164">
        <v>69381589</v>
      </c>
      <c r="E164">
        <v>1</v>
      </c>
      <c r="F164">
        <v>1</v>
      </c>
      <c r="G164">
        <v>1</v>
      </c>
      <c r="H164">
        <v>3</v>
      </c>
      <c r="I164" t="s">
        <v>671</v>
      </c>
      <c r="J164" t="s">
        <v>672</v>
      </c>
      <c r="K164" t="s">
        <v>673</v>
      </c>
      <c r="L164">
        <v>1348</v>
      </c>
      <c r="N164">
        <v>1009</v>
      </c>
      <c r="O164" t="s">
        <v>174</v>
      </c>
      <c r="P164" t="s">
        <v>174</v>
      </c>
      <c r="Q164">
        <v>1000</v>
      </c>
      <c r="W164">
        <v>0</v>
      </c>
      <c r="X164">
        <v>-1182618281</v>
      </c>
      <c r="Y164">
        <f t="shared" ref="Y164:Y170" si="93">AT164</f>
        <v>4.0000000000000003E-5</v>
      </c>
      <c r="AA164">
        <v>347444.39</v>
      </c>
      <c r="AB164">
        <v>0</v>
      </c>
      <c r="AC164">
        <v>0</v>
      </c>
      <c r="AD164">
        <v>0</v>
      </c>
      <c r="AE164">
        <v>263215.45</v>
      </c>
      <c r="AF164">
        <v>0</v>
      </c>
      <c r="AG164">
        <v>0</v>
      </c>
      <c r="AH164">
        <v>0</v>
      </c>
      <c r="AI164">
        <v>1.32</v>
      </c>
      <c r="AJ164">
        <v>1</v>
      </c>
      <c r="AK164">
        <v>1</v>
      </c>
      <c r="AL164">
        <v>1</v>
      </c>
      <c r="AM164">
        <v>2</v>
      </c>
      <c r="AN164">
        <v>0</v>
      </c>
      <c r="AO164">
        <v>0</v>
      </c>
      <c r="AP164">
        <v>1</v>
      </c>
      <c r="AQ164">
        <v>1</v>
      </c>
      <c r="AR164">
        <v>0</v>
      </c>
      <c r="AS164" t="s">
        <v>3</v>
      </c>
      <c r="AT164">
        <v>4.0000000000000003E-5</v>
      </c>
      <c r="AU164" t="s">
        <v>3</v>
      </c>
      <c r="AV164">
        <v>0</v>
      </c>
      <c r="AW164">
        <v>2</v>
      </c>
      <c r="AX164">
        <v>75605321</v>
      </c>
      <c r="AY164">
        <v>1</v>
      </c>
      <c r="AZ164">
        <v>0</v>
      </c>
      <c r="BA164">
        <v>171</v>
      </c>
      <c r="BB164">
        <v>1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0</v>
      </c>
      <c r="BI164">
        <v>0</v>
      </c>
      <c r="BJ164">
        <v>10.528618000000002</v>
      </c>
      <c r="BK164">
        <v>0</v>
      </c>
      <c r="BL164">
        <v>0</v>
      </c>
      <c r="BM164">
        <v>0</v>
      </c>
      <c r="BN164">
        <v>0</v>
      </c>
      <c r="BO164">
        <v>0</v>
      </c>
      <c r="BP164">
        <v>1</v>
      </c>
      <c r="BQ164">
        <v>10.528618000000002</v>
      </c>
      <c r="BR164">
        <v>0</v>
      </c>
      <c r="BS164">
        <v>0</v>
      </c>
      <c r="BT164">
        <v>0</v>
      </c>
      <c r="BU164">
        <v>0</v>
      </c>
      <c r="BV164">
        <v>0</v>
      </c>
      <c r="BW164">
        <v>1</v>
      </c>
      <c r="CV164">
        <v>0</v>
      </c>
      <c r="CW164">
        <v>0</v>
      </c>
      <c r="CX164">
        <f>ROUND(Y164*Source!I163,7)</f>
        <v>4.8000000000000001E-5</v>
      </c>
      <c r="CY164">
        <f t="shared" ref="CY164:CY170" si="94">AA164</f>
        <v>347444.39</v>
      </c>
      <c r="CZ164">
        <f t="shared" ref="CZ164:CZ170" si="95">AE164</f>
        <v>263215.45</v>
      </c>
      <c r="DA164">
        <f t="shared" ref="DA164:DA170" si="96">AI164</f>
        <v>1.32</v>
      </c>
      <c r="DB164">
        <f t="shared" ref="DB164:DB170" si="97">ROUND(ROUND(AT164*CZ164,2),6)</f>
        <v>10.53</v>
      </c>
      <c r="DC164">
        <f t="shared" ref="DC164:DC170" si="98">ROUND(ROUND(AT164*AG164,2),6)</f>
        <v>0</v>
      </c>
      <c r="DD164" t="s">
        <v>3</v>
      </c>
      <c r="DE164" t="s">
        <v>3</v>
      </c>
      <c r="DF164">
        <f>ROUND(ROUND(AE164*AI164,2)*CX164,2)</f>
        <v>16.68</v>
      </c>
      <c r="DG164">
        <f t="shared" ref="DG164:DG172" si="99">ROUND(ROUND(AF164,2)*CX164,2)</f>
        <v>0</v>
      </c>
      <c r="DH164">
        <f t="shared" si="77"/>
        <v>0</v>
      </c>
      <c r="DI164">
        <f t="shared" si="78"/>
        <v>0</v>
      </c>
      <c r="DJ164">
        <f t="shared" ref="DJ164:DJ170" si="100">DF164</f>
        <v>16.68</v>
      </c>
      <c r="DK164">
        <v>0</v>
      </c>
      <c r="DL164" t="s">
        <v>3</v>
      </c>
      <c r="DM164">
        <v>0</v>
      </c>
      <c r="DN164" t="s">
        <v>3</v>
      </c>
      <c r="DO164">
        <v>0</v>
      </c>
    </row>
    <row r="165" spans="1:119" x14ac:dyDescent="0.25">
      <c r="A165">
        <f>ROW(Source!A163)</f>
        <v>163</v>
      </c>
      <c r="B165">
        <v>75604747</v>
      </c>
      <c r="C165">
        <v>75605305</v>
      </c>
      <c r="D165">
        <v>69388840</v>
      </c>
      <c r="E165">
        <v>1</v>
      </c>
      <c r="F165">
        <v>1</v>
      </c>
      <c r="G165">
        <v>1</v>
      </c>
      <c r="H165">
        <v>3</v>
      </c>
      <c r="I165" t="s">
        <v>674</v>
      </c>
      <c r="J165" t="s">
        <v>675</v>
      </c>
      <c r="K165" t="s">
        <v>676</v>
      </c>
      <c r="L165">
        <v>1348</v>
      </c>
      <c r="N165">
        <v>1009</v>
      </c>
      <c r="O165" t="s">
        <v>174</v>
      </c>
      <c r="P165" t="s">
        <v>174</v>
      </c>
      <c r="Q165">
        <v>1000</v>
      </c>
      <c r="W165">
        <v>0</v>
      </c>
      <c r="X165">
        <v>1160957577</v>
      </c>
      <c r="Y165">
        <f t="shared" si="93"/>
        <v>1.06E-2</v>
      </c>
      <c r="AA165">
        <v>63241.97</v>
      </c>
      <c r="AB165">
        <v>0</v>
      </c>
      <c r="AC165">
        <v>0</v>
      </c>
      <c r="AD165">
        <v>0</v>
      </c>
      <c r="AE165">
        <v>89073.2</v>
      </c>
      <c r="AF165">
        <v>0</v>
      </c>
      <c r="AG165">
        <v>0</v>
      </c>
      <c r="AH165">
        <v>0</v>
      </c>
      <c r="AI165">
        <v>0.71</v>
      </c>
      <c r="AJ165">
        <v>1</v>
      </c>
      <c r="AK165">
        <v>1</v>
      </c>
      <c r="AL165">
        <v>1</v>
      </c>
      <c r="AM165">
        <v>2</v>
      </c>
      <c r="AN165">
        <v>0</v>
      </c>
      <c r="AO165">
        <v>0</v>
      </c>
      <c r="AP165">
        <v>1</v>
      </c>
      <c r="AQ165">
        <v>1</v>
      </c>
      <c r="AR165">
        <v>0</v>
      </c>
      <c r="AS165" t="s">
        <v>3</v>
      </c>
      <c r="AT165">
        <v>1.06E-2</v>
      </c>
      <c r="AU165" t="s">
        <v>3</v>
      </c>
      <c r="AV165">
        <v>0</v>
      </c>
      <c r="AW165">
        <v>2</v>
      </c>
      <c r="AX165">
        <v>75605322</v>
      </c>
      <c r="AY165">
        <v>1</v>
      </c>
      <c r="AZ165">
        <v>0</v>
      </c>
      <c r="BA165">
        <v>172</v>
      </c>
      <c r="BB165">
        <v>1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0</v>
      </c>
      <c r="BI165">
        <v>0</v>
      </c>
      <c r="BJ165">
        <v>944.17592000000002</v>
      </c>
      <c r="BK165">
        <v>0</v>
      </c>
      <c r="BL165">
        <v>0</v>
      </c>
      <c r="BM165">
        <v>0</v>
      </c>
      <c r="BN165">
        <v>0</v>
      </c>
      <c r="BO165">
        <v>0</v>
      </c>
      <c r="BP165">
        <v>1</v>
      </c>
      <c r="BQ165">
        <v>944.17592000000002</v>
      </c>
      <c r="BR165">
        <v>0</v>
      </c>
      <c r="BS165">
        <v>0</v>
      </c>
      <c r="BT165">
        <v>0</v>
      </c>
      <c r="BU165">
        <v>0</v>
      </c>
      <c r="BV165">
        <v>0</v>
      </c>
      <c r="BW165">
        <v>1</v>
      </c>
      <c r="CV165">
        <v>0</v>
      </c>
      <c r="CW165">
        <v>0</v>
      </c>
      <c r="CX165">
        <f>ROUND(Y165*Source!I163,7)</f>
        <v>1.272E-2</v>
      </c>
      <c r="CY165">
        <f t="shared" si="94"/>
        <v>63241.97</v>
      </c>
      <c r="CZ165">
        <f t="shared" si="95"/>
        <v>89073.2</v>
      </c>
      <c r="DA165">
        <f t="shared" si="96"/>
        <v>0.71</v>
      </c>
      <c r="DB165">
        <f t="shared" si="97"/>
        <v>944.18</v>
      </c>
      <c r="DC165">
        <f t="shared" si="98"/>
        <v>0</v>
      </c>
      <c r="DD165" t="s">
        <v>3</v>
      </c>
      <c r="DE165" t="s">
        <v>3</v>
      </c>
      <c r="DF165">
        <f>ROUND(ROUND(AE165*AI165,2)*CX165,2)</f>
        <v>804.44</v>
      </c>
      <c r="DG165">
        <f t="shared" si="99"/>
        <v>0</v>
      </c>
      <c r="DH165">
        <f t="shared" si="77"/>
        <v>0</v>
      </c>
      <c r="DI165">
        <f t="shared" si="78"/>
        <v>0</v>
      </c>
      <c r="DJ165">
        <f t="shared" si="100"/>
        <v>804.44</v>
      </c>
      <c r="DK165">
        <v>0</v>
      </c>
      <c r="DL165" t="s">
        <v>3</v>
      </c>
      <c r="DM165">
        <v>0</v>
      </c>
      <c r="DN165" t="s">
        <v>3</v>
      </c>
      <c r="DO165">
        <v>0</v>
      </c>
    </row>
    <row r="166" spans="1:119" x14ac:dyDescent="0.25">
      <c r="A166">
        <f>ROW(Source!A163)</f>
        <v>163</v>
      </c>
      <c r="B166">
        <v>75604747</v>
      </c>
      <c r="C166">
        <v>75605305</v>
      </c>
      <c r="D166">
        <v>69388892</v>
      </c>
      <c r="E166">
        <v>1</v>
      </c>
      <c r="F166">
        <v>1</v>
      </c>
      <c r="G166">
        <v>1</v>
      </c>
      <c r="H166">
        <v>3</v>
      </c>
      <c r="I166" t="s">
        <v>677</v>
      </c>
      <c r="J166" t="s">
        <v>678</v>
      </c>
      <c r="K166" t="s">
        <v>679</v>
      </c>
      <c r="L166">
        <v>1348</v>
      </c>
      <c r="N166">
        <v>1009</v>
      </c>
      <c r="O166" t="s">
        <v>174</v>
      </c>
      <c r="P166" t="s">
        <v>174</v>
      </c>
      <c r="Q166">
        <v>1000</v>
      </c>
      <c r="W166">
        <v>0</v>
      </c>
      <c r="X166">
        <v>1324181911</v>
      </c>
      <c r="Y166">
        <f t="shared" si="93"/>
        <v>5.2999999999999998E-4</v>
      </c>
      <c r="AA166">
        <v>112730.86</v>
      </c>
      <c r="AB166">
        <v>0</v>
      </c>
      <c r="AC166">
        <v>0</v>
      </c>
      <c r="AD166">
        <v>0</v>
      </c>
      <c r="AE166">
        <v>129575.7</v>
      </c>
      <c r="AF166">
        <v>0</v>
      </c>
      <c r="AG166">
        <v>0</v>
      </c>
      <c r="AH166">
        <v>0</v>
      </c>
      <c r="AI166">
        <v>0.87</v>
      </c>
      <c r="AJ166">
        <v>1</v>
      </c>
      <c r="AK166">
        <v>1</v>
      </c>
      <c r="AL166">
        <v>1</v>
      </c>
      <c r="AM166">
        <v>2</v>
      </c>
      <c r="AN166">
        <v>0</v>
      </c>
      <c r="AO166">
        <v>0</v>
      </c>
      <c r="AP166">
        <v>1</v>
      </c>
      <c r="AQ166">
        <v>1</v>
      </c>
      <c r="AR166">
        <v>0</v>
      </c>
      <c r="AS166" t="s">
        <v>3</v>
      </c>
      <c r="AT166">
        <v>5.2999999999999998E-4</v>
      </c>
      <c r="AU166" t="s">
        <v>3</v>
      </c>
      <c r="AV166">
        <v>0</v>
      </c>
      <c r="AW166">
        <v>2</v>
      </c>
      <c r="AX166">
        <v>75605323</v>
      </c>
      <c r="AY166">
        <v>1</v>
      </c>
      <c r="AZ166">
        <v>0</v>
      </c>
      <c r="BA166">
        <v>173</v>
      </c>
      <c r="BB166">
        <v>1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0</v>
      </c>
      <c r="BI166">
        <v>0</v>
      </c>
      <c r="BJ166">
        <v>68.67512099999999</v>
      </c>
      <c r="BK166">
        <v>0</v>
      </c>
      <c r="BL166">
        <v>0</v>
      </c>
      <c r="BM166">
        <v>0</v>
      </c>
      <c r="BN166">
        <v>0</v>
      </c>
      <c r="BO166">
        <v>0</v>
      </c>
      <c r="BP166">
        <v>1</v>
      </c>
      <c r="BQ166">
        <v>68.67512099999999</v>
      </c>
      <c r="BR166">
        <v>0</v>
      </c>
      <c r="BS166">
        <v>0</v>
      </c>
      <c r="BT166">
        <v>0</v>
      </c>
      <c r="BU166">
        <v>0</v>
      </c>
      <c r="BV166">
        <v>0</v>
      </c>
      <c r="BW166">
        <v>1</v>
      </c>
      <c r="CV166">
        <v>0</v>
      </c>
      <c r="CW166">
        <v>0</v>
      </c>
      <c r="CX166">
        <f>ROUND(Y166*Source!I163,7)</f>
        <v>6.3599999999999996E-4</v>
      </c>
      <c r="CY166">
        <f t="shared" si="94"/>
        <v>112730.86</v>
      </c>
      <c r="CZ166">
        <f t="shared" si="95"/>
        <v>129575.7</v>
      </c>
      <c r="DA166">
        <f t="shared" si="96"/>
        <v>0.87</v>
      </c>
      <c r="DB166">
        <f t="shared" si="97"/>
        <v>68.680000000000007</v>
      </c>
      <c r="DC166">
        <f t="shared" si="98"/>
        <v>0</v>
      </c>
      <c r="DD166" t="s">
        <v>3</v>
      </c>
      <c r="DE166" t="s">
        <v>3</v>
      </c>
      <c r="DF166">
        <f>ROUND(ROUND(AE166*AI166,2)*CX166,2)</f>
        <v>71.7</v>
      </c>
      <c r="DG166">
        <f t="shared" si="99"/>
        <v>0</v>
      </c>
      <c r="DH166">
        <f t="shared" si="77"/>
        <v>0</v>
      </c>
      <c r="DI166">
        <f t="shared" si="78"/>
        <v>0</v>
      </c>
      <c r="DJ166">
        <f t="shared" si="100"/>
        <v>71.7</v>
      </c>
      <c r="DK166">
        <v>0</v>
      </c>
      <c r="DL166" t="s">
        <v>3</v>
      </c>
      <c r="DM166">
        <v>0</v>
      </c>
      <c r="DN166" t="s">
        <v>3</v>
      </c>
      <c r="DO166">
        <v>0</v>
      </c>
    </row>
    <row r="167" spans="1:119" x14ac:dyDescent="0.25">
      <c r="A167">
        <f>ROW(Source!A163)</f>
        <v>163</v>
      </c>
      <c r="B167">
        <v>75604747</v>
      </c>
      <c r="C167">
        <v>75605305</v>
      </c>
      <c r="D167">
        <v>69388893</v>
      </c>
      <c r="E167">
        <v>1</v>
      </c>
      <c r="F167">
        <v>1</v>
      </c>
      <c r="G167">
        <v>1</v>
      </c>
      <c r="H167">
        <v>3</v>
      </c>
      <c r="I167" t="s">
        <v>680</v>
      </c>
      <c r="J167" t="s">
        <v>681</v>
      </c>
      <c r="K167" t="s">
        <v>682</v>
      </c>
      <c r="L167">
        <v>1348</v>
      </c>
      <c r="N167">
        <v>1009</v>
      </c>
      <c r="O167" t="s">
        <v>174</v>
      </c>
      <c r="P167" t="s">
        <v>174</v>
      </c>
      <c r="Q167">
        <v>1000</v>
      </c>
      <c r="W167">
        <v>0</v>
      </c>
      <c r="X167">
        <v>1869676882</v>
      </c>
      <c r="Y167">
        <f t="shared" si="93"/>
        <v>1.01E-3</v>
      </c>
      <c r="AA167">
        <v>75903.759999999995</v>
      </c>
      <c r="AB167">
        <v>0</v>
      </c>
      <c r="AC167">
        <v>0</v>
      </c>
      <c r="AD167">
        <v>0</v>
      </c>
      <c r="AE167">
        <v>87245.7</v>
      </c>
      <c r="AF167">
        <v>0</v>
      </c>
      <c r="AG167">
        <v>0</v>
      </c>
      <c r="AH167">
        <v>0</v>
      </c>
      <c r="AI167">
        <v>0.87</v>
      </c>
      <c r="AJ167">
        <v>1</v>
      </c>
      <c r="AK167">
        <v>1</v>
      </c>
      <c r="AL167">
        <v>1</v>
      </c>
      <c r="AM167">
        <v>2</v>
      </c>
      <c r="AN167">
        <v>0</v>
      </c>
      <c r="AO167">
        <v>0</v>
      </c>
      <c r="AP167">
        <v>1</v>
      </c>
      <c r="AQ167">
        <v>1</v>
      </c>
      <c r="AR167">
        <v>0</v>
      </c>
      <c r="AS167" t="s">
        <v>3</v>
      </c>
      <c r="AT167">
        <v>1.01E-3</v>
      </c>
      <c r="AU167" t="s">
        <v>3</v>
      </c>
      <c r="AV167">
        <v>0</v>
      </c>
      <c r="AW167">
        <v>2</v>
      </c>
      <c r="AX167">
        <v>75605324</v>
      </c>
      <c r="AY167">
        <v>1</v>
      </c>
      <c r="AZ167">
        <v>0</v>
      </c>
      <c r="BA167">
        <v>174</v>
      </c>
      <c r="BB167">
        <v>1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0</v>
      </c>
      <c r="BI167">
        <v>0</v>
      </c>
      <c r="BJ167">
        <v>88.118156999999997</v>
      </c>
      <c r="BK167">
        <v>0</v>
      </c>
      <c r="BL167">
        <v>0</v>
      </c>
      <c r="BM167">
        <v>0</v>
      </c>
      <c r="BN167">
        <v>0</v>
      </c>
      <c r="BO167">
        <v>0</v>
      </c>
      <c r="BP167">
        <v>1</v>
      </c>
      <c r="BQ167">
        <v>88.118156999999997</v>
      </c>
      <c r="BR167">
        <v>0</v>
      </c>
      <c r="BS167">
        <v>0</v>
      </c>
      <c r="BT167">
        <v>0</v>
      </c>
      <c r="BU167">
        <v>0</v>
      </c>
      <c r="BV167">
        <v>0</v>
      </c>
      <c r="BW167">
        <v>1</v>
      </c>
      <c r="CV167">
        <v>0</v>
      </c>
      <c r="CW167">
        <v>0</v>
      </c>
      <c r="CX167">
        <f>ROUND(Y167*Source!I163,7)</f>
        <v>1.212E-3</v>
      </c>
      <c r="CY167">
        <f t="shared" si="94"/>
        <v>75903.759999999995</v>
      </c>
      <c r="CZ167">
        <f t="shared" si="95"/>
        <v>87245.7</v>
      </c>
      <c r="DA167">
        <f t="shared" si="96"/>
        <v>0.87</v>
      </c>
      <c r="DB167">
        <f t="shared" si="97"/>
        <v>88.12</v>
      </c>
      <c r="DC167">
        <f t="shared" si="98"/>
        <v>0</v>
      </c>
      <c r="DD167" t="s">
        <v>3</v>
      </c>
      <c r="DE167" t="s">
        <v>3</v>
      </c>
      <c r="DF167">
        <f>ROUND(ROUND(AE167*AI167,2)*CX167,2)</f>
        <v>92</v>
      </c>
      <c r="DG167">
        <f t="shared" si="99"/>
        <v>0</v>
      </c>
      <c r="DH167">
        <f t="shared" si="77"/>
        <v>0</v>
      </c>
      <c r="DI167">
        <f t="shared" si="78"/>
        <v>0</v>
      </c>
      <c r="DJ167">
        <f t="shared" si="100"/>
        <v>92</v>
      </c>
      <c r="DK167">
        <v>0</v>
      </c>
      <c r="DL167" t="s">
        <v>3</v>
      </c>
      <c r="DM167">
        <v>0</v>
      </c>
      <c r="DN167" t="s">
        <v>3</v>
      </c>
      <c r="DO167">
        <v>0</v>
      </c>
    </row>
    <row r="168" spans="1:119" x14ac:dyDescent="0.25">
      <c r="A168">
        <f>ROW(Source!A163)</f>
        <v>163</v>
      </c>
      <c r="B168">
        <v>75604747</v>
      </c>
      <c r="C168">
        <v>75605305</v>
      </c>
      <c r="D168">
        <v>69389050</v>
      </c>
      <c r="E168">
        <v>1</v>
      </c>
      <c r="F168">
        <v>1</v>
      </c>
      <c r="G168">
        <v>1</v>
      </c>
      <c r="H168">
        <v>3</v>
      </c>
      <c r="I168" t="s">
        <v>683</v>
      </c>
      <c r="J168" t="s">
        <v>684</v>
      </c>
      <c r="K168" t="s">
        <v>685</v>
      </c>
      <c r="L168">
        <v>1348</v>
      </c>
      <c r="N168">
        <v>1009</v>
      </c>
      <c r="O168" t="s">
        <v>174</v>
      </c>
      <c r="P168" t="s">
        <v>174</v>
      </c>
      <c r="Q168">
        <v>1000</v>
      </c>
      <c r="W168">
        <v>0</v>
      </c>
      <c r="X168">
        <v>1028135832</v>
      </c>
      <c r="Y168">
        <f t="shared" si="93"/>
        <v>1.35E-2</v>
      </c>
      <c r="AA168">
        <v>70048.22</v>
      </c>
      <c r="AB168">
        <v>0</v>
      </c>
      <c r="AC168">
        <v>0</v>
      </c>
      <c r="AD168">
        <v>0</v>
      </c>
      <c r="AE168">
        <v>70048.22</v>
      </c>
      <c r="AF168">
        <v>0</v>
      </c>
      <c r="AG168">
        <v>0</v>
      </c>
      <c r="AH168">
        <v>0</v>
      </c>
      <c r="AI168">
        <v>1</v>
      </c>
      <c r="AJ168">
        <v>1</v>
      </c>
      <c r="AK168">
        <v>1</v>
      </c>
      <c r="AL168">
        <v>1</v>
      </c>
      <c r="AM168">
        <v>-2</v>
      </c>
      <c r="AN168">
        <v>0</v>
      </c>
      <c r="AO168">
        <v>0</v>
      </c>
      <c r="AP168">
        <v>1</v>
      </c>
      <c r="AQ168">
        <v>1</v>
      </c>
      <c r="AR168">
        <v>0</v>
      </c>
      <c r="AS168" t="s">
        <v>3</v>
      </c>
      <c r="AT168">
        <v>1.35E-2</v>
      </c>
      <c r="AU168" t="s">
        <v>3</v>
      </c>
      <c r="AV168">
        <v>0</v>
      </c>
      <c r="AW168">
        <v>2</v>
      </c>
      <c r="AX168">
        <v>75605325</v>
      </c>
      <c r="AY168">
        <v>1</v>
      </c>
      <c r="AZ168">
        <v>0</v>
      </c>
      <c r="BA168">
        <v>175</v>
      </c>
      <c r="BB168">
        <v>1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0</v>
      </c>
      <c r="BI168">
        <v>0</v>
      </c>
      <c r="BJ168">
        <v>945.65097000000003</v>
      </c>
      <c r="BK168">
        <v>0</v>
      </c>
      <c r="BL168">
        <v>0</v>
      </c>
      <c r="BM168">
        <v>0</v>
      </c>
      <c r="BN168">
        <v>0</v>
      </c>
      <c r="BO168">
        <v>0</v>
      </c>
      <c r="BP168">
        <v>1</v>
      </c>
      <c r="BQ168">
        <v>945.65097000000003</v>
      </c>
      <c r="BR168">
        <v>0</v>
      </c>
      <c r="BS168">
        <v>0</v>
      </c>
      <c r="BT168">
        <v>0</v>
      </c>
      <c r="BU168">
        <v>0</v>
      </c>
      <c r="BV168">
        <v>0</v>
      </c>
      <c r="BW168">
        <v>1</v>
      </c>
      <c r="CV168">
        <v>0</v>
      </c>
      <c r="CW168">
        <v>0</v>
      </c>
      <c r="CX168">
        <f>ROUND(Y168*Source!I163,7)</f>
        <v>1.6199999999999999E-2</v>
      </c>
      <c r="CY168">
        <f t="shared" si="94"/>
        <v>70048.22</v>
      </c>
      <c r="CZ168">
        <f t="shared" si="95"/>
        <v>70048.22</v>
      </c>
      <c r="DA168">
        <f t="shared" si="96"/>
        <v>1</v>
      </c>
      <c r="DB168">
        <f t="shared" si="97"/>
        <v>945.65</v>
      </c>
      <c r="DC168">
        <f t="shared" si="98"/>
        <v>0</v>
      </c>
      <c r="DD168" t="s">
        <v>3</v>
      </c>
      <c r="DE168" t="s">
        <v>3</v>
      </c>
      <c r="DF168">
        <f>ROUND(ROUND(AE168,2)*CX168,2)</f>
        <v>1134.78</v>
      </c>
      <c r="DG168">
        <f t="shared" si="99"/>
        <v>0</v>
      </c>
      <c r="DH168">
        <f t="shared" si="77"/>
        <v>0</v>
      </c>
      <c r="DI168">
        <f t="shared" si="78"/>
        <v>0</v>
      </c>
      <c r="DJ168">
        <f t="shared" si="100"/>
        <v>1134.78</v>
      </c>
      <c r="DK168">
        <v>1</v>
      </c>
      <c r="DL168" t="s">
        <v>3</v>
      </c>
      <c r="DM168">
        <v>0</v>
      </c>
      <c r="DN168" t="s">
        <v>3</v>
      </c>
      <c r="DO168">
        <v>0</v>
      </c>
    </row>
    <row r="169" spans="1:119" x14ac:dyDescent="0.25">
      <c r="A169">
        <f>ROW(Source!A163)</f>
        <v>163</v>
      </c>
      <c r="B169">
        <v>75604747</v>
      </c>
      <c r="C169">
        <v>75605305</v>
      </c>
      <c r="D169">
        <v>69392834</v>
      </c>
      <c r="E169">
        <v>1</v>
      </c>
      <c r="F169">
        <v>1</v>
      </c>
      <c r="G169">
        <v>1</v>
      </c>
      <c r="H169">
        <v>3</v>
      </c>
      <c r="I169" t="s">
        <v>686</v>
      </c>
      <c r="J169" t="s">
        <v>687</v>
      </c>
      <c r="K169" t="s">
        <v>688</v>
      </c>
      <c r="L169">
        <v>1327</v>
      </c>
      <c r="N169">
        <v>1005</v>
      </c>
      <c r="O169" t="s">
        <v>314</v>
      </c>
      <c r="P169" t="s">
        <v>314</v>
      </c>
      <c r="Q169">
        <v>1</v>
      </c>
      <c r="W169">
        <v>0</v>
      </c>
      <c r="X169">
        <v>-440234322</v>
      </c>
      <c r="Y169">
        <f t="shared" si="93"/>
        <v>0.5</v>
      </c>
      <c r="AA169">
        <v>40.18</v>
      </c>
      <c r="AB169">
        <v>0</v>
      </c>
      <c r="AC169">
        <v>0</v>
      </c>
      <c r="AD169">
        <v>0</v>
      </c>
      <c r="AE169">
        <v>36.200000000000003</v>
      </c>
      <c r="AF169">
        <v>0</v>
      </c>
      <c r="AG169">
        <v>0</v>
      </c>
      <c r="AH169">
        <v>0</v>
      </c>
      <c r="AI169">
        <v>1.1100000000000001</v>
      </c>
      <c r="AJ169">
        <v>1</v>
      </c>
      <c r="AK169">
        <v>1</v>
      </c>
      <c r="AL169">
        <v>1</v>
      </c>
      <c r="AM169">
        <v>2</v>
      </c>
      <c r="AN169">
        <v>0</v>
      </c>
      <c r="AO169">
        <v>0</v>
      </c>
      <c r="AP169">
        <v>1</v>
      </c>
      <c r="AQ169">
        <v>1</v>
      </c>
      <c r="AR169">
        <v>0</v>
      </c>
      <c r="AS169" t="s">
        <v>3</v>
      </c>
      <c r="AT169">
        <v>0.5</v>
      </c>
      <c r="AU169" t="s">
        <v>3</v>
      </c>
      <c r="AV169">
        <v>0</v>
      </c>
      <c r="AW169">
        <v>2</v>
      </c>
      <c r="AX169">
        <v>75605327</v>
      </c>
      <c r="AY169">
        <v>1</v>
      </c>
      <c r="AZ169">
        <v>0</v>
      </c>
      <c r="BA169">
        <v>177</v>
      </c>
      <c r="BB169">
        <v>1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v>0</v>
      </c>
      <c r="BI169">
        <v>0</v>
      </c>
      <c r="BJ169">
        <v>18.100000000000001</v>
      </c>
      <c r="BK169">
        <v>0</v>
      </c>
      <c r="BL169">
        <v>0</v>
      </c>
      <c r="BM169">
        <v>0</v>
      </c>
      <c r="BN169">
        <v>0</v>
      </c>
      <c r="BO169">
        <v>0</v>
      </c>
      <c r="BP169">
        <v>1</v>
      </c>
      <c r="BQ169">
        <v>18.100000000000001</v>
      </c>
      <c r="BR169">
        <v>0</v>
      </c>
      <c r="BS169">
        <v>0</v>
      </c>
      <c r="BT169">
        <v>0</v>
      </c>
      <c r="BU169">
        <v>0</v>
      </c>
      <c r="BV169">
        <v>0</v>
      </c>
      <c r="BW169">
        <v>1</v>
      </c>
      <c r="CV169">
        <v>0</v>
      </c>
      <c r="CW169">
        <v>0</v>
      </c>
      <c r="CX169">
        <f>ROUND(Y169*Source!I163,7)</f>
        <v>0.6</v>
      </c>
      <c r="CY169">
        <f t="shared" si="94"/>
        <v>40.18</v>
      </c>
      <c r="CZ169">
        <f t="shared" si="95"/>
        <v>36.200000000000003</v>
      </c>
      <c r="DA169">
        <f t="shared" si="96"/>
        <v>1.1100000000000001</v>
      </c>
      <c r="DB169">
        <f t="shared" si="97"/>
        <v>18.100000000000001</v>
      </c>
      <c r="DC169">
        <f t="shared" si="98"/>
        <v>0</v>
      </c>
      <c r="DD169" t="s">
        <v>3</v>
      </c>
      <c r="DE169" t="s">
        <v>3</v>
      </c>
      <c r="DF169">
        <f>ROUND(ROUND(AE169*AI169,2)*CX169,2)</f>
        <v>24.11</v>
      </c>
      <c r="DG169">
        <f t="shared" si="99"/>
        <v>0</v>
      </c>
      <c r="DH169">
        <f t="shared" si="77"/>
        <v>0</v>
      </c>
      <c r="DI169">
        <f t="shared" si="78"/>
        <v>0</v>
      </c>
      <c r="DJ169">
        <f t="shared" si="100"/>
        <v>24.11</v>
      </c>
      <c r="DK169">
        <v>0</v>
      </c>
      <c r="DL169" t="s">
        <v>3</v>
      </c>
      <c r="DM169">
        <v>0</v>
      </c>
      <c r="DN169" t="s">
        <v>3</v>
      </c>
      <c r="DO169">
        <v>0</v>
      </c>
    </row>
    <row r="170" spans="1:119" x14ac:dyDescent="0.25">
      <c r="A170">
        <f>ROW(Source!A163)</f>
        <v>163</v>
      </c>
      <c r="B170">
        <v>75604747</v>
      </c>
      <c r="C170">
        <v>75605305</v>
      </c>
      <c r="D170">
        <v>69392871</v>
      </c>
      <c r="E170">
        <v>1</v>
      </c>
      <c r="F170">
        <v>1</v>
      </c>
      <c r="G170">
        <v>1</v>
      </c>
      <c r="H170">
        <v>3</v>
      </c>
      <c r="I170" t="s">
        <v>304</v>
      </c>
      <c r="J170" t="s">
        <v>306</v>
      </c>
      <c r="K170" t="s">
        <v>305</v>
      </c>
      <c r="L170">
        <v>1339</v>
      </c>
      <c r="N170">
        <v>1007</v>
      </c>
      <c r="O170" t="s">
        <v>205</v>
      </c>
      <c r="P170" t="s">
        <v>205</v>
      </c>
      <c r="Q170">
        <v>1</v>
      </c>
      <c r="W170">
        <v>0</v>
      </c>
      <c r="X170">
        <v>1980577766</v>
      </c>
      <c r="Y170">
        <f t="shared" si="93"/>
        <v>1.08</v>
      </c>
      <c r="AA170">
        <v>4429.78</v>
      </c>
      <c r="AB170">
        <v>0</v>
      </c>
      <c r="AC170">
        <v>0</v>
      </c>
      <c r="AD170">
        <v>0</v>
      </c>
      <c r="AE170">
        <v>3097.75</v>
      </c>
      <c r="AF170">
        <v>0</v>
      </c>
      <c r="AG170">
        <v>0</v>
      </c>
      <c r="AH170">
        <v>0</v>
      </c>
      <c r="AI170">
        <v>1.43</v>
      </c>
      <c r="AJ170">
        <v>1</v>
      </c>
      <c r="AK170">
        <v>1</v>
      </c>
      <c r="AL170">
        <v>1</v>
      </c>
      <c r="AM170">
        <v>2</v>
      </c>
      <c r="AN170">
        <v>0</v>
      </c>
      <c r="AO170">
        <v>0</v>
      </c>
      <c r="AP170">
        <v>1</v>
      </c>
      <c r="AQ170">
        <v>0</v>
      </c>
      <c r="AR170">
        <v>0</v>
      </c>
      <c r="AS170" t="s">
        <v>3</v>
      </c>
      <c r="AT170">
        <v>1.08</v>
      </c>
      <c r="AU170" t="s">
        <v>3</v>
      </c>
      <c r="AV170">
        <v>0</v>
      </c>
      <c r="AW170">
        <v>1</v>
      </c>
      <c r="AX170">
        <v>-1</v>
      </c>
      <c r="AY170">
        <v>0</v>
      </c>
      <c r="AZ170">
        <v>0</v>
      </c>
      <c r="BA170" t="s">
        <v>3</v>
      </c>
      <c r="BB170">
        <v>0</v>
      </c>
      <c r="BC170">
        <v>0</v>
      </c>
      <c r="BD170">
        <v>0</v>
      </c>
      <c r="BE170">
        <v>0</v>
      </c>
      <c r="BF170">
        <v>0</v>
      </c>
      <c r="BG170">
        <v>0</v>
      </c>
      <c r="BH170">
        <v>0</v>
      </c>
      <c r="BI170">
        <v>0</v>
      </c>
      <c r="BJ170">
        <v>0</v>
      </c>
      <c r="BK170">
        <v>0</v>
      </c>
      <c r="BL170">
        <v>0</v>
      </c>
      <c r="BM170">
        <v>0</v>
      </c>
      <c r="BN170">
        <v>0</v>
      </c>
      <c r="BO170">
        <v>0</v>
      </c>
      <c r="BP170">
        <v>0</v>
      </c>
      <c r="BQ170">
        <v>0</v>
      </c>
      <c r="BR170">
        <v>0</v>
      </c>
      <c r="BS170">
        <v>0</v>
      </c>
      <c r="BT170">
        <v>0</v>
      </c>
      <c r="BU170">
        <v>0</v>
      </c>
      <c r="BV170">
        <v>0</v>
      </c>
      <c r="BW170">
        <v>0</v>
      </c>
      <c r="CV170">
        <v>0</v>
      </c>
      <c r="CW170">
        <v>0</v>
      </c>
      <c r="CX170">
        <f>ROUND(Y170*Source!I163,7)</f>
        <v>1.296</v>
      </c>
      <c r="CY170">
        <f t="shared" si="94"/>
        <v>4429.78</v>
      </c>
      <c r="CZ170">
        <f t="shared" si="95"/>
        <v>3097.75</v>
      </c>
      <c r="DA170">
        <f t="shared" si="96"/>
        <v>1.43</v>
      </c>
      <c r="DB170">
        <f t="shared" si="97"/>
        <v>3345.57</v>
      </c>
      <c r="DC170">
        <f t="shared" si="98"/>
        <v>0</v>
      </c>
      <c r="DD170" t="s">
        <v>3</v>
      </c>
      <c r="DE170" t="s">
        <v>3</v>
      </c>
      <c r="DF170">
        <f>ROUND(ROUND(AE170*AI170,2)*CX170,2)</f>
        <v>5740.99</v>
      </c>
      <c r="DG170">
        <f t="shared" si="99"/>
        <v>0</v>
      </c>
      <c r="DH170">
        <f t="shared" si="77"/>
        <v>0</v>
      </c>
      <c r="DI170">
        <f t="shared" si="78"/>
        <v>0</v>
      </c>
      <c r="DJ170">
        <f t="shared" si="100"/>
        <v>5740.99</v>
      </c>
      <c r="DK170">
        <v>0</v>
      </c>
      <c r="DL170" t="s">
        <v>3</v>
      </c>
      <c r="DM170">
        <v>0</v>
      </c>
      <c r="DN170" t="s">
        <v>3</v>
      </c>
      <c r="DO170">
        <v>0</v>
      </c>
    </row>
    <row r="171" spans="1:119" x14ac:dyDescent="0.25">
      <c r="A171">
        <f>ROW(Source!A165)</f>
        <v>165</v>
      </c>
      <c r="B171">
        <v>75604747</v>
      </c>
      <c r="C171">
        <v>75605330</v>
      </c>
      <c r="D171">
        <v>37069580</v>
      </c>
      <c r="E171">
        <v>114</v>
      </c>
      <c r="F171">
        <v>1</v>
      </c>
      <c r="G171">
        <v>1</v>
      </c>
      <c r="H171">
        <v>1</v>
      </c>
      <c r="I171" t="s">
        <v>587</v>
      </c>
      <c r="J171" t="s">
        <v>3</v>
      </c>
      <c r="K171" t="s">
        <v>588</v>
      </c>
      <c r="L171">
        <v>1191</v>
      </c>
      <c r="N171">
        <v>1013</v>
      </c>
      <c r="O171" t="s">
        <v>501</v>
      </c>
      <c r="P171" t="s">
        <v>501</v>
      </c>
      <c r="Q171">
        <v>1</v>
      </c>
      <c r="W171">
        <v>0</v>
      </c>
      <c r="X171">
        <v>1426738182</v>
      </c>
      <c r="Y171">
        <f>(AT171*ROUND((0.15+1),7))</f>
        <v>34.5</v>
      </c>
      <c r="AA171">
        <v>0</v>
      </c>
      <c r="AB171">
        <v>0</v>
      </c>
      <c r="AC171">
        <v>0</v>
      </c>
      <c r="AD171">
        <v>330.94</v>
      </c>
      <c r="AE171">
        <v>0</v>
      </c>
      <c r="AF171">
        <v>0</v>
      </c>
      <c r="AG171">
        <v>0</v>
      </c>
      <c r="AH171">
        <v>330.94</v>
      </c>
      <c r="AI171">
        <v>1</v>
      </c>
      <c r="AJ171">
        <v>1</v>
      </c>
      <c r="AK171">
        <v>1</v>
      </c>
      <c r="AL171">
        <v>1</v>
      </c>
      <c r="AM171">
        <v>-2</v>
      </c>
      <c r="AN171">
        <v>0</v>
      </c>
      <c r="AO171">
        <v>0</v>
      </c>
      <c r="AP171">
        <v>1</v>
      </c>
      <c r="AQ171">
        <v>1</v>
      </c>
      <c r="AR171">
        <v>0</v>
      </c>
      <c r="AS171" t="s">
        <v>3</v>
      </c>
      <c r="AT171">
        <v>30</v>
      </c>
      <c r="AU171" t="s">
        <v>27</v>
      </c>
      <c r="AV171">
        <v>1</v>
      </c>
      <c r="AW171">
        <v>2</v>
      </c>
      <c r="AX171">
        <v>75605341</v>
      </c>
      <c r="AY171">
        <v>1</v>
      </c>
      <c r="AZ171">
        <v>0</v>
      </c>
      <c r="BA171">
        <v>179</v>
      </c>
      <c r="BB171">
        <v>1</v>
      </c>
      <c r="BC171">
        <v>0</v>
      </c>
      <c r="BD171">
        <v>0</v>
      </c>
      <c r="BE171">
        <v>0</v>
      </c>
      <c r="BF171">
        <v>0</v>
      </c>
      <c r="BG171">
        <v>0</v>
      </c>
      <c r="BH171">
        <v>0</v>
      </c>
      <c r="BI171">
        <v>0</v>
      </c>
      <c r="BJ171">
        <v>0</v>
      </c>
      <c r="BK171">
        <v>0</v>
      </c>
      <c r="BL171">
        <v>0</v>
      </c>
      <c r="BM171">
        <v>9928.2000000000007</v>
      </c>
      <c r="BN171">
        <v>30</v>
      </c>
      <c r="BO171">
        <v>0</v>
      </c>
      <c r="BP171">
        <v>1</v>
      </c>
      <c r="BQ171">
        <v>0</v>
      </c>
      <c r="BR171">
        <v>0</v>
      </c>
      <c r="BS171">
        <v>0</v>
      </c>
      <c r="BT171">
        <v>11417.43</v>
      </c>
      <c r="BU171">
        <v>34.5</v>
      </c>
      <c r="BV171">
        <v>0</v>
      </c>
      <c r="BW171">
        <v>1</v>
      </c>
      <c r="CU171">
        <f>ROUND(AT171*Source!I165*AH171*AL171,2)</f>
        <v>3574.15</v>
      </c>
      <c r="CV171">
        <f>ROUND(Y171*Source!I165,7)</f>
        <v>12.42</v>
      </c>
      <c r="CW171">
        <v>0</v>
      </c>
      <c r="CX171">
        <f>ROUND(Y171*Source!I165,7)</f>
        <v>12.42</v>
      </c>
      <c r="CY171">
        <f>AD171</f>
        <v>330.94</v>
      </c>
      <c r="CZ171">
        <f>AH171</f>
        <v>330.94</v>
      </c>
      <c r="DA171">
        <f>AL171</f>
        <v>1</v>
      </c>
      <c r="DB171">
        <f>ROUND((ROUND(AT171*CZ171,2)*ROUND((0.15+1),7)),6)</f>
        <v>11417.43</v>
      </c>
      <c r="DC171">
        <f>ROUND((ROUND(AT171*AG171,2)*ROUND((0.15+1),7)),6)</f>
        <v>0</v>
      </c>
      <c r="DD171" t="s">
        <v>3</v>
      </c>
      <c r="DE171" t="s">
        <v>3</v>
      </c>
      <c r="DF171">
        <f>ROUND(ROUND(AE171,2)*CX171,2)</f>
        <v>0</v>
      </c>
      <c r="DG171">
        <f t="shared" si="99"/>
        <v>0</v>
      </c>
      <c r="DH171">
        <f t="shared" si="77"/>
        <v>0</v>
      </c>
      <c r="DI171">
        <f t="shared" si="78"/>
        <v>4110.2700000000004</v>
      </c>
      <c r="DJ171">
        <f>DI171</f>
        <v>4110.2700000000004</v>
      </c>
      <c r="DK171">
        <v>1</v>
      </c>
      <c r="DL171" t="s">
        <v>3</v>
      </c>
      <c r="DM171">
        <v>0</v>
      </c>
      <c r="DN171" t="s">
        <v>3</v>
      </c>
      <c r="DO171">
        <v>0</v>
      </c>
    </row>
    <row r="172" spans="1:119" x14ac:dyDescent="0.25">
      <c r="A172">
        <f>ROW(Source!A165)</f>
        <v>165</v>
      </c>
      <c r="B172">
        <v>75604747</v>
      </c>
      <c r="C172">
        <v>75605330</v>
      </c>
      <c r="D172">
        <v>37064876</v>
      </c>
      <c r="E172">
        <v>114</v>
      </c>
      <c r="F172">
        <v>1</v>
      </c>
      <c r="G172">
        <v>1</v>
      </c>
      <c r="H172">
        <v>1</v>
      </c>
      <c r="I172" t="s">
        <v>504</v>
      </c>
      <c r="J172" t="s">
        <v>3</v>
      </c>
      <c r="K172" t="s">
        <v>505</v>
      </c>
      <c r="L172">
        <v>1191</v>
      </c>
      <c r="N172">
        <v>1013</v>
      </c>
      <c r="O172" t="s">
        <v>501</v>
      </c>
      <c r="P172" t="s">
        <v>501</v>
      </c>
      <c r="Q172">
        <v>1</v>
      </c>
      <c r="W172">
        <v>0</v>
      </c>
      <c r="X172">
        <v>-1417349443</v>
      </c>
      <c r="Y172">
        <f>(AT172*ROUND((0.15+1),7))</f>
        <v>0.49449999999999994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1</v>
      </c>
      <c r="AJ172">
        <v>1</v>
      </c>
      <c r="AK172">
        <v>1</v>
      </c>
      <c r="AL172">
        <v>1</v>
      </c>
      <c r="AM172">
        <v>-2</v>
      </c>
      <c r="AN172">
        <v>0</v>
      </c>
      <c r="AO172">
        <v>0</v>
      </c>
      <c r="AP172">
        <v>1</v>
      </c>
      <c r="AQ172">
        <v>1</v>
      </c>
      <c r="AR172">
        <v>0</v>
      </c>
      <c r="AS172" t="s">
        <v>3</v>
      </c>
      <c r="AT172">
        <v>0.43</v>
      </c>
      <c r="AU172" t="s">
        <v>27</v>
      </c>
      <c r="AV172">
        <v>2</v>
      </c>
      <c r="AW172">
        <v>2</v>
      </c>
      <c r="AX172">
        <v>75605342</v>
      </c>
      <c r="AY172">
        <v>1</v>
      </c>
      <c r="AZ172">
        <v>0</v>
      </c>
      <c r="BA172">
        <v>180</v>
      </c>
      <c r="BB172">
        <v>1</v>
      </c>
      <c r="BC172">
        <v>0</v>
      </c>
      <c r="BD172">
        <v>0</v>
      </c>
      <c r="BE172">
        <v>0</v>
      </c>
      <c r="BF172">
        <v>0</v>
      </c>
      <c r="BG172">
        <v>0</v>
      </c>
      <c r="BH172">
        <v>0</v>
      </c>
      <c r="BI172">
        <v>0</v>
      </c>
      <c r="BJ172">
        <v>0</v>
      </c>
      <c r="BK172">
        <v>0</v>
      </c>
      <c r="BL172">
        <v>0</v>
      </c>
      <c r="BM172">
        <v>0</v>
      </c>
      <c r="BN172">
        <v>0</v>
      </c>
      <c r="BO172">
        <v>0</v>
      </c>
      <c r="BP172">
        <v>0</v>
      </c>
      <c r="BQ172">
        <v>0</v>
      </c>
      <c r="BR172">
        <v>0</v>
      </c>
      <c r="BS172">
        <v>0</v>
      </c>
      <c r="BT172">
        <v>0</v>
      </c>
      <c r="BU172">
        <v>0</v>
      </c>
      <c r="BV172">
        <v>0</v>
      </c>
      <c r="BW172">
        <v>0</v>
      </c>
      <c r="CV172">
        <v>0</v>
      </c>
      <c r="CW172">
        <v>0</v>
      </c>
      <c r="CX172">
        <f>ROUND(Y172*Source!I165,7)</f>
        <v>0.17802000000000001</v>
      </c>
      <c r="CY172">
        <f>AD172</f>
        <v>0</v>
      </c>
      <c r="CZ172">
        <f>AH172</f>
        <v>0</v>
      </c>
      <c r="DA172">
        <f>AL172</f>
        <v>1</v>
      </c>
      <c r="DB172">
        <f>ROUND((ROUND(AT172*CZ172,2)*ROUND((0.15+1),7)),6)</f>
        <v>0</v>
      </c>
      <c r="DC172">
        <f>ROUND((ROUND(AT172*AG172,2)*ROUND((0.15+1),7)),6)</f>
        <v>0</v>
      </c>
      <c r="DD172" t="s">
        <v>3</v>
      </c>
      <c r="DE172" t="s">
        <v>3</v>
      </c>
      <c r="DF172">
        <f>ROUND(ROUND(AE172,2)*CX172,2)</f>
        <v>0</v>
      </c>
      <c r="DG172">
        <f t="shared" si="99"/>
        <v>0</v>
      </c>
      <c r="DH172">
        <f t="shared" si="77"/>
        <v>0</v>
      </c>
      <c r="DI172">
        <f t="shared" si="78"/>
        <v>0</v>
      </c>
      <c r="DJ172">
        <f>DI172</f>
        <v>0</v>
      </c>
      <c r="DK172">
        <v>0</v>
      </c>
      <c r="DL172" t="s">
        <v>3</v>
      </c>
      <c r="DM172">
        <v>0</v>
      </c>
      <c r="DN172" t="s">
        <v>3</v>
      </c>
      <c r="DO172">
        <v>0</v>
      </c>
    </row>
    <row r="173" spans="1:119" x14ac:dyDescent="0.25">
      <c r="A173">
        <f>ROW(Source!A165)</f>
        <v>165</v>
      </c>
      <c r="B173">
        <v>75604747</v>
      </c>
      <c r="C173">
        <v>75605330</v>
      </c>
      <c r="D173">
        <v>69433017</v>
      </c>
      <c r="E173">
        <v>1</v>
      </c>
      <c r="F173">
        <v>1</v>
      </c>
      <c r="G173">
        <v>1</v>
      </c>
      <c r="H173">
        <v>2</v>
      </c>
      <c r="I173" t="s">
        <v>689</v>
      </c>
      <c r="J173" t="s">
        <v>690</v>
      </c>
      <c r="K173" t="s">
        <v>691</v>
      </c>
      <c r="L173">
        <v>1368</v>
      </c>
      <c r="N173">
        <v>1011</v>
      </c>
      <c r="O173" t="s">
        <v>509</v>
      </c>
      <c r="P173" t="s">
        <v>509</v>
      </c>
      <c r="Q173">
        <v>1</v>
      </c>
      <c r="W173">
        <v>0</v>
      </c>
      <c r="X173">
        <v>-1898721235</v>
      </c>
      <c r="Y173">
        <f>(AT173*ROUND((0.15+1),7))</f>
        <v>0.26450000000000001</v>
      </c>
      <c r="AA173">
        <v>0</v>
      </c>
      <c r="AB173">
        <v>151.44999999999999</v>
      </c>
      <c r="AC173">
        <v>0</v>
      </c>
      <c r="AD173">
        <v>0</v>
      </c>
      <c r="AE173">
        <v>0</v>
      </c>
      <c r="AF173">
        <v>95.25</v>
      </c>
      <c r="AG173">
        <v>0</v>
      </c>
      <c r="AH173">
        <v>0</v>
      </c>
      <c r="AI173">
        <v>1</v>
      </c>
      <c r="AJ173">
        <v>1.59</v>
      </c>
      <c r="AK173">
        <v>1</v>
      </c>
      <c r="AL173">
        <v>1</v>
      </c>
      <c r="AM173">
        <v>2</v>
      </c>
      <c r="AN173">
        <v>0</v>
      </c>
      <c r="AO173">
        <v>0</v>
      </c>
      <c r="AP173">
        <v>1</v>
      </c>
      <c r="AQ173">
        <v>1</v>
      </c>
      <c r="AR173">
        <v>0</v>
      </c>
      <c r="AS173" t="s">
        <v>3</v>
      </c>
      <c r="AT173">
        <v>0.23</v>
      </c>
      <c r="AU173" t="s">
        <v>27</v>
      </c>
      <c r="AV173">
        <v>1</v>
      </c>
      <c r="AW173">
        <v>2</v>
      </c>
      <c r="AX173">
        <v>75605343</v>
      </c>
      <c r="AY173">
        <v>1</v>
      </c>
      <c r="AZ173">
        <v>0</v>
      </c>
      <c r="BA173">
        <v>181</v>
      </c>
      <c r="BB173">
        <v>1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0</v>
      </c>
      <c r="BI173">
        <v>0</v>
      </c>
      <c r="BJ173">
        <v>0</v>
      </c>
      <c r="BK173">
        <v>21.907500000000002</v>
      </c>
      <c r="BL173">
        <v>0</v>
      </c>
      <c r="BM173">
        <v>0</v>
      </c>
      <c r="BN173">
        <v>0</v>
      </c>
      <c r="BO173">
        <v>0</v>
      </c>
      <c r="BP173">
        <v>1</v>
      </c>
      <c r="BQ173">
        <v>0</v>
      </c>
      <c r="BR173">
        <v>25.193625000000001</v>
      </c>
      <c r="BS173">
        <v>0</v>
      </c>
      <c r="BT173">
        <v>0</v>
      </c>
      <c r="BU173">
        <v>0</v>
      </c>
      <c r="BV173">
        <v>0</v>
      </c>
      <c r="BW173">
        <v>1</v>
      </c>
      <c r="CV173">
        <v>0</v>
      </c>
      <c r="CW173">
        <f>ROUND(Y173*Source!I165*DO173,7)</f>
        <v>0</v>
      </c>
      <c r="CX173">
        <f>ROUND(Y173*Source!I165,7)</f>
        <v>9.5219999999999999E-2</v>
      </c>
      <c r="CY173">
        <f>AB173</f>
        <v>151.44999999999999</v>
      </c>
      <c r="CZ173">
        <f>AF173</f>
        <v>95.25</v>
      </c>
      <c r="DA173">
        <f>AJ173</f>
        <v>1.59</v>
      </c>
      <c r="DB173">
        <f>ROUND((ROUND(AT173*CZ173,2)*ROUND((0.15+1),7)),6)</f>
        <v>25.1965</v>
      </c>
      <c r="DC173">
        <f>ROUND((ROUND(AT173*AG173,2)*ROUND((0.15+1),7)),6)</f>
        <v>0</v>
      </c>
      <c r="DD173" t="s">
        <v>3</v>
      </c>
      <c r="DE173" t="s">
        <v>3</v>
      </c>
      <c r="DF173">
        <f>ROUND(ROUND(AE173,2)*CX173,2)</f>
        <v>0</v>
      </c>
      <c r="DG173">
        <f>ROUND(ROUND(AF173*AJ173,2)*CX173,2)</f>
        <v>14.42</v>
      </c>
      <c r="DH173">
        <f t="shared" si="77"/>
        <v>0</v>
      </c>
      <c r="DI173">
        <f t="shared" si="78"/>
        <v>0</v>
      </c>
      <c r="DJ173">
        <f>DG173+DH173</f>
        <v>14.42</v>
      </c>
      <c r="DK173">
        <v>0</v>
      </c>
      <c r="DL173" t="s">
        <v>3</v>
      </c>
      <c r="DM173">
        <v>0</v>
      </c>
      <c r="DN173" t="s">
        <v>3</v>
      </c>
      <c r="DO173">
        <v>0</v>
      </c>
    </row>
    <row r="174" spans="1:119" x14ac:dyDescent="0.25">
      <c r="A174">
        <f>ROW(Source!A165)</f>
        <v>165</v>
      </c>
      <c r="B174">
        <v>75604747</v>
      </c>
      <c r="C174">
        <v>75605330</v>
      </c>
      <c r="D174">
        <v>69433540</v>
      </c>
      <c r="E174">
        <v>1</v>
      </c>
      <c r="F174">
        <v>1</v>
      </c>
      <c r="G174">
        <v>1</v>
      </c>
      <c r="H174">
        <v>2</v>
      </c>
      <c r="I174" t="s">
        <v>527</v>
      </c>
      <c r="J174" t="s">
        <v>528</v>
      </c>
      <c r="K174" t="s">
        <v>529</v>
      </c>
      <c r="L174">
        <v>1368</v>
      </c>
      <c r="N174">
        <v>1011</v>
      </c>
      <c r="O174" t="s">
        <v>509</v>
      </c>
      <c r="P174" t="s">
        <v>509</v>
      </c>
      <c r="Q174">
        <v>1</v>
      </c>
      <c r="W174">
        <v>0</v>
      </c>
      <c r="X174">
        <v>-1152394969</v>
      </c>
      <c r="Y174">
        <f>(AT174*ROUND((0.15+1),7))</f>
        <v>0.49449999999999994</v>
      </c>
      <c r="AA174">
        <v>0</v>
      </c>
      <c r="AB174">
        <v>551.45000000000005</v>
      </c>
      <c r="AC174">
        <v>368.02</v>
      </c>
      <c r="AD174">
        <v>0</v>
      </c>
      <c r="AE174">
        <v>0</v>
      </c>
      <c r="AF174">
        <v>551.45000000000005</v>
      </c>
      <c r="AG174">
        <v>368.02</v>
      </c>
      <c r="AH174">
        <v>0</v>
      </c>
      <c r="AI174">
        <v>1</v>
      </c>
      <c r="AJ174">
        <v>1</v>
      </c>
      <c r="AK174">
        <v>1</v>
      </c>
      <c r="AL174">
        <v>1</v>
      </c>
      <c r="AM174">
        <v>-2</v>
      </c>
      <c r="AN174">
        <v>0</v>
      </c>
      <c r="AO174">
        <v>0</v>
      </c>
      <c r="AP174">
        <v>1</v>
      </c>
      <c r="AQ174">
        <v>1</v>
      </c>
      <c r="AR174">
        <v>0</v>
      </c>
      <c r="AS174" t="s">
        <v>3</v>
      </c>
      <c r="AT174">
        <v>0.43</v>
      </c>
      <c r="AU174" t="s">
        <v>27</v>
      </c>
      <c r="AV174">
        <v>1</v>
      </c>
      <c r="AW174">
        <v>2</v>
      </c>
      <c r="AX174">
        <v>75605344</v>
      </c>
      <c r="AY174">
        <v>1</v>
      </c>
      <c r="AZ174">
        <v>0</v>
      </c>
      <c r="BA174">
        <v>182</v>
      </c>
      <c r="BB174">
        <v>1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0</v>
      </c>
      <c r="BI174">
        <v>0</v>
      </c>
      <c r="BJ174">
        <v>0</v>
      </c>
      <c r="BK174">
        <v>237.12350000000001</v>
      </c>
      <c r="BL174">
        <v>158.24859999999998</v>
      </c>
      <c r="BM174">
        <v>0</v>
      </c>
      <c r="BN174">
        <v>0</v>
      </c>
      <c r="BO174">
        <v>0.43</v>
      </c>
      <c r="BP174">
        <v>1</v>
      </c>
      <c r="BQ174">
        <v>0</v>
      </c>
      <c r="BR174">
        <v>272.692025</v>
      </c>
      <c r="BS174">
        <v>181.98588999999996</v>
      </c>
      <c r="BT174">
        <v>0</v>
      </c>
      <c r="BU174">
        <v>0</v>
      </c>
      <c r="BV174">
        <v>0.49449999999999994</v>
      </c>
      <c r="BW174">
        <v>1</v>
      </c>
      <c r="CV174">
        <v>0</v>
      </c>
      <c r="CW174">
        <f>ROUND(Y174*Source!I165*DO174,7)</f>
        <v>0.17802000000000001</v>
      </c>
      <c r="CX174">
        <f>ROUND(Y174*Source!I165,7)</f>
        <v>0.17802000000000001</v>
      </c>
      <c r="CY174">
        <f>AB174</f>
        <v>551.45000000000005</v>
      </c>
      <c r="CZ174">
        <f>AF174</f>
        <v>551.45000000000005</v>
      </c>
      <c r="DA174">
        <f>AJ174</f>
        <v>1</v>
      </c>
      <c r="DB174">
        <f>ROUND((ROUND(AT174*CZ174,2)*ROUND((0.15+1),7)),6)</f>
        <v>272.68799999999999</v>
      </c>
      <c r="DC174">
        <f>ROUND((ROUND(AT174*AG174,2)*ROUND((0.15+1),7)),6)</f>
        <v>181.98750000000001</v>
      </c>
      <c r="DD174" t="s">
        <v>3</v>
      </c>
      <c r="DE174" t="s">
        <v>3</v>
      </c>
      <c r="DF174">
        <f>ROUND(ROUND(AE174,2)*CX174,2)</f>
        <v>0</v>
      </c>
      <c r="DG174">
        <f>ROUND(ROUND(AF174,2)*CX174,2)</f>
        <v>98.17</v>
      </c>
      <c r="DH174">
        <f t="shared" si="77"/>
        <v>65.510000000000005</v>
      </c>
      <c r="DI174">
        <f t="shared" si="78"/>
        <v>0</v>
      </c>
      <c r="DJ174">
        <f>DG174+DH174</f>
        <v>163.68</v>
      </c>
      <c r="DK174">
        <v>1</v>
      </c>
      <c r="DL174" t="s">
        <v>522</v>
      </c>
      <c r="DM174">
        <v>4</v>
      </c>
      <c r="DN174" t="s">
        <v>501</v>
      </c>
      <c r="DO174">
        <v>1</v>
      </c>
    </row>
    <row r="175" spans="1:119" x14ac:dyDescent="0.25">
      <c r="A175">
        <f>ROW(Source!A165)</f>
        <v>165</v>
      </c>
      <c r="B175">
        <v>75604747</v>
      </c>
      <c r="C175">
        <v>75605330</v>
      </c>
      <c r="D175">
        <v>69434289</v>
      </c>
      <c r="E175">
        <v>1</v>
      </c>
      <c r="F175">
        <v>1</v>
      </c>
      <c r="G175">
        <v>1</v>
      </c>
      <c r="H175">
        <v>2</v>
      </c>
      <c r="I175" t="s">
        <v>668</v>
      </c>
      <c r="J175" t="s">
        <v>669</v>
      </c>
      <c r="K175" t="s">
        <v>670</v>
      </c>
      <c r="L175">
        <v>1368</v>
      </c>
      <c r="N175">
        <v>1011</v>
      </c>
      <c r="O175" t="s">
        <v>509</v>
      </c>
      <c r="P175" t="s">
        <v>509</v>
      </c>
      <c r="Q175">
        <v>1</v>
      </c>
      <c r="W175">
        <v>0</v>
      </c>
      <c r="X175">
        <v>210516533</v>
      </c>
      <c r="Y175">
        <f>(AT175*ROUND((0.15+1),7))</f>
        <v>1.4489999999999998</v>
      </c>
      <c r="AA175">
        <v>0</v>
      </c>
      <c r="AB175">
        <v>33.15</v>
      </c>
      <c r="AC175">
        <v>0</v>
      </c>
      <c r="AD175">
        <v>0</v>
      </c>
      <c r="AE175">
        <v>0</v>
      </c>
      <c r="AF175">
        <v>21.39</v>
      </c>
      <c r="AG175">
        <v>0</v>
      </c>
      <c r="AH175">
        <v>0</v>
      </c>
      <c r="AI175">
        <v>1</v>
      </c>
      <c r="AJ175">
        <v>1.55</v>
      </c>
      <c r="AK175">
        <v>1</v>
      </c>
      <c r="AL175">
        <v>1</v>
      </c>
      <c r="AM175">
        <v>2</v>
      </c>
      <c r="AN175">
        <v>0</v>
      </c>
      <c r="AO175">
        <v>0</v>
      </c>
      <c r="AP175">
        <v>1</v>
      </c>
      <c r="AQ175">
        <v>1</v>
      </c>
      <c r="AR175">
        <v>0</v>
      </c>
      <c r="AS175" t="s">
        <v>3</v>
      </c>
      <c r="AT175">
        <v>1.26</v>
      </c>
      <c r="AU175" t="s">
        <v>27</v>
      </c>
      <c r="AV175">
        <v>1</v>
      </c>
      <c r="AW175">
        <v>2</v>
      </c>
      <c r="AX175">
        <v>75605345</v>
      </c>
      <c r="AY175">
        <v>1</v>
      </c>
      <c r="AZ175">
        <v>0</v>
      </c>
      <c r="BA175">
        <v>183</v>
      </c>
      <c r="BB175">
        <v>1</v>
      </c>
      <c r="BC175">
        <v>0</v>
      </c>
      <c r="BD175">
        <v>0</v>
      </c>
      <c r="BE175">
        <v>0</v>
      </c>
      <c r="BF175">
        <v>0</v>
      </c>
      <c r="BG175">
        <v>0</v>
      </c>
      <c r="BH175">
        <v>0</v>
      </c>
      <c r="BI175">
        <v>0</v>
      </c>
      <c r="BJ175">
        <v>0</v>
      </c>
      <c r="BK175">
        <v>26.9514</v>
      </c>
      <c r="BL175">
        <v>0</v>
      </c>
      <c r="BM175">
        <v>0</v>
      </c>
      <c r="BN175">
        <v>0</v>
      </c>
      <c r="BO175">
        <v>0</v>
      </c>
      <c r="BP175">
        <v>1</v>
      </c>
      <c r="BQ175">
        <v>0</v>
      </c>
      <c r="BR175">
        <v>30.994109999999999</v>
      </c>
      <c r="BS175">
        <v>0</v>
      </c>
      <c r="BT175">
        <v>0</v>
      </c>
      <c r="BU175">
        <v>0</v>
      </c>
      <c r="BV175">
        <v>0</v>
      </c>
      <c r="BW175">
        <v>1</v>
      </c>
      <c r="CV175">
        <v>0</v>
      </c>
      <c r="CW175">
        <f>ROUND(Y175*Source!I165*DO175,7)</f>
        <v>0</v>
      </c>
      <c r="CX175">
        <f>ROUND(Y175*Source!I165,7)</f>
        <v>0.52163999999999999</v>
      </c>
      <c r="CY175">
        <f>AB175</f>
        <v>33.15</v>
      </c>
      <c r="CZ175">
        <f>AF175</f>
        <v>21.39</v>
      </c>
      <c r="DA175">
        <f>AJ175</f>
        <v>1.55</v>
      </c>
      <c r="DB175">
        <f>ROUND((ROUND(AT175*CZ175,2)*ROUND((0.15+1),7)),6)</f>
        <v>30.9925</v>
      </c>
      <c r="DC175">
        <f>ROUND((ROUND(AT175*AG175,2)*ROUND((0.15+1),7)),6)</f>
        <v>0</v>
      </c>
      <c r="DD175" t="s">
        <v>3</v>
      </c>
      <c r="DE175" t="s">
        <v>3</v>
      </c>
      <c r="DF175">
        <f>ROUND(ROUND(AE175,2)*CX175,2)</f>
        <v>0</v>
      </c>
      <c r="DG175">
        <f>ROUND(ROUND(AF175*AJ175,2)*CX175,2)</f>
        <v>17.29</v>
      </c>
      <c r="DH175">
        <f t="shared" si="77"/>
        <v>0</v>
      </c>
      <c r="DI175">
        <f t="shared" si="78"/>
        <v>0</v>
      </c>
      <c r="DJ175">
        <f>DG175+DH175</f>
        <v>17.29</v>
      </c>
      <c r="DK175">
        <v>0</v>
      </c>
      <c r="DL175" t="s">
        <v>3</v>
      </c>
      <c r="DM175">
        <v>0</v>
      </c>
      <c r="DN175" t="s">
        <v>3</v>
      </c>
      <c r="DO175">
        <v>0</v>
      </c>
    </row>
    <row r="176" spans="1:119" x14ac:dyDescent="0.25">
      <c r="A176">
        <f>ROW(Source!A165)</f>
        <v>165</v>
      </c>
      <c r="B176">
        <v>75604747</v>
      </c>
      <c r="C176">
        <v>75605330</v>
      </c>
      <c r="D176">
        <v>69377458</v>
      </c>
      <c r="E176">
        <v>1</v>
      </c>
      <c r="F176">
        <v>1</v>
      </c>
      <c r="G176">
        <v>1</v>
      </c>
      <c r="H176">
        <v>3</v>
      </c>
      <c r="I176" t="s">
        <v>692</v>
      </c>
      <c r="J176" t="s">
        <v>693</v>
      </c>
      <c r="K176" t="s">
        <v>694</v>
      </c>
      <c r="L176">
        <v>1348</v>
      </c>
      <c r="N176">
        <v>1009</v>
      </c>
      <c r="O176" t="s">
        <v>174</v>
      </c>
      <c r="P176" t="s">
        <v>174</v>
      </c>
      <c r="Q176">
        <v>1000</v>
      </c>
      <c r="W176">
        <v>0</v>
      </c>
      <c r="X176">
        <v>-681709444</v>
      </c>
      <c r="Y176">
        <f>AT176</f>
        <v>1.26E-2</v>
      </c>
      <c r="AA176">
        <v>17968.57</v>
      </c>
      <c r="AB176">
        <v>0</v>
      </c>
      <c r="AC176">
        <v>0</v>
      </c>
      <c r="AD176">
        <v>0</v>
      </c>
      <c r="AE176">
        <v>23335.8</v>
      </c>
      <c r="AF176">
        <v>0</v>
      </c>
      <c r="AG176">
        <v>0</v>
      </c>
      <c r="AH176">
        <v>0</v>
      </c>
      <c r="AI176">
        <v>0.77</v>
      </c>
      <c r="AJ176">
        <v>1</v>
      </c>
      <c r="AK176">
        <v>1</v>
      </c>
      <c r="AL176">
        <v>1</v>
      </c>
      <c r="AM176">
        <v>2</v>
      </c>
      <c r="AN176">
        <v>0</v>
      </c>
      <c r="AO176">
        <v>0</v>
      </c>
      <c r="AP176">
        <v>1</v>
      </c>
      <c r="AQ176">
        <v>1</v>
      </c>
      <c r="AR176">
        <v>0</v>
      </c>
      <c r="AS176" t="s">
        <v>3</v>
      </c>
      <c r="AT176">
        <v>1.26E-2</v>
      </c>
      <c r="AU176" t="s">
        <v>3</v>
      </c>
      <c r="AV176">
        <v>0</v>
      </c>
      <c r="AW176">
        <v>2</v>
      </c>
      <c r="AX176">
        <v>75605346</v>
      </c>
      <c r="AY176">
        <v>1</v>
      </c>
      <c r="AZ176">
        <v>0</v>
      </c>
      <c r="BA176">
        <v>184</v>
      </c>
      <c r="BB176">
        <v>1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0</v>
      </c>
      <c r="BI176">
        <v>0</v>
      </c>
      <c r="BJ176">
        <v>294.03107999999997</v>
      </c>
      <c r="BK176">
        <v>0</v>
      </c>
      <c r="BL176">
        <v>0</v>
      </c>
      <c r="BM176">
        <v>0</v>
      </c>
      <c r="BN176">
        <v>0</v>
      </c>
      <c r="BO176">
        <v>0</v>
      </c>
      <c r="BP176">
        <v>1</v>
      </c>
      <c r="BQ176">
        <v>294.03107999999997</v>
      </c>
      <c r="BR176">
        <v>0</v>
      </c>
      <c r="BS176">
        <v>0</v>
      </c>
      <c r="BT176">
        <v>0</v>
      </c>
      <c r="BU176">
        <v>0</v>
      </c>
      <c r="BV176">
        <v>0</v>
      </c>
      <c r="BW176">
        <v>1</v>
      </c>
      <c r="CV176">
        <v>0</v>
      </c>
      <c r="CW176">
        <v>0</v>
      </c>
      <c r="CX176">
        <f>ROUND(Y176*Source!I165,7)</f>
        <v>4.5360000000000001E-3</v>
      </c>
      <c r="CY176">
        <f>AA176</f>
        <v>17968.57</v>
      </c>
      <c r="CZ176">
        <f>AE176</f>
        <v>23335.8</v>
      </c>
      <c r="DA176">
        <f>AI176</f>
        <v>0.77</v>
      </c>
      <c r="DB176">
        <f>ROUND(ROUND(AT176*CZ176,2),6)</f>
        <v>294.02999999999997</v>
      </c>
      <c r="DC176">
        <f>ROUND(ROUND(AT176*AG176,2),6)</f>
        <v>0</v>
      </c>
      <c r="DD176" t="s">
        <v>3</v>
      </c>
      <c r="DE176" t="s">
        <v>3</v>
      </c>
      <c r="DF176">
        <f>ROUND(ROUND(AE176*AI176,2)*CX176,2)</f>
        <v>81.510000000000005</v>
      </c>
      <c r="DG176">
        <f t="shared" ref="DG176:DG198" si="101">ROUND(ROUND(AF176,2)*CX176,2)</f>
        <v>0</v>
      </c>
      <c r="DH176">
        <f t="shared" si="77"/>
        <v>0</v>
      </c>
      <c r="DI176">
        <f t="shared" si="78"/>
        <v>0</v>
      </c>
      <c r="DJ176">
        <f>DF176</f>
        <v>81.510000000000005</v>
      </c>
      <c r="DK176">
        <v>0</v>
      </c>
      <c r="DL176" t="s">
        <v>3</v>
      </c>
      <c r="DM176">
        <v>0</v>
      </c>
      <c r="DN176" t="s">
        <v>3</v>
      </c>
      <c r="DO176">
        <v>0</v>
      </c>
    </row>
    <row r="177" spans="1:119" x14ac:dyDescent="0.25">
      <c r="A177">
        <f>ROW(Source!A165)</f>
        <v>165</v>
      </c>
      <c r="B177">
        <v>75604747</v>
      </c>
      <c r="C177">
        <v>75605330</v>
      </c>
      <c r="D177">
        <v>69377485</v>
      </c>
      <c r="E177">
        <v>1</v>
      </c>
      <c r="F177">
        <v>1</v>
      </c>
      <c r="G177">
        <v>1</v>
      </c>
      <c r="H177">
        <v>3</v>
      </c>
      <c r="I177" t="s">
        <v>695</v>
      </c>
      <c r="J177" t="s">
        <v>696</v>
      </c>
      <c r="K177" t="s">
        <v>697</v>
      </c>
      <c r="L177">
        <v>1348</v>
      </c>
      <c r="N177">
        <v>1009</v>
      </c>
      <c r="O177" t="s">
        <v>174</v>
      </c>
      <c r="P177" t="s">
        <v>174</v>
      </c>
      <c r="Q177">
        <v>1000</v>
      </c>
      <c r="W177">
        <v>0</v>
      </c>
      <c r="X177">
        <v>1007947411</v>
      </c>
      <c r="Y177">
        <f>AT177</f>
        <v>0.03</v>
      </c>
      <c r="AA177">
        <v>46198.9</v>
      </c>
      <c r="AB177">
        <v>0</v>
      </c>
      <c r="AC177">
        <v>0</v>
      </c>
      <c r="AD177">
        <v>0</v>
      </c>
      <c r="AE177">
        <v>30195.360000000001</v>
      </c>
      <c r="AF177">
        <v>0</v>
      </c>
      <c r="AG177">
        <v>0</v>
      </c>
      <c r="AH177">
        <v>0</v>
      </c>
      <c r="AI177">
        <v>1.53</v>
      </c>
      <c r="AJ177">
        <v>1</v>
      </c>
      <c r="AK177">
        <v>1</v>
      </c>
      <c r="AL177">
        <v>1</v>
      </c>
      <c r="AM177">
        <v>2</v>
      </c>
      <c r="AN177">
        <v>0</v>
      </c>
      <c r="AO177">
        <v>0</v>
      </c>
      <c r="AP177">
        <v>1</v>
      </c>
      <c r="AQ177">
        <v>1</v>
      </c>
      <c r="AR177">
        <v>0</v>
      </c>
      <c r="AS177" t="s">
        <v>3</v>
      </c>
      <c r="AT177">
        <v>0.03</v>
      </c>
      <c r="AU177" t="s">
        <v>3</v>
      </c>
      <c r="AV177">
        <v>0</v>
      </c>
      <c r="AW177">
        <v>2</v>
      </c>
      <c r="AX177">
        <v>75605347</v>
      </c>
      <c r="AY177">
        <v>1</v>
      </c>
      <c r="AZ177">
        <v>0</v>
      </c>
      <c r="BA177">
        <v>185</v>
      </c>
      <c r="BB177">
        <v>1</v>
      </c>
      <c r="BC177">
        <v>0</v>
      </c>
      <c r="BD177">
        <v>0</v>
      </c>
      <c r="BE177">
        <v>0</v>
      </c>
      <c r="BF177">
        <v>0</v>
      </c>
      <c r="BG177">
        <v>0</v>
      </c>
      <c r="BH177">
        <v>0</v>
      </c>
      <c r="BI177">
        <v>0</v>
      </c>
      <c r="BJ177">
        <v>905.86080000000004</v>
      </c>
      <c r="BK177">
        <v>0</v>
      </c>
      <c r="BL177">
        <v>0</v>
      </c>
      <c r="BM177">
        <v>0</v>
      </c>
      <c r="BN177">
        <v>0</v>
      </c>
      <c r="BO177">
        <v>0</v>
      </c>
      <c r="BP177">
        <v>1</v>
      </c>
      <c r="BQ177">
        <v>905.86080000000004</v>
      </c>
      <c r="BR177">
        <v>0</v>
      </c>
      <c r="BS177">
        <v>0</v>
      </c>
      <c r="BT177">
        <v>0</v>
      </c>
      <c r="BU177">
        <v>0</v>
      </c>
      <c r="BV177">
        <v>0</v>
      </c>
      <c r="BW177">
        <v>1</v>
      </c>
      <c r="CV177">
        <v>0</v>
      </c>
      <c r="CW177">
        <v>0</v>
      </c>
      <c r="CX177">
        <f>ROUND(Y177*Source!I165,7)</f>
        <v>1.0800000000000001E-2</v>
      </c>
      <c r="CY177">
        <f>AA177</f>
        <v>46198.9</v>
      </c>
      <c r="CZ177">
        <f>AE177</f>
        <v>30195.360000000001</v>
      </c>
      <c r="DA177">
        <f>AI177</f>
        <v>1.53</v>
      </c>
      <c r="DB177">
        <f>ROUND(ROUND(AT177*CZ177,2),6)</f>
        <v>905.86</v>
      </c>
      <c r="DC177">
        <f>ROUND(ROUND(AT177*AG177,2),6)</f>
        <v>0</v>
      </c>
      <c r="DD177" t="s">
        <v>3</v>
      </c>
      <c r="DE177" t="s">
        <v>3</v>
      </c>
      <c r="DF177">
        <f>ROUND(ROUND(AE177*AI177,2)*CX177,2)</f>
        <v>498.95</v>
      </c>
      <c r="DG177">
        <f t="shared" si="101"/>
        <v>0</v>
      </c>
      <c r="DH177">
        <f t="shared" si="77"/>
        <v>0</v>
      </c>
      <c r="DI177">
        <f t="shared" si="78"/>
        <v>0</v>
      </c>
      <c r="DJ177">
        <f>DF177</f>
        <v>498.95</v>
      </c>
      <c r="DK177">
        <v>0</v>
      </c>
      <c r="DL177" t="s">
        <v>3</v>
      </c>
      <c r="DM177">
        <v>0</v>
      </c>
      <c r="DN177" t="s">
        <v>3</v>
      </c>
      <c r="DO177">
        <v>0</v>
      </c>
    </row>
    <row r="178" spans="1:119" x14ac:dyDescent="0.25">
      <c r="A178">
        <f>ROW(Source!A165)</f>
        <v>165</v>
      </c>
      <c r="B178">
        <v>75604747</v>
      </c>
      <c r="C178">
        <v>75605330</v>
      </c>
      <c r="D178">
        <v>69388840</v>
      </c>
      <c r="E178">
        <v>1</v>
      </c>
      <c r="F178">
        <v>1</v>
      </c>
      <c r="G178">
        <v>1</v>
      </c>
      <c r="H178">
        <v>3</v>
      </c>
      <c r="I178" t="s">
        <v>674</v>
      </c>
      <c r="J178" t="s">
        <v>675</v>
      </c>
      <c r="K178" t="s">
        <v>676</v>
      </c>
      <c r="L178">
        <v>1348</v>
      </c>
      <c r="N178">
        <v>1009</v>
      </c>
      <c r="O178" t="s">
        <v>174</v>
      </c>
      <c r="P178" t="s">
        <v>174</v>
      </c>
      <c r="Q178">
        <v>1000</v>
      </c>
      <c r="W178">
        <v>0</v>
      </c>
      <c r="X178">
        <v>1160957577</v>
      </c>
      <c r="Y178">
        <f>AT178</f>
        <v>4.7E-2</v>
      </c>
      <c r="AA178">
        <v>63241.97</v>
      </c>
      <c r="AB178">
        <v>0</v>
      </c>
      <c r="AC178">
        <v>0</v>
      </c>
      <c r="AD178">
        <v>0</v>
      </c>
      <c r="AE178">
        <v>89073.2</v>
      </c>
      <c r="AF178">
        <v>0</v>
      </c>
      <c r="AG178">
        <v>0</v>
      </c>
      <c r="AH178">
        <v>0</v>
      </c>
      <c r="AI178">
        <v>0.71</v>
      </c>
      <c r="AJ178">
        <v>1</v>
      </c>
      <c r="AK178">
        <v>1</v>
      </c>
      <c r="AL178">
        <v>1</v>
      </c>
      <c r="AM178">
        <v>2</v>
      </c>
      <c r="AN178">
        <v>0</v>
      </c>
      <c r="AO178">
        <v>0</v>
      </c>
      <c r="AP178">
        <v>1</v>
      </c>
      <c r="AQ178">
        <v>1</v>
      </c>
      <c r="AR178">
        <v>0</v>
      </c>
      <c r="AS178" t="s">
        <v>3</v>
      </c>
      <c r="AT178">
        <v>4.7E-2</v>
      </c>
      <c r="AU178" t="s">
        <v>3</v>
      </c>
      <c r="AV178">
        <v>0</v>
      </c>
      <c r="AW178">
        <v>2</v>
      </c>
      <c r="AX178">
        <v>75605348</v>
      </c>
      <c r="AY178">
        <v>1</v>
      </c>
      <c r="AZ178">
        <v>0</v>
      </c>
      <c r="BA178">
        <v>186</v>
      </c>
      <c r="BB178">
        <v>1</v>
      </c>
      <c r="BC178">
        <v>0</v>
      </c>
      <c r="BD178">
        <v>0</v>
      </c>
      <c r="BE178">
        <v>0</v>
      </c>
      <c r="BF178">
        <v>0</v>
      </c>
      <c r="BG178">
        <v>0</v>
      </c>
      <c r="BH178">
        <v>0</v>
      </c>
      <c r="BI178">
        <v>0</v>
      </c>
      <c r="BJ178">
        <v>4186.4403999999995</v>
      </c>
      <c r="BK178">
        <v>0</v>
      </c>
      <c r="BL178">
        <v>0</v>
      </c>
      <c r="BM178">
        <v>0</v>
      </c>
      <c r="BN178">
        <v>0</v>
      </c>
      <c r="BO178">
        <v>0</v>
      </c>
      <c r="BP178">
        <v>1</v>
      </c>
      <c r="BQ178">
        <v>4186.4403999999995</v>
      </c>
      <c r="BR178">
        <v>0</v>
      </c>
      <c r="BS178">
        <v>0</v>
      </c>
      <c r="BT178">
        <v>0</v>
      </c>
      <c r="BU178">
        <v>0</v>
      </c>
      <c r="BV178">
        <v>0</v>
      </c>
      <c r="BW178">
        <v>1</v>
      </c>
      <c r="CV178">
        <v>0</v>
      </c>
      <c r="CW178">
        <v>0</v>
      </c>
      <c r="CX178">
        <f>ROUND(Y178*Source!I165,7)</f>
        <v>1.6920000000000001E-2</v>
      </c>
      <c r="CY178">
        <f>AA178</f>
        <v>63241.97</v>
      </c>
      <c r="CZ178">
        <f>AE178</f>
        <v>89073.2</v>
      </c>
      <c r="DA178">
        <f>AI178</f>
        <v>0.71</v>
      </c>
      <c r="DB178">
        <f>ROUND(ROUND(AT178*CZ178,2),6)</f>
        <v>4186.4399999999996</v>
      </c>
      <c r="DC178">
        <f>ROUND(ROUND(AT178*AG178,2),6)</f>
        <v>0</v>
      </c>
      <c r="DD178" t="s">
        <v>3</v>
      </c>
      <c r="DE178" t="s">
        <v>3</v>
      </c>
      <c r="DF178">
        <f>ROUND(ROUND(AE178*AI178,2)*CX178,2)</f>
        <v>1070.05</v>
      </c>
      <c r="DG178">
        <f t="shared" si="101"/>
        <v>0</v>
      </c>
      <c r="DH178">
        <f t="shared" si="77"/>
        <v>0</v>
      </c>
      <c r="DI178">
        <f t="shared" si="78"/>
        <v>0</v>
      </c>
      <c r="DJ178">
        <f>DF178</f>
        <v>1070.05</v>
      </c>
      <c r="DK178">
        <v>0</v>
      </c>
      <c r="DL178" t="s">
        <v>3</v>
      </c>
      <c r="DM178">
        <v>0</v>
      </c>
      <c r="DN178" t="s">
        <v>3</v>
      </c>
      <c r="DO178">
        <v>0</v>
      </c>
    </row>
    <row r="179" spans="1:119" x14ac:dyDescent="0.25">
      <c r="A179">
        <f>ROW(Source!A165)</f>
        <v>165</v>
      </c>
      <c r="B179">
        <v>75604747</v>
      </c>
      <c r="C179">
        <v>75605330</v>
      </c>
      <c r="D179">
        <v>69392836</v>
      </c>
      <c r="E179">
        <v>1</v>
      </c>
      <c r="F179">
        <v>1</v>
      </c>
      <c r="G179">
        <v>1</v>
      </c>
      <c r="H179">
        <v>3</v>
      </c>
      <c r="I179" t="s">
        <v>312</v>
      </c>
      <c r="J179" t="s">
        <v>315</v>
      </c>
      <c r="K179" t="s">
        <v>313</v>
      </c>
      <c r="L179">
        <v>1327</v>
      </c>
      <c r="N179">
        <v>1005</v>
      </c>
      <c r="O179" t="s">
        <v>314</v>
      </c>
      <c r="P179" t="s">
        <v>314</v>
      </c>
      <c r="Q179">
        <v>1</v>
      </c>
      <c r="W179">
        <v>0</v>
      </c>
      <c r="X179">
        <v>921560166</v>
      </c>
      <c r="Y179">
        <f>AT179</f>
        <v>115</v>
      </c>
      <c r="AA179">
        <v>104.26</v>
      </c>
      <c r="AB179">
        <v>0</v>
      </c>
      <c r="AC179">
        <v>0</v>
      </c>
      <c r="AD179">
        <v>0</v>
      </c>
      <c r="AE179">
        <v>115.84</v>
      </c>
      <c r="AF179">
        <v>0</v>
      </c>
      <c r="AG179">
        <v>0</v>
      </c>
      <c r="AH179">
        <v>0</v>
      </c>
      <c r="AI179">
        <v>0.9</v>
      </c>
      <c r="AJ179">
        <v>1</v>
      </c>
      <c r="AK179">
        <v>1</v>
      </c>
      <c r="AL179">
        <v>1</v>
      </c>
      <c r="AM179">
        <v>2</v>
      </c>
      <c r="AN179">
        <v>0</v>
      </c>
      <c r="AO179">
        <v>0</v>
      </c>
      <c r="AP179">
        <v>1</v>
      </c>
      <c r="AQ179">
        <v>0</v>
      </c>
      <c r="AR179">
        <v>0</v>
      </c>
      <c r="AS179" t="s">
        <v>3</v>
      </c>
      <c r="AT179">
        <v>115</v>
      </c>
      <c r="AU179" t="s">
        <v>3</v>
      </c>
      <c r="AV179">
        <v>0</v>
      </c>
      <c r="AW179">
        <v>1</v>
      </c>
      <c r="AX179">
        <v>-1</v>
      </c>
      <c r="AY179">
        <v>0</v>
      </c>
      <c r="AZ179">
        <v>0</v>
      </c>
      <c r="BA179" t="s">
        <v>3</v>
      </c>
      <c r="BB179">
        <v>0</v>
      </c>
      <c r="BC179">
        <v>0</v>
      </c>
      <c r="BD179">
        <v>0</v>
      </c>
      <c r="BE179">
        <v>0</v>
      </c>
      <c r="BF179">
        <v>0</v>
      </c>
      <c r="BG179">
        <v>0</v>
      </c>
      <c r="BH179">
        <v>0</v>
      </c>
      <c r="BI179">
        <v>0</v>
      </c>
      <c r="BJ179">
        <v>0</v>
      </c>
      <c r="BK179">
        <v>0</v>
      </c>
      <c r="BL179">
        <v>0</v>
      </c>
      <c r="BM179">
        <v>0</v>
      </c>
      <c r="BN179">
        <v>0</v>
      </c>
      <c r="BO179">
        <v>0</v>
      </c>
      <c r="BP179">
        <v>0</v>
      </c>
      <c r="BQ179">
        <v>0</v>
      </c>
      <c r="BR179">
        <v>0</v>
      </c>
      <c r="BS179">
        <v>0</v>
      </c>
      <c r="BT179">
        <v>0</v>
      </c>
      <c r="BU179">
        <v>0</v>
      </c>
      <c r="BV179">
        <v>0</v>
      </c>
      <c r="BW179">
        <v>0</v>
      </c>
      <c r="CV179">
        <v>0</v>
      </c>
      <c r="CW179">
        <v>0</v>
      </c>
      <c r="CX179">
        <f>ROUND(Y179*Source!I165,7)</f>
        <v>41.4</v>
      </c>
      <c r="CY179">
        <f>AA179</f>
        <v>104.26</v>
      </c>
      <c r="CZ179">
        <f>AE179</f>
        <v>115.84</v>
      </c>
      <c r="DA179">
        <f>AI179</f>
        <v>0.9</v>
      </c>
      <c r="DB179">
        <f>ROUND(ROUND(AT179*CZ179,2),6)</f>
        <v>13321.6</v>
      </c>
      <c r="DC179">
        <f>ROUND(ROUND(AT179*AG179,2),6)</f>
        <v>0</v>
      </c>
      <c r="DD179" t="s">
        <v>3</v>
      </c>
      <c r="DE179" t="s">
        <v>3</v>
      </c>
      <c r="DF179">
        <f>ROUND(ROUND(AE179*AI179,2)*CX179,2)</f>
        <v>4316.3599999999997</v>
      </c>
      <c r="DG179">
        <f t="shared" si="101"/>
        <v>0</v>
      </c>
      <c r="DH179">
        <f t="shared" si="77"/>
        <v>0</v>
      </c>
      <c r="DI179">
        <f t="shared" si="78"/>
        <v>0</v>
      </c>
      <c r="DJ179">
        <f>DF179</f>
        <v>4316.3599999999997</v>
      </c>
      <c r="DK179">
        <v>0</v>
      </c>
      <c r="DL179" t="s">
        <v>3</v>
      </c>
      <c r="DM179">
        <v>0</v>
      </c>
      <c r="DN179" t="s">
        <v>3</v>
      </c>
      <c r="DO179">
        <v>0</v>
      </c>
    </row>
    <row r="180" spans="1:119" x14ac:dyDescent="0.25">
      <c r="A180">
        <f>ROW(Source!A165)</f>
        <v>165</v>
      </c>
      <c r="B180">
        <v>75604747</v>
      </c>
      <c r="C180">
        <v>75605330</v>
      </c>
      <c r="D180">
        <v>69398919</v>
      </c>
      <c r="E180">
        <v>1</v>
      </c>
      <c r="F180">
        <v>1</v>
      </c>
      <c r="G180">
        <v>1</v>
      </c>
      <c r="H180">
        <v>3</v>
      </c>
      <c r="I180" t="s">
        <v>698</v>
      </c>
      <c r="J180" t="s">
        <v>699</v>
      </c>
      <c r="K180" t="s">
        <v>700</v>
      </c>
      <c r="L180">
        <v>1348</v>
      </c>
      <c r="N180">
        <v>1009</v>
      </c>
      <c r="O180" t="s">
        <v>174</v>
      </c>
      <c r="P180" t="s">
        <v>174</v>
      </c>
      <c r="Q180">
        <v>1000</v>
      </c>
      <c r="W180">
        <v>0</v>
      </c>
      <c r="X180">
        <v>1215516986</v>
      </c>
      <c r="Y180">
        <f>AT180</f>
        <v>1.2600000000000001E-3</v>
      </c>
      <c r="AA180">
        <v>104827.48</v>
      </c>
      <c r="AB180">
        <v>0</v>
      </c>
      <c r="AC180">
        <v>0</v>
      </c>
      <c r="AD180">
        <v>0</v>
      </c>
      <c r="AE180">
        <v>80020.98</v>
      </c>
      <c r="AF180">
        <v>0</v>
      </c>
      <c r="AG180">
        <v>0</v>
      </c>
      <c r="AH180">
        <v>0</v>
      </c>
      <c r="AI180">
        <v>1.31</v>
      </c>
      <c r="AJ180">
        <v>1</v>
      </c>
      <c r="AK180">
        <v>1</v>
      </c>
      <c r="AL180">
        <v>1</v>
      </c>
      <c r="AM180">
        <v>2</v>
      </c>
      <c r="AN180">
        <v>0</v>
      </c>
      <c r="AO180">
        <v>0</v>
      </c>
      <c r="AP180">
        <v>1</v>
      </c>
      <c r="AQ180">
        <v>1</v>
      </c>
      <c r="AR180">
        <v>0</v>
      </c>
      <c r="AS180" t="s">
        <v>3</v>
      </c>
      <c r="AT180">
        <v>1.2600000000000001E-3</v>
      </c>
      <c r="AU180" t="s">
        <v>3</v>
      </c>
      <c r="AV180">
        <v>0</v>
      </c>
      <c r="AW180">
        <v>2</v>
      </c>
      <c r="AX180">
        <v>75605350</v>
      </c>
      <c r="AY180">
        <v>1</v>
      </c>
      <c r="AZ180">
        <v>0</v>
      </c>
      <c r="BA180">
        <v>188</v>
      </c>
      <c r="BB180">
        <v>1</v>
      </c>
      <c r="BC180">
        <v>0</v>
      </c>
      <c r="BD180">
        <v>0</v>
      </c>
      <c r="BE180">
        <v>0</v>
      </c>
      <c r="BF180">
        <v>0</v>
      </c>
      <c r="BG180">
        <v>0</v>
      </c>
      <c r="BH180">
        <v>0</v>
      </c>
      <c r="BI180">
        <v>0</v>
      </c>
      <c r="BJ180">
        <v>100.8264348</v>
      </c>
      <c r="BK180">
        <v>0</v>
      </c>
      <c r="BL180">
        <v>0</v>
      </c>
      <c r="BM180">
        <v>0</v>
      </c>
      <c r="BN180">
        <v>0</v>
      </c>
      <c r="BO180">
        <v>0</v>
      </c>
      <c r="BP180">
        <v>1</v>
      </c>
      <c r="BQ180">
        <v>100.8264348</v>
      </c>
      <c r="BR180">
        <v>0</v>
      </c>
      <c r="BS180">
        <v>0</v>
      </c>
      <c r="BT180">
        <v>0</v>
      </c>
      <c r="BU180">
        <v>0</v>
      </c>
      <c r="BV180">
        <v>0</v>
      </c>
      <c r="BW180">
        <v>1</v>
      </c>
      <c r="CV180">
        <v>0</v>
      </c>
      <c r="CW180">
        <v>0</v>
      </c>
      <c r="CX180">
        <f>ROUND(Y180*Source!I165,7)</f>
        <v>4.5360000000000002E-4</v>
      </c>
      <c r="CY180">
        <f>AA180</f>
        <v>104827.48</v>
      </c>
      <c r="CZ180">
        <f>AE180</f>
        <v>80020.98</v>
      </c>
      <c r="DA180">
        <f>AI180</f>
        <v>1.31</v>
      </c>
      <c r="DB180">
        <f>ROUND(ROUND(AT180*CZ180,2),6)</f>
        <v>100.83</v>
      </c>
      <c r="DC180">
        <f>ROUND(ROUND(AT180*AG180,2),6)</f>
        <v>0</v>
      </c>
      <c r="DD180" t="s">
        <v>3</v>
      </c>
      <c r="DE180" t="s">
        <v>3</v>
      </c>
      <c r="DF180">
        <f>ROUND(ROUND(AE180*AI180,2)*CX180,2)</f>
        <v>47.55</v>
      </c>
      <c r="DG180">
        <f t="shared" si="101"/>
        <v>0</v>
      </c>
      <c r="DH180">
        <f t="shared" si="77"/>
        <v>0</v>
      </c>
      <c r="DI180">
        <f t="shared" si="78"/>
        <v>0</v>
      </c>
      <c r="DJ180">
        <f>DF180</f>
        <v>47.55</v>
      </c>
      <c r="DK180">
        <v>0</v>
      </c>
      <c r="DL180" t="s">
        <v>3</v>
      </c>
      <c r="DM180">
        <v>0</v>
      </c>
      <c r="DN180" t="s">
        <v>3</v>
      </c>
      <c r="DO180">
        <v>0</v>
      </c>
    </row>
    <row r="181" spans="1:119" x14ac:dyDescent="0.25">
      <c r="A181">
        <f>ROW(Source!A168)</f>
        <v>168</v>
      </c>
      <c r="B181">
        <v>75604747</v>
      </c>
      <c r="C181">
        <v>75605563</v>
      </c>
      <c r="D181">
        <v>74182299</v>
      </c>
      <c r="E181">
        <v>118</v>
      </c>
      <c r="F181">
        <v>1</v>
      </c>
      <c r="G181">
        <v>1</v>
      </c>
      <c r="H181">
        <v>1</v>
      </c>
      <c r="I181" t="s">
        <v>701</v>
      </c>
      <c r="J181" t="s">
        <v>3</v>
      </c>
      <c r="K181" t="s">
        <v>702</v>
      </c>
      <c r="L181">
        <v>1191</v>
      </c>
      <c r="N181">
        <v>1013</v>
      </c>
      <c r="O181" t="s">
        <v>501</v>
      </c>
      <c r="P181" t="s">
        <v>501</v>
      </c>
      <c r="Q181">
        <v>1</v>
      </c>
      <c r="W181">
        <v>0</v>
      </c>
      <c r="X181">
        <v>854221438</v>
      </c>
      <c r="Y181">
        <f>(AT181*ROUND((0.15+1),7))</f>
        <v>9.1999999999999993</v>
      </c>
      <c r="AA181">
        <v>0</v>
      </c>
      <c r="AB181">
        <v>0</v>
      </c>
      <c r="AC181">
        <v>0</v>
      </c>
      <c r="AD181">
        <v>389.99</v>
      </c>
      <c r="AE181">
        <v>0</v>
      </c>
      <c r="AF181">
        <v>0</v>
      </c>
      <c r="AG181">
        <v>0</v>
      </c>
      <c r="AH181">
        <v>389.99</v>
      </c>
      <c r="AI181">
        <v>1</v>
      </c>
      <c r="AJ181">
        <v>1</v>
      </c>
      <c r="AK181">
        <v>1</v>
      </c>
      <c r="AL181">
        <v>1</v>
      </c>
      <c r="AM181">
        <v>-2</v>
      </c>
      <c r="AN181">
        <v>0</v>
      </c>
      <c r="AO181">
        <v>0</v>
      </c>
      <c r="AP181">
        <v>1</v>
      </c>
      <c r="AQ181">
        <v>1</v>
      </c>
      <c r="AR181">
        <v>0</v>
      </c>
      <c r="AS181" t="s">
        <v>3</v>
      </c>
      <c r="AT181">
        <v>8</v>
      </c>
      <c r="AU181" t="s">
        <v>27</v>
      </c>
      <c r="AV181">
        <v>1</v>
      </c>
      <c r="AW181">
        <v>2</v>
      </c>
      <c r="AX181">
        <v>75605572</v>
      </c>
      <c r="AY181">
        <v>1</v>
      </c>
      <c r="AZ181">
        <v>0</v>
      </c>
      <c r="BA181">
        <v>189</v>
      </c>
      <c r="BB181">
        <v>1</v>
      </c>
      <c r="BC181">
        <v>0</v>
      </c>
      <c r="BD181">
        <v>0</v>
      </c>
      <c r="BE181">
        <v>0</v>
      </c>
      <c r="BF181">
        <v>0</v>
      </c>
      <c r="BG181">
        <v>0</v>
      </c>
      <c r="BH181">
        <v>0</v>
      </c>
      <c r="BI181">
        <v>0</v>
      </c>
      <c r="BJ181">
        <v>0</v>
      </c>
      <c r="BK181">
        <v>0</v>
      </c>
      <c r="BL181">
        <v>0</v>
      </c>
      <c r="BM181">
        <v>3119.92</v>
      </c>
      <c r="BN181">
        <v>8</v>
      </c>
      <c r="BO181">
        <v>0</v>
      </c>
      <c r="BP181">
        <v>1</v>
      </c>
      <c r="BQ181">
        <v>0</v>
      </c>
      <c r="BR181">
        <v>0</v>
      </c>
      <c r="BS181">
        <v>0</v>
      </c>
      <c r="BT181">
        <v>3587.9079999999999</v>
      </c>
      <c r="BU181">
        <v>9.1999999999999993</v>
      </c>
      <c r="BV181">
        <v>0</v>
      </c>
      <c r="BW181">
        <v>1</v>
      </c>
      <c r="CU181">
        <f>ROUND(AT181*Source!I168*AH181*AL181,2)</f>
        <v>3119.92</v>
      </c>
      <c r="CV181">
        <f>ROUND(Y181*Source!I168,7)</f>
        <v>9.1999999999999993</v>
      </c>
      <c r="CW181">
        <v>0</v>
      </c>
      <c r="CX181">
        <f>ROUND(Y181*Source!I168,7)</f>
        <v>9.1999999999999993</v>
      </c>
      <c r="CY181">
        <f>AD181</f>
        <v>389.99</v>
      </c>
      <c r="CZ181">
        <f>AH181</f>
        <v>389.99</v>
      </c>
      <c r="DA181">
        <f>AL181</f>
        <v>1</v>
      </c>
      <c r="DB181">
        <f>ROUND((ROUND(AT181*CZ181,2)*ROUND((0.15+1),7)),6)</f>
        <v>3587.9079999999999</v>
      </c>
      <c r="DC181">
        <f>ROUND((ROUND(AT181*AG181,2)*ROUND((0.15+1),7)),6)</f>
        <v>0</v>
      </c>
      <c r="DD181" t="s">
        <v>3</v>
      </c>
      <c r="DE181" t="s">
        <v>3</v>
      </c>
      <c r="DF181">
        <f>ROUND(ROUND(AE181,2)*CX181,2)</f>
        <v>0</v>
      </c>
      <c r="DG181">
        <f t="shared" si="101"/>
        <v>0</v>
      </c>
      <c r="DH181">
        <f t="shared" si="77"/>
        <v>0</v>
      </c>
      <c r="DI181">
        <f t="shared" si="78"/>
        <v>3587.91</v>
      </c>
      <c r="DJ181">
        <f>DI181</f>
        <v>3587.91</v>
      </c>
      <c r="DK181">
        <v>1</v>
      </c>
      <c r="DL181" t="s">
        <v>3</v>
      </c>
      <c r="DM181">
        <v>0</v>
      </c>
      <c r="DN181" t="s">
        <v>3</v>
      </c>
      <c r="DO181">
        <v>0</v>
      </c>
    </row>
    <row r="182" spans="1:119" x14ac:dyDescent="0.25">
      <c r="A182">
        <f>ROW(Source!A168)</f>
        <v>168</v>
      </c>
      <c r="B182">
        <v>75604747</v>
      </c>
      <c r="C182">
        <v>75605563</v>
      </c>
      <c r="D182">
        <v>74310021</v>
      </c>
      <c r="E182">
        <v>1</v>
      </c>
      <c r="F182">
        <v>1</v>
      </c>
      <c r="G182">
        <v>1</v>
      </c>
      <c r="H182">
        <v>2</v>
      </c>
      <c r="I182" t="s">
        <v>597</v>
      </c>
      <c r="J182" t="s">
        <v>598</v>
      </c>
      <c r="K182" t="s">
        <v>599</v>
      </c>
      <c r="L182">
        <v>1368</v>
      </c>
      <c r="N182">
        <v>1011</v>
      </c>
      <c r="O182" t="s">
        <v>509</v>
      </c>
      <c r="P182" t="s">
        <v>509</v>
      </c>
      <c r="Q182">
        <v>1</v>
      </c>
      <c r="W182">
        <v>0</v>
      </c>
      <c r="X182">
        <v>462025989</v>
      </c>
      <c r="Y182">
        <f>(AT182*ROUND((0.15+1),7))</f>
        <v>0.39100000000000001</v>
      </c>
      <c r="AA182">
        <v>0</v>
      </c>
      <c r="AB182">
        <v>41.5</v>
      </c>
      <c r="AC182">
        <v>0</v>
      </c>
      <c r="AD182">
        <v>0</v>
      </c>
      <c r="AE182">
        <v>0</v>
      </c>
      <c r="AF182">
        <v>41.5</v>
      </c>
      <c r="AG182">
        <v>0</v>
      </c>
      <c r="AH182">
        <v>0</v>
      </c>
      <c r="AI182">
        <v>1</v>
      </c>
      <c r="AJ182">
        <v>1</v>
      </c>
      <c r="AK182">
        <v>1</v>
      </c>
      <c r="AL182">
        <v>1</v>
      </c>
      <c r="AM182">
        <v>-2</v>
      </c>
      <c r="AN182">
        <v>0</v>
      </c>
      <c r="AO182">
        <v>0</v>
      </c>
      <c r="AP182">
        <v>1</v>
      </c>
      <c r="AQ182">
        <v>1</v>
      </c>
      <c r="AR182">
        <v>0</v>
      </c>
      <c r="AS182" t="s">
        <v>3</v>
      </c>
      <c r="AT182">
        <v>0.34</v>
      </c>
      <c r="AU182" t="s">
        <v>27</v>
      </c>
      <c r="AV182">
        <v>1</v>
      </c>
      <c r="AW182">
        <v>2</v>
      </c>
      <c r="AX182">
        <v>75605573</v>
      </c>
      <c r="AY182">
        <v>1</v>
      </c>
      <c r="AZ182">
        <v>0</v>
      </c>
      <c r="BA182">
        <v>190</v>
      </c>
      <c r="BB182">
        <v>1</v>
      </c>
      <c r="BC182">
        <v>0</v>
      </c>
      <c r="BD182">
        <v>0</v>
      </c>
      <c r="BE182">
        <v>0</v>
      </c>
      <c r="BF182">
        <v>0</v>
      </c>
      <c r="BG182">
        <v>0</v>
      </c>
      <c r="BH182">
        <v>0</v>
      </c>
      <c r="BI182">
        <v>0</v>
      </c>
      <c r="BJ182">
        <v>0</v>
      </c>
      <c r="BK182">
        <v>14.110000000000001</v>
      </c>
      <c r="BL182">
        <v>0</v>
      </c>
      <c r="BM182">
        <v>0</v>
      </c>
      <c r="BN182">
        <v>0</v>
      </c>
      <c r="BO182">
        <v>0</v>
      </c>
      <c r="BP182">
        <v>1</v>
      </c>
      <c r="BQ182">
        <v>0</v>
      </c>
      <c r="BR182">
        <v>16.226500000000001</v>
      </c>
      <c r="BS182">
        <v>0</v>
      </c>
      <c r="BT182">
        <v>0</v>
      </c>
      <c r="BU182">
        <v>0</v>
      </c>
      <c r="BV182">
        <v>0</v>
      </c>
      <c r="BW182">
        <v>1</v>
      </c>
      <c r="CV182">
        <v>0</v>
      </c>
      <c r="CW182">
        <f>ROUND(Y182*Source!I168*DO182,7)</f>
        <v>0</v>
      </c>
      <c r="CX182">
        <f>ROUND(Y182*Source!I168,7)</f>
        <v>0.39100000000000001</v>
      </c>
      <c r="CY182">
        <f>AB182</f>
        <v>41.5</v>
      </c>
      <c r="CZ182">
        <f>AF182</f>
        <v>41.5</v>
      </c>
      <c r="DA182">
        <f>AJ182</f>
        <v>1</v>
      </c>
      <c r="DB182">
        <f>ROUND((ROUND(AT182*CZ182,2)*ROUND((0.15+1),7)),6)</f>
        <v>16.226500000000001</v>
      </c>
      <c r="DC182">
        <f>ROUND((ROUND(AT182*AG182,2)*ROUND((0.15+1),7)),6)</f>
        <v>0</v>
      </c>
      <c r="DD182" t="s">
        <v>3</v>
      </c>
      <c r="DE182" t="s">
        <v>3</v>
      </c>
      <c r="DF182">
        <f>ROUND(ROUND(AE182,2)*CX182,2)</f>
        <v>0</v>
      </c>
      <c r="DG182">
        <f t="shared" si="101"/>
        <v>16.23</v>
      </c>
      <c r="DH182">
        <f t="shared" si="77"/>
        <v>0</v>
      </c>
      <c r="DI182">
        <f t="shared" si="78"/>
        <v>0</v>
      </c>
      <c r="DJ182">
        <f>DG182+DH182</f>
        <v>16.23</v>
      </c>
      <c r="DK182">
        <v>1</v>
      </c>
      <c r="DL182" t="s">
        <v>3</v>
      </c>
      <c r="DM182">
        <v>0</v>
      </c>
      <c r="DN182" t="s">
        <v>3</v>
      </c>
      <c r="DO182">
        <v>0</v>
      </c>
    </row>
    <row r="183" spans="1:119" x14ac:dyDescent="0.25">
      <c r="A183">
        <f>ROW(Source!A168)</f>
        <v>168</v>
      </c>
      <c r="B183">
        <v>75604747</v>
      </c>
      <c r="C183">
        <v>75605563</v>
      </c>
      <c r="D183">
        <v>74257065</v>
      </c>
      <c r="E183">
        <v>1</v>
      </c>
      <c r="F183">
        <v>1</v>
      </c>
      <c r="G183">
        <v>1</v>
      </c>
      <c r="H183">
        <v>3</v>
      </c>
      <c r="I183" t="s">
        <v>581</v>
      </c>
      <c r="J183" t="s">
        <v>582</v>
      </c>
      <c r="K183" t="s">
        <v>583</v>
      </c>
      <c r="L183">
        <v>1339</v>
      </c>
      <c r="N183">
        <v>1007</v>
      </c>
      <c r="O183" t="s">
        <v>205</v>
      </c>
      <c r="P183" t="s">
        <v>205</v>
      </c>
      <c r="Q183">
        <v>1</v>
      </c>
      <c r="W183">
        <v>0</v>
      </c>
      <c r="X183">
        <v>1531571680</v>
      </c>
      <c r="Y183">
        <f>AT183</f>
        <v>0.76</v>
      </c>
      <c r="AA183">
        <v>126.1</v>
      </c>
      <c r="AB183">
        <v>0</v>
      </c>
      <c r="AC183">
        <v>0</v>
      </c>
      <c r="AD183">
        <v>0</v>
      </c>
      <c r="AE183">
        <v>114.64</v>
      </c>
      <c r="AF183">
        <v>0</v>
      </c>
      <c r="AG183">
        <v>0</v>
      </c>
      <c r="AH183">
        <v>0</v>
      </c>
      <c r="AI183">
        <v>1.1000000000000001</v>
      </c>
      <c r="AJ183">
        <v>1</v>
      </c>
      <c r="AK183">
        <v>1</v>
      </c>
      <c r="AL183">
        <v>1</v>
      </c>
      <c r="AM183">
        <v>2</v>
      </c>
      <c r="AN183">
        <v>0</v>
      </c>
      <c r="AO183">
        <v>0</v>
      </c>
      <c r="AP183">
        <v>1</v>
      </c>
      <c r="AQ183">
        <v>1</v>
      </c>
      <c r="AR183">
        <v>0</v>
      </c>
      <c r="AS183" t="s">
        <v>3</v>
      </c>
      <c r="AT183">
        <v>0.76</v>
      </c>
      <c r="AU183" t="s">
        <v>3</v>
      </c>
      <c r="AV183">
        <v>0</v>
      </c>
      <c r="AW183">
        <v>2</v>
      </c>
      <c r="AX183">
        <v>75605574</v>
      </c>
      <c r="AY183">
        <v>1</v>
      </c>
      <c r="AZ183">
        <v>0</v>
      </c>
      <c r="BA183">
        <v>191</v>
      </c>
      <c r="BB183">
        <v>1</v>
      </c>
      <c r="BC183">
        <v>0</v>
      </c>
      <c r="BD183">
        <v>0</v>
      </c>
      <c r="BE183">
        <v>0</v>
      </c>
      <c r="BF183">
        <v>0</v>
      </c>
      <c r="BG183">
        <v>0</v>
      </c>
      <c r="BH183">
        <v>0</v>
      </c>
      <c r="BI183">
        <v>0</v>
      </c>
      <c r="BJ183">
        <v>87.126400000000004</v>
      </c>
      <c r="BK183">
        <v>0</v>
      </c>
      <c r="BL183">
        <v>0</v>
      </c>
      <c r="BM183">
        <v>0</v>
      </c>
      <c r="BN183">
        <v>0</v>
      </c>
      <c r="BO183">
        <v>0</v>
      </c>
      <c r="BP183">
        <v>1</v>
      </c>
      <c r="BQ183">
        <v>87.126400000000004</v>
      </c>
      <c r="BR183">
        <v>0</v>
      </c>
      <c r="BS183">
        <v>0</v>
      </c>
      <c r="BT183">
        <v>0</v>
      </c>
      <c r="BU183">
        <v>0</v>
      </c>
      <c r="BV183">
        <v>0</v>
      </c>
      <c r="BW183">
        <v>1</v>
      </c>
      <c r="CV183">
        <v>0</v>
      </c>
      <c r="CW183">
        <v>0</v>
      </c>
      <c r="CX183">
        <f>ROUND(Y183*Source!I168,7)</f>
        <v>0.76</v>
      </c>
      <c r="CY183">
        <f>AA183</f>
        <v>126.1</v>
      </c>
      <c r="CZ183">
        <f>AE183</f>
        <v>114.64</v>
      </c>
      <c r="DA183">
        <f>AI183</f>
        <v>1.1000000000000001</v>
      </c>
      <c r="DB183">
        <f>ROUND(ROUND(AT183*CZ183,2),6)</f>
        <v>87.13</v>
      </c>
      <c r="DC183">
        <f>ROUND(ROUND(AT183*AG183,2),6)</f>
        <v>0</v>
      </c>
      <c r="DD183" t="s">
        <v>3</v>
      </c>
      <c r="DE183" t="s">
        <v>3</v>
      </c>
      <c r="DF183">
        <f>ROUND(ROUND(AE183*AI183,2)*CX183,2)</f>
        <v>95.84</v>
      </c>
      <c r="DG183">
        <f t="shared" si="101"/>
        <v>0</v>
      </c>
      <c r="DH183">
        <f t="shared" si="77"/>
        <v>0</v>
      </c>
      <c r="DI183">
        <f t="shared" si="78"/>
        <v>0</v>
      </c>
      <c r="DJ183">
        <f>DF183</f>
        <v>95.84</v>
      </c>
      <c r="DK183">
        <v>0</v>
      </c>
      <c r="DL183" t="s">
        <v>3</v>
      </c>
      <c r="DM183">
        <v>0</v>
      </c>
      <c r="DN183" t="s">
        <v>3</v>
      </c>
      <c r="DO183">
        <v>0</v>
      </c>
    </row>
    <row r="184" spans="1:119" x14ac:dyDescent="0.25">
      <c r="A184">
        <f>ROW(Source!A168)</f>
        <v>168</v>
      </c>
      <c r="B184">
        <v>75604747</v>
      </c>
      <c r="C184">
        <v>75605563</v>
      </c>
      <c r="D184">
        <v>74257069</v>
      </c>
      <c r="E184">
        <v>1</v>
      </c>
      <c r="F184">
        <v>1</v>
      </c>
      <c r="G184">
        <v>1</v>
      </c>
      <c r="H184">
        <v>3</v>
      </c>
      <c r="I184" t="s">
        <v>584</v>
      </c>
      <c r="J184" t="s">
        <v>585</v>
      </c>
      <c r="K184" t="s">
        <v>586</v>
      </c>
      <c r="L184">
        <v>1346</v>
      </c>
      <c r="N184">
        <v>1009</v>
      </c>
      <c r="O184" t="s">
        <v>240</v>
      </c>
      <c r="P184" t="s">
        <v>240</v>
      </c>
      <c r="Q184">
        <v>1</v>
      </c>
      <c r="W184">
        <v>0</v>
      </c>
      <c r="X184">
        <v>1843545816</v>
      </c>
      <c r="Y184">
        <f>AT184</f>
        <v>0.22</v>
      </c>
      <c r="AA184">
        <v>62.48</v>
      </c>
      <c r="AB184">
        <v>0</v>
      </c>
      <c r="AC184">
        <v>0</v>
      </c>
      <c r="AD184">
        <v>0</v>
      </c>
      <c r="AE184">
        <v>41.38</v>
      </c>
      <c r="AF184">
        <v>0</v>
      </c>
      <c r="AG184">
        <v>0</v>
      </c>
      <c r="AH184">
        <v>0</v>
      </c>
      <c r="AI184">
        <v>1.51</v>
      </c>
      <c r="AJ184">
        <v>1</v>
      </c>
      <c r="AK184">
        <v>1</v>
      </c>
      <c r="AL184">
        <v>1</v>
      </c>
      <c r="AM184">
        <v>2</v>
      </c>
      <c r="AN184">
        <v>0</v>
      </c>
      <c r="AO184">
        <v>0</v>
      </c>
      <c r="AP184">
        <v>1</v>
      </c>
      <c r="AQ184">
        <v>1</v>
      </c>
      <c r="AR184">
        <v>0</v>
      </c>
      <c r="AS184" t="s">
        <v>3</v>
      </c>
      <c r="AT184">
        <v>0.22</v>
      </c>
      <c r="AU184" t="s">
        <v>3</v>
      </c>
      <c r="AV184">
        <v>0</v>
      </c>
      <c r="AW184">
        <v>2</v>
      </c>
      <c r="AX184">
        <v>75605575</v>
      </c>
      <c r="AY184">
        <v>1</v>
      </c>
      <c r="AZ184">
        <v>0</v>
      </c>
      <c r="BA184">
        <v>192</v>
      </c>
      <c r="BB184">
        <v>1</v>
      </c>
      <c r="BC184">
        <v>0</v>
      </c>
      <c r="BD184">
        <v>0</v>
      </c>
      <c r="BE184">
        <v>0</v>
      </c>
      <c r="BF184">
        <v>0</v>
      </c>
      <c r="BG184">
        <v>0</v>
      </c>
      <c r="BH184">
        <v>0</v>
      </c>
      <c r="BI184">
        <v>0</v>
      </c>
      <c r="BJ184">
        <v>9.1036000000000001</v>
      </c>
      <c r="BK184">
        <v>0</v>
      </c>
      <c r="BL184">
        <v>0</v>
      </c>
      <c r="BM184">
        <v>0</v>
      </c>
      <c r="BN184">
        <v>0</v>
      </c>
      <c r="BO184">
        <v>0</v>
      </c>
      <c r="BP184">
        <v>1</v>
      </c>
      <c r="BQ184">
        <v>9.1036000000000001</v>
      </c>
      <c r="BR184">
        <v>0</v>
      </c>
      <c r="BS184">
        <v>0</v>
      </c>
      <c r="BT184">
        <v>0</v>
      </c>
      <c r="BU184">
        <v>0</v>
      </c>
      <c r="BV184">
        <v>0</v>
      </c>
      <c r="BW184">
        <v>1</v>
      </c>
      <c r="CV184">
        <v>0</v>
      </c>
      <c r="CW184">
        <v>0</v>
      </c>
      <c r="CX184">
        <f>ROUND(Y184*Source!I168,7)</f>
        <v>0.22</v>
      </c>
      <c r="CY184">
        <f>AA184</f>
        <v>62.48</v>
      </c>
      <c r="CZ184">
        <f>AE184</f>
        <v>41.38</v>
      </c>
      <c r="DA184">
        <f>AI184</f>
        <v>1.51</v>
      </c>
      <c r="DB184">
        <f>ROUND(ROUND(AT184*CZ184,2),6)</f>
        <v>9.1</v>
      </c>
      <c r="DC184">
        <f>ROUND(ROUND(AT184*AG184,2),6)</f>
        <v>0</v>
      </c>
      <c r="DD184" t="s">
        <v>3</v>
      </c>
      <c r="DE184" t="s">
        <v>3</v>
      </c>
      <c r="DF184">
        <f>ROUND(ROUND(AE184*AI184,2)*CX184,2)</f>
        <v>13.75</v>
      </c>
      <c r="DG184">
        <f t="shared" si="101"/>
        <v>0</v>
      </c>
      <c r="DH184">
        <f t="shared" si="77"/>
        <v>0</v>
      </c>
      <c r="DI184">
        <f t="shared" si="78"/>
        <v>0</v>
      </c>
      <c r="DJ184">
        <f>DF184</f>
        <v>13.75</v>
      </c>
      <c r="DK184">
        <v>0</v>
      </c>
      <c r="DL184" t="s">
        <v>3</v>
      </c>
      <c r="DM184">
        <v>0</v>
      </c>
      <c r="DN184" t="s">
        <v>3</v>
      </c>
      <c r="DO184">
        <v>0</v>
      </c>
    </row>
    <row r="185" spans="1:119" x14ac:dyDescent="0.25">
      <c r="A185">
        <f>ROW(Source!A168)</f>
        <v>168</v>
      </c>
      <c r="B185">
        <v>75604747</v>
      </c>
      <c r="C185">
        <v>75605563</v>
      </c>
      <c r="D185">
        <v>74259041</v>
      </c>
      <c r="E185">
        <v>1</v>
      </c>
      <c r="F185">
        <v>1</v>
      </c>
      <c r="G185">
        <v>1</v>
      </c>
      <c r="H185">
        <v>3</v>
      </c>
      <c r="I185" t="s">
        <v>560</v>
      </c>
      <c r="J185" t="s">
        <v>561</v>
      </c>
      <c r="K185" t="s">
        <v>562</v>
      </c>
      <c r="L185">
        <v>1383</v>
      </c>
      <c r="N185">
        <v>1013</v>
      </c>
      <c r="O185" t="s">
        <v>563</v>
      </c>
      <c r="P185" t="s">
        <v>563</v>
      </c>
      <c r="Q185">
        <v>1</v>
      </c>
      <c r="W185">
        <v>0</v>
      </c>
      <c r="X185">
        <v>-182421198</v>
      </c>
      <c r="Y185">
        <f>AT185</f>
        <v>0.86399999999999999</v>
      </c>
      <c r="AA185">
        <v>9.0399999999999991</v>
      </c>
      <c r="AB185">
        <v>0</v>
      </c>
      <c r="AC185">
        <v>0</v>
      </c>
      <c r="AD185">
        <v>0</v>
      </c>
      <c r="AE185">
        <v>9.0399999999999991</v>
      </c>
      <c r="AF185">
        <v>0</v>
      </c>
      <c r="AG185">
        <v>0</v>
      </c>
      <c r="AH185">
        <v>0</v>
      </c>
      <c r="AI185">
        <v>1</v>
      </c>
      <c r="AJ185">
        <v>1</v>
      </c>
      <c r="AK185">
        <v>1</v>
      </c>
      <c r="AL185">
        <v>1</v>
      </c>
      <c r="AM185">
        <v>-2</v>
      </c>
      <c r="AN185">
        <v>0</v>
      </c>
      <c r="AO185">
        <v>0</v>
      </c>
      <c r="AP185">
        <v>1</v>
      </c>
      <c r="AQ185">
        <v>1</v>
      </c>
      <c r="AR185">
        <v>0</v>
      </c>
      <c r="AS185" t="s">
        <v>3</v>
      </c>
      <c r="AT185">
        <v>0.86399999999999999</v>
      </c>
      <c r="AU185" t="s">
        <v>3</v>
      </c>
      <c r="AV185">
        <v>0</v>
      </c>
      <c r="AW185">
        <v>2</v>
      </c>
      <c r="AX185">
        <v>75605576</v>
      </c>
      <c r="AY185">
        <v>1</v>
      </c>
      <c r="AZ185">
        <v>0</v>
      </c>
      <c r="BA185">
        <v>193</v>
      </c>
      <c r="BB185">
        <v>1</v>
      </c>
      <c r="BC185">
        <v>0</v>
      </c>
      <c r="BD185">
        <v>0</v>
      </c>
      <c r="BE185">
        <v>0</v>
      </c>
      <c r="BF185">
        <v>0</v>
      </c>
      <c r="BG185">
        <v>0</v>
      </c>
      <c r="BH185">
        <v>0</v>
      </c>
      <c r="BI185">
        <v>0</v>
      </c>
      <c r="BJ185">
        <v>7.8105599999999988</v>
      </c>
      <c r="BK185">
        <v>0</v>
      </c>
      <c r="BL185">
        <v>0</v>
      </c>
      <c r="BM185">
        <v>0</v>
      </c>
      <c r="BN185">
        <v>0</v>
      </c>
      <c r="BO185">
        <v>0</v>
      </c>
      <c r="BP185">
        <v>1</v>
      </c>
      <c r="BQ185">
        <v>7.8105599999999988</v>
      </c>
      <c r="BR185">
        <v>0</v>
      </c>
      <c r="BS185">
        <v>0</v>
      </c>
      <c r="BT185">
        <v>0</v>
      </c>
      <c r="BU185">
        <v>0</v>
      </c>
      <c r="BV185">
        <v>0</v>
      </c>
      <c r="BW185">
        <v>1</v>
      </c>
      <c r="CV185">
        <v>0</v>
      </c>
      <c r="CW185">
        <v>0</v>
      </c>
      <c r="CX185">
        <f>ROUND(Y185*Source!I168,7)</f>
        <v>0.86399999999999999</v>
      </c>
      <c r="CY185">
        <f>AA185</f>
        <v>9.0399999999999991</v>
      </c>
      <c r="CZ185">
        <f>AE185</f>
        <v>9.0399999999999991</v>
      </c>
      <c r="DA185">
        <f>AI185</f>
        <v>1</v>
      </c>
      <c r="DB185">
        <f>ROUND(ROUND(AT185*CZ185,2),6)</f>
        <v>7.81</v>
      </c>
      <c r="DC185">
        <f>ROUND(ROUND(AT185*AG185,2),6)</f>
        <v>0</v>
      </c>
      <c r="DD185" t="s">
        <v>3</v>
      </c>
      <c r="DE185" t="s">
        <v>3</v>
      </c>
      <c r="DF185">
        <f>ROUND(ROUND(AE185,2)*CX185,2)</f>
        <v>7.81</v>
      </c>
      <c r="DG185">
        <f t="shared" si="101"/>
        <v>0</v>
      </c>
      <c r="DH185">
        <f t="shared" si="77"/>
        <v>0</v>
      </c>
      <c r="DI185">
        <f t="shared" si="78"/>
        <v>0</v>
      </c>
      <c r="DJ185">
        <f>DF185</f>
        <v>7.81</v>
      </c>
      <c r="DK185">
        <v>1</v>
      </c>
      <c r="DL185" t="s">
        <v>3</v>
      </c>
      <c r="DM185">
        <v>0</v>
      </c>
      <c r="DN185" t="s">
        <v>3</v>
      </c>
      <c r="DO185">
        <v>0</v>
      </c>
    </row>
    <row r="186" spans="1:119" x14ac:dyDescent="0.25">
      <c r="A186">
        <f>ROW(Source!A168)</f>
        <v>168</v>
      </c>
      <c r="B186">
        <v>75604747</v>
      </c>
      <c r="C186">
        <v>75605563</v>
      </c>
      <c r="D186">
        <v>74259784</v>
      </c>
      <c r="E186">
        <v>1</v>
      </c>
      <c r="F186">
        <v>1</v>
      </c>
      <c r="G186">
        <v>1</v>
      </c>
      <c r="H186">
        <v>3</v>
      </c>
      <c r="I186" t="s">
        <v>703</v>
      </c>
      <c r="J186" t="s">
        <v>704</v>
      </c>
      <c r="K186" t="s">
        <v>705</v>
      </c>
      <c r="L186">
        <v>1346</v>
      </c>
      <c r="N186">
        <v>1009</v>
      </c>
      <c r="O186" t="s">
        <v>240</v>
      </c>
      <c r="P186" t="s">
        <v>240</v>
      </c>
      <c r="Q186">
        <v>1</v>
      </c>
      <c r="W186">
        <v>0</v>
      </c>
      <c r="X186">
        <v>1622150853</v>
      </c>
      <c r="Y186">
        <f>AT186</f>
        <v>6.2E-2</v>
      </c>
      <c r="AA186">
        <v>126.53</v>
      </c>
      <c r="AB186">
        <v>0</v>
      </c>
      <c r="AC186">
        <v>0</v>
      </c>
      <c r="AD186">
        <v>0</v>
      </c>
      <c r="AE186">
        <v>148.86000000000001</v>
      </c>
      <c r="AF186">
        <v>0</v>
      </c>
      <c r="AG186">
        <v>0</v>
      </c>
      <c r="AH186">
        <v>0</v>
      </c>
      <c r="AI186">
        <v>0.85</v>
      </c>
      <c r="AJ186">
        <v>1</v>
      </c>
      <c r="AK186">
        <v>1</v>
      </c>
      <c r="AL186">
        <v>1</v>
      </c>
      <c r="AM186">
        <v>2</v>
      </c>
      <c r="AN186">
        <v>0</v>
      </c>
      <c r="AO186">
        <v>0</v>
      </c>
      <c r="AP186">
        <v>1</v>
      </c>
      <c r="AQ186">
        <v>1</v>
      </c>
      <c r="AR186">
        <v>0</v>
      </c>
      <c r="AS186" t="s">
        <v>3</v>
      </c>
      <c r="AT186">
        <v>6.2E-2</v>
      </c>
      <c r="AU186" t="s">
        <v>3</v>
      </c>
      <c r="AV186">
        <v>0</v>
      </c>
      <c r="AW186">
        <v>2</v>
      </c>
      <c r="AX186">
        <v>75605577</v>
      </c>
      <c r="AY186">
        <v>1</v>
      </c>
      <c r="AZ186">
        <v>0</v>
      </c>
      <c r="BA186">
        <v>194</v>
      </c>
      <c r="BB186">
        <v>1</v>
      </c>
      <c r="BC186">
        <v>0</v>
      </c>
      <c r="BD186">
        <v>0</v>
      </c>
      <c r="BE186">
        <v>0</v>
      </c>
      <c r="BF186">
        <v>0</v>
      </c>
      <c r="BG186">
        <v>0</v>
      </c>
      <c r="BH186">
        <v>0</v>
      </c>
      <c r="BI186">
        <v>0</v>
      </c>
      <c r="BJ186">
        <v>9.2293200000000013</v>
      </c>
      <c r="BK186">
        <v>0</v>
      </c>
      <c r="BL186">
        <v>0</v>
      </c>
      <c r="BM186">
        <v>0</v>
      </c>
      <c r="BN186">
        <v>0</v>
      </c>
      <c r="BO186">
        <v>0</v>
      </c>
      <c r="BP186">
        <v>1</v>
      </c>
      <c r="BQ186">
        <v>9.2293200000000013</v>
      </c>
      <c r="BR186">
        <v>0</v>
      </c>
      <c r="BS186">
        <v>0</v>
      </c>
      <c r="BT186">
        <v>0</v>
      </c>
      <c r="BU186">
        <v>0</v>
      </c>
      <c r="BV186">
        <v>0</v>
      </c>
      <c r="BW186">
        <v>1</v>
      </c>
      <c r="CV186">
        <v>0</v>
      </c>
      <c r="CW186">
        <v>0</v>
      </c>
      <c r="CX186">
        <f>ROUND(Y186*Source!I168,7)</f>
        <v>6.2E-2</v>
      </c>
      <c r="CY186">
        <f>AA186</f>
        <v>126.53</v>
      </c>
      <c r="CZ186">
        <f>AE186</f>
        <v>148.86000000000001</v>
      </c>
      <c r="DA186">
        <f>AI186</f>
        <v>0.85</v>
      </c>
      <c r="DB186">
        <f>ROUND(ROUND(AT186*CZ186,2),6)</f>
        <v>9.23</v>
      </c>
      <c r="DC186">
        <f>ROUND(ROUND(AT186*AG186,2),6)</f>
        <v>0</v>
      </c>
      <c r="DD186" t="s">
        <v>3</v>
      </c>
      <c r="DE186" t="s">
        <v>3</v>
      </c>
      <c r="DF186">
        <f>ROUND(ROUND(AE186*AI186,2)*CX186,2)</f>
        <v>7.84</v>
      </c>
      <c r="DG186">
        <f t="shared" si="101"/>
        <v>0</v>
      </c>
      <c r="DH186">
        <f t="shared" si="77"/>
        <v>0</v>
      </c>
      <c r="DI186">
        <f t="shared" si="78"/>
        <v>0</v>
      </c>
      <c r="DJ186">
        <f>DF186</f>
        <v>7.84</v>
      </c>
      <c r="DK186">
        <v>0</v>
      </c>
      <c r="DL186" t="s">
        <v>3</v>
      </c>
      <c r="DM186">
        <v>0</v>
      </c>
      <c r="DN186" t="s">
        <v>3</v>
      </c>
      <c r="DO186">
        <v>0</v>
      </c>
    </row>
    <row r="187" spans="1:119" x14ac:dyDescent="0.25">
      <c r="A187">
        <f>ROW(Source!A169)</f>
        <v>169</v>
      </c>
      <c r="B187">
        <v>75604747</v>
      </c>
      <c r="C187">
        <v>75605580</v>
      </c>
      <c r="D187">
        <v>74182299</v>
      </c>
      <c r="E187">
        <v>118</v>
      </c>
      <c r="F187">
        <v>1</v>
      </c>
      <c r="G187">
        <v>1</v>
      </c>
      <c r="H187">
        <v>1</v>
      </c>
      <c r="I187" t="s">
        <v>701</v>
      </c>
      <c r="J187" t="s">
        <v>3</v>
      </c>
      <c r="K187" t="s">
        <v>702</v>
      </c>
      <c r="L187">
        <v>1191</v>
      </c>
      <c r="N187">
        <v>1013</v>
      </c>
      <c r="O187" t="s">
        <v>501</v>
      </c>
      <c r="P187" t="s">
        <v>501</v>
      </c>
      <c r="Q187">
        <v>1</v>
      </c>
      <c r="W187">
        <v>0</v>
      </c>
      <c r="X187">
        <v>854221438</v>
      </c>
      <c r="Y187">
        <f>(AT187*ROUND((0.15+1),7))</f>
        <v>10.35</v>
      </c>
      <c r="AA187">
        <v>0</v>
      </c>
      <c r="AB187">
        <v>0</v>
      </c>
      <c r="AC187">
        <v>0</v>
      </c>
      <c r="AD187">
        <v>389.99</v>
      </c>
      <c r="AE187">
        <v>0</v>
      </c>
      <c r="AF187">
        <v>0</v>
      </c>
      <c r="AG187">
        <v>0</v>
      </c>
      <c r="AH187">
        <v>389.99</v>
      </c>
      <c r="AI187">
        <v>1</v>
      </c>
      <c r="AJ187">
        <v>1</v>
      </c>
      <c r="AK187">
        <v>1</v>
      </c>
      <c r="AL187">
        <v>1</v>
      </c>
      <c r="AM187">
        <v>-2</v>
      </c>
      <c r="AN187">
        <v>0</v>
      </c>
      <c r="AO187">
        <v>0</v>
      </c>
      <c r="AP187">
        <v>1</v>
      </c>
      <c r="AQ187">
        <v>1</v>
      </c>
      <c r="AR187">
        <v>0</v>
      </c>
      <c r="AS187" t="s">
        <v>3</v>
      </c>
      <c r="AT187">
        <v>9</v>
      </c>
      <c r="AU187" t="s">
        <v>27</v>
      </c>
      <c r="AV187">
        <v>1</v>
      </c>
      <c r="AW187">
        <v>2</v>
      </c>
      <c r="AX187">
        <v>75605604</v>
      </c>
      <c r="AY187">
        <v>1</v>
      </c>
      <c r="AZ187">
        <v>0</v>
      </c>
      <c r="BA187">
        <v>196</v>
      </c>
      <c r="BB187">
        <v>1</v>
      </c>
      <c r="BC187">
        <v>0</v>
      </c>
      <c r="BD187">
        <v>0</v>
      </c>
      <c r="BE187">
        <v>0</v>
      </c>
      <c r="BF187">
        <v>0</v>
      </c>
      <c r="BG187">
        <v>0</v>
      </c>
      <c r="BH187">
        <v>0</v>
      </c>
      <c r="BI187">
        <v>0</v>
      </c>
      <c r="BJ187">
        <v>0</v>
      </c>
      <c r="BK187">
        <v>0</v>
      </c>
      <c r="BL187">
        <v>0</v>
      </c>
      <c r="BM187">
        <v>3509.91</v>
      </c>
      <c r="BN187">
        <v>9</v>
      </c>
      <c r="BO187">
        <v>0</v>
      </c>
      <c r="BP187">
        <v>1</v>
      </c>
      <c r="BQ187">
        <v>0</v>
      </c>
      <c r="BR187">
        <v>0</v>
      </c>
      <c r="BS187">
        <v>0</v>
      </c>
      <c r="BT187">
        <v>4036.3964999999998</v>
      </c>
      <c r="BU187">
        <v>10.35</v>
      </c>
      <c r="BV187">
        <v>0</v>
      </c>
      <c r="BW187">
        <v>1</v>
      </c>
      <c r="CU187">
        <f>ROUND(AT187*Source!I169*AH187*AL187,2)</f>
        <v>10529.73</v>
      </c>
      <c r="CV187">
        <f>ROUND(Y187*Source!I169,7)</f>
        <v>31.05</v>
      </c>
      <c r="CW187">
        <v>0</v>
      </c>
      <c r="CX187">
        <f>ROUND(Y187*Source!I169,7)</f>
        <v>31.05</v>
      </c>
      <c r="CY187">
        <f>AD187</f>
        <v>389.99</v>
      </c>
      <c r="CZ187">
        <f>AH187</f>
        <v>389.99</v>
      </c>
      <c r="DA187">
        <f>AL187</f>
        <v>1</v>
      </c>
      <c r="DB187">
        <f>ROUND((ROUND(AT187*CZ187,2)*ROUND((0.15+1),7)),6)</f>
        <v>4036.3964999999998</v>
      </c>
      <c r="DC187">
        <f>ROUND((ROUND(AT187*AG187,2)*ROUND((0.15+1),7)),6)</f>
        <v>0</v>
      </c>
      <c r="DD187" t="s">
        <v>3</v>
      </c>
      <c r="DE187" t="s">
        <v>3</v>
      </c>
      <c r="DF187">
        <f>ROUND(ROUND(AE187,2)*CX187,2)</f>
        <v>0</v>
      </c>
      <c r="DG187">
        <f t="shared" si="101"/>
        <v>0</v>
      </c>
      <c r="DH187">
        <f t="shared" si="77"/>
        <v>0</v>
      </c>
      <c r="DI187">
        <f t="shared" si="78"/>
        <v>12109.19</v>
      </c>
      <c r="DJ187">
        <f>DI187</f>
        <v>12109.19</v>
      </c>
      <c r="DK187">
        <v>1</v>
      </c>
      <c r="DL187" t="s">
        <v>3</v>
      </c>
      <c r="DM187">
        <v>0</v>
      </c>
      <c r="DN187" t="s">
        <v>3</v>
      </c>
      <c r="DO187">
        <v>0</v>
      </c>
    </row>
    <row r="188" spans="1:119" x14ac:dyDescent="0.25">
      <c r="A188">
        <f>ROW(Source!A169)</f>
        <v>169</v>
      </c>
      <c r="B188">
        <v>75604747</v>
      </c>
      <c r="C188">
        <v>75605580</v>
      </c>
      <c r="D188">
        <v>74310021</v>
      </c>
      <c r="E188">
        <v>1</v>
      </c>
      <c r="F188">
        <v>1</v>
      </c>
      <c r="G188">
        <v>1</v>
      </c>
      <c r="H188">
        <v>2</v>
      </c>
      <c r="I188" t="s">
        <v>597</v>
      </c>
      <c r="J188" t="s">
        <v>598</v>
      </c>
      <c r="K188" t="s">
        <v>599</v>
      </c>
      <c r="L188">
        <v>1368</v>
      </c>
      <c r="N188">
        <v>1011</v>
      </c>
      <c r="O188" t="s">
        <v>509</v>
      </c>
      <c r="P188" t="s">
        <v>509</v>
      </c>
      <c r="Q188">
        <v>1</v>
      </c>
      <c r="W188">
        <v>0</v>
      </c>
      <c r="X188">
        <v>462025989</v>
      </c>
      <c r="Y188">
        <f>(AT188*ROUND((0.15+1),7))</f>
        <v>0.49449999999999994</v>
      </c>
      <c r="AA188">
        <v>0</v>
      </c>
      <c r="AB188">
        <v>41.5</v>
      </c>
      <c r="AC188">
        <v>0</v>
      </c>
      <c r="AD188">
        <v>0</v>
      </c>
      <c r="AE188">
        <v>0</v>
      </c>
      <c r="AF188">
        <v>41.5</v>
      </c>
      <c r="AG188">
        <v>0</v>
      </c>
      <c r="AH188">
        <v>0</v>
      </c>
      <c r="AI188">
        <v>1</v>
      </c>
      <c r="AJ188">
        <v>1</v>
      </c>
      <c r="AK188">
        <v>1</v>
      </c>
      <c r="AL188">
        <v>1</v>
      </c>
      <c r="AM188">
        <v>-2</v>
      </c>
      <c r="AN188">
        <v>0</v>
      </c>
      <c r="AO188">
        <v>0</v>
      </c>
      <c r="AP188">
        <v>1</v>
      </c>
      <c r="AQ188">
        <v>1</v>
      </c>
      <c r="AR188">
        <v>0</v>
      </c>
      <c r="AS188" t="s">
        <v>3</v>
      </c>
      <c r="AT188">
        <v>0.43</v>
      </c>
      <c r="AU188" t="s">
        <v>27</v>
      </c>
      <c r="AV188">
        <v>1</v>
      </c>
      <c r="AW188">
        <v>2</v>
      </c>
      <c r="AX188">
        <v>75605605</v>
      </c>
      <c r="AY188">
        <v>1</v>
      </c>
      <c r="AZ188">
        <v>0</v>
      </c>
      <c r="BA188">
        <v>197</v>
      </c>
      <c r="BB188">
        <v>1</v>
      </c>
      <c r="BC188">
        <v>0</v>
      </c>
      <c r="BD188">
        <v>0</v>
      </c>
      <c r="BE188">
        <v>0</v>
      </c>
      <c r="BF188">
        <v>0</v>
      </c>
      <c r="BG188">
        <v>0</v>
      </c>
      <c r="BH188">
        <v>0</v>
      </c>
      <c r="BI188">
        <v>0</v>
      </c>
      <c r="BJ188">
        <v>0</v>
      </c>
      <c r="BK188">
        <v>17.844999999999999</v>
      </c>
      <c r="BL188">
        <v>0</v>
      </c>
      <c r="BM188">
        <v>0</v>
      </c>
      <c r="BN188">
        <v>0</v>
      </c>
      <c r="BO188">
        <v>0</v>
      </c>
      <c r="BP188">
        <v>1</v>
      </c>
      <c r="BQ188">
        <v>0</v>
      </c>
      <c r="BR188">
        <v>20.521749999999997</v>
      </c>
      <c r="BS188">
        <v>0</v>
      </c>
      <c r="BT188">
        <v>0</v>
      </c>
      <c r="BU188">
        <v>0</v>
      </c>
      <c r="BV188">
        <v>0</v>
      </c>
      <c r="BW188">
        <v>1</v>
      </c>
      <c r="CV188">
        <v>0</v>
      </c>
      <c r="CW188">
        <f>ROUND(Y188*Source!I169*DO188,7)</f>
        <v>0</v>
      </c>
      <c r="CX188">
        <f>ROUND(Y188*Source!I169,7)</f>
        <v>1.4835</v>
      </c>
      <c r="CY188">
        <f>AB188</f>
        <v>41.5</v>
      </c>
      <c r="CZ188">
        <f>AF188</f>
        <v>41.5</v>
      </c>
      <c r="DA188">
        <f>AJ188</f>
        <v>1</v>
      </c>
      <c r="DB188">
        <f>ROUND((ROUND(AT188*CZ188,2)*ROUND((0.15+1),7)),6)</f>
        <v>20.5275</v>
      </c>
      <c r="DC188">
        <f>ROUND((ROUND(AT188*AG188,2)*ROUND((0.15+1),7)),6)</f>
        <v>0</v>
      </c>
      <c r="DD188" t="s">
        <v>3</v>
      </c>
      <c r="DE188" t="s">
        <v>3</v>
      </c>
      <c r="DF188">
        <f>ROUND(ROUND(AE188,2)*CX188,2)</f>
        <v>0</v>
      </c>
      <c r="DG188">
        <f t="shared" si="101"/>
        <v>61.57</v>
      </c>
      <c r="DH188">
        <f t="shared" si="77"/>
        <v>0</v>
      </c>
      <c r="DI188">
        <f t="shared" si="78"/>
        <v>0</v>
      </c>
      <c r="DJ188">
        <f>DG188+DH188</f>
        <v>61.57</v>
      </c>
      <c r="DK188">
        <v>1</v>
      </c>
      <c r="DL188" t="s">
        <v>3</v>
      </c>
      <c r="DM188">
        <v>0</v>
      </c>
      <c r="DN188" t="s">
        <v>3</v>
      </c>
      <c r="DO188">
        <v>0</v>
      </c>
    </row>
    <row r="189" spans="1:119" x14ac:dyDescent="0.25">
      <c r="A189">
        <f>ROW(Source!A169)</f>
        <v>169</v>
      </c>
      <c r="B189">
        <v>75604747</v>
      </c>
      <c r="C189">
        <v>75605580</v>
      </c>
      <c r="D189">
        <v>74257065</v>
      </c>
      <c r="E189">
        <v>1</v>
      </c>
      <c r="F189">
        <v>1</v>
      </c>
      <c r="G189">
        <v>1</v>
      </c>
      <c r="H189">
        <v>3</v>
      </c>
      <c r="I189" t="s">
        <v>581</v>
      </c>
      <c r="J189" t="s">
        <v>582</v>
      </c>
      <c r="K189" t="s">
        <v>583</v>
      </c>
      <c r="L189">
        <v>1339</v>
      </c>
      <c r="N189">
        <v>1007</v>
      </c>
      <c r="O189" t="s">
        <v>205</v>
      </c>
      <c r="P189" t="s">
        <v>205</v>
      </c>
      <c r="Q189">
        <v>1</v>
      </c>
      <c r="W189">
        <v>0</v>
      </c>
      <c r="X189">
        <v>1531571680</v>
      </c>
      <c r="Y189">
        <f>AT189</f>
        <v>0.88</v>
      </c>
      <c r="AA189">
        <v>126.1</v>
      </c>
      <c r="AB189">
        <v>0</v>
      </c>
      <c r="AC189">
        <v>0</v>
      </c>
      <c r="AD189">
        <v>0</v>
      </c>
      <c r="AE189">
        <v>114.64</v>
      </c>
      <c r="AF189">
        <v>0</v>
      </c>
      <c r="AG189">
        <v>0</v>
      </c>
      <c r="AH189">
        <v>0</v>
      </c>
      <c r="AI189">
        <v>1.1000000000000001</v>
      </c>
      <c r="AJ189">
        <v>1</v>
      </c>
      <c r="AK189">
        <v>1</v>
      </c>
      <c r="AL189">
        <v>1</v>
      </c>
      <c r="AM189">
        <v>2</v>
      </c>
      <c r="AN189">
        <v>0</v>
      </c>
      <c r="AO189">
        <v>0</v>
      </c>
      <c r="AP189">
        <v>1</v>
      </c>
      <c r="AQ189">
        <v>1</v>
      </c>
      <c r="AR189">
        <v>0</v>
      </c>
      <c r="AS189" t="s">
        <v>3</v>
      </c>
      <c r="AT189">
        <v>0.88</v>
      </c>
      <c r="AU189" t="s">
        <v>3</v>
      </c>
      <c r="AV189">
        <v>0</v>
      </c>
      <c r="AW189">
        <v>2</v>
      </c>
      <c r="AX189">
        <v>75605606</v>
      </c>
      <c r="AY189">
        <v>1</v>
      </c>
      <c r="AZ189">
        <v>0</v>
      </c>
      <c r="BA189">
        <v>198</v>
      </c>
      <c r="BB189">
        <v>1</v>
      </c>
      <c r="BC189">
        <v>0</v>
      </c>
      <c r="BD189">
        <v>0</v>
      </c>
      <c r="BE189">
        <v>0</v>
      </c>
      <c r="BF189">
        <v>0</v>
      </c>
      <c r="BG189">
        <v>0</v>
      </c>
      <c r="BH189">
        <v>0</v>
      </c>
      <c r="BI189">
        <v>0</v>
      </c>
      <c r="BJ189">
        <v>100.8832</v>
      </c>
      <c r="BK189">
        <v>0</v>
      </c>
      <c r="BL189">
        <v>0</v>
      </c>
      <c r="BM189">
        <v>0</v>
      </c>
      <c r="BN189">
        <v>0</v>
      </c>
      <c r="BO189">
        <v>0</v>
      </c>
      <c r="BP189">
        <v>1</v>
      </c>
      <c r="BQ189">
        <v>100.8832</v>
      </c>
      <c r="BR189">
        <v>0</v>
      </c>
      <c r="BS189">
        <v>0</v>
      </c>
      <c r="BT189">
        <v>0</v>
      </c>
      <c r="BU189">
        <v>0</v>
      </c>
      <c r="BV189">
        <v>0</v>
      </c>
      <c r="BW189">
        <v>1</v>
      </c>
      <c r="CV189">
        <v>0</v>
      </c>
      <c r="CW189">
        <v>0</v>
      </c>
      <c r="CX189">
        <f>ROUND(Y189*Source!I169,7)</f>
        <v>2.64</v>
      </c>
      <c r="CY189">
        <f>AA189</f>
        <v>126.1</v>
      </c>
      <c r="CZ189">
        <f>AE189</f>
        <v>114.64</v>
      </c>
      <c r="DA189">
        <f>AI189</f>
        <v>1.1000000000000001</v>
      </c>
      <c r="DB189">
        <f>ROUND(ROUND(AT189*CZ189,2),6)</f>
        <v>100.88</v>
      </c>
      <c r="DC189">
        <f>ROUND(ROUND(AT189*AG189,2),6)</f>
        <v>0</v>
      </c>
      <c r="DD189" t="s">
        <v>3</v>
      </c>
      <c r="DE189" t="s">
        <v>3</v>
      </c>
      <c r="DF189">
        <f>ROUND(ROUND(AE189*AI189,2)*CX189,2)</f>
        <v>332.9</v>
      </c>
      <c r="DG189">
        <f t="shared" si="101"/>
        <v>0</v>
      </c>
      <c r="DH189">
        <f t="shared" si="77"/>
        <v>0</v>
      </c>
      <c r="DI189">
        <f t="shared" si="78"/>
        <v>0</v>
      </c>
      <c r="DJ189">
        <f>DF189</f>
        <v>332.9</v>
      </c>
      <c r="DK189">
        <v>0</v>
      </c>
      <c r="DL189" t="s">
        <v>3</v>
      </c>
      <c r="DM189">
        <v>0</v>
      </c>
      <c r="DN189" t="s">
        <v>3</v>
      </c>
      <c r="DO189">
        <v>0</v>
      </c>
    </row>
    <row r="190" spans="1:119" x14ac:dyDescent="0.25">
      <c r="A190">
        <f>ROW(Source!A169)</f>
        <v>169</v>
      </c>
      <c r="B190">
        <v>75604747</v>
      </c>
      <c r="C190">
        <v>75605580</v>
      </c>
      <c r="D190">
        <v>74257069</v>
      </c>
      <c r="E190">
        <v>1</v>
      </c>
      <c r="F190">
        <v>1</v>
      </c>
      <c r="G190">
        <v>1</v>
      </c>
      <c r="H190">
        <v>3</v>
      </c>
      <c r="I190" t="s">
        <v>584</v>
      </c>
      <c r="J190" t="s">
        <v>585</v>
      </c>
      <c r="K190" t="s">
        <v>586</v>
      </c>
      <c r="L190">
        <v>1346</v>
      </c>
      <c r="N190">
        <v>1009</v>
      </c>
      <c r="O190" t="s">
        <v>240</v>
      </c>
      <c r="P190" t="s">
        <v>240</v>
      </c>
      <c r="Q190">
        <v>1</v>
      </c>
      <c r="W190">
        <v>0</v>
      </c>
      <c r="X190">
        <v>1843545816</v>
      </c>
      <c r="Y190">
        <f>AT190</f>
        <v>0.25</v>
      </c>
      <c r="AA190">
        <v>62.48</v>
      </c>
      <c r="AB190">
        <v>0</v>
      </c>
      <c r="AC190">
        <v>0</v>
      </c>
      <c r="AD190">
        <v>0</v>
      </c>
      <c r="AE190">
        <v>41.38</v>
      </c>
      <c r="AF190">
        <v>0</v>
      </c>
      <c r="AG190">
        <v>0</v>
      </c>
      <c r="AH190">
        <v>0</v>
      </c>
      <c r="AI190">
        <v>1.51</v>
      </c>
      <c r="AJ190">
        <v>1</v>
      </c>
      <c r="AK190">
        <v>1</v>
      </c>
      <c r="AL190">
        <v>1</v>
      </c>
      <c r="AM190">
        <v>2</v>
      </c>
      <c r="AN190">
        <v>0</v>
      </c>
      <c r="AO190">
        <v>0</v>
      </c>
      <c r="AP190">
        <v>1</v>
      </c>
      <c r="AQ190">
        <v>1</v>
      </c>
      <c r="AR190">
        <v>0</v>
      </c>
      <c r="AS190" t="s">
        <v>3</v>
      </c>
      <c r="AT190">
        <v>0.25</v>
      </c>
      <c r="AU190" t="s">
        <v>3</v>
      </c>
      <c r="AV190">
        <v>0</v>
      </c>
      <c r="AW190">
        <v>2</v>
      </c>
      <c r="AX190">
        <v>75605607</v>
      </c>
      <c r="AY190">
        <v>1</v>
      </c>
      <c r="AZ190">
        <v>0</v>
      </c>
      <c r="BA190">
        <v>199</v>
      </c>
      <c r="BB190">
        <v>1</v>
      </c>
      <c r="BC190">
        <v>0</v>
      </c>
      <c r="BD190">
        <v>0</v>
      </c>
      <c r="BE190">
        <v>0</v>
      </c>
      <c r="BF190">
        <v>0</v>
      </c>
      <c r="BG190">
        <v>0</v>
      </c>
      <c r="BH190">
        <v>0</v>
      </c>
      <c r="BI190">
        <v>0</v>
      </c>
      <c r="BJ190">
        <v>10.345000000000001</v>
      </c>
      <c r="BK190">
        <v>0</v>
      </c>
      <c r="BL190">
        <v>0</v>
      </c>
      <c r="BM190">
        <v>0</v>
      </c>
      <c r="BN190">
        <v>0</v>
      </c>
      <c r="BO190">
        <v>0</v>
      </c>
      <c r="BP190">
        <v>1</v>
      </c>
      <c r="BQ190">
        <v>10.345000000000001</v>
      </c>
      <c r="BR190">
        <v>0</v>
      </c>
      <c r="BS190">
        <v>0</v>
      </c>
      <c r="BT190">
        <v>0</v>
      </c>
      <c r="BU190">
        <v>0</v>
      </c>
      <c r="BV190">
        <v>0</v>
      </c>
      <c r="BW190">
        <v>1</v>
      </c>
      <c r="CV190">
        <v>0</v>
      </c>
      <c r="CW190">
        <v>0</v>
      </c>
      <c r="CX190">
        <f>ROUND(Y190*Source!I169,7)</f>
        <v>0.75</v>
      </c>
      <c r="CY190">
        <f>AA190</f>
        <v>62.48</v>
      </c>
      <c r="CZ190">
        <f>AE190</f>
        <v>41.38</v>
      </c>
      <c r="DA190">
        <f>AI190</f>
        <v>1.51</v>
      </c>
      <c r="DB190">
        <f>ROUND(ROUND(AT190*CZ190,2),6)</f>
        <v>10.35</v>
      </c>
      <c r="DC190">
        <f>ROUND(ROUND(AT190*AG190,2),6)</f>
        <v>0</v>
      </c>
      <c r="DD190" t="s">
        <v>3</v>
      </c>
      <c r="DE190" t="s">
        <v>3</v>
      </c>
      <c r="DF190">
        <f>ROUND(ROUND(AE190*AI190,2)*CX190,2)</f>
        <v>46.86</v>
      </c>
      <c r="DG190">
        <f t="shared" si="101"/>
        <v>0</v>
      </c>
      <c r="DH190">
        <f t="shared" si="77"/>
        <v>0</v>
      </c>
      <c r="DI190">
        <f t="shared" si="78"/>
        <v>0</v>
      </c>
      <c r="DJ190">
        <f>DF190</f>
        <v>46.86</v>
      </c>
      <c r="DK190">
        <v>0</v>
      </c>
      <c r="DL190" t="s">
        <v>3</v>
      </c>
      <c r="DM190">
        <v>0</v>
      </c>
      <c r="DN190" t="s">
        <v>3</v>
      </c>
      <c r="DO190">
        <v>0</v>
      </c>
    </row>
    <row r="191" spans="1:119" x14ac:dyDescent="0.25">
      <c r="A191">
        <f>ROW(Source!A169)</f>
        <v>169</v>
      </c>
      <c r="B191">
        <v>75604747</v>
      </c>
      <c r="C191">
        <v>75605580</v>
      </c>
      <c r="D191">
        <v>74259041</v>
      </c>
      <c r="E191">
        <v>1</v>
      </c>
      <c r="F191">
        <v>1</v>
      </c>
      <c r="G191">
        <v>1</v>
      </c>
      <c r="H191">
        <v>3</v>
      </c>
      <c r="I191" t="s">
        <v>560</v>
      </c>
      <c r="J191" t="s">
        <v>561</v>
      </c>
      <c r="K191" t="s">
        <v>562</v>
      </c>
      <c r="L191">
        <v>1383</v>
      </c>
      <c r="N191">
        <v>1013</v>
      </c>
      <c r="O191" t="s">
        <v>563</v>
      </c>
      <c r="P191" t="s">
        <v>563</v>
      </c>
      <c r="Q191">
        <v>1</v>
      </c>
      <c r="W191">
        <v>0</v>
      </c>
      <c r="X191">
        <v>-182421198</v>
      </c>
      <c r="Y191">
        <f>AT191</f>
        <v>0.86399999999999999</v>
      </c>
      <c r="AA191">
        <v>9.0399999999999991</v>
      </c>
      <c r="AB191">
        <v>0</v>
      </c>
      <c r="AC191">
        <v>0</v>
      </c>
      <c r="AD191">
        <v>0</v>
      </c>
      <c r="AE191">
        <v>9.0399999999999991</v>
      </c>
      <c r="AF191">
        <v>0</v>
      </c>
      <c r="AG191">
        <v>0</v>
      </c>
      <c r="AH191">
        <v>0</v>
      </c>
      <c r="AI191">
        <v>1</v>
      </c>
      <c r="AJ191">
        <v>1</v>
      </c>
      <c r="AK191">
        <v>1</v>
      </c>
      <c r="AL191">
        <v>1</v>
      </c>
      <c r="AM191">
        <v>-2</v>
      </c>
      <c r="AN191">
        <v>0</v>
      </c>
      <c r="AO191">
        <v>0</v>
      </c>
      <c r="AP191">
        <v>1</v>
      </c>
      <c r="AQ191">
        <v>1</v>
      </c>
      <c r="AR191">
        <v>0</v>
      </c>
      <c r="AS191" t="s">
        <v>3</v>
      </c>
      <c r="AT191">
        <v>0.86399999999999999</v>
      </c>
      <c r="AU191" t="s">
        <v>3</v>
      </c>
      <c r="AV191">
        <v>0</v>
      </c>
      <c r="AW191">
        <v>2</v>
      </c>
      <c r="AX191">
        <v>75605608</v>
      </c>
      <c r="AY191">
        <v>1</v>
      </c>
      <c r="AZ191">
        <v>0</v>
      </c>
      <c r="BA191">
        <v>200</v>
      </c>
      <c r="BB191">
        <v>1</v>
      </c>
      <c r="BC191">
        <v>0</v>
      </c>
      <c r="BD191">
        <v>0</v>
      </c>
      <c r="BE191">
        <v>0</v>
      </c>
      <c r="BF191">
        <v>0</v>
      </c>
      <c r="BG191">
        <v>0</v>
      </c>
      <c r="BH191">
        <v>0</v>
      </c>
      <c r="BI191">
        <v>0</v>
      </c>
      <c r="BJ191">
        <v>7.8105599999999988</v>
      </c>
      <c r="BK191">
        <v>0</v>
      </c>
      <c r="BL191">
        <v>0</v>
      </c>
      <c r="BM191">
        <v>0</v>
      </c>
      <c r="BN191">
        <v>0</v>
      </c>
      <c r="BO191">
        <v>0</v>
      </c>
      <c r="BP191">
        <v>1</v>
      </c>
      <c r="BQ191">
        <v>7.8105599999999988</v>
      </c>
      <c r="BR191">
        <v>0</v>
      </c>
      <c r="BS191">
        <v>0</v>
      </c>
      <c r="BT191">
        <v>0</v>
      </c>
      <c r="BU191">
        <v>0</v>
      </c>
      <c r="BV191">
        <v>0</v>
      </c>
      <c r="BW191">
        <v>1</v>
      </c>
      <c r="CV191">
        <v>0</v>
      </c>
      <c r="CW191">
        <v>0</v>
      </c>
      <c r="CX191">
        <f>ROUND(Y191*Source!I169,7)</f>
        <v>2.5920000000000001</v>
      </c>
      <c r="CY191">
        <f>AA191</f>
        <v>9.0399999999999991</v>
      </c>
      <c r="CZ191">
        <f>AE191</f>
        <v>9.0399999999999991</v>
      </c>
      <c r="DA191">
        <f>AI191</f>
        <v>1</v>
      </c>
      <c r="DB191">
        <f>ROUND(ROUND(AT191*CZ191,2),6)</f>
        <v>7.81</v>
      </c>
      <c r="DC191">
        <f>ROUND(ROUND(AT191*AG191,2),6)</f>
        <v>0</v>
      </c>
      <c r="DD191" t="s">
        <v>3</v>
      </c>
      <c r="DE191" t="s">
        <v>3</v>
      </c>
      <c r="DF191">
        <f>ROUND(ROUND(AE191,2)*CX191,2)</f>
        <v>23.43</v>
      </c>
      <c r="DG191">
        <f t="shared" si="101"/>
        <v>0</v>
      </c>
      <c r="DH191">
        <f t="shared" si="77"/>
        <v>0</v>
      </c>
      <c r="DI191">
        <f t="shared" si="78"/>
        <v>0</v>
      </c>
      <c r="DJ191">
        <f>DF191</f>
        <v>23.43</v>
      </c>
      <c r="DK191">
        <v>1</v>
      </c>
      <c r="DL191" t="s">
        <v>3</v>
      </c>
      <c r="DM191">
        <v>0</v>
      </c>
      <c r="DN191" t="s">
        <v>3</v>
      </c>
      <c r="DO191">
        <v>0</v>
      </c>
    </row>
    <row r="192" spans="1:119" x14ac:dyDescent="0.25">
      <c r="A192">
        <f>ROW(Source!A169)</f>
        <v>169</v>
      </c>
      <c r="B192">
        <v>75604747</v>
      </c>
      <c r="C192">
        <v>75605580</v>
      </c>
      <c r="D192">
        <v>74259784</v>
      </c>
      <c r="E192">
        <v>1</v>
      </c>
      <c r="F192">
        <v>1</v>
      </c>
      <c r="G192">
        <v>1</v>
      </c>
      <c r="H192">
        <v>3</v>
      </c>
      <c r="I192" t="s">
        <v>703</v>
      </c>
      <c r="J192" t="s">
        <v>704</v>
      </c>
      <c r="K192" t="s">
        <v>705</v>
      </c>
      <c r="L192">
        <v>1346</v>
      </c>
      <c r="N192">
        <v>1009</v>
      </c>
      <c r="O192" t="s">
        <v>240</v>
      </c>
      <c r="P192" t="s">
        <v>240</v>
      </c>
      <c r="Q192">
        <v>1</v>
      </c>
      <c r="W192">
        <v>0</v>
      </c>
      <c r="X192">
        <v>1622150853</v>
      </c>
      <c r="Y192">
        <f>AT192</f>
        <v>9.2999999999999999E-2</v>
      </c>
      <c r="AA192">
        <v>126.53</v>
      </c>
      <c r="AB192">
        <v>0</v>
      </c>
      <c r="AC192">
        <v>0</v>
      </c>
      <c r="AD192">
        <v>0</v>
      </c>
      <c r="AE192">
        <v>148.86000000000001</v>
      </c>
      <c r="AF192">
        <v>0</v>
      </c>
      <c r="AG192">
        <v>0</v>
      </c>
      <c r="AH192">
        <v>0</v>
      </c>
      <c r="AI192">
        <v>0.85</v>
      </c>
      <c r="AJ192">
        <v>1</v>
      </c>
      <c r="AK192">
        <v>1</v>
      </c>
      <c r="AL192">
        <v>1</v>
      </c>
      <c r="AM192">
        <v>2</v>
      </c>
      <c r="AN192">
        <v>0</v>
      </c>
      <c r="AO192">
        <v>0</v>
      </c>
      <c r="AP192">
        <v>1</v>
      </c>
      <c r="AQ192">
        <v>1</v>
      </c>
      <c r="AR192">
        <v>0</v>
      </c>
      <c r="AS192" t="s">
        <v>3</v>
      </c>
      <c r="AT192">
        <v>9.2999999999999999E-2</v>
      </c>
      <c r="AU192" t="s">
        <v>3</v>
      </c>
      <c r="AV192">
        <v>0</v>
      </c>
      <c r="AW192">
        <v>2</v>
      </c>
      <c r="AX192">
        <v>75605609</v>
      </c>
      <c r="AY192">
        <v>1</v>
      </c>
      <c r="AZ192">
        <v>0</v>
      </c>
      <c r="BA192">
        <v>201</v>
      </c>
      <c r="BB192">
        <v>1</v>
      </c>
      <c r="BC192">
        <v>0</v>
      </c>
      <c r="BD192">
        <v>0</v>
      </c>
      <c r="BE192">
        <v>0</v>
      </c>
      <c r="BF192">
        <v>0</v>
      </c>
      <c r="BG192">
        <v>0</v>
      </c>
      <c r="BH192">
        <v>0</v>
      </c>
      <c r="BI192">
        <v>0</v>
      </c>
      <c r="BJ192">
        <v>13.843980000000002</v>
      </c>
      <c r="BK192">
        <v>0</v>
      </c>
      <c r="BL192">
        <v>0</v>
      </c>
      <c r="BM192">
        <v>0</v>
      </c>
      <c r="BN192">
        <v>0</v>
      </c>
      <c r="BO192">
        <v>0</v>
      </c>
      <c r="BP192">
        <v>1</v>
      </c>
      <c r="BQ192">
        <v>13.843980000000002</v>
      </c>
      <c r="BR192">
        <v>0</v>
      </c>
      <c r="BS192">
        <v>0</v>
      </c>
      <c r="BT192">
        <v>0</v>
      </c>
      <c r="BU192">
        <v>0</v>
      </c>
      <c r="BV192">
        <v>0</v>
      </c>
      <c r="BW192">
        <v>1</v>
      </c>
      <c r="CV192">
        <v>0</v>
      </c>
      <c r="CW192">
        <v>0</v>
      </c>
      <c r="CX192">
        <f>ROUND(Y192*Source!I169,7)</f>
        <v>0.27900000000000003</v>
      </c>
      <c r="CY192">
        <f>AA192</f>
        <v>126.53</v>
      </c>
      <c r="CZ192">
        <f>AE192</f>
        <v>148.86000000000001</v>
      </c>
      <c r="DA192">
        <f>AI192</f>
        <v>0.85</v>
      </c>
      <c r="DB192">
        <f>ROUND(ROUND(AT192*CZ192,2),6)</f>
        <v>13.84</v>
      </c>
      <c r="DC192">
        <f>ROUND(ROUND(AT192*AG192,2),6)</f>
        <v>0</v>
      </c>
      <c r="DD192" t="s">
        <v>3</v>
      </c>
      <c r="DE192" t="s">
        <v>3</v>
      </c>
      <c r="DF192">
        <f>ROUND(ROUND(AE192*AI192,2)*CX192,2)</f>
        <v>35.299999999999997</v>
      </c>
      <c r="DG192">
        <f t="shared" si="101"/>
        <v>0</v>
      </c>
      <c r="DH192">
        <f t="shared" si="77"/>
        <v>0</v>
      </c>
      <c r="DI192">
        <f t="shared" si="78"/>
        <v>0</v>
      </c>
      <c r="DJ192">
        <f>DF192</f>
        <v>35.299999999999997</v>
      </c>
      <c r="DK192">
        <v>0</v>
      </c>
      <c r="DL192" t="s">
        <v>3</v>
      </c>
      <c r="DM192">
        <v>0</v>
      </c>
      <c r="DN192" t="s">
        <v>3</v>
      </c>
      <c r="DO192">
        <v>0</v>
      </c>
    </row>
    <row r="193" spans="1:119" x14ac:dyDescent="0.25">
      <c r="A193">
        <f>ROW(Source!A171)</f>
        <v>171</v>
      </c>
      <c r="B193">
        <v>75604747</v>
      </c>
      <c r="C193">
        <v>75605733</v>
      </c>
      <c r="D193">
        <v>74182419</v>
      </c>
      <c r="E193">
        <v>118</v>
      </c>
      <c r="F193">
        <v>1</v>
      </c>
      <c r="G193">
        <v>1</v>
      </c>
      <c r="H193">
        <v>1</v>
      </c>
      <c r="I193" t="s">
        <v>706</v>
      </c>
      <c r="J193" t="s">
        <v>3</v>
      </c>
      <c r="K193" t="s">
        <v>707</v>
      </c>
      <c r="L193">
        <v>1369</v>
      </c>
      <c r="N193">
        <v>1013</v>
      </c>
      <c r="O193" t="s">
        <v>550</v>
      </c>
      <c r="P193" t="s">
        <v>550</v>
      </c>
      <c r="Q193">
        <v>1</v>
      </c>
      <c r="W193">
        <v>0</v>
      </c>
      <c r="X193">
        <v>-236928766</v>
      </c>
      <c r="Y193">
        <f t="shared" ref="Y193:Y200" si="102">(AT193*ROUND((0.15+1),7))</f>
        <v>0.93149999999999999</v>
      </c>
      <c r="AA193">
        <v>0</v>
      </c>
      <c r="AB193">
        <v>0</v>
      </c>
      <c r="AC193">
        <v>0</v>
      </c>
      <c r="AD193">
        <v>299.36</v>
      </c>
      <c r="AE193">
        <v>0</v>
      </c>
      <c r="AF193">
        <v>0</v>
      </c>
      <c r="AG193">
        <v>0</v>
      </c>
      <c r="AH193">
        <v>299.36</v>
      </c>
      <c r="AI193">
        <v>1</v>
      </c>
      <c r="AJ193">
        <v>1</v>
      </c>
      <c r="AK193">
        <v>1</v>
      </c>
      <c r="AL193">
        <v>1</v>
      </c>
      <c r="AM193">
        <v>-2</v>
      </c>
      <c r="AN193">
        <v>0</v>
      </c>
      <c r="AO193">
        <v>0</v>
      </c>
      <c r="AP193">
        <v>1</v>
      </c>
      <c r="AQ193">
        <v>1</v>
      </c>
      <c r="AR193">
        <v>0</v>
      </c>
      <c r="AS193" t="s">
        <v>3</v>
      </c>
      <c r="AT193">
        <v>0.81</v>
      </c>
      <c r="AU193" t="s">
        <v>27</v>
      </c>
      <c r="AV193">
        <v>1</v>
      </c>
      <c r="AW193">
        <v>2</v>
      </c>
      <c r="AX193">
        <v>75605749</v>
      </c>
      <c r="AY193">
        <v>1</v>
      </c>
      <c r="AZ193">
        <v>0</v>
      </c>
      <c r="BA193">
        <v>203</v>
      </c>
      <c r="BB193">
        <v>1</v>
      </c>
      <c r="BC193">
        <v>0</v>
      </c>
      <c r="BD193">
        <v>0</v>
      </c>
      <c r="BE193">
        <v>0</v>
      </c>
      <c r="BF193">
        <v>0</v>
      </c>
      <c r="BG193">
        <v>0</v>
      </c>
      <c r="BH193">
        <v>0</v>
      </c>
      <c r="BI193">
        <v>0</v>
      </c>
      <c r="BJ193">
        <v>0</v>
      </c>
      <c r="BK193">
        <v>0</v>
      </c>
      <c r="BL193">
        <v>0</v>
      </c>
      <c r="BM193">
        <v>242.48160000000001</v>
      </c>
      <c r="BN193">
        <v>0.81</v>
      </c>
      <c r="BO193">
        <v>0</v>
      </c>
      <c r="BP193">
        <v>1</v>
      </c>
      <c r="BQ193">
        <v>0</v>
      </c>
      <c r="BR193">
        <v>0</v>
      </c>
      <c r="BS193">
        <v>0</v>
      </c>
      <c r="BT193">
        <v>278.85383999999999</v>
      </c>
      <c r="BU193">
        <v>0.93149999999999999</v>
      </c>
      <c r="BV193">
        <v>0</v>
      </c>
      <c r="BW193">
        <v>1</v>
      </c>
      <c r="CU193">
        <f>ROUND(AT193*Source!I171*AH193*AL193,2)</f>
        <v>96.99</v>
      </c>
      <c r="CV193">
        <f>ROUND(Y193*Source!I171,7)</f>
        <v>0.37259999999999999</v>
      </c>
      <c r="CW193">
        <v>0</v>
      </c>
      <c r="CX193">
        <f>ROUND(Y193*Source!I171,7)</f>
        <v>0.37259999999999999</v>
      </c>
      <c r="CY193">
        <f>AD193</f>
        <v>299.36</v>
      </c>
      <c r="CZ193">
        <f>AH193</f>
        <v>299.36</v>
      </c>
      <c r="DA193">
        <f>AL193</f>
        <v>1</v>
      </c>
      <c r="DB193">
        <f t="shared" ref="DB193:DB200" si="103">ROUND((ROUND(AT193*CZ193,2)*ROUND((0.15+1),7)),6)</f>
        <v>278.85199999999998</v>
      </c>
      <c r="DC193">
        <f t="shared" ref="DC193:DC200" si="104">ROUND((ROUND(AT193*AG193,2)*ROUND((0.15+1),7)),6)</f>
        <v>0</v>
      </c>
      <c r="DD193" t="s">
        <v>3</v>
      </c>
      <c r="DE193" t="s">
        <v>3</v>
      </c>
      <c r="DF193">
        <f t="shared" ref="DF193:DF200" si="105">ROUND(ROUND(AE193,2)*CX193,2)</f>
        <v>0</v>
      </c>
      <c r="DG193">
        <f t="shared" si="101"/>
        <v>0</v>
      </c>
      <c r="DH193">
        <f t="shared" ref="DH193:DH261" si="106">ROUND(ROUND(AG193,2)*CX193,2)</f>
        <v>0</v>
      </c>
      <c r="DI193">
        <f t="shared" ref="DI193:DI261" si="107">ROUND(ROUND(AH193,2)*CX193,2)</f>
        <v>111.54</v>
      </c>
      <c r="DJ193">
        <f>DI193</f>
        <v>111.54</v>
      </c>
      <c r="DK193">
        <v>1</v>
      </c>
      <c r="DL193" t="s">
        <v>3</v>
      </c>
      <c r="DM193">
        <v>0</v>
      </c>
      <c r="DN193" t="s">
        <v>3</v>
      </c>
      <c r="DO193">
        <v>0</v>
      </c>
    </row>
    <row r="194" spans="1:119" x14ac:dyDescent="0.25">
      <c r="A194">
        <f>ROW(Source!A171)</f>
        <v>171</v>
      </c>
      <c r="B194">
        <v>75604747</v>
      </c>
      <c r="C194">
        <v>75605733</v>
      </c>
      <c r="D194">
        <v>74182421</v>
      </c>
      <c r="E194">
        <v>118</v>
      </c>
      <c r="F194">
        <v>1</v>
      </c>
      <c r="G194">
        <v>1</v>
      </c>
      <c r="H194">
        <v>1</v>
      </c>
      <c r="I194" t="s">
        <v>551</v>
      </c>
      <c r="J194" t="s">
        <v>3</v>
      </c>
      <c r="K194" t="s">
        <v>552</v>
      </c>
      <c r="L194">
        <v>1369</v>
      </c>
      <c r="N194">
        <v>1013</v>
      </c>
      <c r="O194" t="s">
        <v>550</v>
      </c>
      <c r="P194" t="s">
        <v>550</v>
      </c>
      <c r="Q194">
        <v>1</v>
      </c>
      <c r="W194">
        <v>0</v>
      </c>
      <c r="X194">
        <v>-587036825</v>
      </c>
      <c r="Y194">
        <f t="shared" si="102"/>
        <v>4.4965000000000002</v>
      </c>
      <c r="AA194">
        <v>0</v>
      </c>
      <c r="AB194">
        <v>0</v>
      </c>
      <c r="AC194">
        <v>0</v>
      </c>
      <c r="AD194">
        <v>326.82</v>
      </c>
      <c r="AE194">
        <v>0</v>
      </c>
      <c r="AF194">
        <v>0</v>
      </c>
      <c r="AG194">
        <v>0</v>
      </c>
      <c r="AH194">
        <v>326.82</v>
      </c>
      <c r="AI194">
        <v>1</v>
      </c>
      <c r="AJ194">
        <v>1</v>
      </c>
      <c r="AK194">
        <v>1</v>
      </c>
      <c r="AL194">
        <v>1</v>
      </c>
      <c r="AM194">
        <v>-2</v>
      </c>
      <c r="AN194">
        <v>0</v>
      </c>
      <c r="AO194">
        <v>0</v>
      </c>
      <c r="AP194">
        <v>1</v>
      </c>
      <c r="AQ194">
        <v>1</v>
      </c>
      <c r="AR194">
        <v>0</v>
      </c>
      <c r="AS194" t="s">
        <v>3</v>
      </c>
      <c r="AT194">
        <v>3.91</v>
      </c>
      <c r="AU194" t="s">
        <v>27</v>
      </c>
      <c r="AV194">
        <v>1</v>
      </c>
      <c r="AW194">
        <v>2</v>
      </c>
      <c r="AX194">
        <v>75605750</v>
      </c>
      <c r="AY194">
        <v>1</v>
      </c>
      <c r="AZ194">
        <v>0</v>
      </c>
      <c r="BA194">
        <v>204</v>
      </c>
      <c r="BB194">
        <v>1</v>
      </c>
      <c r="BC194">
        <v>0</v>
      </c>
      <c r="BD194">
        <v>0</v>
      </c>
      <c r="BE194">
        <v>0</v>
      </c>
      <c r="BF194">
        <v>0</v>
      </c>
      <c r="BG194">
        <v>0</v>
      </c>
      <c r="BH194">
        <v>0</v>
      </c>
      <c r="BI194">
        <v>0</v>
      </c>
      <c r="BJ194">
        <v>0</v>
      </c>
      <c r="BK194">
        <v>0</v>
      </c>
      <c r="BL194">
        <v>0</v>
      </c>
      <c r="BM194">
        <v>1277.8661999999999</v>
      </c>
      <c r="BN194">
        <v>3.91</v>
      </c>
      <c r="BO194">
        <v>0</v>
      </c>
      <c r="BP194">
        <v>1</v>
      </c>
      <c r="BQ194">
        <v>0</v>
      </c>
      <c r="BR194">
        <v>0</v>
      </c>
      <c r="BS194">
        <v>0</v>
      </c>
      <c r="BT194">
        <v>1469.5461299999999</v>
      </c>
      <c r="BU194">
        <v>4.4965000000000002</v>
      </c>
      <c r="BV194">
        <v>0</v>
      </c>
      <c r="BW194">
        <v>1</v>
      </c>
      <c r="CU194">
        <f>ROUND(AT194*Source!I171*AH194*AL194,2)</f>
        <v>511.15</v>
      </c>
      <c r="CV194">
        <f>ROUND(Y194*Source!I171,7)</f>
        <v>1.7986</v>
      </c>
      <c r="CW194">
        <v>0</v>
      </c>
      <c r="CX194">
        <f>ROUND(Y194*Source!I171,7)</f>
        <v>1.7986</v>
      </c>
      <c r="CY194">
        <f>AD194</f>
        <v>326.82</v>
      </c>
      <c r="CZ194">
        <f>AH194</f>
        <v>326.82</v>
      </c>
      <c r="DA194">
        <f>AL194</f>
        <v>1</v>
      </c>
      <c r="DB194">
        <f t="shared" si="103"/>
        <v>1469.5505000000001</v>
      </c>
      <c r="DC194">
        <f t="shared" si="104"/>
        <v>0</v>
      </c>
      <c r="DD194" t="s">
        <v>3</v>
      </c>
      <c r="DE194" t="s">
        <v>3</v>
      </c>
      <c r="DF194">
        <f t="shared" si="105"/>
        <v>0</v>
      </c>
      <c r="DG194">
        <f t="shared" si="101"/>
        <v>0</v>
      </c>
      <c r="DH194">
        <f t="shared" si="106"/>
        <v>0</v>
      </c>
      <c r="DI194">
        <f t="shared" si="107"/>
        <v>587.82000000000005</v>
      </c>
      <c r="DJ194">
        <f>DI194</f>
        <v>587.82000000000005</v>
      </c>
      <c r="DK194">
        <v>1</v>
      </c>
      <c r="DL194" t="s">
        <v>3</v>
      </c>
      <c r="DM194">
        <v>0</v>
      </c>
      <c r="DN194" t="s">
        <v>3</v>
      </c>
      <c r="DO194">
        <v>0</v>
      </c>
    </row>
    <row r="195" spans="1:119" x14ac:dyDescent="0.25">
      <c r="A195">
        <f>ROW(Source!A171)</f>
        <v>171</v>
      </c>
      <c r="B195">
        <v>75604747</v>
      </c>
      <c r="C195">
        <v>75605733</v>
      </c>
      <c r="D195">
        <v>74182423</v>
      </c>
      <c r="E195">
        <v>118</v>
      </c>
      <c r="F195">
        <v>1</v>
      </c>
      <c r="G195">
        <v>1</v>
      </c>
      <c r="H195">
        <v>1</v>
      </c>
      <c r="I195" t="s">
        <v>553</v>
      </c>
      <c r="J195" t="s">
        <v>3</v>
      </c>
      <c r="K195" t="s">
        <v>554</v>
      </c>
      <c r="L195">
        <v>1369</v>
      </c>
      <c r="N195">
        <v>1013</v>
      </c>
      <c r="O195" t="s">
        <v>550</v>
      </c>
      <c r="P195" t="s">
        <v>550</v>
      </c>
      <c r="Q195">
        <v>1</v>
      </c>
      <c r="W195">
        <v>0</v>
      </c>
      <c r="X195">
        <v>-512803540</v>
      </c>
      <c r="Y195">
        <f t="shared" si="102"/>
        <v>18.951999999999998</v>
      </c>
      <c r="AA195">
        <v>0</v>
      </c>
      <c r="AB195">
        <v>0</v>
      </c>
      <c r="AC195">
        <v>0</v>
      </c>
      <c r="AD195">
        <v>368.02</v>
      </c>
      <c r="AE195">
        <v>0</v>
      </c>
      <c r="AF195">
        <v>0</v>
      </c>
      <c r="AG195">
        <v>0</v>
      </c>
      <c r="AH195">
        <v>368.02</v>
      </c>
      <c r="AI195">
        <v>1</v>
      </c>
      <c r="AJ195">
        <v>1</v>
      </c>
      <c r="AK195">
        <v>1</v>
      </c>
      <c r="AL195">
        <v>1</v>
      </c>
      <c r="AM195">
        <v>-2</v>
      </c>
      <c r="AN195">
        <v>0</v>
      </c>
      <c r="AO195">
        <v>0</v>
      </c>
      <c r="AP195">
        <v>1</v>
      </c>
      <c r="AQ195">
        <v>1</v>
      </c>
      <c r="AR195">
        <v>0</v>
      </c>
      <c r="AS195" t="s">
        <v>3</v>
      </c>
      <c r="AT195">
        <v>16.48</v>
      </c>
      <c r="AU195" t="s">
        <v>27</v>
      </c>
      <c r="AV195">
        <v>1</v>
      </c>
      <c r="AW195">
        <v>2</v>
      </c>
      <c r="AX195">
        <v>75605751</v>
      </c>
      <c r="AY195">
        <v>1</v>
      </c>
      <c r="AZ195">
        <v>0</v>
      </c>
      <c r="BA195">
        <v>205</v>
      </c>
      <c r="BB195">
        <v>1</v>
      </c>
      <c r="BC195">
        <v>0</v>
      </c>
      <c r="BD195">
        <v>0</v>
      </c>
      <c r="BE195">
        <v>0</v>
      </c>
      <c r="BF195">
        <v>0</v>
      </c>
      <c r="BG195">
        <v>0</v>
      </c>
      <c r="BH195">
        <v>0</v>
      </c>
      <c r="BI195">
        <v>0</v>
      </c>
      <c r="BJ195">
        <v>0</v>
      </c>
      <c r="BK195">
        <v>0</v>
      </c>
      <c r="BL195">
        <v>0</v>
      </c>
      <c r="BM195">
        <v>6064.9695999999994</v>
      </c>
      <c r="BN195">
        <v>16.48</v>
      </c>
      <c r="BO195">
        <v>0</v>
      </c>
      <c r="BP195">
        <v>1</v>
      </c>
      <c r="BQ195">
        <v>0</v>
      </c>
      <c r="BR195">
        <v>0</v>
      </c>
      <c r="BS195">
        <v>0</v>
      </c>
      <c r="BT195">
        <v>6974.7150399999991</v>
      </c>
      <c r="BU195">
        <v>18.951999999999998</v>
      </c>
      <c r="BV195">
        <v>0</v>
      </c>
      <c r="BW195">
        <v>1</v>
      </c>
      <c r="CU195">
        <f>ROUND(AT195*Source!I171*AH195*AL195,2)</f>
        <v>2425.9899999999998</v>
      </c>
      <c r="CV195">
        <f>ROUND(Y195*Source!I171,7)</f>
        <v>7.5808</v>
      </c>
      <c r="CW195">
        <v>0</v>
      </c>
      <c r="CX195">
        <f>ROUND(Y195*Source!I171,7)</f>
        <v>7.5808</v>
      </c>
      <c r="CY195">
        <f>AD195</f>
        <v>368.02</v>
      </c>
      <c r="CZ195">
        <f>AH195</f>
        <v>368.02</v>
      </c>
      <c r="DA195">
        <f>AL195</f>
        <v>1</v>
      </c>
      <c r="DB195">
        <f t="shared" si="103"/>
        <v>6974.7155000000002</v>
      </c>
      <c r="DC195">
        <f t="shared" si="104"/>
        <v>0</v>
      </c>
      <c r="DD195" t="s">
        <v>3</v>
      </c>
      <c r="DE195" t="s">
        <v>3</v>
      </c>
      <c r="DF195">
        <f t="shared" si="105"/>
        <v>0</v>
      </c>
      <c r="DG195">
        <f t="shared" si="101"/>
        <v>0</v>
      </c>
      <c r="DH195">
        <f t="shared" si="106"/>
        <v>0</v>
      </c>
      <c r="DI195">
        <f t="shared" si="107"/>
        <v>2789.89</v>
      </c>
      <c r="DJ195">
        <f>DI195</f>
        <v>2789.89</v>
      </c>
      <c r="DK195">
        <v>1</v>
      </c>
      <c r="DL195" t="s">
        <v>3</v>
      </c>
      <c r="DM195">
        <v>0</v>
      </c>
      <c r="DN195" t="s">
        <v>3</v>
      </c>
      <c r="DO195">
        <v>0</v>
      </c>
    </row>
    <row r="196" spans="1:119" x14ac:dyDescent="0.25">
      <c r="A196">
        <f>ROW(Source!A171)</f>
        <v>171</v>
      </c>
      <c r="B196">
        <v>75604747</v>
      </c>
      <c r="C196">
        <v>75605733</v>
      </c>
      <c r="D196">
        <v>74182425</v>
      </c>
      <c r="E196">
        <v>118</v>
      </c>
      <c r="F196">
        <v>1</v>
      </c>
      <c r="G196">
        <v>1</v>
      </c>
      <c r="H196">
        <v>1</v>
      </c>
      <c r="I196" t="s">
        <v>555</v>
      </c>
      <c r="J196" t="s">
        <v>3</v>
      </c>
      <c r="K196" t="s">
        <v>556</v>
      </c>
      <c r="L196">
        <v>1369</v>
      </c>
      <c r="N196">
        <v>1013</v>
      </c>
      <c r="O196" t="s">
        <v>550</v>
      </c>
      <c r="P196" t="s">
        <v>550</v>
      </c>
      <c r="Q196">
        <v>1</v>
      </c>
      <c r="W196">
        <v>0</v>
      </c>
      <c r="X196">
        <v>1518711480</v>
      </c>
      <c r="Y196">
        <f t="shared" si="102"/>
        <v>9.0045000000000002</v>
      </c>
      <c r="AA196">
        <v>0</v>
      </c>
      <c r="AB196">
        <v>0</v>
      </c>
      <c r="AC196">
        <v>0</v>
      </c>
      <c r="AD196">
        <v>422.95</v>
      </c>
      <c r="AE196">
        <v>0</v>
      </c>
      <c r="AF196">
        <v>0</v>
      </c>
      <c r="AG196">
        <v>0</v>
      </c>
      <c r="AH196">
        <v>422.95</v>
      </c>
      <c r="AI196">
        <v>1</v>
      </c>
      <c r="AJ196">
        <v>1</v>
      </c>
      <c r="AK196">
        <v>1</v>
      </c>
      <c r="AL196">
        <v>1</v>
      </c>
      <c r="AM196">
        <v>-2</v>
      </c>
      <c r="AN196">
        <v>0</v>
      </c>
      <c r="AO196">
        <v>0</v>
      </c>
      <c r="AP196">
        <v>1</v>
      </c>
      <c r="AQ196">
        <v>1</v>
      </c>
      <c r="AR196">
        <v>0</v>
      </c>
      <c r="AS196" t="s">
        <v>3</v>
      </c>
      <c r="AT196">
        <v>7.83</v>
      </c>
      <c r="AU196" t="s">
        <v>27</v>
      </c>
      <c r="AV196">
        <v>1</v>
      </c>
      <c r="AW196">
        <v>2</v>
      </c>
      <c r="AX196">
        <v>75605752</v>
      </c>
      <c r="AY196">
        <v>1</v>
      </c>
      <c r="AZ196">
        <v>0</v>
      </c>
      <c r="BA196">
        <v>206</v>
      </c>
      <c r="BB196">
        <v>1</v>
      </c>
      <c r="BC196">
        <v>0</v>
      </c>
      <c r="BD196">
        <v>0</v>
      </c>
      <c r="BE196">
        <v>0</v>
      </c>
      <c r="BF196">
        <v>0</v>
      </c>
      <c r="BG196">
        <v>0</v>
      </c>
      <c r="BH196">
        <v>0</v>
      </c>
      <c r="BI196">
        <v>0</v>
      </c>
      <c r="BJ196">
        <v>0</v>
      </c>
      <c r="BK196">
        <v>0</v>
      </c>
      <c r="BL196">
        <v>0</v>
      </c>
      <c r="BM196">
        <v>3311.6985</v>
      </c>
      <c r="BN196">
        <v>7.83</v>
      </c>
      <c r="BO196">
        <v>0</v>
      </c>
      <c r="BP196">
        <v>1</v>
      </c>
      <c r="BQ196">
        <v>0</v>
      </c>
      <c r="BR196">
        <v>0</v>
      </c>
      <c r="BS196">
        <v>0</v>
      </c>
      <c r="BT196">
        <v>3808.4532749999998</v>
      </c>
      <c r="BU196">
        <v>9.0045000000000002</v>
      </c>
      <c r="BV196">
        <v>0</v>
      </c>
      <c r="BW196">
        <v>1</v>
      </c>
      <c r="CU196">
        <f>ROUND(AT196*Source!I171*AH196*AL196,2)</f>
        <v>1324.68</v>
      </c>
      <c r="CV196">
        <f>ROUND(Y196*Source!I171,7)</f>
        <v>3.6017999999999999</v>
      </c>
      <c r="CW196">
        <v>0</v>
      </c>
      <c r="CX196">
        <f>ROUND(Y196*Source!I171,7)</f>
        <v>3.6017999999999999</v>
      </c>
      <c r="CY196">
        <f>AD196</f>
        <v>422.95</v>
      </c>
      <c r="CZ196">
        <f>AH196</f>
        <v>422.95</v>
      </c>
      <c r="DA196">
        <f>AL196</f>
        <v>1</v>
      </c>
      <c r="DB196">
        <f t="shared" si="103"/>
        <v>3808.4549999999999</v>
      </c>
      <c r="DC196">
        <f t="shared" si="104"/>
        <v>0</v>
      </c>
      <c r="DD196" t="s">
        <v>3</v>
      </c>
      <c r="DE196" t="s">
        <v>3</v>
      </c>
      <c r="DF196">
        <f t="shared" si="105"/>
        <v>0</v>
      </c>
      <c r="DG196">
        <f t="shared" si="101"/>
        <v>0</v>
      </c>
      <c r="DH196">
        <f t="shared" si="106"/>
        <v>0</v>
      </c>
      <c r="DI196">
        <f t="shared" si="107"/>
        <v>1523.38</v>
      </c>
      <c r="DJ196">
        <f>DI196</f>
        <v>1523.38</v>
      </c>
      <c r="DK196">
        <v>1</v>
      </c>
      <c r="DL196" t="s">
        <v>3</v>
      </c>
      <c r="DM196">
        <v>0</v>
      </c>
      <c r="DN196" t="s">
        <v>3</v>
      </c>
      <c r="DO196">
        <v>0</v>
      </c>
    </row>
    <row r="197" spans="1:119" x14ac:dyDescent="0.25">
      <c r="A197">
        <f>ROW(Source!A171)</f>
        <v>171</v>
      </c>
      <c r="B197">
        <v>75604747</v>
      </c>
      <c r="C197">
        <v>75605733</v>
      </c>
      <c r="D197">
        <v>37064876</v>
      </c>
      <c r="E197">
        <v>118</v>
      </c>
      <c r="F197">
        <v>1</v>
      </c>
      <c r="G197">
        <v>1</v>
      </c>
      <c r="H197">
        <v>1</v>
      </c>
      <c r="I197" t="s">
        <v>504</v>
      </c>
      <c r="J197" t="s">
        <v>3</v>
      </c>
      <c r="K197" t="s">
        <v>505</v>
      </c>
      <c r="L197">
        <v>1191</v>
      </c>
      <c r="N197">
        <v>1013</v>
      </c>
      <c r="O197" t="s">
        <v>501</v>
      </c>
      <c r="P197" t="s">
        <v>501</v>
      </c>
      <c r="Q197">
        <v>1</v>
      </c>
      <c r="W197">
        <v>0</v>
      </c>
      <c r="X197">
        <v>-1417349443</v>
      </c>
      <c r="Y197">
        <f t="shared" si="102"/>
        <v>0.40249999999999997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1</v>
      </c>
      <c r="AJ197">
        <v>1</v>
      </c>
      <c r="AK197">
        <v>1</v>
      </c>
      <c r="AL197">
        <v>1</v>
      </c>
      <c r="AM197">
        <v>-2</v>
      </c>
      <c r="AN197">
        <v>0</v>
      </c>
      <c r="AO197">
        <v>0</v>
      </c>
      <c r="AP197">
        <v>1</v>
      </c>
      <c r="AQ197">
        <v>1</v>
      </c>
      <c r="AR197">
        <v>0</v>
      </c>
      <c r="AS197" t="s">
        <v>3</v>
      </c>
      <c r="AT197">
        <v>0.35</v>
      </c>
      <c r="AU197" t="s">
        <v>27</v>
      </c>
      <c r="AV197">
        <v>2</v>
      </c>
      <c r="AW197">
        <v>2</v>
      </c>
      <c r="AX197">
        <v>75605753</v>
      </c>
      <c r="AY197">
        <v>1</v>
      </c>
      <c r="AZ197">
        <v>0</v>
      </c>
      <c r="BA197">
        <v>207</v>
      </c>
      <c r="BB197">
        <v>1</v>
      </c>
      <c r="BC197">
        <v>0</v>
      </c>
      <c r="BD197">
        <v>0</v>
      </c>
      <c r="BE197">
        <v>0</v>
      </c>
      <c r="BF197">
        <v>0</v>
      </c>
      <c r="BG197">
        <v>0</v>
      </c>
      <c r="BH197">
        <v>0</v>
      </c>
      <c r="BI197">
        <v>0</v>
      </c>
      <c r="BJ197">
        <v>0</v>
      </c>
      <c r="BK197">
        <v>0</v>
      </c>
      <c r="BL197">
        <v>0</v>
      </c>
      <c r="BM197">
        <v>0</v>
      </c>
      <c r="BN197">
        <v>0</v>
      </c>
      <c r="BO197">
        <v>0</v>
      </c>
      <c r="BP197">
        <v>0</v>
      </c>
      <c r="BQ197">
        <v>0</v>
      </c>
      <c r="BR197">
        <v>0</v>
      </c>
      <c r="BS197">
        <v>0</v>
      </c>
      <c r="BT197">
        <v>0</v>
      </c>
      <c r="BU197">
        <v>0</v>
      </c>
      <c r="BV197">
        <v>0</v>
      </c>
      <c r="BW197">
        <v>0</v>
      </c>
      <c r="CV197">
        <v>0</v>
      </c>
      <c r="CW197">
        <v>0</v>
      </c>
      <c r="CX197">
        <f>ROUND(Y197*Source!I171,7)</f>
        <v>0.161</v>
      </c>
      <c r="CY197">
        <f>AD197</f>
        <v>0</v>
      </c>
      <c r="CZ197">
        <f>AH197</f>
        <v>0</v>
      </c>
      <c r="DA197">
        <f>AL197</f>
        <v>1</v>
      </c>
      <c r="DB197">
        <f t="shared" si="103"/>
        <v>0</v>
      </c>
      <c r="DC197">
        <f t="shared" si="104"/>
        <v>0</v>
      </c>
      <c r="DD197" t="s">
        <v>3</v>
      </c>
      <c r="DE197" t="s">
        <v>3</v>
      </c>
      <c r="DF197">
        <f t="shared" si="105"/>
        <v>0</v>
      </c>
      <c r="DG197">
        <f t="shared" si="101"/>
        <v>0</v>
      </c>
      <c r="DH197">
        <f t="shared" si="106"/>
        <v>0</v>
      </c>
      <c r="DI197">
        <f t="shared" si="107"/>
        <v>0</v>
      </c>
      <c r="DJ197">
        <f>DI197</f>
        <v>0</v>
      </c>
      <c r="DK197">
        <v>0</v>
      </c>
      <c r="DL197" t="s">
        <v>3</v>
      </c>
      <c r="DM197">
        <v>0</v>
      </c>
      <c r="DN197" t="s">
        <v>3</v>
      </c>
      <c r="DO197">
        <v>0</v>
      </c>
    </row>
    <row r="198" spans="1:119" x14ac:dyDescent="0.25">
      <c r="A198">
        <f>ROW(Source!A171)</f>
        <v>171</v>
      </c>
      <c r="B198">
        <v>75604747</v>
      </c>
      <c r="C198">
        <v>75605733</v>
      </c>
      <c r="D198">
        <v>74309824</v>
      </c>
      <c r="E198">
        <v>1</v>
      </c>
      <c r="F198">
        <v>1</v>
      </c>
      <c r="G198">
        <v>1</v>
      </c>
      <c r="H198">
        <v>2</v>
      </c>
      <c r="I198" t="s">
        <v>527</v>
      </c>
      <c r="J198" t="s">
        <v>528</v>
      </c>
      <c r="K198" t="s">
        <v>529</v>
      </c>
      <c r="L198">
        <v>1368</v>
      </c>
      <c r="N198">
        <v>1011</v>
      </c>
      <c r="O198" t="s">
        <v>509</v>
      </c>
      <c r="P198" t="s">
        <v>509</v>
      </c>
      <c r="Q198">
        <v>1</v>
      </c>
      <c r="W198">
        <v>0</v>
      </c>
      <c r="X198">
        <v>-312038840</v>
      </c>
      <c r="Y198">
        <f t="shared" si="102"/>
        <v>0.40249999999999997</v>
      </c>
      <c r="AA198">
        <v>0</v>
      </c>
      <c r="AB198">
        <v>551.45000000000005</v>
      </c>
      <c r="AC198">
        <v>368.02</v>
      </c>
      <c r="AD198">
        <v>0</v>
      </c>
      <c r="AE198">
        <v>0</v>
      </c>
      <c r="AF198">
        <v>551.45000000000005</v>
      </c>
      <c r="AG198">
        <v>368.02</v>
      </c>
      <c r="AH198">
        <v>0</v>
      </c>
      <c r="AI198">
        <v>1</v>
      </c>
      <c r="AJ198">
        <v>1</v>
      </c>
      <c r="AK198">
        <v>1</v>
      </c>
      <c r="AL198">
        <v>1</v>
      </c>
      <c r="AM198">
        <v>-2</v>
      </c>
      <c r="AN198">
        <v>0</v>
      </c>
      <c r="AO198">
        <v>0</v>
      </c>
      <c r="AP198">
        <v>1</v>
      </c>
      <c r="AQ198">
        <v>1</v>
      </c>
      <c r="AR198">
        <v>0</v>
      </c>
      <c r="AS198" t="s">
        <v>3</v>
      </c>
      <c r="AT198">
        <v>0.35</v>
      </c>
      <c r="AU198" t="s">
        <v>27</v>
      </c>
      <c r="AV198">
        <v>1</v>
      </c>
      <c r="AW198">
        <v>2</v>
      </c>
      <c r="AX198">
        <v>75605754</v>
      </c>
      <c r="AY198">
        <v>1</v>
      </c>
      <c r="AZ198">
        <v>0</v>
      </c>
      <c r="BA198">
        <v>208</v>
      </c>
      <c r="BB198">
        <v>1</v>
      </c>
      <c r="BC198">
        <v>0</v>
      </c>
      <c r="BD198">
        <v>0</v>
      </c>
      <c r="BE198">
        <v>0</v>
      </c>
      <c r="BF198">
        <v>0</v>
      </c>
      <c r="BG198">
        <v>0</v>
      </c>
      <c r="BH198">
        <v>0</v>
      </c>
      <c r="BI198">
        <v>0</v>
      </c>
      <c r="BJ198">
        <v>0</v>
      </c>
      <c r="BK198">
        <v>193.00749999999999</v>
      </c>
      <c r="BL198">
        <v>128.80699999999999</v>
      </c>
      <c r="BM198">
        <v>0</v>
      </c>
      <c r="BN198">
        <v>0</v>
      </c>
      <c r="BO198">
        <v>0.35</v>
      </c>
      <c r="BP198">
        <v>1</v>
      </c>
      <c r="BQ198">
        <v>0</v>
      </c>
      <c r="BR198">
        <v>221.95862500000001</v>
      </c>
      <c r="BS198">
        <v>148.12804999999997</v>
      </c>
      <c r="BT198">
        <v>0</v>
      </c>
      <c r="BU198">
        <v>0</v>
      </c>
      <c r="BV198">
        <v>0.40249999999999997</v>
      </c>
      <c r="BW198">
        <v>1</v>
      </c>
      <c r="CV198">
        <v>0</v>
      </c>
      <c r="CW198">
        <f>ROUND(Y198*Source!I171*DO198,7)</f>
        <v>0.161</v>
      </c>
      <c r="CX198">
        <f>ROUND(Y198*Source!I171,7)</f>
        <v>0.161</v>
      </c>
      <c r="CY198">
        <f>AB198</f>
        <v>551.45000000000005</v>
      </c>
      <c r="CZ198">
        <f>AF198</f>
        <v>551.45000000000005</v>
      </c>
      <c r="DA198">
        <f>AJ198</f>
        <v>1</v>
      </c>
      <c r="DB198">
        <f t="shared" si="103"/>
        <v>221.9615</v>
      </c>
      <c r="DC198">
        <f t="shared" si="104"/>
        <v>148.13149999999999</v>
      </c>
      <c r="DD198" t="s">
        <v>3</v>
      </c>
      <c r="DE198" t="s">
        <v>3</v>
      </c>
      <c r="DF198">
        <f t="shared" si="105"/>
        <v>0</v>
      </c>
      <c r="DG198">
        <f t="shared" si="101"/>
        <v>88.78</v>
      </c>
      <c r="DH198">
        <f t="shared" si="106"/>
        <v>59.25</v>
      </c>
      <c r="DI198">
        <f t="shared" si="107"/>
        <v>0</v>
      </c>
      <c r="DJ198">
        <f>DG198+DH198</f>
        <v>148.03</v>
      </c>
      <c r="DK198">
        <v>1</v>
      </c>
      <c r="DL198" t="s">
        <v>522</v>
      </c>
      <c r="DM198">
        <v>4</v>
      </c>
      <c r="DN198" t="s">
        <v>501</v>
      </c>
      <c r="DO198">
        <v>1</v>
      </c>
    </row>
    <row r="199" spans="1:119" x14ac:dyDescent="0.25">
      <c r="A199">
        <f>ROW(Source!A171)</f>
        <v>171</v>
      </c>
      <c r="B199">
        <v>75604747</v>
      </c>
      <c r="C199">
        <v>75605733</v>
      </c>
      <c r="D199">
        <v>74309983</v>
      </c>
      <c r="E199">
        <v>1</v>
      </c>
      <c r="F199">
        <v>1</v>
      </c>
      <c r="G199">
        <v>1</v>
      </c>
      <c r="H199">
        <v>2</v>
      </c>
      <c r="I199" t="s">
        <v>578</v>
      </c>
      <c r="J199" t="s">
        <v>579</v>
      </c>
      <c r="K199" t="s">
        <v>580</v>
      </c>
      <c r="L199">
        <v>1368</v>
      </c>
      <c r="N199">
        <v>1011</v>
      </c>
      <c r="O199" t="s">
        <v>509</v>
      </c>
      <c r="P199" t="s">
        <v>509</v>
      </c>
      <c r="Q199">
        <v>1</v>
      </c>
      <c r="W199">
        <v>0</v>
      </c>
      <c r="X199">
        <v>-536748942</v>
      </c>
      <c r="Y199">
        <f t="shared" si="102"/>
        <v>2.0699999999999998</v>
      </c>
      <c r="AA199">
        <v>0</v>
      </c>
      <c r="AB199">
        <v>5.35</v>
      </c>
      <c r="AC199">
        <v>0</v>
      </c>
      <c r="AD199">
        <v>0</v>
      </c>
      <c r="AE199">
        <v>0</v>
      </c>
      <c r="AF199">
        <v>4.3499999999999996</v>
      </c>
      <c r="AG199">
        <v>0</v>
      </c>
      <c r="AH199">
        <v>0</v>
      </c>
      <c r="AI199">
        <v>1</v>
      </c>
      <c r="AJ199">
        <v>1.23</v>
      </c>
      <c r="AK199">
        <v>1</v>
      </c>
      <c r="AL199">
        <v>1</v>
      </c>
      <c r="AM199">
        <v>2</v>
      </c>
      <c r="AN199">
        <v>0</v>
      </c>
      <c r="AO199">
        <v>0</v>
      </c>
      <c r="AP199">
        <v>1</v>
      </c>
      <c r="AQ199">
        <v>1</v>
      </c>
      <c r="AR199">
        <v>0</v>
      </c>
      <c r="AS199" t="s">
        <v>3</v>
      </c>
      <c r="AT199">
        <v>1.8</v>
      </c>
      <c r="AU199" t="s">
        <v>27</v>
      </c>
      <c r="AV199">
        <v>1</v>
      </c>
      <c r="AW199">
        <v>2</v>
      </c>
      <c r="AX199">
        <v>75605755</v>
      </c>
      <c r="AY199">
        <v>1</v>
      </c>
      <c r="AZ199">
        <v>0</v>
      </c>
      <c r="BA199">
        <v>209</v>
      </c>
      <c r="BB199">
        <v>1</v>
      </c>
      <c r="BC199">
        <v>0</v>
      </c>
      <c r="BD199">
        <v>0</v>
      </c>
      <c r="BE199">
        <v>0</v>
      </c>
      <c r="BF199">
        <v>0</v>
      </c>
      <c r="BG199">
        <v>0</v>
      </c>
      <c r="BH199">
        <v>0</v>
      </c>
      <c r="BI199">
        <v>0</v>
      </c>
      <c r="BJ199">
        <v>0</v>
      </c>
      <c r="BK199">
        <v>7.8299999999999992</v>
      </c>
      <c r="BL199">
        <v>0</v>
      </c>
      <c r="BM199">
        <v>0</v>
      </c>
      <c r="BN199">
        <v>0</v>
      </c>
      <c r="BO199">
        <v>0</v>
      </c>
      <c r="BP199">
        <v>1</v>
      </c>
      <c r="BQ199">
        <v>0</v>
      </c>
      <c r="BR199">
        <v>9.0044999999999984</v>
      </c>
      <c r="BS199">
        <v>0</v>
      </c>
      <c r="BT199">
        <v>0</v>
      </c>
      <c r="BU199">
        <v>0</v>
      </c>
      <c r="BV199">
        <v>0</v>
      </c>
      <c r="BW199">
        <v>1</v>
      </c>
      <c r="CV199">
        <v>0</v>
      </c>
      <c r="CW199">
        <f>ROUND(Y199*Source!I171*DO199,7)</f>
        <v>0</v>
      </c>
      <c r="CX199">
        <f>ROUND(Y199*Source!I171,7)</f>
        <v>0.82799999999999996</v>
      </c>
      <c r="CY199">
        <f>AB199</f>
        <v>5.35</v>
      </c>
      <c r="CZ199">
        <f>AF199</f>
        <v>4.3499999999999996</v>
      </c>
      <c r="DA199">
        <f>AJ199</f>
        <v>1.23</v>
      </c>
      <c r="DB199">
        <f t="shared" si="103"/>
        <v>9.0045000000000002</v>
      </c>
      <c r="DC199">
        <f t="shared" si="104"/>
        <v>0</v>
      </c>
      <c r="DD199" t="s">
        <v>3</v>
      </c>
      <c r="DE199" t="s">
        <v>3</v>
      </c>
      <c r="DF199">
        <f t="shared" si="105"/>
        <v>0</v>
      </c>
      <c r="DG199">
        <f>ROUND(ROUND(AF199*AJ199,2)*CX199,2)</f>
        <v>4.43</v>
      </c>
      <c r="DH199">
        <f t="shared" si="106"/>
        <v>0</v>
      </c>
      <c r="DI199">
        <f t="shared" si="107"/>
        <v>0</v>
      </c>
      <c r="DJ199">
        <f>DG199+DH199</f>
        <v>4.43</v>
      </c>
      <c r="DK199">
        <v>0</v>
      </c>
      <c r="DL199" t="s">
        <v>3</v>
      </c>
      <c r="DM199">
        <v>0</v>
      </c>
      <c r="DN199" t="s">
        <v>3</v>
      </c>
      <c r="DO199">
        <v>0</v>
      </c>
    </row>
    <row r="200" spans="1:119" x14ac:dyDescent="0.25">
      <c r="A200">
        <f>ROW(Source!A171)</f>
        <v>171</v>
      </c>
      <c r="B200">
        <v>75604747</v>
      </c>
      <c r="C200">
        <v>75605733</v>
      </c>
      <c r="D200">
        <v>74310021</v>
      </c>
      <c r="E200">
        <v>1</v>
      </c>
      <c r="F200">
        <v>1</v>
      </c>
      <c r="G200">
        <v>1</v>
      </c>
      <c r="H200">
        <v>2</v>
      </c>
      <c r="I200" t="s">
        <v>597</v>
      </c>
      <c r="J200" t="s">
        <v>598</v>
      </c>
      <c r="K200" t="s">
        <v>599</v>
      </c>
      <c r="L200">
        <v>1368</v>
      </c>
      <c r="N200">
        <v>1011</v>
      </c>
      <c r="O200" t="s">
        <v>509</v>
      </c>
      <c r="P200" t="s">
        <v>509</v>
      </c>
      <c r="Q200">
        <v>1</v>
      </c>
      <c r="W200">
        <v>0</v>
      </c>
      <c r="X200">
        <v>462025989</v>
      </c>
      <c r="Y200">
        <f t="shared" si="102"/>
        <v>8.0499999999999989</v>
      </c>
      <c r="AA200">
        <v>0</v>
      </c>
      <c r="AB200">
        <v>41.5</v>
      </c>
      <c r="AC200">
        <v>0</v>
      </c>
      <c r="AD200">
        <v>0</v>
      </c>
      <c r="AE200">
        <v>0</v>
      </c>
      <c r="AF200">
        <v>41.5</v>
      </c>
      <c r="AG200">
        <v>0</v>
      </c>
      <c r="AH200">
        <v>0</v>
      </c>
      <c r="AI200">
        <v>1</v>
      </c>
      <c r="AJ200">
        <v>1</v>
      </c>
      <c r="AK200">
        <v>1</v>
      </c>
      <c r="AL200">
        <v>1</v>
      </c>
      <c r="AM200">
        <v>-2</v>
      </c>
      <c r="AN200">
        <v>0</v>
      </c>
      <c r="AO200">
        <v>0</v>
      </c>
      <c r="AP200">
        <v>1</v>
      </c>
      <c r="AQ200">
        <v>1</v>
      </c>
      <c r="AR200">
        <v>0</v>
      </c>
      <c r="AS200" t="s">
        <v>3</v>
      </c>
      <c r="AT200">
        <v>7</v>
      </c>
      <c r="AU200" t="s">
        <v>27</v>
      </c>
      <c r="AV200">
        <v>1</v>
      </c>
      <c r="AW200">
        <v>2</v>
      </c>
      <c r="AX200">
        <v>75605756</v>
      </c>
      <c r="AY200">
        <v>1</v>
      </c>
      <c r="AZ200">
        <v>0</v>
      </c>
      <c r="BA200">
        <v>210</v>
      </c>
      <c r="BB200">
        <v>1</v>
      </c>
      <c r="BC200">
        <v>0</v>
      </c>
      <c r="BD200">
        <v>0</v>
      </c>
      <c r="BE200">
        <v>0</v>
      </c>
      <c r="BF200">
        <v>0</v>
      </c>
      <c r="BG200">
        <v>0</v>
      </c>
      <c r="BH200">
        <v>0</v>
      </c>
      <c r="BI200">
        <v>0</v>
      </c>
      <c r="BJ200">
        <v>0</v>
      </c>
      <c r="BK200">
        <v>290.5</v>
      </c>
      <c r="BL200">
        <v>0</v>
      </c>
      <c r="BM200">
        <v>0</v>
      </c>
      <c r="BN200">
        <v>0</v>
      </c>
      <c r="BO200">
        <v>0</v>
      </c>
      <c r="BP200">
        <v>1</v>
      </c>
      <c r="BQ200">
        <v>0</v>
      </c>
      <c r="BR200">
        <v>334.07499999999993</v>
      </c>
      <c r="BS200">
        <v>0</v>
      </c>
      <c r="BT200">
        <v>0</v>
      </c>
      <c r="BU200">
        <v>0</v>
      </c>
      <c r="BV200">
        <v>0</v>
      </c>
      <c r="BW200">
        <v>1</v>
      </c>
      <c r="CV200">
        <v>0</v>
      </c>
      <c r="CW200">
        <f>ROUND(Y200*Source!I171*DO200,7)</f>
        <v>0</v>
      </c>
      <c r="CX200">
        <f>ROUND(Y200*Source!I171,7)</f>
        <v>3.22</v>
      </c>
      <c r="CY200">
        <f>AB200</f>
        <v>41.5</v>
      </c>
      <c r="CZ200">
        <f>AF200</f>
        <v>41.5</v>
      </c>
      <c r="DA200">
        <f>AJ200</f>
        <v>1</v>
      </c>
      <c r="DB200">
        <f t="shared" si="103"/>
        <v>334.07499999999999</v>
      </c>
      <c r="DC200">
        <f t="shared" si="104"/>
        <v>0</v>
      </c>
      <c r="DD200" t="s">
        <v>3</v>
      </c>
      <c r="DE200" t="s">
        <v>3</v>
      </c>
      <c r="DF200">
        <f t="shared" si="105"/>
        <v>0</v>
      </c>
      <c r="DG200">
        <f t="shared" ref="DG200:DG215" si="108">ROUND(ROUND(AF200,2)*CX200,2)</f>
        <v>133.63</v>
      </c>
      <c r="DH200">
        <f t="shared" si="106"/>
        <v>0</v>
      </c>
      <c r="DI200">
        <f t="shared" si="107"/>
        <v>0</v>
      </c>
      <c r="DJ200">
        <f>DG200+DH200</f>
        <v>133.63</v>
      </c>
      <c r="DK200">
        <v>1</v>
      </c>
      <c r="DL200" t="s">
        <v>3</v>
      </c>
      <c r="DM200">
        <v>0</v>
      </c>
      <c r="DN200" t="s">
        <v>3</v>
      </c>
      <c r="DO200">
        <v>0</v>
      </c>
    </row>
    <row r="201" spans="1:119" x14ac:dyDescent="0.25">
      <c r="A201">
        <f>ROW(Source!A171)</f>
        <v>171</v>
      </c>
      <c r="B201">
        <v>75604747</v>
      </c>
      <c r="C201">
        <v>75605733</v>
      </c>
      <c r="D201">
        <v>74257049</v>
      </c>
      <c r="E201">
        <v>1</v>
      </c>
      <c r="F201">
        <v>1</v>
      </c>
      <c r="G201">
        <v>1</v>
      </c>
      <c r="H201">
        <v>3</v>
      </c>
      <c r="I201" t="s">
        <v>708</v>
      </c>
      <c r="J201" t="s">
        <v>709</v>
      </c>
      <c r="K201" t="s">
        <v>710</v>
      </c>
      <c r="L201">
        <v>1339</v>
      </c>
      <c r="N201">
        <v>1007</v>
      </c>
      <c r="O201" t="s">
        <v>205</v>
      </c>
      <c r="P201" t="s">
        <v>205</v>
      </c>
      <c r="Q201">
        <v>1</v>
      </c>
      <c r="W201">
        <v>0</v>
      </c>
      <c r="X201">
        <v>58756862</v>
      </c>
      <c r="Y201">
        <f>AT201</f>
        <v>5.7000000000000002E-2</v>
      </c>
      <c r="AA201">
        <v>571.89</v>
      </c>
      <c r="AB201">
        <v>0</v>
      </c>
      <c r="AC201">
        <v>0</v>
      </c>
      <c r="AD201">
        <v>0</v>
      </c>
      <c r="AE201">
        <v>340.41</v>
      </c>
      <c r="AF201">
        <v>0</v>
      </c>
      <c r="AG201">
        <v>0</v>
      </c>
      <c r="AH201">
        <v>0</v>
      </c>
      <c r="AI201">
        <v>1.68</v>
      </c>
      <c r="AJ201">
        <v>1</v>
      </c>
      <c r="AK201">
        <v>1</v>
      </c>
      <c r="AL201">
        <v>1</v>
      </c>
      <c r="AM201">
        <v>2</v>
      </c>
      <c r="AN201">
        <v>0</v>
      </c>
      <c r="AO201">
        <v>0</v>
      </c>
      <c r="AP201">
        <v>1</v>
      </c>
      <c r="AQ201">
        <v>1</v>
      </c>
      <c r="AR201">
        <v>0</v>
      </c>
      <c r="AS201" t="s">
        <v>3</v>
      </c>
      <c r="AT201">
        <v>5.7000000000000002E-2</v>
      </c>
      <c r="AU201" t="s">
        <v>3</v>
      </c>
      <c r="AV201">
        <v>0</v>
      </c>
      <c r="AW201">
        <v>2</v>
      </c>
      <c r="AX201">
        <v>75605757</v>
      </c>
      <c r="AY201">
        <v>1</v>
      </c>
      <c r="AZ201">
        <v>0</v>
      </c>
      <c r="BA201">
        <v>211</v>
      </c>
      <c r="BB201">
        <v>1</v>
      </c>
      <c r="BC201">
        <v>0</v>
      </c>
      <c r="BD201">
        <v>0</v>
      </c>
      <c r="BE201">
        <v>0</v>
      </c>
      <c r="BF201">
        <v>0</v>
      </c>
      <c r="BG201">
        <v>0</v>
      </c>
      <c r="BH201">
        <v>0</v>
      </c>
      <c r="BI201">
        <v>0</v>
      </c>
      <c r="BJ201">
        <v>19.403370000000002</v>
      </c>
      <c r="BK201">
        <v>0</v>
      </c>
      <c r="BL201">
        <v>0</v>
      </c>
      <c r="BM201">
        <v>0</v>
      </c>
      <c r="BN201">
        <v>0</v>
      </c>
      <c r="BO201">
        <v>0</v>
      </c>
      <c r="BP201">
        <v>1</v>
      </c>
      <c r="BQ201">
        <v>19.403370000000002</v>
      </c>
      <c r="BR201">
        <v>0</v>
      </c>
      <c r="BS201">
        <v>0</v>
      </c>
      <c r="BT201">
        <v>0</v>
      </c>
      <c r="BU201">
        <v>0</v>
      </c>
      <c r="BV201">
        <v>0</v>
      </c>
      <c r="BW201">
        <v>1</v>
      </c>
      <c r="CV201">
        <v>0</v>
      </c>
      <c r="CW201">
        <v>0</v>
      </c>
      <c r="CX201">
        <f>ROUND(Y201*Source!I171,7)</f>
        <v>2.2800000000000001E-2</v>
      </c>
      <c r="CY201">
        <f>AA201</f>
        <v>571.89</v>
      </c>
      <c r="CZ201">
        <f>AE201</f>
        <v>340.41</v>
      </c>
      <c r="DA201">
        <f>AI201</f>
        <v>1.68</v>
      </c>
      <c r="DB201">
        <f>ROUND(ROUND(AT201*CZ201,2),6)</f>
        <v>19.399999999999999</v>
      </c>
      <c r="DC201">
        <f>ROUND(ROUND(AT201*AG201,2),6)</f>
        <v>0</v>
      </c>
      <c r="DD201" t="s">
        <v>3</v>
      </c>
      <c r="DE201" t="s">
        <v>3</v>
      </c>
      <c r="DF201">
        <f>ROUND(ROUND(AE201*AI201,2)*CX201,2)</f>
        <v>13.04</v>
      </c>
      <c r="DG201">
        <f t="shared" si="108"/>
        <v>0</v>
      </c>
      <c r="DH201">
        <f t="shared" si="106"/>
        <v>0</v>
      </c>
      <c r="DI201">
        <f t="shared" si="107"/>
        <v>0</v>
      </c>
      <c r="DJ201">
        <f>DF201</f>
        <v>13.04</v>
      </c>
      <c r="DK201">
        <v>0</v>
      </c>
      <c r="DL201" t="s">
        <v>3</v>
      </c>
      <c r="DM201">
        <v>0</v>
      </c>
      <c r="DN201" t="s">
        <v>3</v>
      </c>
      <c r="DO201">
        <v>0</v>
      </c>
    </row>
    <row r="202" spans="1:119" x14ac:dyDescent="0.25">
      <c r="A202">
        <f>ROW(Source!A171)</f>
        <v>171</v>
      </c>
      <c r="B202">
        <v>75604747</v>
      </c>
      <c r="C202">
        <v>75605733</v>
      </c>
      <c r="D202">
        <v>74257065</v>
      </c>
      <c r="E202">
        <v>1</v>
      </c>
      <c r="F202">
        <v>1</v>
      </c>
      <c r="G202">
        <v>1</v>
      </c>
      <c r="H202">
        <v>3</v>
      </c>
      <c r="I202" t="s">
        <v>581</v>
      </c>
      <c r="J202" t="s">
        <v>582</v>
      </c>
      <c r="K202" t="s">
        <v>583</v>
      </c>
      <c r="L202">
        <v>1339</v>
      </c>
      <c r="N202">
        <v>1007</v>
      </c>
      <c r="O202" t="s">
        <v>205</v>
      </c>
      <c r="P202" t="s">
        <v>205</v>
      </c>
      <c r="Q202">
        <v>1</v>
      </c>
      <c r="W202">
        <v>0</v>
      </c>
      <c r="X202">
        <v>1531571680</v>
      </c>
      <c r="Y202">
        <f>AT202</f>
        <v>0.26</v>
      </c>
      <c r="AA202">
        <v>126.1</v>
      </c>
      <c r="AB202">
        <v>0</v>
      </c>
      <c r="AC202">
        <v>0</v>
      </c>
      <c r="AD202">
        <v>0</v>
      </c>
      <c r="AE202">
        <v>114.64</v>
      </c>
      <c r="AF202">
        <v>0</v>
      </c>
      <c r="AG202">
        <v>0</v>
      </c>
      <c r="AH202">
        <v>0</v>
      </c>
      <c r="AI202">
        <v>1.1000000000000001</v>
      </c>
      <c r="AJ202">
        <v>1</v>
      </c>
      <c r="AK202">
        <v>1</v>
      </c>
      <c r="AL202">
        <v>1</v>
      </c>
      <c r="AM202">
        <v>2</v>
      </c>
      <c r="AN202">
        <v>0</v>
      </c>
      <c r="AO202">
        <v>0</v>
      </c>
      <c r="AP202">
        <v>1</v>
      </c>
      <c r="AQ202">
        <v>1</v>
      </c>
      <c r="AR202">
        <v>0</v>
      </c>
      <c r="AS202" t="s">
        <v>3</v>
      </c>
      <c r="AT202">
        <v>0.26</v>
      </c>
      <c r="AU202" t="s">
        <v>3</v>
      </c>
      <c r="AV202">
        <v>0</v>
      </c>
      <c r="AW202">
        <v>2</v>
      </c>
      <c r="AX202">
        <v>75605758</v>
      </c>
      <c r="AY202">
        <v>1</v>
      </c>
      <c r="AZ202">
        <v>0</v>
      </c>
      <c r="BA202">
        <v>212</v>
      </c>
      <c r="BB202">
        <v>1</v>
      </c>
      <c r="BC202">
        <v>0</v>
      </c>
      <c r="BD202">
        <v>0</v>
      </c>
      <c r="BE202">
        <v>0</v>
      </c>
      <c r="BF202">
        <v>0</v>
      </c>
      <c r="BG202">
        <v>0</v>
      </c>
      <c r="BH202">
        <v>0</v>
      </c>
      <c r="BI202">
        <v>0</v>
      </c>
      <c r="BJ202">
        <v>29.8064</v>
      </c>
      <c r="BK202">
        <v>0</v>
      </c>
      <c r="BL202">
        <v>0</v>
      </c>
      <c r="BM202">
        <v>0</v>
      </c>
      <c r="BN202">
        <v>0</v>
      </c>
      <c r="BO202">
        <v>0</v>
      </c>
      <c r="BP202">
        <v>1</v>
      </c>
      <c r="BQ202">
        <v>29.8064</v>
      </c>
      <c r="BR202">
        <v>0</v>
      </c>
      <c r="BS202">
        <v>0</v>
      </c>
      <c r="BT202">
        <v>0</v>
      </c>
      <c r="BU202">
        <v>0</v>
      </c>
      <c r="BV202">
        <v>0</v>
      </c>
      <c r="BW202">
        <v>1</v>
      </c>
      <c r="CV202">
        <v>0</v>
      </c>
      <c r="CW202">
        <v>0</v>
      </c>
      <c r="CX202">
        <f>ROUND(Y202*Source!I171,7)</f>
        <v>0.104</v>
      </c>
      <c r="CY202">
        <f>AA202</f>
        <v>126.1</v>
      </c>
      <c r="CZ202">
        <f>AE202</f>
        <v>114.64</v>
      </c>
      <c r="DA202">
        <f>AI202</f>
        <v>1.1000000000000001</v>
      </c>
      <c r="DB202">
        <f>ROUND(ROUND(AT202*CZ202,2),6)</f>
        <v>29.81</v>
      </c>
      <c r="DC202">
        <f>ROUND(ROUND(AT202*AG202,2),6)</f>
        <v>0</v>
      </c>
      <c r="DD202" t="s">
        <v>3</v>
      </c>
      <c r="DE202" t="s">
        <v>3</v>
      </c>
      <c r="DF202">
        <f>ROUND(ROUND(AE202*AI202,2)*CX202,2)</f>
        <v>13.11</v>
      </c>
      <c r="DG202">
        <f t="shared" si="108"/>
        <v>0</v>
      </c>
      <c r="DH202">
        <f t="shared" si="106"/>
        <v>0</v>
      </c>
      <c r="DI202">
        <f t="shared" si="107"/>
        <v>0</v>
      </c>
      <c r="DJ202">
        <f>DF202</f>
        <v>13.11</v>
      </c>
      <c r="DK202">
        <v>0</v>
      </c>
      <c r="DL202" t="s">
        <v>3</v>
      </c>
      <c r="DM202">
        <v>0</v>
      </c>
      <c r="DN202" t="s">
        <v>3</v>
      </c>
      <c r="DO202">
        <v>0</v>
      </c>
    </row>
    <row r="203" spans="1:119" x14ac:dyDescent="0.25">
      <c r="A203">
        <f>ROW(Source!A171)</f>
        <v>171</v>
      </c>
      <c r="B203">
        <v>75604747</v>
      </c>
      <c r="C203">
        <v>75605733</v>
      </c>
      <c r="D203">
        <v>74259041</v>
      </c>
      <c r="E203">
        <v>1</v>
      </c>
      <c r="F203">
        <v>1</v>
      </c>
      <c r="G203">
        <v>1</v>
      </c>
      <c r="H203">
        <v>3</v>
      </c>
      <c r="I203" t="s">
        <v>560</v>
      </c>
      <c r="J203" t="s">
        <v>561</v>
      </c>
      <c r="K203" t="s">
        <v>562</v>
      </c>
      <c r="L203">
        <v>1383</v>
      </c>
      <c r="N203">
        <v>1013</v>
      </c>
      <c r="O203" t="s">
        <v>563</v>
      </c>
      <c r="P203" t="s">
        <v>563</v>
      </c>
      <c r="Q203">
        <v>1</v>
      </c>
      <c r="W203">
        <v>0</v>
      </c>
      <c r="X203">
        <v>-182421198</v>
      </c>
      <c r="Y203">
        <f>AT203</f>
        <v>5.21</v>
      </c>
      <c r="AA203">
        <v>9.0399999999999991</v>
      </c>
      <c r="AB203">
        <v>0</v>
      </c>
      <c r="AC203">
        <v>0</v>
      </c>
      <c r="AD203">
        <v>0</v>
      </c>
      <c r="AE203">
        <v>9.0399999999999991</v>
      </c>
      <c r="AF203">
        <v>0</v>
      </c>
      <c r="AG203">
        <v>0</v>
      </c>
      <c r="AH203">
        <v>0</v>
      </c>
      <c r="AI203">
        <v>1</v>
      </c>
      <c r="AJ203">
        <v>1</v>
      </c>
      <c r="AK203">
        <v>1</v>
      </c>
      <c r="AL203">
        <v>1</v>
      </c>
      <c r="AM203">
        <v>-2</v>
      </c>
      <c r="AN203">
        <v>0</v>
      </c>
      <c r="AO203">
        <v>0</v>
      </c>
      <c r="AP203">
        <v>1</v>
      </c>
      <c r="AQ203">
        <v>1</v>
      </c>
      <c r="AR203">
        <v>0</v>
      </c>
      <c r="AS203" t="s">
        <v>3</v>
      </c>
      <c r="AT203">
        <v>5.21</v>
      </c>
      <c r="AU203" t="s">
        <v>3</v>
      </c>
      <c r="AV203">
        <v>0</v>
      </c>
      <c r="AW203">
        <v>2</v>
      </c>
      <c r="AX203">
        <v>75605759</v>
      </c>
      <c r="AY203">
        <v>1</v>
      </c>
      <c r="AZ203">
        <v>0</v>
      </c>
      <c r="BA203">
        <v>213</v>
      </c>
      <c r="BB203">
        <v>1</v>
      </c>
      <c r="BC203">
        <v>0</v>
      </c>
      <c r="BD203">
        <v>0</v>
      </c>
      <c r="BE203">
        <v>0</v>
      </c>
      <c r="BF203">
        <v>0</v>
      </c>
      <c r="BG203">
        <v>0</v>
      </c>
      <c r="BH203">
        <v>0</v>
      </c>
      <c r="BI203">
        <v>0</v>
      </c>
      <c r="BJ203">
        <v>47.098399999999998</v>
      </c>
      <c r="BK203">
        <v>0</v>
      </c>
      <c r="BL203">
        <v>0</v>
      </c>
      <c r="BM203">
        <v>0</v>
      </c>
      <c r="BN203">
        <v>0</v>
      </c>
      <c r="BO203">
        <v>0</v>
      </c>
      <c r="BP203">
        <v>1</v>
      </c>
      <c r="BQ203">
        <v>47.098399999999998</v>
      </c>
      <c r="BR203">
        <v>0</v>
      </c>
      <c r="BS203">
        <v>0</v>
      </c>
      <c r="BT203">
        <v>0</v>
      </c>
      <c r="BU203">
        <v>0</v>
      </c>
      <c r="BV203">
        <v>0</v>
      </c>
      <c r="BW203">
        <v>1</v>
      </c>
      <c r="CV203">
        <v>0</v>
      </c>
      <c r="CW203">
        <v>0</v>
      </c>
      <c r="CX203">
        <f>ROUND(Y203*Source!I171,7)</f>
        <v>2.0840000000000001</v>
      </c>
      <c r="CY203">
        <f>AA203</f>
        <v>9.0399999999999991</v>
      </c>
      <c r="CZ203">
        <f>AE203</f>
        <v>9.0399999999999991</v>
      </c>
      <c r="DA203">
        <f>AI203</f>
        <v>1</v>
      </c>
      <c r="DB203">
        <f>ROUND(ROUND(AT203*CZ203,2),6)</f>
        <v>47.1</v>
      </c>
      <c r="DC203">
        <f>ROUND(ROUND(AT203*AG203,2),6)</f>
        <v>0</v>
      </c>
      <c r="DD203" t="s">
        <v>3</v>
      </c>
      <c r="DE203" t="s">
        <v>3</v>
      </c>
      <c r="DF203">
        <f>ROUND(ROUND(AE203,2)*CX203,2)</f>
        <v>18.84</v>
      </c>
      <c r="DG203">
        <f t="shared" si="108"/>
        <v>0</v>
      </c>
      <c r="DH203">
        <f t="shared" si="106"/>
        <v>0</v>
      </c>
      <c r="DI203">
        <f t="shared" si="107"/>
        <v>0</v>
      </c>
      <c r="DJ203">
        <f>DF203</f>
        <v>18.84</v>
      </c>
      <c r="DK203">
        <v>1</v>
      </c>
      <c r="DL203" t="s">
        <v>3</v>
      </c>
      <c r="DM203">
        <v>0</v>
      </c>
      <c r="DN203" t="s">
        <v>3</v>
      </c>
      <c r="DO203">
        <v>0</v>
      </c>
    </row>
    <row r="204" spans="1:119" x14ac:dyDescent="0.25">
      <c r="A204">
        <f>ROW(Source!A171)</f>
        <v>171</v>
      </c>
      <c r="B204">
        <v>75604747</v>
      </c>
      <c r="C204">
        <v>75605733</v>
      </c>
      <c r="D204">
        <v>74259783</v>
      </c>
      <c r="E204">
        <v>1</v>
      </c>
      <c r="F204">
        <v>1</v>
      </c>
      <c r="G204">
        <v>1</v>
      </c>
      <c r="H204">
        <v>3</v>
      </c>
      <c r="I204" t="s">
        <v>603</v>
      </c>
      <c r="J204" t="s">
        <v>604</v>
      </c>
      <c r="K204" t="s">
        <v>605</v>
      </c>
      <c r="L204">
        <v>1346</v>
      </c>
      <c r="N204">
        <v>1009</v>
      </c>
      <c r="O204" t="s">
        <v>240</v>
      </c>
      <c r="P204" t="s">
        <v>240</v>
      </c>
      <c r="Q204">
        <v>1</v>
      </c>
      <c r="W204">
        <v>0</v>
      </c>
      <c r="X204">
        <v>-1476217930</v>
      </c>
      <c r="Y204">
        <f>AT204</f>
        <v>1.22</v>
      </c>
      <c r="AA204">
        <v>132.29</v>
      </c>
      <c r="AB204">
        <v>0</v>
      </c>
      <c r="AC204">
        <v>0</v>
      </c>
      <c r="AD204">
        <v>0</v>
      </c>
      <c r="AE204">
        <v>155.63</v>
      </c>
      <c r="AF204">
        <v>0</v>
      </c>
      <c r="AG204">
        <v>0</v>
      </c>
      <c r="AH204">
        <v>0</v>
      </c>
      <c r="AI204">
        <v>0.85</v>
      </c>
      <c r="AJ204">
        <v>1</v>
      </c>
      <c r="AK204">
        <v>1</v>
      </c>
      <c r="AL204">
        <v>1</v>
      </c>
      <c r="AM204">
        <v>2</v>
      </c>
      <c r="AN204">
        <v>0</v>
      </c>
      <c r="AO204">
        <v>0</v>
      </c>
      <c r="AP204">
        <v>1</v>
      </c>
      <c r="AQ204">
        <v>1</v>
      </c>
      <c r="AR204">
        <v>0</v>
      </c>
      <c r="AS204" t="s">
        <v>3</v>
      </c>
      <c r="AT204">
        <v>1.22</v>
      </c>
      <c r="AU204" t="s">
        <v>3</v>
      </c>
      <c r="AV204">
        <v>0</v>
      </c>
      <c r="AW204">
        <v>2</v>
      </c>
      <c r="AX204">
        <v>75605760</v>
      </c>
      <c r="AY204">
        <v>1</v>
      </c>
      <c r="AZ204">
        <v>0</v>
      </c>
      <c r="BA204">
        <v>214</v>
      </c>
      <c r="BB204">
        <v>1</v>
      </c>
      <c r="BC204">
        <v>0</v>
      </c>
      <c r="BD204">
        <v>0</v>
      </c>
      <c r="BE204">
        <v>0</v>
      </c>
      <c r="BF204">
        <v>0</v>
      </c>
      <c r="BG204">
        <v>0</v>
      </c>
      <c r="BH204">
        <v>0</v>
      </c>
      <c r="BI204">
        <v>0</v>
      </c>
      <c r="BJ204">
        <v>189.86859999999999</v>
      </c>
      <c r="BK204">
        <v>0</v>
      </c>
      <c r="BL204">
        <v>0</v>
      </c>
      <c r="BM204">
        <v>0</v>
      </c>
      <c r="BN204">
        <v>0</v>
      </c>
      <c r="BO204">
        <v>0</v>
      </c>
      <c r="BP204">
        <v>1</v>
      </c>
      <c r="BQ204">
        <v>189.86859999999999</v>
      </c>
      <c r="BR204">
        <v>0</v>
      </c>
      <c r="BS204">
        <v>0</v>
      </c>
      <c r="BT204">
        <v>0</v>
      </c>
      <c r="BU204">
        <v>0</v>
      </c>
      <c r="BV204">
        <v>0</v>
      </c>
      <c r="BW204">
        <v>1</v>
      </c>
      <c r="CV204">
        <v>0</v>
      </c>
      <c r="CW204">
        <v>0</v>
      </c>
      <c r="CX204">
        <f>ROUND(Y204*Source!I171,7)</f>
        <v>0.48799999999999999</v>
      </c>
      <c r="CY204">
        <f>AA204</f>
        <v>132.29</v>
      </c>
      <c r="CZ204">
        <f>AE204</f>
        <v>155.63</v>
      </c>
      <c r="DA204">
        <f>AI204</f>
        <v>0.85</v>
      </c>
      <c r="DB204">
        <f>ROUND(ROUND(AT204*CZ204,2),6)</f>
        <v>189.87</v>
      </c>
      <c r="DC204">
        <f>ROUND(ROUND(AT204*AG204,2),6)</f>
        <v>0</v>
      </c>
      <c r="DD204" t="s">
        <v>3</v>
      </c>
      <c r="DE204" t="s">
        <v>3</v>
      </c>
      <c r="DF204">
        <f>ROUND(ROUND(AE204*AI204,2)*CX204,2)</f>
        <v>64.56</v>
      </c>
      <c r="DG204">
        <f t="shared" si="108"/>
        <v>0</v>
      </c>
      <c r="DH204">
        <f t="shared" si="106"/>
        <v>0</v>
      </c>
      <c r="DI204">
        <f t="shared" si="107"/>
        <v>0</v>
      </c>
      <c r="DJ204">
        <f>DF204</f>
        <v>64.56</v>
      </c>
      <c r="DK204">
        <v>0</v>
      </c>
      <c r="DL204" t="s">
        <v>3</v>
      </c>
      <c r="DM204">
        <v>0</v>
      </c>
      <c r="DN204" t="s">
        <v>3</v>
      </c>
      <c r="DO204">
        <v>0</v>
      </c>
    </row>
    <row r="205" spans="1:119" x14ac:dyDescent="0.25">
      <c r="A205">
        <f>ROW(Source!A171)</f>
        <v>171</v>
      </c>
      <c r="B205">
        <v>75604747</v>
      </c>
      <c r="C205">
        <v>75605733</v>
      </c>
      <c r="D205">
        <v>74261036</v>
      </c>
      <c r="E205">
        <v>1</v>
      </c>
      <c r="F205">
        <v>1</v>
      </c>
      <c r="G205">
        <v>1</v>
      </c>
      <c r="H205">
        <v>3</v>
      </c>
      <c r="I205" t="s">
        <v>711</v>
      </c>
      <c r="J205" t="s">
        <v>712</v>
      </c>
      <c r="K205" t="s">
        <v>713</v>
      </c>
      <c r="L205">
        <v>1371</v>
      </c>
      <c r="N205">
        <v>1013</v>
      </c>
      <c r="O205" t="s">
        <v>222</v>
      </c>
      <c r="P205" t="s">
        <v>222</v>
      </c>
      <c r="Q205">
        <v>1</v>
      </c>
      <c r="W205">
        <v>0</v>
      </c>
      <c r="X205">
        <v>-540572236</v>
      </c>
      <c r="Y205">
        <f>AT205</f>
        <v>0.15</v>
      </c>
      <c r="AA205">
        <v>127.65</v>
      </c>
      <c r="AB205">
        <v>0</v>
      </c>
      <c r="AC205">
        <v>0</v>
      </c>
      <c r="AD205">
        <v>0</v>
      </c>
      <c r="AE205">
        <v>104.63</v>
      </c>
      <c r="AF205">
        <v>0</v>
      </c>
      <c r="AG205">
        <v>0</v>
      </c>
      <c r="AH205">
        <v>0</v>
      </c>
      <c r="AI205">
        <v>1.22</v>
      </c>
      <c r="AJ205">
        <v>1</v>
      </c>
      <c r="AK205">
        <v>1</v>
      </c>
      <c r="AL205">
        <v>1</v>
      </c>
      <c r="AM205">
        <v>2</v>
      </c>
      <c r="AN205">
        <v>0</v>
      </c>
      <c r="AO205">
        <v>0</v>
      </c>
      <c r="AP205">
        <v>1</v>
      </c>
      <c r="AQ205">
        <v>1</v>
      </c>
      <c r="AR205">
        <v>0</v>
      </c>
      <c r="AS205" t="s">
        <v>3</v>
      </c>
      <c r="AT205">
        <v>0.15</v>
      </c>
      <c r="AU205" t="s">
        <v>3</v>
      </c>
      <c r="AV205">
        <v>0</v>
      </c>
      <c r="AW205">
        <v>2</v>
      </c>
      <c r="AX205">
        <v>75605761</v>
      </c>
      <c r="AY205">
        <v>1</v>
      </c>
      <c r="AZ205">
        <v>0</v>
      </c>
      <c r="BA205">
        <v>215</v>
      </c>
      <c r="BB205">
        <v>1</v>
      </c>
      <c r="BC205">
        <v>0</v>
      </c>
      <c r="BD205">
        <v>0</v>
      </c>
      <c r="BE205">
        <v>0</v>
      </c>
      <c r="BF205">
        <v>0</v>
      </c>
      <c r="BG205">
        <v>0</v>
      </c>
      <c r="BH205">
        <v>0</v>
      </c>
      <c r="BI205">
        <v>0</v>
      </c>
      <c r="BJ205">
        <v>15.694499999999998</v>
      </c>
      <c r="BK205">
        <v>0</v>
      </c>
      <c r="BL205">
        <v>0</v>
      </c>
      <c r="BM205">
        <v>0</v>
      </c>
      <c r="BN205">
        <v>0</v>
      </c>
      <c r="BO205">
        <v>0</v>
      </c>
      <c r="BP205">
        <v>1</v>
      </c>
      <c r="BQ205">
        <v>15.694499999999998</v>
      </c>
      <c r="BR205">
        <v>0</v>
      </c>
      <c r="BS205">
        <v>0</v>
      </c>
      <c r="BT205">
        <v>0</v>
      </c>
      <c r="BU205">
        <v>0</v>
      </c>
      <c r="BV205">
        <v>0</v>
      </c>
      <c r="BW205">
        <v>1</v>
      </c>
      <c r="CV205">
        <v>0</v>
      </c>
      <c r="CW205">
        <v>0</v>
      </c>
      <c r="CX205">
        <f>ROUND(Y205*Source!I171,7)</f>
        <v>0.06</v>
      </c>
      <c r="CY205">
        <f>AA205</f>
        <v>127.65</v>
      </c>
      <c r="CZ205">
        <f>AE205</f>
        <v>104.63</v>
      </c>
      <c r="DA205">
        <f>AI205</f>
        <v>1.22</v>
      </c>
      <c r="DB205">
        <f>ROUND(ROUND(AT205*CZ205,2),6)</f>
        <v>15.69</v>
      </c>
      <c r="DC205">
        <f>ROUND(ROUND(AT205*AG205,2),6)</f>
        <v>0</v>
      </c>
      <c r="DD205" t="s">
        <v>3</v>
      </c>
      <c r="DE205" t="s">
        <v>3</v>
      </c>
      <c r="DF205">
        <f>ROUND(ROUND(AE205*AI205,2)*CX205,2)</f>
        <v>7.66</v>
      </c>
      <c r="DG205">
        <f t="shared" si="108"/>
        <v>0</v>
      </c>
      <c r="DH205">
        <f t="shared" si="106"/>
        <v>0</v>
      </c>
      <c r="DI205">
        <f t="shared" si="107"/>
        <v>0</v>
      </c>
      <c r="DJ205">
        <f>DF205</f>
        <v>7.66</v>
      </c>
      <c r="DK205">
        <v>0</v>
      </c>
      <c r="DL205" t="s">
        <v>3</v>
      </c>
      <c r="DM205">
        <v>0</v>
      </c>
      <c r="DN205" t="s">
        <v>3</v>
      </c>
      <c r="DO205">
        <v>0</v>
      </c>
    </row>
    <row r="206" spans="1:119" x14ac:dyDescent="0.25">
      <c r="A206">
        <f>ROW(Source!A173)</f>
        <v>173</v>
      </c>
      <c r="B206">
        <v>75604747</v>
      </c>
      <c r="C206">
        <v>75618306</v>
      </c>
      <c r="D206">
        <v>74182250</v>
      </c>
      <c r="E206">
        <v>118</v>
      </c>
      <c r="F206">
        <v>1</v>
      </c>
      <c r="G206">
        <v>1</v>
      </c>
      <c r="H206">
        <v>1</v>
      </c>
      <c r="I206" t="s">
        <v>570</v>
      </c>
      <c r="J206" t="s">
        <v>3</v>
      </c>
      <c r="K206" t="s">
        <v>571</v>
      </c>
      <c r="L206">
        <v>1191</v>
      </c>
      <c r="N206">
        <v>1013</v>
      </c>
      <c r="O206" t="s">
        <v>501</v>
      </c>
      <c r="P206" t="s">
        <v>501</v>
      </c>
      <c r="Q206">
        <v>1</v>
      </c>
      <c r="W206">
        <v>0</v>
      </c>
      <c r="X206">
        <v>1682852000</v>
      </c>
      <c r="Y206">
        <f>(AT206*ROUND((0.15+1),7))</f>
        <v>6.8424999999999994</v>
      </c>
      <c r="AA206">
        <v>0</v>
      </c>
      <c r="AB206">
        <v>0</v>
      </c>
      <c r="AC206">
        <v>0</v>
      </c>
      <c r="AD206">
        <v>318.58</v>
      </c>
      <c r="AE206">
        <v>0</v>
      </c>
      <c r="AF206">
        <v>0</v>
      </c>
      <c r="AG206">
        <v>0</v>
      </c>
      <c r="AH206">
        <v>318.58</v>
      </c>
      <c r="AI206">
        <v>1</v>
      </c>
      <c r="AJ206">
        <v>1</v>
      </c>
      <c r="AK206">
        <v>1</v>
      </c>
      <c r="AL206">
        <v>1</v>
      </c>
      <c r="AM206">
        <v>-2</v>
      </c>
      <c r="AN206">
        <v>0</v>
      </c>
      <c r="AO206">
        <v>0</v>
      </c>
      <c r="AP206">
        <v>1</v>
      </c>
      <c r="AQ206">
        <v>1</v>
      </c>
      <c r="AR206">
        <v>0</v>
      </c>
      <c r="AS206" t="s">
        <v>3</v>
      </c>
      <c r="AT206">
        <v>5.95</v>
      </c>
      <c r="AU206" t="s">
        <v>27</v>
      </c>
      <c r="AV206">
        <v>1</v>
      </c>
      <c r="AW206">
        <v>2</v>
      </c>
      <c r="AX206">
        <v>75618316</v>
      </c>
      <c r="AY206">
        <v>1</v>
      </c>
      <c r="AZ206">
        <v>0</v>
      </c>
      <c r="BA206">
        <v>217</v>
      </c>
      <c r="BB206">
        <v>1</v>
      </c>
      <c r="BC206">
        <v>0</v>
      </c>
      <c r="BD206">
        <v>0</v>
      </c>
      <c r="BE206">
        <v>0</v>
      </c>
      <c r="BF206">
        <v>0</v>
      </c>
      <c r="BG206">
        <v>0</v>
      </c>
      <c r="BH206">
        <v>0</v>
      </c>
      <c r="BI206">
        <v>0</v>
      </c>
      <c r="BJ206">
        <v>0</v>
      </c>
      <c r="BK206">
        <v>0</v>
      </c>
      <c r="BL206">
        <v>0</v>
      </c>
      <c r="BM206">
        <v>1895.5509999999999</v>
      </c>
      <c r="BN206">
        <v>5.95</v>
      </c>
      <c r="BO206">
        <v>0</v>
      </c>
      <c r="BP206">
        <v>1</v>
      </c>
      <c r="BQ206">
        <v>0</v>
      </c>
      <c r="BR206">
        <v>0</v>
      </c>
      <c r="BS206">
        <v>0</v>
      </c>
      <c r="BT206">
        <v>2179.8836499999998</v>
      </c>
      <c r="BU206">
        <v>6.8424999999999994</v>
      </c>
      <c r="BV206">
        <v>0</v>
      </c>
      <c r="BW206">
        <v>1</v>
      </c>
      <c r="CU206">
        <f>ROUND(AT206*Source!I173*AH206*AL206,2)</f>
        <v>568.66999999999996</v>
      </c>
      <c r="CV206">
        <f>ROUND(Y206*Source!I173,7)</f>
        <v>2.0527500000000001</v>
      </c>
      <c r="CW206">
        <v>0</v>
      </c>
      <c r="CX206">
        <f>ROUND(Y206*Source!I173,7)</f>
        <v>2.0527500000000001</v>
      </c>
      <c r="CY206">
        <f>AD206</f>
        <v>318.58</v>
      </c>
      <c r="CZ206">
        <f>AH206</f>
        <v>318.58</v>
      </c>
      <c r="DA206">
        <f>AL206</f>
        <v>1</v>
      </c>
      <c r="DB206">
        <f>ROUND((ROUND(AT206*CZ206,2)*ROUND((0.15+1),7)),6)</f>
        <v>2179.8825000000002</v>
      </c>
      <c r="DC206">
        <f>ROUND((ROUND(AT206*AG206,2)*ROUND((0.15+1),7)),6)</f>
        <v>0</v>
      </c>
      <c r="DD206" t="s">
        <v>3</v>
      </c>
      <c r="DE206" t="s">
        <v>3</v>
      </c>
      <c r="DF206">
        <f>ROUND(ROUND(AE206,2)*CX206,2)</f>
        <v>0</v>
      </c>
      <c r="DG206">
        <f t="shared" si="108"/>
        <v>0</v>
      </c>
      <c r="DH206">
        <f t="shared" si="106"/>
        <v>0</v>
      </c>
      <c r="DI206">
        <f t="shared" si="107"/>
        <v>653.97</v>
      </c>
      <c r="DJ206">
        <f>DI206</f>
        <v>653.97</v>
      </c>
      <c r="DK206">
        <v>1</v>
      </c>
      <c r="DL206" t="s">
        <v>3</v>
      </c>
      <c r="DM206">
        <v>0</v>
      </c>
      <c r="DN206" t="s">
        <v>3</v>
      </c>
      <c r="DO206">
        <v>0</v>
      </c>
    </row>
    <row r="207" spans="1:119" x14ac:dyDescent="0.25">
      <c r="A207">
        <f>ROW(Source!A173)</f>
        <v>173</v>
      </c>
      <c r="B207">
        <v>75604747</v>
      </c>
      <c r="C207">
        <v>75618306</v>
      </c>
      <c r="D207">
        <v>74182464</v>
      </c>
      <c r="E207">
        <v>118</v>
      </c>
      <c r="F207">
        <v>1</v>
      </c>
      <c r="G207">
        <v>1</v>
      </c>
      <c r="H207">
        <v>1</v>
      </c>
      <c r="I207" t="s">
        <v>504</v>
      </c>
      <c r="J207" t="s">
        <v>3</v>
      </c>
      <c r="K207" t="s">
        <v>505</v>
      </c>
      <c r="L207">
        <v>1191</v>
      </c>
      <c r="N207">
        <v>1013</v>
      </c>
      <c r="O207" t="s">
        <v>501</v>
      </c>
      <c r="P207" t="s">
        <v>501</v>
      </c>
      <c r="Q207">
        <v>1</v>
      </c>
      <c r="W207">
        <v>0</v>
      </c>
      <c r="X207">
        <v>-1417349443</v>
      </c>
      <c r="Y207">
        <f>(AT207*ROUND((0.15+1),7))</f>
        <v>0.41399999999999998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1</v>
      </c>
      <c r="AJ207">
        <v>1</v>
      </c>
      <c r="AK207">
        <v>1</v>
      </c>
      <c r="AL207">
        <v>1</v>
      </c>
      <c r="AM207">
        <v>-2</v>
      </c>
      <c r="AN207">
        <v>0</v>
      </c>
      <c r="AO207">
        <v>0</v>
      </c>
      <c r="AP207">
        <v>1</v>
      </c>
      <c r="AQ207">
        <v>1</v>
      </c>
      <c r="AR207">
        <v>0</v>
      </c>
      <c r="AS207" t="s">
        <v>3</v>
      </c>
      <c r="AT207">
        <v>0.36</v>
      </c>
      <c r="AU207" t="s">
        <v>27</v>
      </c>
      <c r="AV207">
        <v>2</v>
      </c>
      <c r="AW207">
        <v>2</v>
      </c>
      <c r="AX207">
        <v>75618317</v>
      </c>
      <c r="AY207">
        <v>1</v>
      </c>
      <c r="AZ207">
        <v>0</v>
      </c>
      <c r="BA207">
        <v>218</v>
      </c>
      <c r="BB207">
        <v>1</v>
      </c>
      <c r="BC207">
        <v>0</v>
      </c>
      <c r="BD207">
        <v>0</v>
      </c>
      <c r="BE207">
        <v>0</v>
      </c>
      <c r="BF207">
        <v>0</v>
      </c>
      <c r="BG207">
        <v>0</v>
      </c>
      <c r="BH207">
        <v>0</v>
      </c>
      <c r="BI207">
        <v>0</v>
      </c>
      <c r="BJ207">
        <v>0</v>
      </c>
      <c r="BK207">
        <v>0</v>
      </c>
      <c r="BL207">
        <v>0</v>
      </c>
      <c r="BM207">
        <v>0</v>
      </c>
      <c r="BN207">
        <v>0</v>
      </c>
      <c r="BO207">
        <v>0</v>
      </c>
      <c r="BP207">
        <v>0</v>
      </c>
      <c r="BQ207">
        <v>0</v>
      </c>
      <c r="BR207">
        <v>0</v>
      </c>
      <c r="BS207">
        <v>0</v>
      </c>
      <c r="BT207">
        <v>0</v>
      </c>
      <c r="BU207">
        <v>0</v>
      </c>
      <c r="BV207">
        <v>0</v>
      </c>
      <c r="BW207">
        <v>0</v>
      </c>
      <c r="CV207">
        <v>0</v>
      </c>
      <c r="CW207">
        <v>0</v>
      </c>
      <c r="CX207">
        <f>ROUND(Y207*Source!I173,7)</f>
        <v>0.1242</v>
      </c>
      <c r="CY207">
        <f>AD207</f>
        <v>0</v>
      </c>
      <c r="CZ207">
        <f>AH207</f>
        <v>0</v>
      </c>
      <c r="DA207">
        <f>AL207</f>
        <v>1</v>
      </c>
      <c r="DB207">
        <f>ROUND((ROUND(AT207*CZ207,2)*ROUND((0.15+1),7)),6)</f>
        <v>0</v>
      </c>
      <c r="DC207">
        <f>ROUND((ROUND(AT207*AG207,2)*ROUND((0.15+1),7)),6)</f>
        <v>0</v>
      </c>
      <c r="DD207" t="s">
        <v>3</v>
      </c>
      <c r="DE207" t="s">
        <v>3</v>
      </c>
      <c r="DF207">
        <f>ROUND(ROUND(AE207,2)*CX207,2)</f>
        <v>0</v>
      </c>
      <c r="DG207">
        <f t="shared" si="108"/>
        <v>0</v>
      </c>
      <c r="DH207">
        <f t="shared" si="106"/>
        <v>0</v>
      </c>
      <c r="DI207">
        <f t="shared" si="107"/>
        <v>0</v>
      </c>
      <c r="DJ207">
        <f>DI207</f>
        <v>0</v>
      </c>
      <c r="DK207">
        <v>0</v>
      </c>
      <c r="DL207" t="s">
        <v>3</v>
      </c>
      <c r="DM207">
        <v>0</v>
      </c>
      <c r="DN207" t="s">
        <v>3</v>
      </c>
      <c r="DO207">
        <v>0</v>
      </c>
    </row>
    <row r="208" spans="1:119" x14ac:dyDescent="0.25">
      <c r="A208">
        <f>ROW(Source!A173)</f>
        <v>173</v>
      </c>
      <c r="B208">
        <v>75604747</v>
      </c>
      <c r="C208">
        <v>75618306</v>
      </c>
      <c r="D208">
        <v>74308868</v>
      </c>
      <c r="E208">
        <v>1</v>
      </c>
      <c r="F208">
        <v>1</v>
      </c>
      <c r="G208">
        <v>1</v>
      </c>
      <c r="H208">
        <v>2</v>
      </c>
      <c r="I208" t="s">
        <v>714</v>
      </c>
      <c r="J208" t="s">
        <v>715</v>
      </c>
      <c r="K208" t="s">
        <v>716</v>
      </c>
      <c r="L208">
        <v>1368</v>
      </c>
      <c r="N208">
        <v>1011</v>
      </c>
      <c r="O208" t="s">
        <v>509</v>
      </c>
      <c r="P208" t="s">
        <v>509</v>
      </c>
      <c r="Q208">
        <v>1</v>
      </c>
      <c r="W208">
        <v>0</v>
      </c>
      <c r="X208">
        <v>-1073301144</v>
      </c>
      <c r="Y208">
        <f>(AT208*ROUND((0.15+1),7))</f>
        <v>0.41399999999999998</v>
      </c>
      <c r="AA208">
        <v>0</v>
      </c>
      <c r="AB208">
        <v>1051.72</v>
      </c>
      <c r="AC208">
        <v>494.35</v>
      </c>
      <c r="AD208">
        <v>0</v>
      </c>
      <c r="AE208">
        <v>0</v>
      </c>
      <c r="AF208">
        <v>1051.72</v>
      </c>
      <c r="AG208">
        <v>494.35</v>
      </c>
      <c r="AH208">
        <v>0</v>
      </c>
      <c r="AI208">
        <v>1</v>
      </c>
      <c r="AJ208">
        <v>1</v>
      </c>
      <c r="AK208">
        <v>1</v>
      </c>
      <c r="AL208">
        <v>1</v>
      </c>
      <c r="AM208">
        <v>-2</v>
      </c>
      <c r="AN208">
        <v>0</v>
      </c>
      <c r="AO208">
        <v>0</v>
      </c>
      <c r="AP208">
        <v>1</v>
      </c>
      <c r="AQ208">
        <v>1</v>
      </c>
      <c r="AR208">
        <v>0</v>
      </c>
      <c r="AS208" t="s">
        <v>3</v>
      </c>
      <c r="AT208">
        <v>0.36</v>
      </c>
      <c r="AU208" t="s">
        <v>27</v>
      </c>
      <c r="AV208">
        <v>1</v>
      </c>
      <c r="AW208">
        <v>2</v>
      </c>
      <c r="AX208">
        <v>75618318</v>
      </c>
      <c r="AY208">
        <v>1</v>
      </c>
      <c r="AZ208">
        <v>0</v>
      </c>
      <c r="BA208">
        <v>219</v>
      </c>
      <c r="BB208">
        <v>1</v>
      </c>
      <c r="BC208">
        <v>0</v>
      </c>
      <c r="BD208">
        <v>0</v>
      </c>
      <c r="BE208">
        <v>0</v>
      </c>
      <c r="BF208">
        <v>0</v>
      </c>
      <c r="BG208">
        <v>0</v>
      </c>
      <c r="BH208">
        <v>0</v>
      </c>
      <c r="BI208">
        <v>0</v>
      </c>
      <c r="BJ208">
        <v>0</v>
      </c>
      <c r="BK208">
        <v>378.61919999999998</v>
      </c>
      <c r="BL208">
        <v>177.96600000000001</v>
      </c>
      <c r="BM208">
        <v>0</v>
      </c>
      <c r="BN208">
        <v>0</v>
      </c>
      <c r="BO208">
        <v>0.36</v>
      </c>
      <c r="BP208">
        <v>1</v>
      </c>
      <c r="BQ208">
        <v>0</v>
      </c>
      <c r="BR208">
        <v>435.41208</v>
      </c>
      <c r="BS208">
        <v>204.6609</v>
      </c>
      <c r="BT208">
        <v>0</v>
      </c>
      <c r="BU208">
        <v>0</v>
      </c>
      <c r="BV208">
        <v>0.41399999999999998</v>
      </c>
      <c r="BW208">
        <v>1</v>
      </c>
      <c r="CV208">
        <v>0</v>
      </c>
      <c r="CW208">
        <f>ROUND(Y208*Source!I173*DO208,7)</f>
        <v>0.1242</v>
      </c>
      <c r="CX208">
        <f>ROUND(Y208*Source!I173,7)</f>
        <v>0.1242</v>
      </c>
      <c r="CY208">
        <f>AB208</f>
        <v>1051.72</v>
      </c>
      <c r="CZ208">
        <f>AF208</f>
        <v>1051.72</v>
      </c>
      <c r="DA208">
        <f>AJ208</f>
        <v>1</v>
      </c>
      <c r="DB208">
        <f>ROUND((ROUND(AT208*CZ208,2)*ROUND((0.15+1),7)),6)</f>
        <v>435.41300000000001</v>
      </c>
      <c r="DC208">
        <f>ROUND((ROUND(AT208*AG208,2)*ROUND((0.15+1),7)),6)</f>
        <v>204.66550000000001</v>
      </c>
      <c r="DD208" t="s">
        <v>3</v>
      </c>
      <c r="DE208" t="s">
        <v>3</v>
      </c>
      <c r="DF208">
        <f>ROUND(ROUND(AE208,2)*CX208,2)</f>
        <v>0</v>
      </c>
      <c r="DG208">
        <f t="shared" si="108"/>
        <v>130.62</v>
      </c>
      <c r="DH208">
        <f t="shared" si="106"/>
        <v>61.4</v>
      </c>
      <c r="DI208">
        <f t="shared" si="107"/>
        <v>0</v>
      </c>
      <c r="DJ208">
        <f>DG208+DH208</f>
        <v>192.02</v>
      </c>
      <c r="DK208">
        <v>1</v>
      </c>
      <c r="DL208" t="s">
        <v>577</v>
      </c>
      <c r="DM208">
        <v>6</v>
      </c>
      <c r="DN208" t="s">
        <v>501</v>
      </c>
      <c r="DO208">
        <v>1</v>
      </c>
    </row>
    <row r="209" spans="1:119" x14ac:dyDescent="0.25">
      <c r="A209">
        <f>ROW(Source!A173)</f>
        <v>173</v>
      </c>
      <c r="B209">
        <v>75604747</v>
      </c>
      <c r="C209">
        <v>75618306</v>
      </c>
      <c r="D209">
        <v>74259029</v>
      </c>
      <c r="E209">
        <v>1</v>
      </c>
      <c r="F209">
        <v>1</v>
      </c>
      <c r="G209">
        <v>1</v>
      </c>
      <c r="H209">
        <v>3</v>
      </c>
      <c r="I209" t="s">
        <v>600</v>
      </c>
      <c r="J209" t="s">
        <v>601</v>
      </c>
      <c r="K209" t="s">
        <v>602</v>
      </c>
      <c r="L209">
        <v>1339</v>
      </c>
      <c r="N209">
        <v>1007</v>
      </c>
      <c r="O209" t="s">
        <v>205</v>
      </c>
      <c r="P209" t="s">
        <v>205</v>
      </c>
      <c r="Q209">
        <v>1</v>
      </c>
      <c r="W209">
        <v>0</v>
      </c>
      <c r="X209">
        <v>727623859</v>
      </c>
      <c r="Y209">
        <f>AT209</f>
        <v>0.46</v>
      </c>
      <c r="AA209">
        <v>31.42</v>
      </c>
      <c r="AB209">
        <v>0</v>
      </c>
      <c r="AC209">
        <v>0</v>
      </c>
      <c r="AD209">
        <v>0</v>
      </c>
      <c r="AE209">
        <v>35.71</v>
      </c>
      <c r="AF209">
        <v>0</v>
      </c>
      <c r="AG209">
        <v>0</v>
      </c>
      <c r="AH209">
        <v>0</v>
      </c>
      <c r="AI209">
        <v>0.88</v>
      </c>
      <c r="AJ209">
        <v>1</v>
      </c>
      <c r="AK209">
        <v>1</v>
      </c>
      <c r="AL209">
        <v>1</v>
      </c>
      <c r="AM209">
        <v>2</v>
      </c>
      <c r="AN209">
        <v>0</v>
      </c>
      <c r="AO209">
        <v>0</v>
      </c>
      <c r="AP209">
        <v>1</v>
      </c>
      <c r="AQ209">
        <v>1</v>
      </c>
      <c r="AR209">
        <v>0</v>
      </c>
      <c r="AS209" t="s">
        <v>3</v>
      </c>
      <c r="AT209">
        <v>0.46</v>
      </c>
      <c r="AU209" t="s">
        <v>3</v>
      </c>
      <c r="AV209">
        <v>0</v>
      </c>
      <c r="AW209">
        <v>2</v>
      </c>
      <c r="AX209">
        <v>75618319</v>
      </c>
      <c r="AY209">
        <v>1</v>
      </c>
      <c r="AZ209">
        <v>0</v>
      </c>
      <c r="BA209">
        <v>220</v>
      </c>
      <c r="BB209">
        <v>1</v>
      </c>
      <c r="BC209">
        <v>0</v>
      </c>
      <c r="BD209">
        <v>0</v>
      </c>
      <c r="BE209">
        <v>0</v>
      </c>
      <c r="BF209">
        <v>0</v>
      </c>
      <c r="BG209">
        <v>0</v>
      </c>
      <c r="BH209">
        <v>0</v>
      </c>
      <c r="BI209">
        <v>0</v>
      </c>
      <c r="BJ209">
        <v>16.426600000000001</v>
      </c>
      <c r="BK209">
        <v>0</v>
      </c>
      <c r="BL209">
        <v>0</v>
      </c>
      <c r="BM209">
        <v>0</v>
      </c>
      <c r="BN209">
        <v>0</v>
      </c>
      <c r="BO209">
        <v>0</v>
      </c>
      <c r="BP209">
        <v>1</v>
      </c>
      <c r="BQ209">
        <v>16.426600000000001</v>
      </c>
      <c r="BR209">
        <v>0</v>
      </c>
      <c r="BS209">
        <v>0</v>
      </c>
      <c r="BT209">
        <v>0</v>
      </c>
      <c r="BU209">
        <v>0</v>
      </c>
      <c r="BV209">
        <v>0</v>
      </c>
      <c r="BW209">
        <v>1</v>
      </c>
      <c r="CV209">
        <v>0</v>
      </c>
      <c r="CW209">
        <v>0</v>
      </c>
      <c r="CX209">
        <f>ROUND(Y209*Source!I173,7)</f>
        <v>0.13800000000000001</v>
      </c>
      <c r="CY209">
        <f>AA209</f>
        <v>31.42</v>
      </c>
      <c r="CZ209">
        <f>AE209</f>
        <v>35.71</v>
      </c>
      <c r="DA209">
        <f>AI209</f>
        <v>0.88</v>
      </c>
      <c r="DB209">
        <f>ROUND(ROUND(AT209*CZ209,2),6)</f>
        <v>16.43</v>
      </c>
      <c r="DC209">
        <f>ROUND(ROUND(AT209*AG209,2),6)</f>
        <v>0</v>
      </c>
      <c r="DD209" t="s">
        <v>3</v>
      </c>
      <c r="DE209" t="s">
        <v>3</v>
      </c>
      <c r="DF209">
        <f>ROUND(ROUND(AE209*AI209,2)*CX209,2)</f>
        <v>4.34</v>
      </c>
      <c r="DG209">
        <f t="shared" si="108"/>
        <v>0</v>
      </c>
      <c r="DH209">
        <f t="shared" si="106"/>
        <v>0</v>
      </c>
      <c r="DI209">
        <f t="shared" si="107"/>
        <v>0</v>
      </c>
      <c r="DJ209">
        <f>DF209</f>
        <v>4.34</v>
      </c>
      <c r="DK209">
        <v>0</v>
      </c>
      <c r="DL209" t="s">
        <v>3</v>
      </c>
      <c r="DM209">
        <v>0</v>
      </c>
      <c r="DN209" t="s">
        <v>3</v>
      </c>
      <c r="DO209">
        <v>0</v>
      </c>
    </row>
    <row r="210" spans="1:119" x14ac:dyDescent="0.25">
      <c r="A210">
        <f>ROW(Source!A173)</f>
        <v>173</v>
      </c>
      <c r="B210">
        <v>75604747</v>
      </c>
      <c r="C210">
        <v>75618306</v>
      </c>
      <c r="D210">
        <v>74262987</v>
      </c>
      <c r="E210">
        <v>1</v>
      </c>
      <c r="F210">
        <v>1</v>
      </c>
      <c r="G210">
        <v>1</v>
      </c>
      <c r="H210">
        <v>3</v>
      </c>
      <c r="I210" t="s">
        <v>347</v>
      </c>
      <c r="J210" t="s">
        <v>349</v>
      </c>
      <c r="K210" t="s">
        <v>348</v>
      </c>
      <c r="L210">
        <v>1339</v>
      </c>
      <c r="N210">
        <v>1007</v>
      </c>
      <c r="O210" t="s">
        <v>205</v>
      </c>
      <c r="P210" t="s">
        <v>205</v>
      </c>
      <c r="Q210">
        <v>1</v>
      </c>
      <c r="W210">
        <v>0</v>
      </c>
      <c r="X210">
        <v>-614215973</v>
      </c>
      <c r="Y210">
        <f>AT210</f>
        <v>0.221</v>
      </c>
      <c r="AA210">
        <v>4988.2</v>
      </c>
      <c r="AB210">
        <v>0</v>
      </c>
      <c r="AC210">
        <v>0</v>
      </c>
      <c r="AD210">
        <v>0</v>
      </c>
      <c r="AE210">
        <v>4988.2</v>
      </c>
      <c r="AF210">
        <v>0</v>
      </c>
      <c r="AG210">
        <v>0</v>
      </c>
      <c r="AH210">
        <v>0</v>
      </c>
      <c r="AI210">
        <v>1</v>
      </c>
      <c r="AJ210">
        <v>1</v>
      </c>
      <c r="AK210">
        <v>1</v>
      </c>
      <c r="AL210">
        <v>1</v>
      </c>
      <c r="AM210">
        <v>0</v>
      </c>
      <c r="AN210">
        <v>0</v>
      </c>
      <c r="AO210">
        <v>0</v>
      </c>
      <c r="AP210">
        <v>1</v>
      </c>
      <c r="AQ210">
        <v>0</v>
      </c>
      <c r="AR210">
        <v>0</v>
      </c>
      <c r="AS210" t="s">
        <v>3</v>
      </c>
      <c r="AT210">
        <v>0.221</v>
      </c>
      <c r="AU210" t="s">
        <v>3</v>
      </c>
      <c r="AV210">
        <v>0</v>
      </c>
      <c r="AW210">
        <v>1</v>
      </c>
      <c r="AX210">
        <v>-1</v>
      </c>
      <c r="AY210">
        <v>0</v>
      </c>
      <c r="AZ210">
        <v>0</v>
      </c>
      <c r="BA210" t="s">
        <v>3</v>
      </c>
      <c r="BB210">
        <v>0</v>
      </c>
      <c r="BC210">
        <v>0</v>
      </c>
      <c r="BD210">
        <v>0</v>
      </c>
      <c r="BE210">
        <v>0</v>
      </c>
      <c r="BF210">
        <v>0</v>
      </c>
      <c r="BG210">
        <v>0</v>
      </c>
      <c r="BH210">
        <v>0</v>
      </c>
      <c r="BI210">
        <v>0</v>
      </c>
      <c r="BJ210">
        <v>0</v>
      </c>
      <c r="BK210">
        <v>0</v>
      </c>
      <c r="BL210">
        <v>0</v>
      </c>
      <c r="BM210">
        <v>0</v>
      </c>
      <c r="BN210">
        <v>0</v>
      </c>
      <c r="BO210">
        <v>0</v>
      </c>
      <c r="BP210">
        <v>0</v>
      </c>
      <c r="BQ210">
        <v>0</v>
      </c>
      <c r="BR210">
        <v>0</v>
      </c>
      <c r="BS210">
        <v>0</v>
      </c>
      <c r="BT210">
        <v>0</v>
      </c>
      <c r="BU210">
        <v>0</v>
      </c>
      <c r="BV210">
        <v>0</v>
      </c>
      <c r="BW210">
        <v>0</v>
      </c>
      <c r="CV210">
        <v>0</v>
      </c>
      <c r="CW210">
        <v>0</v>
      </c>
      <c r="CX210">
        <f>ROUND(Y210*Source!I173,7)</f>
        <v>6.6299999999999998E-2</v>
      </c>
      <c r="CY210">
        <f>AA210</f>
        <v>4988.2</v>
      </c>
      <c r="CZ210">
        <f>AE210</f>
        <v>4988.2</v>
      </c>
      <c r="DA210">
        <f>AI210</f>
        <v>1</v>
      </c>
      <c r="DB210">
        <f>ROUND(ROUND(AT210*CZ210,2),6)</f>
        <v>1102.3900000000001</v>
      </c>
      <c r="DC210">
        <f>ROUND(ROUND(AT210*AG210,2),6)</f>
        <v>0</v>
      </c>
      <c r="DD210" t="s">
        <v>3</v>
      </c>
      <c r="DE210" t="s">
        <v>3</v>
      </c>
      <c r="DF210">
        <f>ROUND(ROUND(AE210,2)*CX210,2)</f>
        <v>330.72</v>
      </c>
      <c r="DG210">
        <f t="shared" si="108"/>
        <v>0</v>
      </c>
      <c r="DH210">
        <f t="shared" si="106"/>
        <v>0</v>
      </c>
      <c r="DI210">
        <f t="shared" si="107"/>
        <v>0</v>
      </c>
      <c r="DJ210">
        <f>DF210</f>
        <v>330.72</v>
      </c>
      <c r="DK210">
        <v>1</v>
      </c>
      <c r="DL210" t="s">
        <v>3</v>
      </c>
      <c r="DM210">
        <v>0</v>
      </c>
      <c r="DN210" t="s">
        <v>3</v>
      </c>
      <c r="DO210">
        <v>0</v>
      </c>
    </row>
    <row r="211" spans="1:119" x14ac:dyDescent="0.25">
      <c r="A211">
        <f>ROW(Source!A173)</f>
        <v>173</v>
      </c>
      <c r="B211">
        <v>75604747</v>
      </c>
      <c r="C211">
        <v>75618306</v>
      </c>
      <c r="D211">
        <v>74264734</v>
      </c>
      <c r="E211">
        <v>1</v>
      </c>
      <c r="F211">
        <v>1</v>
      </c>
      <c r="G211">
        <v>1</v>
      </c>
      <c r="H211">
        <v>3</v>
      </c>
      <c r="I211" t="s">
        <v>351</v>
      </c>
      <c r="J211" t="s">
        <v>354</v>
      </c>
      <c r="K211" t="s">
        <v>352</v>
      </c>
      <c r="L211">
        <v>1407</v>
      </c>
      <c r="N211">
        <v>1013</v>
      </c>
      <c r="O211" t="s">
        <v>353</v>
      </c>
      <c r="P211" t="s">
        <v>353</v>
      </c>
      <c r="Q211">
        <v>1000</v>
      </c>
      <c r="W211">
        <v>0</v>
      </c>
      <c r="X211">
        <v>-826401075</v>
      </c>
      <c r="Y211">
        <f>AT211</f>
        <v>0.4</v>
      </c>
      <c r="AA211">
        <v>18991.84</v>
      </c>
      <c r="AB211">
        <v>0</v>
      </c>
      <c r="AC211">
        <v>0</v>
      </c>
      <c r="AD211">
        <v>0</v>
      </c>
      <c r="AE211">
        <v>18991.84</v>
      </c>
      <c r="AF211">
        <v>0</v>
      </c>
      <c r="AG211">
        <v>0</v>
      </c>
      <c r="AH211">
        <v>0</v>
      </c>
      <c r="AI211">
        <v>1</v>
      </c>
      <c r="AJ211">
        <v>1</v>
      </c>
      <c r="AK211">
        <v>1</v>
      </c>
      <c r="AL211">
        <v>1</v>
      </c>
      <c r="AM211">
        <v>0</v>
      </c>
      <c r="AN211">
        <v>0</v>
      </c>
      <c r="AO211">
        <v>0</v>
      </c>
      <c r="AP211">
        <v>1</v>
      </c>
      <c r="AQ211">
        <v>0</v>
      </c>
      <c r="AR211">
        <v>0</v>
      </c>
      <c r="AS211" t="s">
        <v>3</v>
      </c>
      <c r="AT211">
        <v>0.4</v>
      </c>
      <c r="AU211" t="s">
        <v>3</v>
      </c>
      <c r="AV211">
        <v>0</v>
      </c>
      <c r="AW211">
        <v>1</v>
      </c>
      <c r="AX211">
        <v>-1</v>
      </c>
      <c r="AY211">
        <v>0</v>
      </c>
      <c r="AZ211">
        <v>0</v>
      </c>
      <c r="BA211" t="s">
        <v>3</v>
      </c>
      <c r="BB211">
        <v>0</v>
      </c>
      <c r="BC211">
        <v>0</v>
      </c>
      <c r="BD211">
        <v>0</v>
      </c>
      <c r="BE211">
        <v>0</v>
      </c>
      <c r="BF211">
        <v>0</v>
      </c>
      <c r="BG211">
        <v>0</v>
      </c>
      <c r="BH211">
        <v>0</v>
      </c>
      <c r="BI211">
        <v>0</v>
      </c>
      <c r="BJ211">
        <v>0</v>
      </c>
      <c r="BK211">
        <v>0</v>
      </c>
      <c r="BL211">
        <v>0</v>
      </c>
      <c r="BM211">
        <v>0</v>
      </c>
      <c r="BN211">
        <v>0</v>
      </c>
      <c r="BO211">
        <v>0</v>
      </c>
      <c r="BP211">
        <v>0</v>
      </c>
      <c r="BQ211">
        <v>0</v>
      </c>
      <c r="BR211">
        <v>0</v>
      </c>
      <c r="BS211">
        <v>0</v>
      </c>
      <c r="BT211">
        <v>0</v>
      </c>
      <c r="BU211">
        <v>0</v>
      </c>
      <c r="BV211">
        <v>0</v>
      </c>
      <c r="BW211">
        <v>0</v>
      </c>
      <c r="CV211">
        <v>0</v>
      </c>
      <c r="CW211">
        <v>0</v>
      </c>
      <c r="CX211">
        <f>ROUND(Y211*Source!I173,7)</f>
        <v>0.12</v>
      </c>
      <c r="CY211">
        <f>AA211</f>
        <v>18991.84</v>
      </c>
      <c r="CZ211">
        <f>AE211</f>
        <v>18991.84</v>
      </c>
      <c r="DA211">
        <f>AI211</f>
        <v>1</v>
      </c>
      <c r="DB211">
        <f>ROUND(ROUND(AT211*CZ211,2),6)</f>
        <v>7596.74</v>
      </c>
      <c r="DC211">
        <f>ROUND(ROUND(AT211*AG211,2),6)</f>
        <v>0</v>
      </c>
      <c r="DD211" t="s">
        <v>3</v>
      </c>
      <c r="DE211" t="s">
        <v>3</v>
      </c>
      <c r="DF211">
        <f>ROUND(ROUND(AE211,2)*CX211,2)</f>
        <v>2279.02</v>
      </c>
      <c r="DG211">
        <f t="shared" si="108"/>
        <v>0</v>
      </c>
      <c r="DH211">
        <f t="shared" si="106"/>
        <v>0</v>
      </c>
      <c r="DI211">
        <f t="shared" si="107"/>
        <v>0</v>
      </c>
      <c r="DJ211">
        <f>DF211</f>
        <v>2279.02</v>
      </c>
      <c r="DK211">
        <v>1</v>
      </c>
      <c r="DL211" t="s">
        <v>3</v>
      </c>
      <c r="DM211">
        <v>0</v>
      </c>
      <c r="DN211" t="s">
        <v>3</v>
      </c>
      <c r="DO211">
        <v>0</v>
      </c>
    </row>
    <row r="212" spans="1:119" x14ac:dyDescent="0.25">
      <c r="A212">
        <f>ROW(Source!A173)</f>
        <v>173</v>
      </c>
      <c r="B212">
        <v>75604747</v>
      </c>
      <c r="C212">
        <v>75618306</v>
      </c>
      <c r="D212">
        <v>74266474</v>
      </c>
      <c r="E212">
        <v>1</v>
      </c>
      <c r="F212">
        <v>1</v>
      </c>
      <c r="G212">
        <v>1</v>
      </c>
      <c r="H212">
        <v>3</v>
      </c>
      <c r="I212" t="s">
        <v>656</v>
      </c>
      <c r="J212" t="s">
        <v>657</v>
      </c>
      <c r="K212" t="s">
        <v>658</v>
      </c>
      <c r="L212">
        <v>1348</v>
      </c>
      <c r="N212">
        <v>1009</v>
      </c>
      <c r="O212" t="s">
        <v>174</v>
      </c>
      <c r="P212" t="s">
        <v>174</v>
      </c>
      <c r="Q212">
        <v>1000</v>
      </c>
      <c r="W212">
        <v>0</v>
      </c>
      <c r="X212">
        <v>-1732801658</v>
      </c>
      <c r="Y212">
        <f>AT212</f>
        <v>2.3E-3</v>
      </c>
      <c r="AA212">
        <v>73226.62</v>
      </c>
      <c r="AB212">
        <v>0</v>
      </c>
      <c r="AC212">
        <v>0</v>
      </c>
      <c r="AD212">
        <v>0</v>
      </c>
      <c r="AE212">
        <v>55898.18</v>
      </c>
      <c r="AF212">
        <v>0</v>
      </c>
      <c r="AG212">
        <v>0</v>
      </c>
      <c r="AH212">
        <v>0</v>
      </c>
      <c r="AI212">
        <v>1.31</v>
      </c>
      <c r="AJ212">
        <v>1</v>
      </c>
      <c r="AK212">
        <v>1</v>
      </c>
      <c r="AL212">
        <v>1</v>
      </c>
      <c r="AM212">
        <v>2</v>
      </c>
      <c r="AN212">
        <v>0</v>
      </c>
      <c r="AO212">
        <v>0</v>
      </c>
      <c r="AP212">
        <v>1</v>
      </c>
      <c r="AQ212">
        <v>1</v>
      </c>
      <c r="AR212">
        <v>0</v>
      </c>
      <c r="AS212" t="s">
        <v>3</v>
      </c>
      <c r="AT212">
        <v>2.3E-3</v>
      </c>
      <c r="AU212" t="s">
        <v>3</v>
      </c>
      <c r="AV212">
        <v>0</v>
      </c>
      <c r="AW212">
        <v>2</v>
      </c>
      <c r="AX212">
        <v>75618322</v>
      </c>
      <c r="AY212">
        <v>1</v>
      </c>
      <c r="AZ212">
        <v>0</v>
      </c>
      <c r="BA212">
        <v>223</v>
      </c>
      <c r="BB212">
        <v>1</v>
      </c>
      <c r="BC212">
        <v>0</v>
      </c>
      <c r="BD212">
        <v>0</v>
      </c>
      <c r="BE212">
        <v>0</v>
      </c>
      <c r="BF212">
        <v>0</v>
      </c>
      <c r="BG212">
        <v>0</v>
      </c>
      <c r="BH212">
        <v>0</v>
      </c>
      <c r="BI212">
        <v>0</v>
      </c>
      <c r="BJ212">
        <v>128.56581399999999</v>
      </c>
      <c r="BK212">
        <v>0</v>
      </c>
      <c r="BL212">
        <v>0</v>
      </c>
      <c r="BM212">
        <v>0</v>
      </c>
      <c r="BN212">
        <v>0</v>
      </c>
      <c r="BO212">
        <v>0</v>
      </c>
      <c r="BP212">
        <v>1</v>
      </c>
      <c r="BQ212">
        <v>128.56581399999999</v>
      </c>
      <c r="BR212">
        <v>0</v>
      </c>
      <c r="BS212">
        <v>0</v>
      </c>
      <c r="BT212">
        <v>0</v>
      </c>
      <c r="BU212">
        <v>0</v>
      </c>
      <c r="BV212">
        <v>0</v>
      </c>
      <c r="BW212">
        <v>1</v>
      </c>
      <c r="CV212">
        <v>0</v>
      </c>
      <c r="CW212">
        <v>0</v>
      </c>
      <c r="CX212">
        <f>ROUND(Y212*Source!I173,7)</f>
        <v>6.8999999999999997E-4</v>
      </c>
      <c r="CY212">
        <f>AA212</f>
        <v>73226.62</v>
      </c>
      <c r="CZ212">
        <f>AE212</f>
        <v>55898.18</v>
      </c>
      <c r="DA212">
        <f>AI212</f>
        <v>1.31</v>
      </c>
      <c r="DB212">
        <f>ROUND(ROUND(AT212*CZ212,2),6)</f>
        <v>128.57</v>
      </c>
      <c r="DC212">
        <f>ROUND(ROUND(AT212*AG212,2),6)</f>
        <v>0</v>
      </c>
      <c r="DD212" t="s">
        <v>3</v>
      </c>
      <c r="DE212" t="s">
        <v>3</v>
      </c>
      <c r="DF212">
        <f>ROUND(ROUND(AE212*AI212,2)*CX212,2)</f>
        <v>50.53</v>
      </c>
      <c r="DG212">
        <f t="shared" si="108"/>
        <v>0</v>
      </c>
      <c r="DH212">
        <f t="shared" si="106"/>
        <v>0</v>
      </c>
      <c r="DI212">
        <f t="shared" si="107"/>
        <v>0</v>
      </c>
      <c r="DJ212">
        <f>DF212</f>
        <v>50.53</v>
      </c>
      <c r="DK212">
        <v>0</v>
      </c>
      <c r="DL212" t="s">
        <v>3</v>
      </c>
      <c r="DM212">
        <v>0</v>
      </c>
      <c r="DN212" t="s">
        <v>3</v>
      </c>
      <c r="DO212">
        <v>0</v>
      </c>
    </row>
    <row r="213" spans="1:119" x14ac:dyDescent="0.25">
      <c r="A213">
        <f>ROW(Source!A176)</f>
        <v>176</v>
      </c>
      <c r="B213">
        <v>75604747</v>
      </c>
      <c r="C213">
        <v>75618325</v>
      </c>
      <c r="D213">
        <v>74182263</v>
      </c>
      <c r="E213">
        <v>118</v>
      </c>
      <c r="F213">
        <v>1</v>
      </c>
      <c r="G213">
        <v>1</v>
      </c>
      <c r="H213">
        <v>1</v>
      </c>
      <c r="I213" t="s">
        <v>514</v>
      </c>
      <c r="J213" t="s">
        <v>3</v>
      </c>
      <c r="K213" t="s">
        <v>515</v>
      </c>
      <c r="L213">
        <v>1191</v>
      </c>
      <c r="N213">
        <v>1013</v>
      </c>
      <c r="O213" t="s">
        <v>501</v>
      </c>
      <c r="P213" t="s">
        <v>501</v>
      </c>
      <c r="Q213">
        <v>1</v>
      </c>
      <c r="W213">
        <v>0</v>
      </c>
      <c r="X213">
        <v>-1833565283</v>
      </c>
      <c r="Y213">
        <f t="shared" ref="Y213:Y219" si="109">(AT213*ROUND((0.15+1),7))</f>
        <v>53.589999999999996</v>
      </c>
      <c r="AA213">
        <v>0</v>
      </c>
      <c r="AB213">
        <v>0</v>
      </c>
      <c r="AC213">
        <v>0</v>
      </c>
      <c r="AD213">
        <v>326.82</v>
      </c>
      <c r="AE213">
        <v>0</v>
      </c>
      <c r="AF213">
        <v>0</v>
      </c>
      <c r="AG213">
        <v>0</v>
      </c>
      <c r="AH213">
        <v>326.82</v>
      </c>
      <c r="AI213">
        <v>1</v>
      </c>
      <c r="AJ213">
        <v>1</v>
      </c>
      <c r="AK213">
        <v>1</v>
      </c>
      <c r="AL213">
        <v>1</v>
      </c>
      <c r="AM213">
        <v>-2</v>
      </c>
      <c r="AN213">
        <v>0</v>
      </c>
      <c r="AO213">
        <v>0</v>
      </c>
      <c r="AP213">
        <v>1</v>
      </c>
      <c r="AQ213">
        <v>1</v>
      </c>
      <c r="AR213">
        <v>0</v>
      </c>
      <c r="AS213" t="s">
        <v>3</v>
      </c>
      <c r="AT213">
        <v>46.6</v>
      </c>
      <c r="AU213" t="s">
        <v>27</v>
      </c>
      <c r="AV213">
        <v>1</v>
      </c>
      <c r="AW213">
        <v>2</v>
      </c>
      <c r="AX213">
        <v>75618347</v>
      </c>
      <c r="AY213">
        <v>1</v>
      </c>
      <c r="AZ213">
        <v>0</v>
      </c>
      <c r="BA213">
        <v>224</v>
      </c>
      <c r="BB213">
        <v>1</v>
      </c>
      <c r="BC213">
        <v>0</v>
      </c>
      <c r="BD213">
        <v>0</v>
      </c>
      <c r="BE213">
        <v>0</v>
      </c>
      <c r="BF213">
        <v>0</v>
      </c>
      <c r="BG213">
        <v>0</v>
      </c>
      <c r="BH213">
        <v>0</v>
      </c>
      <c r="BI213">
        <v>0</v>
      </c>
      <c r="BJ213">
        <v>0</v>
      </c>
      <c r="BK213">
        <v>0</v>
      </c>
      <c r="BL213">
        <v>0</v>
      </c>
      <c r="BM213">
        <v>15229.812</v>
      </c>
      <c r="BN213">
        <v>46.6</v>
      </c>
      <c r="BO213">
        <v>0</v>
      </c>
      <c r="BP213">
        <v>1</v>
      </c>
      <c r="BQ213">
        <v>0</v>
      </c>
      <c r="BR213">
        <v>0</v>
      </c>
      <c r="BS213">
        <v>0</v>
      </c>
      <c r="BT213">
        <v>17514.283799999997</v>
      </c>
      <c r="BU213">
        <v>53.589999999999996</v>
      </c>
      <c r="BV213">
        <v>0</v>
      </c>
      <c r="BW213">
        <v>1</v>
      </c>
      <c r="CU213">
        <f>ROUND(AT213*Source!I176*AH213*AL213,2)</f>
        <v>761.49</v>
      </c>
      <c r="CV213">
        <f>ROUND(Y213*Source!I176,7)</f>
        <v>2.6795</v>
      </c>
      <c r="CW213">
        <v>0</v>
      </c>
      <c r="CX213">
        <f>ROUND(Y213*Source!I176,7)</f>
        <v>2.6795</v>
      </c>
      <c r="CY213">
        <f>AD213</f>
        <v>326.82</v>
      </c>
      <c r="CZ213">
        <f>AH213</f>
        <v>326.82</v>
      </c>
      <c r="DA213">
        <f>AL213</f>
        <v>1</v>
      </c>
      <c r="DB213">
        <f t="shared" ref="DB213:DB219" si="110">ROUND((ROUND(AT213*CZ213,2)*ROUND((0.15+1),7)),6)</f>
        <v>17514.281500000001</v>
      </c>
      <c r="DC213">
        <f t="shared" ref="DC213:DC219" si="111">ROUND((ROUND(AT213*AG213,2)*ROUND((0.15+1),7)),6)</f>
        <v>0</v>
      </c>
      <c r="DD213" t="s">
        <v>3</v>
      </c>
      <c r="DE213" t="s">
        <v>3</v>
      </c>
      <c r="DF213">
        <f t="shared" ref="DF213:DF219" si="112">ROUND(ROUND(AE213,2)*CX213,2)</f>
        <v>0</v>
      </c>
      <c r="DG213">
        <f t="shared" si="108"/>
        <v>0</v>
      </c>
      <c r="DH213">
        <f t="shared" si="106"/>
        <v>0</v>
      </c>
      <c r="DI213">
        <f t="shared" si="107"/>
        <v>875.71</v>
      </c>
      <c r="DJ213">
        <f>DI213</f>
        <v>875.71</v>
      </c>
      <c r="DK213">
        <v>1</v>
      </c>
      <c r="DL213" t="s">
        <v>3</v>
      </c>
      <c r="DM213">
        <v>0</v>
      </c>
      <c r="DN213" t="s">
        <v>3</v>
      </c>
      <c r="DO213">
        <v>0</v>
      </c>
    </row>
    <row r="214" spans="1:119" x14ac:dyDescent="0.25">
      <c r="A214">
        <f>ROW(Source!A176)</f>
        <v>176</v>
      </c>
      <c r="B214">
        <v>75604747</v>
      </c>
      <c r="C214">
        <v>75618325</v>
      </c>
      <c r="D214">
        <v>74182464</v>
      </c>
      <c r="E214">
        <v>118</v>
      </c>
      <c r="F214">
        <v>1</v>
      </c>
      <c r="G214">
        <v>1</v>
      </c>
      <c r="H214">
        <v>1</v>
      </c>
      <c r="I214" t="s">
        <v>504</v>
      </c>
      <c r="J214" t="s">
        <v>3</v>
      </c>
      <c r="K214" t="s">
        <v>505</v>
      </c>
      <c r="L214">
        <v>1191</v>
      </c>
      <c r="N214">
        <v>1013</v>
      </c>
      <c r="O214" t="s">
        <v>501</v>
      </c>
      <c r="P214" t="s">
        <v>501</v>
      </c>
      <c r="Q214">
        <v>1</v>
      </c>
      <c r="W214">
        <v>0</v>
      </c>
      <c r="X214">
        <v>-1417349443</v>
      </c>
      <c r="Y214">
        <f t="shared" si="109"/>
        <v>0.35649999999999998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1</v>
      </c>
      <c r="AJ214">
        <v>1</v>
      </c>
      <c r="AK214">
        <v>1</v>
      </c>
      <c r="AL214">
        <v>1</v>
      </c>
      <c r="AM214">
        <v>-2</v>
      </c>
      <c r="AN214">
        <v>0</v>
      </c>
      <c r="AO214">
        <v>0</v>
      </c>
      <c r="AP214">
        <v>1</v>
      </c>
      <c r="AQ214">
        <v>1</v>
      </c>
      <c r="AR214">
        <v>0</v>
      </c>
      <c r="AS214" t="s">
        <v>3</v>
      </c>
      <c r="AT214">
        <v>0.31</v>
      </c>
      <c r="AU214" t="s">
        <v>27</v>
      </c>
      <c r="AV214">
        <v>2</v>
      </c>
      <c r="AW214">
        <v>2</v>
      </c>
      <c r="AX214">
        <v>75618348</v>
      </c>
      <c r="AY214">
        <v>1</v>
      </c>
      <c r="AZ214">
        <v>0</v>
      </c>
      <c r="BA214">
        <v>225</v>
      </c>
      <c r="BB214">
        <v>1</v>
      </c>
      <c r="BC214">
        <v>0</v>
      </c>
      <c r="BD214">
        <v>0</v>
      </c>
      <c r="BE214">
        <v>0</v>
      </c>
      <c r="BF214">
        <v>0</v>
      </c>
      <c r="BG214">
        <v>0</v>
      </c>
      <c r="BH214">
        <v>0</v>
      </c>
      <c r="BI214">
        <v>0</v>
      </c>
      <c r="BJ214">
        <v>0</v>
      </c>
      <c r="BK214">
        <v>0</v>
      </c>
      <c r="BL214">
        <v>0</v>
      </c>
      <c r="BM214">
        <v>0</v>
      </c>
      <c r="BN214">
        <v>0</v>
      </c>
      <c r="BO214">
        <v>0</v>
      </c>
      <c r="BP214">
        <v>0</v>
      </c>
      <c r="BQ214">
        <v>0</v>
      </c>
      <c r="BR214">
        <v>0</v>
      </c>
      <c r="BS214">
        <v>0</v>
      </c>
      <c r="BT214">
        <v>0</v>
      </c>
      <c r="BU214">
        <v>0</v>
      </c>
      <c r="BV214">
        <v>0</v>
      </c>
      <c r="BW214">
        <v>0</v>
      </c>
      <c r="CV214">
        <v>0</v>
      </c>
      <c r="CW214">
        <v>0</v>
      </c>
      <c r="CX214">
        <f>ROUND(Y214*Source!I176,7)</f>
        <v>1.7825000000000001E-2</v>
      </c>
      <c r="CY214">
        <f>AD214</f>
        <v>0</v>
      </c>
      <c r="CZ214">
        <f>AH214</f>
        <v>0</v>
      </c>
      <c r="DA214">
        <f>AL214</f>
        <v>1</v>
      </c>
      <c r="DB214">
        <f t="shared" si="110"/>
        <v>0</v>
      </c>
      <c r="DC214">
        <f t="shared" si="111"/>
        <v>0</v>
      </c>
      <c r="DD214" t="s">
        <v>3</v>
      </c>
      <c r="DE214" t="s">
        <v>3</v>
      </c>
      <c r="DF214">
        <f t="shared" si="112"/>
        <v>0</v>
      </c>
      <c r="DG214">
        <f t="shared" si="108"/>
        <v>0</v>
      </c>
      <c r="DH214">
        <f t="shared" si="106"/>
        <v>0</v>
      </c>
      <c r="DI214">
        <f t="shared" si="107"/>
        <v>0</v>
      </c>
      <c r="DJ214">
        <f>DI214</f>
        <v>0</v>
      </c>
      <c r="DK214">
        <v>0</v>
      </c>
      <c r="DL214" t="s">
        <v>3</v>
      </c>
      <c r="DM214">
        <v>0</v>
      </c>
      <c r="DN214" t="s">
        <v>3</v>
      </c>
      <c r="DO214">
        <v>0</v>
      </c>
    </row>
    <row r="215" spans="1:119" x14ac:dyDescent="0.25">
      <c r="A215">
        <f>ROW(Source!A176)</f>
        <v>176</v>
      </c>
      <c r="B215">
        <v>75604747</v>
      </c>
      <c r="C215">
        <v>75618325</v>
      </c>
      <c r="D215">
        <v>74308922</v>
      </c>
      <c r="E215">
        <v>1</v>
      </c>
      <c r="F215">
        <v>1</v>
      </c>
      <c r="G215">
        <v>1</v>
      </c>
      <c r="H215">
        <v>2</v>
      </c>
      <c r="I215" t="s">
        <v>574</v>
      </c>
      <c r="J215" t="s">
        <v>575</v>
      </c>
      <c r="K215" t="s">
        <v>576</v>
      </c>
      <c r="L215">
        <v>1368</v>
      </c>
      <c r="N215">
        <v>1011</v>
      </c>
      <c r="O215" t="s">
        <v>509</v>
      </c>
      <c r="P215" t="s">
        <v>509</v>
      </c>
      <c r="Q215">
        <v>1</v>
      </c>
      <c r="W215">
        <v>0</v>
      </c>
      <c r="X215">
        <v>-1068589559</v>
      </c>
      <c r="Y215">
        <f t="shared" si="109"/>
        <v>0.13799999999999998</v>
      </c>
      <c r="AA215">
        <v>0</v>
      </c>
      <c r="AB215">
        <v>1598.95</v>
      </c>
      <c r="AC215">
        <v>494.35</v>
      </c>
      <c r="AD215">
        <v>0</v>
      </c>
      <c r="AE215">
        <v>0</v>
      </c>
      <c r="AF215">
        <v>1598.95</v>
      </c>
      <c r="AG215">
        <v>494.35</v>
      </c>
      <c r="AH215">
        <v>0</v>
      </c>
      <c r="AI215">
        <v>1</v>
      </c>
      <c r="AJ215">
        <v>1</v>
      </c>
      <c r="AK215">
        <v>1</v>
      </c>
      <c r="AL215">
        <v>1</v>
      </c>
      <c r="AM215">
        <v>-2</v>
      </c>
      <c r="AN215">
        <v>0</v>
      </c>
      <c r="AO215">
        <v>0</v>
      </c>
      <c r="AP215">
        <v>1</v>
      </c>
      <c r="AQ215">
        <v>1</v>
      </c>
      <c r="AR215">
        <v>0</v>
      </c>
      <c r="AS215" t="s">
        <v>3</v>
      </c>
      <c r="AT215">
        <v>0.12</v>
      </c>
      <c r="AU215" t="s">
        <v>27</v>
      </c>
      <c r="AV215">
        <v>1</v>
      </c>
      <c r="AW215">
        <v>2</v>
      </c>
      <c r="AX215">
        <v>75618349</v>
      </c>
      <c r="AY215">
        <v>1</v>
      </c>
      <c r="AZ215">
        <v>0</v>
      </c>
      <c r="BA215">
        <v>226</v>
      </c>
      <c r="BB215">
        <v>1</v>
      </c>
      <c r="BC215">
        <v>0</v>
      </c>
      <c r="BD215">
        <v>0</v>
      </c>
      <c r="BE215">
        <v>0</v>
      </c>
      <c r="BF215">
        <v>0</v>
      </c>
      <c r="BG215">
        <v>0</v>
      </c>
      <c r="BH215">
        <v>0</v>
      </c>
      <c r="BI215">
        <v>0</v>
      </c>
      <c r="BJ215">
        <v>0</v>
      </c>
      <c r="BK215">
        <v>191.874</v>
      </c>
      <c r="BL215">
        <v>59.322000000000003</v>
      </c>
      <c r="BM215">
        <v>0</v>
      </c>
      <c r="BN215">
        <v>0</v>
      </c>
      <c r="BO215">
        <v>0.12</v>
      </c>
      <c r="BP215">
        <v>1</v>
      </c>
      <c r="BQ215">
        <v>0</v>
      </c>
      <c r="BR215">
        <v>220.65509999999998</v>
      </c>
      <c r="BS215">
        <v>68.220299999999995</v>
      </c>
      <c r="BT215">
        <v>0</v>
      </c>
      <c r="BU215">
        <v>0</v>
      </c>
      <c r="BV215">
        <v>0.13799999999999998</v>
      </c>
      <c r="BW215">
        <v>1</v>
      </c>
      <c r="CV215">
        <v>0</v>
      </c>
      <c r="CW215">
        <f>ROUND(Y215*Source!I176*DO215,7)</f>
        <v>6.8999999999999999E-3</v>
      </c>
      <c r="CX215">
        <f>ROUND(Y215*Source!I176,7)</f>
        <v>6.8999999999999999E-3</v>
      </c>
      <c r="CY215">
        <f>AB215</f>
        <v>1598.95</v>
      </c>
      <c r="CZ215">
        <f>AF215</f>
        <v>1598.95</v>
      </c>
      <c r="DA215">
        <f>AJ215</f>
        <v>1</v>
      </c>
      <c r="DB215">
        <f t="shared" si="110"/>
        <v>220.65049999999999</v>
      </c>
      <c r="DC215">
        <f t="shared" si="111"/>
        <v>68.218000000000004</v>
      </c>
      <c r="DD215" t="s">
        <v>3</v>
      </c>
      <c r="DE215" t="s">
        <v>3</v>
      </c>
      <c r="DF215">
        <f t="shared" si="112"/>
        <v>0</v>
      </c>
      <c r="DG215">
        <f t="shared" si="108"/>
        <v>11.03</v>
      </c>
      <c r="DH215">
        <f t="shared" si="106"/>
        <v>3.41</v>
      </c>
      <c r="DI215">
        <f t="shared" si="107"/>
        <v>0</v>
      </c>
      <c r="DJ215">
        <f>DG215+DH215</f>
        <v>14.44</v>
      </c>
      <c r="DK215">
        <v>1</v>
      </c>
      <c r="DL215" t="s">
        <v>577</v>
      </c>
      <c r="DM215">
        <v>6</v>
      </c>
      <c r="DN215" t="s">
        <v>501</v>
      </c>
      <c r="DO215">
        <v>1</v>
      </c>
    </row>
    <row r="216" spans="1:119" x14ac:dyDescent="0.25">
      <c r="A216">
        <f>ROW(Source!A176)</f>
        <v>176</v>
      </c>
      <c r="B216">
        <v>75604747</v>
      </c>
      <c r="C216">
        <v>75618325</v>
      </c>
      <c r="D216">
        <v>74309063</v>
      </c>
      <c r="E216">
        <v>1</v>
      </c>
      <c r="F216">
        <v>1</v>
      </c>
      <c r="G216">
        <v>1</v>
      </c>
      <c r="H216">
        <v>2</v>
      </c>
      <c r="I216" t="s">
        <v>614</v>
      </c>
      <c r="J216" t="s">
        <v>615</v>
      </c>
      <c r="K216" t="s">
        <v>616</v>
      </c>
      <c r="L216">
        <v>1368</v>
      </c>
      <c r="N216">
        <v>1011</v>
      </c>
      <c r="O216" t="s">
        <v>509</v>
      </c>
      <c r="P216" t="s">
        <v>509</v>
      </c>
      <c r="Q216">
        <v>1</v>
      </c>
      <c r="W216">
        <v>0</v>
      </c>
      <c r="X216">
        <v>-769439360</v>
      </c>
      <c r="Y216">
        <f t="shared" si="109"/>
        <v>10.441999999999998</v>
      </c>
      <c r="AA216">
        <v>0</v>
      </c>
      <c r="AB216">
        <v>20.43</v>
      </c>
      <c r="AC216">
        <v>0</v>
      </c>
      <c r="AD216">
        <v>0</v>
      </c>
      <c r="AE216">
        <v>0</v>
      </c>
      <c r="AF216">
        <v>13.44</v>
      </c>
      <c r="AG216">
        <v>0</v>
      </c>
      <c r="AH216">
        <v>0</v>
      </c>
      <c r="AI216">
        <v>1</v>
      </c>
      <c r="AJ216">
        <v>1.52</v>
      </c>
      <c r="AK216">
        <v>1</v>
      </c>
      <c r="AL216">
        <v>1</v>
      </c>
      <c r="AM216">
        <v>2</v>
      </c>
      <c r="AN216">
        <v>0</v>
      </c>
      <c r="AO216">
        <v>0</v>
      </c>
      <c r="AP216">
        <v>1</v>
      </c>
      <c r="AQ216">
        <v>1</v>
      </c>
      <c r="AR216">
        <v>0</v>
      </c>
      <c r="AS216" t="s">
        <v>3</v>
      </c>
      <c r="AT216">
        <v>9.08</v>
      </c>
      <c r="AU216" t="s">
        <v>27</v>
      </c>
      <c r="AV216">
        <v>1</v>
      </c>
      <c r="AW216">
        <v>2</v>
      </c>
      <c r="AX216">
        <v>75618350</v>
      </c>
      <c r="AY216">
        <v>1</v>
      </c>
      <c r="AZ216">
        <v>0</v>
      </c>
      <c r="BA216">
        <v>227</v>
      </c>
      <c r="BB216">
        <v>1</v>
      </c>
      <c r="BC216">
        <v>0</v>
      </c>
      <c r="BD216">
        <v>0</v>
      </c>
      <c r="BE216">
        <v>0</v>
      </c>
      <c r="BF216">
        <v>0</v>
      </c>
      <c r="BG216">
        <v>0</v>
      </c>
      <c r="BH216">
        <v>0</v>
      </c>
      <c r="BI216">
        <v>0</v>
      </c>
      <c r="BJ216">
        <v>0</v>
      </c>
      <c r="BK216">
        <v>122.0352</v>
      </c>
      <c r="BL216">
        <v>0</v>
      </c>
      <c r="BM216">
        <v>0</v>
      </c>
      <c r="BN216">
        <v>0</v>
      </c>
      <c r="BO216">
        <v>0</v>
      </c>
      <c r="BP216">
        <v>1</v>
      </c>
      <c r="BQ216">
        <v>0</v>
      </c>
      <c r="BR216">
        <v>140.34047999999999</v>
      </c>
      <c r="BS216">
        <v>0</v>
      </c>
      <c r="BT216">
        <v>0</v>
      </c>
      <c r="BU216">
        <v>0</v>
      </c>
      <c r="BV216">
        <v>0</v>
      </c>
      <c r="BW216">
        <v>1</v>
      </c>
      <c r="CV216">
        <v>0</v>
      </c>
      <c r="CW216">
        <f>ROUND(Y216*Source!I176*DO216,7)</f>
        <v>0</v>
      </c>
      <c r="CX216">
        <f>ROUND(Y216*Source!I176,7)</f>
        <v>0.52210000000000001</v>
      </c>
      <c r="CY216">
        <f>AB216</f>
        <v>20.43</v>
      </c>
      <c r="CZ216">
        <f>AF216</f>
        <v>13.44</v>
      </c>
      <c r="DA216">
        <f>AJ216</f>
        <v>1.52</v>
      </c>
      <c r="DB216">
        <f t="shared" si="110"/>
        <v>140.346</v>
      </c>
      <c r="DC216">
        <f t="shared" si="111"/>
        <v>0</v>
      </c>
      <c r="DD216" t="s">
        <v>3</v>
      </c>
      <c r="DE216" t="s">
        <v>3</v>
      </c>
      <c r="DF216">
        <f t="shared" si="112"/>
        <v>0</v>
      </c>
      <c r="DG216">
        <f>ROUND(ROUND(AF216*AJ216,2)*CX216,2)</f>
        <v>10.67</v>
      </c>
      <c r="DH216">
        <f t="shared" si="106"/>
        <v>0</v>
      </c>
      <c r="DI216">
        <f t="shared" si="107"/>
        <v>0</v>
      </c>
      <c r="DJ216">
        <f>DG216+DH216</f>
        <v>10.67</v>
      </c>
      <c r="DK216">
        <v>0</v>
      </c>
      <c r="DL216" t="s">
        <v>3</v>
      </c>
      <c r="DM216">
        <v>0</v>
      </c>
      <c r="DN216" t="s">
        <v>3</v>
      </c>
      <c r="DO216">
        <v>0</v>
      </c>
    </row>
    <row r="217" spans="1:119" x14ac:dyDescent="0.25">
      <c r="A217">
        <f>ROW(Source!A176)</f>
        <v>176</v>
      </c>
      <c r="B217">
        <v>75604747</v>
      </c>
      <c r="C217">
        <v>75618325</v>
      </c>
      <c r="D217">
        <v>74309824</v>
      </c>
      <c r="E217">
        <v>1</v>
      </c>
      <c r="F217">
        <v>1</v>
      </c>
      <c r="G217">
        <v>1</v>
      </c>
      <c r="H217">
        <v>2</v>
      </c>
      <c r="I217" t="s">
        <v>527</v>
      </c>
      <c r="J217" t="s">
        <v>528</v>
      </c>
      <c r="K217" t="s">
        <v>529</v>
      </c>
      <c r="L217">
        <v>1368</v>
      </c>
      <c r="N217">
        <v>1011</v>
      </c>
      <c r="O217" t="s">
        <v>509</v>
      </c>
      <c r="P217" t="s">
        <v>509</v>
      </c>
      <c r="Q217">
        <v>1</v>
      </c>
      <c r="W217">
        <v>0</v>
      </c>
      <c r="X217">
        <v>-312038840</v>
      </c>
      <c r="Y217">
        <f t="shared" si="109"/>
        <v>0.21849999999999997</v>
      </c>
      <c r="AA217">
        <v>0</v>
      </c>
      <c r="AB217">
        <v>551.45000000000005</v>
      </c>
      <c r="AC217">
        <v>368.02</v>
      </c>
      <c r="AD217">
        <v>0</v>
      </c>
      <c r="AE217">
        <v>0</v>
      </c>
      <c r="AF217">
        <v>551.45000000000005</v>
      </c>
      <c r="AG217">
        <v>368.02</v>
      </c>
      <c r="AH217">
        <v>0</v>
      </c>
      <c r="AI217">
        <v>1</v>
      </c>
      <c r="AJ217">
        <v>1</v>
      </c>
      <c r="AK217">
        <v>1</v>
      </c>
      <c r="AL217">
        <v>1</v>
      </c>
      <c r="AM217">
        <v>-2</v>
      </c>
      <c r="AN217">
        <v>0</v>
      </c>
      <c r="AO217">
        <v>0</v>
      </c>
      <c r="AP217">
        <v>1</v>
      </c>
      <c r="AQ217">
        <v>1</v>
      </c>
      <c r="AR217">
        <v>0</v>
      </c>
      <c r="AS217" t="s">
        <v>3</v>
      </c>
      <c r="AT217">
        <v>0.19</v>
      </c>
      <c r="AU217" t="s">
        <v>27</v>
      </c>
      <c r="AV217">
        <v>1</v>
      </c>
      <c r="AW217">
        <v>2</v>
      </c>
      <c r="AX217">
        <v>75618351</v>
      </c>
      <c r="AY217">
        <v>1</v>
      </c>
      <c r="AZ217">
        <v>0</v>
      </c>
      <c r="BA217">
        <v>228</v>
      </c>
      <c r="BB217">
        <v>1</v>
      </c>
      <c r="BC217">
        <v>0</v>
      </c>
      <c r="BD217">
        <v>0</v>
      </c>
      <c r="BE217">
        <v>0</v>
      </c>
      <c r="BF217">
        <v>0</v>
      </c>
      <c r="BG217">
        <v>0</v>
      </c>
      <c r="BH217">
        <v>0</v>
      </c>
      <c r="BI217">
        <v>0</v>
      </c>
      <c r="BJ217">
        <v>0</v>
      </c>
      <c r="BK217">
        <v>104.77550000000001</v>
      </c>
      <c r="BL217">
        <v>69.9238</v>
      </c>
      <c r="BM217">
        <v>0</v>
      </c>
      <c r="BN217">
        <v>0</v>
      </c>
      <c r="BO217">
        <v>0.19</v>
      </c>
      <c r="BP217">
        <v>1</v>
      </c>
      <c r="BQ217">
        <v>0</v>
      </c>
      <c r="BR217">
        <v>120.49182499999999</v>
      </c>
      <c r="BS217">
        <v>80.412369999999981</v>
      </c>
      <c r="BT217">
        <v>0</v>
      </c>
      <c r="BU217">
        <v>0</v>
      </c>
      <c r="BV217">
        <v>0.21849999999999997</v>
      </c>
      <c r="BW217">
        <v>1</v>
      </c>
      <c r="CV217">
        <v>0</v>
      </c>
      <c r="CW217">
        <f>ROUND(Y217*Source!I176*DO217,7)</f>
        <v>1.0925000000000001E-2</v>
      </c>
      <c r="CX217">
        <f>ROUND(Y217*Source!I176,7)</f>
        <v>1.0925000000000001E-2</v>
      </c>
      <c r="CY217">
        <f>AB217</f>
        <v>551.45000000000005</v>
      </c>
      <c r="CZ217">
        <f>AF217</f>
        <v>551.45000000000005</v>
      </c>
      <c r="DA217">
        <f>AJ217</f>
        <v>1</v>
      </c>
      <c r="DB217">
        <f t="shared" si="110"/>
        <v>120.497</v>
      </c>
      <c r="DC217">
        <f t="shared" si="111"/>
        <v>80.408000000000001</v>
      </c>
      <c r="DD217" t="s">
        <v>3</v>
      </c>
      <c r="DE217" t="s">
        <v>3</v>
      </c>
      <c r="DF217">
        <f t="shared" si="112"/>
        <v>0</v>
      </c>
      <c r="DG217">
        <f>ROUND(ROUND(AF217,2)*CX217,2)</f>
        <v>6.02</v>
      </c>
      <c r="DH217">
        <f t="shared" si="106"/>
        <v>4.0199999999999996</v>
      </c>
      <c r="DI217">
        <f t="shared" si="107"/>
        <v>0</v>
      </c>
      <c r="DJ217">
        <f>DG217+DH217</f>
        <v>10.039999999999999</v>
      </c>
      <c r="DK217">
        <v>1</v>
      </c>
      <c r="DL217" t="s">
        <v>522</v>
      </c>
      <c r="DM217">
        <v>4</v>
      </c>
      <c r="DN217" t="s">
        <v>501</v>
      </c>
      <c r="DO217">
        <v>1</v>
      </c>
    </row>
    <row r="218" spans="1:119" x14ac:dyDescent="0.25">
      <c r="A218">
        <f>ROW(Source!A176)</f>
        <v>176</v>
      </c>
      <c r="B218">
        <v>75604747</v>
      </c>
      <c r="C218">
        <v>75618325</v>
      </c>
      <c r="D218">
        <v>74309983</v>
      </c>
      <c r="E218">
        <v>1</v>
      </c>
      <c r="F218">
        <v>1</v>
      </c>
      <c r="G218">
        <v>1</v>
      </c>
      <c r="H218">
        <v>2</v>
      </c>
      <c r="I218" t="s">
        <v>578</v>
      </c>
      <c r="J218" t="s">
        <v>579</v>
      </c>
      <c r="K218" t="s">
        <v>580</v>
      </c>
      <c r="L218">
        <v>1368</v>
      </c>
      <c r="N218">
        <v>1011</v>
      </c>
      <c r="O218" t="s">
        <v>509</v>
      </c>
      <c r="P218" t="s">
        <v>509</v>
      </c>
      <c r="Q218">
        <v>1</v>
      </c>
      <c r="W218">
        <v>0</v>
      </c>
      <c r="X218">
        <v>-536748942</v>
      </c>
      <c r="Y218">
        <f t="shared" si="109"/>
        <v>2.1389999999999998</v>
      </c>
      <c r="AA218">
        <v>0</v>
      </c>
      <c r="AB218">
        <v>5.35</v>
      </c>
      <c r="AC218">
        <v>0</v>
      </c>
      <c r="AD218">
        <v>0</v>
      </c>
      <c r="AE218">
        <v>0</v>
      </c>
      <c r="AF218">
        <v>4.3499999999999996</v>
      </c>
      <c r="AG218">
        <v>0</v>
      </c>
      <c r="AH218">
        <v>0</v>
      </c>
      <c r="AI218">
        <v>1</v>
      </c>
      <c r="AJ218">
        <v>1.23</v>
      </c>
      <c r="AK218">
        <v>1</v>
      </c>
      <c r="AL218">
        <v>1</v>
      </c>
      <c r="AM218">
        <v>2</v>
      </c>
      <c r="AN218">
        <v>0</v>
      </c>
      <c r="AO218">
        <v>0</v>
      </c>
      <c r="AP218">
        <v>1</v>
      </c>
      <c r="AQ218">
        <v>1</v>
      </c>
      <c r="AR218">
        <v>0</v>
      </c>
      <c r="AS218" t="s">
        <v>3</v>
      </c>
      <c r="AT218">
        <v>1.86</v>
      </c>
      <c r="AU218" t="s">
        <v>27</v>
      </c>
      <c r="AV218">
        <v>1</v>
      </c>
      <c r="AW218">
        <v>2</v>
      </c>
      <c r="AX218">
        <v>75618352</v>
      </c>
      <c r="AY218">
        <v>1</v>
      </c>
      <c r="AZ218">
        <v>0</v>
      </c>
      <c r="BA218">
        <v>229</v>
      </c>
      <c r="BB218">
        <v>1</v>
      </c>
      <c r="BC218">
        <v>0</v>
      </c>
      <c r="BD218">
        <v>0</v>
      </c>
      <c r="BE218">
        <v>0</v>
      </c>
      <c r="BF218">
        <v>0</v>
      </c>
      <c r="BG218">
        <v>0</v>
      </c>
      <c r="BH218">
        <v>0</v>
      </c>
      <c r="BI218">
        <v>0</v>
      </c>
      <c r="BJ218">
        <v>0</v>
      </c>
      <c r="BK218">
        <v>8.0909999999999993</v>
      </c>
      <c r="BL218">
        <v>0</v>
      </c>
      <c r="BM218">
        <v>0</v>
      </c>
      <c r="BN218">
        <v>0</v>
      </c>
      <c r="BO218">
        <v>0</v>
      </c>
      <c r="BP218">
        <v>1</v>
      </c>
      <c r="BQ218">
        <v>0</v>
      </c>
      <c r="BR218">
        <v>9.3046499999999988</v>
      </c>
      <c r="BS218">
        <v>0</v>
      </c>
      <c r="BT218">
        <v>0</v>
      </c>
      <c r="BU218">
        <v>0</v>
      </c>
      <c r="BV218">
        <v>0</v>
      </c>
      <c r="BW218">
        <v>1</v>
      </c>
      <c r="CV218">
        <v>0</v>
      </c>
      <c r="CW218">
        <f>ROUND(Y218*Source!I176*DO218,7)</f>
        <v>0</v>
      </c>
      <c r="CX218">
        <f>ROUND(Y218*Source!I176,7)</f>
        <v>0.10695</v>
      </c>
      <c r="CY218">
        <f>AB218</f>
        <v>5.35</v>
      </c>
      <c r="CZ218">
        <f>AF218</f>
        <v>4.3499999999999996</v>
      </c>
      <c r="DA218">
        <f>AJ218</f>
        <v>1.23</v>
      </c>
      <c r="DB218">
        <f t="shared" si="110"/>
        <v>9.3034999999999997</v>
      </c>
      <c r="DC218">
        <f t="shared" si="111"/>
        <v>0</v>
      </c>
      <c r="DD218" t="s">
        <v>3</v>
      </c>
      <c r="DE218" t="s">
        <v>3</v>
      </c>
      <c r="DF218">
        <f t="shared" si="112"/>
        <v>0</v>
      </c>
      <c r="DG218">
        <f>ROUND(ROUND(AF218*AJ218,2)*CX218,2)</f>
        <v>0.56999999999999995</v>
      </c>
      <c r="DH218">
        <f t="shared" si="106"/>
        <v>0</v>
      </c>
      <c r="DI218">
        <f t="shared" si="107"/>
        <v>0</v>
      </c>
      <c r="DJ218">
        <f>DG218+DH218</f>
        <v>0.56999999999999995</v>
      </c>
      <c r="DK218">
        <v>0</v>
      </c>
      <c r="DL218" t="s">
        <v>3</v>
      </c>
      <c r="DM218">
        <v>0</v>
      </c>
      <c r="DN218" t="s">
        <v>3</v>
      </c>
      <c r="DO218">
        <v>0</v>
      </c>
    </row>
    <row r="219" spans="1:119" x14ac:dyDescent="0.25">
      <c r="A219">
        <f>ROW(Source!A176)</f>
        <v>176</v>
      </c>
      <c r="B219">
        <v>75604747</v>
      </c>
      <c r="C219">
        <v>75618325</v>
      </c>
      <c r="D219">
        <v>74310010</v>
      </c>
      <c r="E219">
        <v>1</v>
      </c>
      <c r="F219">
        <v>1</v>
      </c>
      <c r="G219">
        <v>1</v>
      </c>
      <c r="H219">
        <v>2</v>
      </c>
      <c r="I219" t="s">
        <v>617</v>
      </c>
      <c r="J219" t="s">
        <v>618</v>
      </c>
      <c r="K219" t="s">
        <v>619</v>
      </c>
      <c r="L219">
        <v>1368</v>
      </c>
      <c r="N219">
        <v>1011</v>
      </c>
      <c r="O219" t="s">
        <v>509</v>
      </c>
      <c r="P219" t="s">
        <v>509</v>
      </c>
      <c r="Q219">
        <v>1</v>
      </c>
      <c r="W219">
        <v>0</v>
      </c>
      <c r="X219">
        <v>-565700713</v>
      </c>
      <c r="Y219">
        <f t="shared" si="109"/>
        <v>2.0124999999999997</v>
      </c>
      <c r="AA219">
        <v>0</v>
      </c>
      <c r="AB219">
        <v>90.36</v>
      </c>
      <c r="AC219">
        <v>0</v>
      </c>
      <c r="AD219">
        <v>0</v>
      </c>
      <c r="AE219">
        <v>0</v>
      </c>
      <c r="AF219">
        <v>90.36</v>
      </c>
      <c r="AG219">
        <v>0</v>
      </c>
      <c r="AH219">
        <v>0</v>
      </c>
      <c r="AI219">
        <v>1</v>
      </c>
      <c r="AJ219">
        <v>1</v>
      </c>
      <c r="AK219">
        <v>1</v>
      </c>
      <c r="AL219">
        <v>1</v>
      </c>
      <c r="AM219">
        <v>-2</v>
      </c>
      <c r="AN219">
        <v>0</v>
      </c>
      <c r="AO219">
        <v>0</v>
      </c>
      <c r="AP219">
        <v>1</v>
      </c>
      <c r="AQ219">
        <v>1</v>
      </c>
      <c r="AR219">
        <v>0</v>
      </c>
      <c r="AS219" t="s">
        <v>3</v>
      </c>
      <c r="AT219">
        <v>1.75</v>
      </c>
      <c r="AU219" t="s">
        <v>27</v>
      </c>
      <c r="AV219">
        <v>1</v>
      </c>
      <c r="AW219">
        <v>2</v>
      </c>
      <c r="AX219">
        <v>75618353</v>
      </c>
      <c r="AY219">
        <v>1</v>
      </c>
      <c r="AZ219">
        <v>0</v>
      </c>
      <c r="BA219">
        <v>230</v>
      </c>
      <c r="BB219">
        <v>1</v>
      </c>
      <c r="BC219">
        <v>0</v>
      </c>
      <c r="BD219">
        <v>0</v>
      </c>
      <c r="BE219">
        <v>0</v>
      </c>
      <c r="BF219">
        <v>0</v>
      </c>
      <c r="BG219">
        <v>0</v>
      </c>
      <c r="BH219">
        <v>0</v>
      </c>
      <c r="BI219">
        <v>0</v>
      </c>
      <c r="BJ219">
        <v>0</v>
      </c>
      <c r="BK219">
        <v>158.13</v>
      </c>
      <c r="BL219">
        <v>0</v>
      </c>
      <c r="BM219">
        <v>0</v>
      </c>
      <c r="BN219">
        <v>0</v>
      </c>
      <c r="BO219">
        <v>0</v>
      </c>
      <c r="BP219">
        <v>1</v>
      </c>
      <c r="BQ219">
        <v>0</v>
      </c>
      <c r="BR219">
        <v>181.84949999999998</v>
      </c>
      <c r="BS219">
        <v>0</v>
      </c>
      <c r="BT219">
        <v>0</v>
      </c>
      <c r="BU219">
        <v>0</v>
      </c>
      <c r="BV219">
        <v>0</v>
      </c>
      <c r="BW219">
        <v>1</v>
      </c>
      <c r="CV219">
        <v>0</v>
      </c>
      <c r="CW219">
        <f>ROUND(Y219*Source!I176*DO219,7)</f>
        <v>0</v>
      </c>
      <c r="CX219">
        <f>ROUND(Y219*Source!I176,7)</f>
        <v>0.10062500000000001</v>
      </c>
      <c r="CY219">
        <f>AB219</f>
        <v>90.36</v>
      </c>
      <c r="CZ219">
        <f>AF219</f>
        <v>90.36</v>
      </c>
      <c r="DA219">
        <f>AJ219</f>
        <v>1</v>
      </c>
      <c r="DB219">
        <f t="shared" si="110"/>
        <v>181.84950000000001</v>
      </c>
      <c r="DC219">
        <f t="shared" si="111"/>
        <v>0</v>
      </c>
      <c r="DD219" t="s">
        <v>3</v>
      </c>
      <c r="DE219" t="s">
        <v>3</v>
      </c>
      <c r="DF219">
        <f t="shared" si="112"/>
        <v>0</v>
      </c>
      <c r="DG219">
        <f t="shared" ref="DG219:DG235" si="113">ROUND(ROUND(AF219,2)*CX219,2)</f>
        <v>9.09</v>
      </c>
      <c r="DH219">
        <f t="shared" si="106"/>
        <v>0</v>
      </c>
      <c r="DI219">
        <f t="shared" si="107"/>
        <v>0</v>
      </c>
      <c r="DJ219">
        <f>DG219+DH219</f>
        <v>9.09</v>
      </c>
      <c r="DK219">
        <v>1</v>
      </c>
      <c r="DL219" t="s">
        <v>3</v>
      </c>
      <c r="DM219">
        <v>0</v>
      </c>
      <c r="DN219" t="s">
        <v>3</v>
      </c>
      <c r="DO219">
        <v>0</v>
      </c>
    </row>
    <row r="220" spans="1:119" x14ac:dyDescent="0.25">
      <c r="A220">
        <f>ROW(Source!A176)</f>
        <v>176</v>
      </c>
      <c r="B220">
        <v>75604747</v>
      </c>
      <c r="C220">
        <v>75618325</v>
      </c>
      <c r="D220">
        <v>74257065</v>
      </c>
      <c r="E220">
        <v>1</v>
      </c>
      <c r="F220">
        <v>1</v>
      </c>
      <c r="G220">
        <v>1</v>
      </c>
      <c r="H220">
        <v>3</v>
      </c>
      <c r="I220" t="s">
        <v>581</v>
      </c>
      <c r="J220" t="s">
        <v>582</v>
      </c>
      <c r="K220" t="s">
        <v>583</v>
      </c>
      <c r="L220">
        <v>1339</v>
      </c>
      <c r="N220">
        <v>1007</v>
      </c>
      <c r="O220" t="s">
        <v>205</v>
      </c>
      <c r="P220" t="s">
        <v>205</v>
      </c>
      <c r="Q220">
        <v>1</v>
      </c>
      <c r="W220">
        <v>0</v>
      </c>
      <c r="X220">
        <v>1531571680</v>
      </c>
      <c r="Y220">
        <f t="shared" ref="Y220:Y233" si="114">AT220</f>
        <v>1.5</v>
      </c>
      <c r="AA220">
        <v>126.1</v>
      </c>
      <c r="AB220">
        <v>0</v>
      </c>
      <c r="AC220">
        <v>0</v>
      </c>
      <c r="AD220">
        <v>0</v>
      </c>
      <c r="AE220">
        <v>114.64</v>
      </c>
      <c r="AF220">
        <v>0</v>
      </c>
      <c r="AG220">
        <v>0</v>
      </c>
      <c r="AH220">
        <v>0</v>
      </c>
      <c r="AI220">
        <v>1.1000000000000001</v>
      </c>
      <c r="AJ220">
        <v>1</v>
      </c>
      <c r="AK220">
        <v>1</v>
      </c>
      <c r="AL220">
        <v>1</v>
      </c>
      <c r="AM220">
        <v>2</v>
      </c>
      <c r="AN220">
        <v>0</v>
      </c>
      <c r="AO220">
        <v>0</v>
      </c>
      <c r="AP220">
        <v>1</v>
      </c>
      <c r="AQ220">
        <v>1</v>
      </c>
      <c r="AR220">
        <v>0</v>
      </c>
      <c r="AS220" t="s">
        <v>3</v>
      </c>
      <c r="AT220">
        <v>1.5</v>
      </c>
      <c r="AU220" t="s">
        <v>3</v>
      </c>
      <c r="AV220">
        <v>0</v>
      </c>
      <c r="AW220">
        <v>2</v>
      </c>
      <c r="AX220">
        <v>75618354</v>
      </c>
      <c r="AY220">
        <v>1</v>
      </c>
      <c r="AZ220">
        <v>0</v>
      </c>
      <c r="BA220">
        <v>231</v>
      </c>
      <c r="BB220">
        <v>1</v>
      </c>
      <c r="BC220">
        <v>0</v>
      </c>
      <c r="BD220">
        <v>0</v>
      </c>
      <c r="BE220">
        <v>0</v>
      </c>
      <c r="BF220">
        <v>0</v>
      </c>
      <c r="BG220">
        <v>0</v>
      </c>
      <c r="BH220">
        <v>0</v>
      </c>
      <c r="BI220">
        <v>0</v>
      </c>
      <c r="BJ220">
        <v>171.96</v>
      </c>
      <c r="BK220">
        <v>0</v>
      </c>
      <c r="BL220">
        <v>0</v>
      </c>
      <c r="BM220">
        <v>0</v>
      </c>
      <c r="BN220">
        <v>0</v>
      </c>
      <c r="BO220">
        <v>0</v>
      </c>
      <c r="BP220">
        <v>1</v>
      </c>
      <c r="BQ220">
        <v>171.96</v>
      </c>
      <c r="BR220">
        <v>0</v>
      </c>
      <c r="BS220">
        <v>0</v>
      </c>
      <c r="BT220">
        <v>0</v>
      </c>
      <c r="BU220">
        <v>0</v>
      </c>
      <c r="BV220">
        <v>0</v>
      </c>
      <c r="BW220">
        <v>1</v>
      </c>
      <c r="CV220">
        <v>0</v>
      </c>
      <c r="CW220">
        <v>0</v>
      </c>
      <c r="CX220">
        <f>ROUND(Y220*Source!I176,7)</f>
        <v>7.4999999999999997E-2</v>
      </c>
      <c r="CY220">
        <f t="shared" ref="CY220:CY233" si="115">AA220</f>
        <v>126.1</v>
      </c>
      <c r="CZ220">
        <f t="shared" ref="CZ220:CZ233" si="116">AE220</f>
        <v>114.64</v>
      </c>
      <c r="DA220">
        <f t="shared" ref="DA220:DA233" si="117">AI220</f>
        <v>1.1000000000000001</v>
      </c>
      <c r="DB220">
        <f t="shared" ref="DB220:DB233" si="118">ROUND(ROUND(AT220*CZ220,2),6)</f>
        <v>171.96</v>
      </c>
      <c r="DC220">
        <f t="shared" ref="DC220:DC233" si="119">ROUND(ROUND(AT220*AG220,2),6)</f>
        <v>0</v>
      </c>
      <c r="DD220" t="s">
        <v>3</v>
      </c>
      <c r="DE220" t="s">
        <v>3</v>
      </c>
      <c r="DF220">
        <f>ROUND(ROUND(AE220*AI220,2)*CX220,2)</f>
        <v>9.4600000000000009</v>
      </c>
      <c r="DG220">
        <f t="shared" si="113"/>
        <v>0</v>
      </c>
      <c r="DH220">
        <f t="shared" si="106"/>
        <v>0</v>
      </c>
      <c r="DI220">
        <f t="shared" si="107"/>
        <v>0</v>
      </c>
      <c r="DJ220">
        <f t="shared" ref="DJ220:DJ233" si="120">DF220</f>
        <v>9.4600000000000009</v>
      </c>
      <c r="DK220">
        <v>0</v>
      </c>
      <c r="DL220" t="s">
        <v>3</v>
      </c>
      <c r="DM220">
        <v>0</v>
      </c>
      <c r="DN220" t="s">
        <v>3</v>
      </c>
      <c r="DO220">
        <v>0</v>
      </c>
    </row>
    <row r="221" spans="1:119" x14ac:dyDescent="0.25">
      <c r="A221">
        <f>ROW(Source!A176)</f>
        <v>176</v>
      </c>
      <c r="B221">
        <v>75604747</v>
      </c>
      <c r="C221">
        <v>75618325</v>
      </c>
      <c r="D221">
        <v>74257069</v>
      </c>
      <c r="E221">
        <v>1</v>
      </c>
      <c r="F221">
        <v>1</v>
      </c>
      <c r="G221">
        <v>1</v>
      </c>
      <c r="H221">
        <v>3</v>
      </c>
      <c r="I221" t="s">
        <v>584</v>
      </c>
      <c r="J221" t="s">
        <v>585</v>
      </c>
      <c r="K221" t="s">
        <v>586</v>
      </c>
      <c r="L221">
        <v>1346</v>
      </c>
      <c r="N221">
        <v>1009</v>
      </c>
      <c r="O221" t="s">
        <v>240</v>
      </c>
      <c r="P221" t="s">
        <v>240</v>
      </c>
      <c r="Q221">
        <v>1</v>
      </c>
      <c r="W221">
        <v>0</v>
      </c>
      <c r="X221">
        <v>1843545816</v>
      </c>
      <c r="Y221">
        <f t="shared" si="114"/>
        <v>0.45</v>
      </c>
      <c r="AA221">
        <v>62.48</v>
      </c>
      <c r="AB221">
        <v>0</v>
      </c>
      <c r="AC221">
        <v>0</v>
      </c>
      <c r="AD221">
        <v>0</v>
      </c>
      <c r="AE221">
        <v>41.38</v>
      </c>
      <c r="AF221">
        <v>0</v>
      </c>
      <c r="AG221">
        <v>0</v>
      </c>
      <c r="AH221">
        <v>0</v>
      </c>
      <c r="AI221">
        <v>1.51</v>
      </c>
      <c r="AJ221">
        <v>1</v>
      </c>
      <c r="AK221">
        <v>1</v>
      </c>
      <c r="AL221">
        <v>1</v>
      </c>
      <c r="AM221">
        <v>2</v>
      </c>
      <c r="AN221">
        <v>0</v>
      </c>
      <c r="AO221">
        <v>0</v>
      </c>
      <c r="AP221">
        <v>1</v>
      </c>
      <c r="AQ221">
        <v>1</v>
      </c>
      <c r="AR221">
        <v>0</v>
      </c>
      <c r="AS221" t="s">
        <v>3</v>
      </c>
      <c r="AT221">
        <v>0.45</v>
      </c>
      <c r="AU221" t="s">
        <v>3</v>
      </c>
      <c r="AV221">
        <v>0</v>
      </c>
      <c r="AW221">
        <v>2</v>
      </c>
      <c r="AX221">
        <v>75618355</v>
      </c>
      <c r="AY221">
        <v>1</v>
      </c>
      <c r="AZ221">
        <v>0</v>
      </c>
      <c r="BA221">
        <v>232</v>
      </c>
      <c r="BB221">
        <v>1</v>
      </c>
      <c r="BC221">
        <v>0</v>
      </c>
      <c r="BD221">
        <v>0</v>
      </c>
      <c r="BE221">
        <v>0</v>
      </c>
      <c r="BF221">
        <v>0</v>
      </c>
      <c r="BG221">
        <v>0</v>
      </c>
      <c r="BH221">
        <v>0</v>
      </c>
      <c r="BI221">
        <v>0</v>
      </c>
      <c r="BJ221">
        <v>18.621000000000002</v>
      </c>
      <c r="BK221">
        <v>0</v>
      </c>
      <c r="BL221">
        <v>0</v>
      </c>
      <c r="BM221">
        <v>0</v>
      </c>
      <c r="BN221">
        <v>0</v>
      </c>
      <c r="BO221">
        <v>0</v>
      </c>
      <c r="BP221">
        <v>1</v>
      </c>
      <c r="BQ221">
        <v>18.621000000000002</v>
      </c>
      <c r="BR221">
        <v>0</v>
      </c>
      <c r="BS221">
        <v>0</v>
      </c>
      <c r="BT221">
        <v>0</v>
      </c>
      <c r="BU221">
        <v>0</v>
      </c>
      <c r="BV221">
        <v>0</v>
      </c>
      <c r="BW221">
        <v>1</v>
      </c>
      <c r="CV221">
        <v>0</v>
      </c>
      <c r="CW221">
        <v>0</v>
      </c>
      <c r="CX221">
        <f>ROUND(Y221*Source!I176,7)</f>
        <v>2.2499999999999999E-2</v>
      </c>
      <c r="CY221">
        <f t="shared" si="115"/>
        <v>62.48</v>
      </c>
      <c r="CZ221">
        <f t="shared" si="116"/>
        <v>41.38</v>
      </c>
      <c r="DA221">
        <f t="shared" si="117"/>
        <v>1.51</v>
      </c>
      <c r="DB221">
        <f t="shared" si="118"/>
        <v>18.62</v>
      </c>
      <c r="DC221">
        <f t="shared" si="119"/>
        <v>0</v>
      </c>
      <c r="DD221" t="s">
        <v>3</v>
      </c>
      <c r="DE221" t="s">
        <v>3</v>
      </c>
      <c r="DF221">
        <f>ROUND(ROUND(AE221*AI221,2)*CX221,2)</f>
        <v>1.41</v>
      </c>
      <c r="DG221">
        <f t="shared" si="113"/>
        <v>0</v>
      </c>
      <c r="DH221">
        <f t="shared" si="106"/>
        <v>0</v>
      </c>
      <c r="DI221">
        <f t="shared" si="107"/>
        <v>0</v>
      </c>
      <c r="DJ221">
        <f t="shared" si="120"/>
        <v>1.41</v>
      </c>
      <c r="DK221">
        <v>0</v>
      </c>
      <c r="DL221" t="s">
        <v>3</v>
      </c>
      <c r="DM221">
        <v>0</v>
      </c>
      <c r="DN221" t="s">
        <v>3</v>
      </c>
      <c r="DO221">
        <v>0</v>
      </c>
    </row>
    <row r="222" spans="1:119" x14ac:dyDescent="0.25">
      <c r="A222">
        <f>ROW(Source!A176)</f>
        <v>176</v>
      </c>
      <c r="B222">
        <v>75604747</v>
      </c>
      <c r="C222">
        <v>75618325</v>
      </c>
      <c r="D222">
        <v>74259041</v>
      </c>
      <c r="E222">
        <v>1</v>
      </c>
      <c r="F222">
        <v>1</v>
      </c>
      <c r="G222">
        <v>1</v>
      </c>
      <c r="H222">
        <v>3</v>
      </c>
      <c r="I222" t="s">
        <v>560</v>
      </c>
      <c r="J222" t="s">
        <v>561</v>
      </c>
      <c r="K222" t="s">
        <v>562</v>
      </c>
      <c r="L222">
        <v>1383</v>
      </c>
      <c r="N222">
        <v>1013</v>
      </c>
      <c r="O222" t="s">
        <v>563</v>
      </c>
      <c r="P222" t="s">
        <v>563</v>
      </c>
      <c r="Q222">
        <v>1</v>
      </c>
      <c r="W222">
        <v>0</v>
      </c>
      <c r="X222">
        <v>-182421198</v>
      </c>
      <c r="Y222">
        <f t="shared" si="114"/>
        <v>1.587</v>
      </c>
      <c r="AA222">
        <v>9.0399999999999991</v>
      </c>
      <c r="AB222">
        <v>0</v>
      </c>
      <c r="AC222">
        <v>0</v>
      </c>
      <c r="AD222">
        <v>0</v>
      </c>
      <c r="AE222">
        <v>9.0399999999999991</v>
      </c>
      <c r="AF222">
        <v>0</v>
      </c>
      <c r="AG222">
        <v>0</v>
      </c>
      <c r="AH222">
        <v>0</v>
      </c>
      <c r="AI222">
        <v>1</v>
      </c>
      <c r="AJ222">
        <v>1</v>
      </c>
      <c r="AK222">
        <v>1</v>
      </c>
      <c r="AL222">
        <v>1</v>
      </c>
      <c r="AM222">
        <v>-2</v>
      </c>
      <c r="AN222">
        <v>0</v>
      </c>
      <c r="AO222">
        <v>0</v>
      </c>
      <c r="AP222">
        <v>1</v>
      </c>
      <c r="AQ222">
        <v>1</v>
      </c>
      <c r="AR222">
        <v>0</v>
      </c>
      <c r="AS222" t="s">
        <v>3</v>
      </c>
      <c r="AT222">
        <v>1.587</v>
      </c>
      <c r="AU222" t="s">
        <v>3</v>
      </c>
      <c r="AV222">
        <v>0</v>
      </c>
      <c r="AW222">
        <v>2</v>
      </c>
      <c r="AX222">
        <v>75618356</v>
      </c>
      <c r="AY222">
        <v>1</v>
      </c>
      <c r="AZ222">
        <v>0</v>
      </c>
      <c r="BA222">
        <v>233</v>
      </c>
      <c r="BB222">
        <v>1</v>
      </c>
      <c r="BC222">
        <v>0</v>
      </c>
      <c r="BD222">
        <v>0</v>
      </c>
      <c r="BE222">
        <v>0</v>
      </c>
      <c r="BF222">
        <v>0</v>
      </c>
      <c r="BG222">
        <v>0</v>
      </c>
      <c r="BH222">
        <v>0</v>
      </c>
      <c r="BI222">
        <v>0</v>
      </c>
      <c r="BJ222">
        <v>14.346479999999998</v>
      </c>
      <c r="BK222">
        <v>0</v>
      </c>
      <c r="BL222">
        <v>0</v>
      </c>
      <c r="BM222">
        <v>0</v>
      </c>
      <c r="BN222">
        <v>0</v>
      </c>
      <c r="BO222">
        <v>0</v>
      </c>
      <c r="BP222">
        <v>1</v>
      </c>
      <c r="BQ222">
        <v>14.346479999999998</v>
      </c>
      <c r="BR222">
        <v>0</v>
      </c>
      <c r="BS222">
        <v>0</v>
      </c>
      <c r="BT222">
        <v>0</v>
      </c>
      <c r="BU222">
        <v>0</v>
      </c>
      <c r="BV222">
        <v>0</v>
      </c>
      <c r="BW222">
        <v>1</v>
      </c>
      <c r="CV222">
        <v>0</v>
      </c>
      <c r="CW222">
        <v>0</v>
      </c>
      <c r="CX222">
        <f>ROUND(Y222*Source!I176,7)</f>
        <v>7.9350000000000004E-2</v>
      </c>
      <c r="CY222">
        <f t="shared" si="115"/>
        <v>9.0399999999999991</v>
      </c>
      <c r="CZ222">
        <f t="shared" si="116"/>
        <v>9.0399999999999991</v>
      </c>
      <c r="DA222">
        <f t="shared" si="117"/>
        <v>1</v>
      </c>
      <c r="DB222">
        <f t="shared" si="118"/>
        <v>14.35</v>
      </c>
      <c r="DC222">
        <f t="shared" si="119"/>
        <v>0</v>
      </c>
      <c r="DD222" t="s">
        <v>3</v>
      </c>
      <c r="DE222" t="s">
        <v>3</v>
      </c>
      <c r="DF222">
        <f>ROUND(ROUND(AE222,2)*CX222,2)</f>
        <v>0.72</v>
      </c>
      <c r="DG222">
        <f t="shared" si="113"/>
        <v>0</v>
      </c>
      <c r="DH222">
        <f t="shared" si="106"/>
        <v>0</v>
      </c>
      <c r="DI222">
        <f t="shared" si="107"/>
        <v>0</v>
      </c>
      <c r="DJ222">
        <f t="shared" si="120"/>
        <v>0.72</v>
      </c>
      <c r="DK222">
        <v>1</v>
      </c>
      <c r="DL222" t="s">
        <v>3</v>
      </c>
      <c r="DM222">
        <v>0</v>
      </c>
      <c r="DN222" t="s">
        <v>3</v>
      </c>
      <c r="DO222">
        <v>0</v>
      </c>
    </row>
    <row r="223" spans="1:119" x14ac:dyDescent="0.25">
      <c r="A223">
        <f>ROW(Source!A176)</f>
        <v>176</v>
      </c>
      <c r="B223">
        <v>75604747</v>
      </c>
      <c r="C223">
        <v>75618325</v>
      </c>
      <c r="D223">
        <v>74259722</v>
      </c>
      <c r="E223">
        <v>1</v>
      </c>
      <c r="F223">
        <v>1</v>
      </c>
      <c r="G223">
        <v>1</v>
      </c>
      <c r="H223">
        <v>3</v>
      </c>
      <c r="I223" t="s">
        <v>620</v>
      </c>
      <c r="J223" t="s">
        <v>621</v>
      </c>
      <c r="K223" t="s">
        <v>622</v>
      </c>
      <c r="L223">
        <v>1346</v>
      </c>
      <c r="N223">
        <v>1009</v>
      </c>
      <c r="O223" t="s">
        <v>240</v>
      </c>
      <c r="P223" t="s">
        <v>240</v>
      </c>
      <c r="Q223">
        <v>1</v>
      </c>
      <c r="W223">
        <v>0</v>
      </c>
      <c r="X223">
        <v>-550460808</v>
      </c>
      <c r="Y223">
        <f t="shared" si="114"/>
        <v>1.4</v>
      </c>
      <c r="AA223">
        <v>121.28</v>
      </c>
      <c r="AB223">
        <v>0</v>
      </c>
      <c r="AC223">
        <v>0</v>
      </c>
      <c r="AD223">
        <v>0</v>
      </c>
      <c r="AE223">
        <v>142.68</v>
      </c>
      <c r="AF223">
        <v>0</v>
      </c>
      <c r="AG223">
        <v>0</v>
      </c>
      <c r="AH223">
        <v>0</v>
      </c>
      <c r="AI223">
        <v>0.85</v>
      </c>
      <c r="AJ223">
        <v>1</v>
      </c>
      <c r="AK223">
        <v>1</v>
      </c>
      <c r="AL223">
        <v>1</v>
      </c>
      <c r="AM223">
        <v>2</v>
      </c>
      <c r="AN223">
        <v>0</v>
      </c>
      <c r="AO223">
        <v>0</v>
      </c>
      <c r="AP223">
        <v>1</v>
      </c>
      <c r="AQ223">
        <v>1</v>
      </c>
      <c r="AR223">
        <v>0</v>
      </c>
      <c r="AS223" t="s">
        <v>3</v>
      </c>
      <c r="AT223">
        <v>1.4</v>
      </c>
      <c r="AU223" t="s">
        <v>3</v>
      </c>
      <c r="AV223">
        <v>0</v>
      </c>
      <c r="AW223">
        <v>2</v>
      </c>
      <c r="AX223">
        <v>75618357</v>
      </c>
      <c r="AY223">
        <v>1</v>
      </c>
      <c r="AZ223">
        <v>0</v>
      </c>
      <c r="BA223">
        <v>234</v>
      </c>
      <c r="BB223">
        <v>1</v>
      </c>
      <c r="BC223">
        <v>0</v>
      </c>
      <c r="BD223">
        <v>0</v>
      </c>
      <c r="BE223">
        <v>0</v>
      </c>
      <c r="BF223">
        <v>0</v>
      </c>
      <c r="BG223">
        <v>0</v>
      </c>
      <c r="BH223">
        <v>0</v>
      </c>
      <c r="BI223">
        <v>0</v>
      </c>
      <c r="BJ223">
        <v>199.75200000000001</v>
      </c>
      <c r="BK223">
        <v>0</v>
      </c>
      <c r="BL223">
        <v>0</v>
      </c>
      <c r="BM223">
        <v>0</v>
      </c>
      <c r="BN223">
        <v>0</v>
      </c>
      <c r="BO223">
        <v>0</v>
      </c>
      <c r="BP223">
        <v>1</v>
      </c>
      <c r="BQ223">
        <v>199.75200000000001</v>
      </c>
      <c r="BR223">
        <v>0</v>
      </c>
      <c r="BS223">
        <v>0</v>
      </c>
      <c r="BT223">
        <v>0</v>
      </c>
      <c r="BU223">
        <v>0</v>
      </c>
      <c r="BV223">
        <v>0</v>
      </c>
      <c r="BW223">
        <v>1</v>
      </c>
      <c r="CV223">
        <v>0</v>
      </c>
      <c r="CW223">
        <v>0</v>
      </c>
      <c r="CX223">
        <f>ROUND(Y223*Source!I176,7)</f>
        <v>7.0000000000000007E-2</v>
      </c>
      <c r="CY223">
        <f t="shared" si="115"/>
        <v>121.28</v>
      </c>
      <c r="CZ223">
        <f t="shared" si="116"/>
        <v>142.68</v>
      </c>
      <c r="DA223">
        <f t="shared" si="117"/>
        <v>0.85</v>
      </c>
      <c r="DB223">
        <f t="shared" si="118"/>
        <v>199.75</v>
      </c>
      <c r="DC223">
        <f t="shared" si="119"/>
        <v>0</v>
      </c>
      <c r="DD223" t="s">
        <v>3</v>
      </c>
      <c r="DE223" t="s">
        <v>3</v>
      </c>
      <c r="DF223">
        <f t="shared" ref="DF223:DF228" si="121">ROUND(ROUND(AE223*AI223,2)*CX223,2)</f>
        <v>8.49</v>
      </c>
      <c r="DG223">
        <f t="shared" si="113"/>
        <v>0</v>
      </c>
      <c r="DH223">
        <f t="shared" si="106"/>
        <v>0</v>
      </c>
      <c r="DI223">
        <f t="shared" si="107"/>
        <v>0</v>
      </c>
      <c r="DJ223">
        <f t="shared" si="120"/>
        <v>8.49</v>
      </c>
      <c r="DK223">
        <v>0</v>
      </c>
      <c r="DL223" t="s">
        <v>3</v>
      </c>
      <c r="DM223">
        <v>0</v>
      </c>
      <c r="DN223" t="s">
        <v>3</v>
      </c>
      <c r="DO223">
        <v>0</v>
      </c>
    </row>
    <row r="224" spans="1:119" x14ac:dyDescent="0.25">
      <c r="A224">
        <f>ROW(Source!A176)</f>
        <v>176</v>
      </c>
      <c r="B224">
        <v>75604747</v>
      </c>
      <c r="C224">
        <v>75618325</v>
      </c>
      <c r="D224">
        <v>74260536</v>
      </c>
      <c r="E224">
        <v>1</v>
      </c>
      <c r="F224">
        <v>1</v>
      </c>
      <c r="G224">
        <v>1</v>
      </c>
      <c r="H224">
        <v>3</v>
      </c>
      <c r="I224" t="s">
        <v>623</v>
      </c>
      <c r="J224" t="s">
        <v>624</v>
      </c>
      <c r="K224" t="s">
        <v>625</v>
      </c>
      <c r="L224">
        <v>1346</v>
      </c>
      <c r="N224">
        <v>1009</v>
      </c>
      <c r="O224" t="s">
        <v>240</v>
      </c>
      <c r="P224" t="s">
        <v>240</v>
      </c>
      <c r="Q224">
        <v>1</v>
      </c>
      <c r="W224">
        <v>0</v>
      </c>
      <c r="X224">
        <v>-489290570</v>
      </c>
      <c r="Y224">
        <f t="shared" si="114"/>
        <v>3.3</v>
      </c>
      <c r="AA224">
        <v>188.92</v>
      </c>
      <c r="AB224">
        <v>0</v>
      </c>
      <c r="AC224">
        <v>0</v>
      </c>
      <c r="AD224">
        <v>0</v>
      </c>
      <c r="AE224">
        <v>174.93</v>
      </c>
      <c r="AF224">
        <v>0</v>
      </c>
      <c r="AG224">
        <v>0</v>
      </c>
      <c r="AH224">
        <v>0</v>
      </c>
      <c r="AI224">
        <v>1.08</v>
      </c>
      <c r="AJ224">
        <v>1</v>
      </c>
      <c r="AK224">
        <v>1</v>
      </c>
      <c r="AL224">
        <v>1</v>
      </c>
      <c r="AM224">
        <v>2</v>
      </c>
      <c r="AN224">
        <v>0</v>
      </c>
      <c r="AO224">
        <v>0</v>
      </c>
      <c r="AP224">
        <v>1</v>
      </c>
      <c r="AQ224">
        <v>1</v>
      </c>
      <c r="AR224">
        <v>0</v>
      </c>
      <c r="AS224" t="s">
        <v>3</v>
      </c>
      <c r="AT224">
        <v>3.3</v>
      </c>
      <c r="AU224" t="s">
        <v>3</v>
      </c>
      <c r="AV224">
        <v>0</v>
      </c>
      <c r="AW224">
        <v>2</v>
      </c>
      <c r="AX224">
        <v>75618358</v>
      </c>
      <c r="AY224">
        <v>1</v>
      </c>
      <c r="AZ224">
        <v>0</v>
      </c>
      <c r="BA224">
        <v>235</v>
      </c>
      <c r="BB224">
        <v>1</v>
      </c>
      <c r="BC224">
        <v>0</v>
      </c>
      <c r="BD224">
        <v>0</v>
      </c>
      <c r="BE224">
        <v>0</v>
      </c>
      <c r="BF224">
        <v>0</v>
      </c>
      <c r="BG224">
        <v>0</v>
      </c>
      <c r="BH224">
        <v>0</v>
      </c>
      <c r="BI224">
        <v>0</v>
      </c>
      <c r="BJ224">
        <v>577.26900000000001</v>
      </c>
      <c r="BK224">
        <v>0</v>
      </c>
      <c r="BL224">
        <v>0</v>
      </c>
      <c r="BM224">
        <v>0</v>
      </c>
      <c r="BN224">
        <v>0</v>
      </c>
      <c r="BO224">
        <v>0</v>
      </c>
      <c r="BP224">
        <v>1</v>
      </c>
      <c r="BQ224">
        <v>577.26900000000001</v>
      </c>
      <c r="BR224">
        <v>0</v>
      </c>
      <c r="BS224">
        <v>0</v>
      </c>
      <c r="BT224">
        <v>0</v>
      </c>
      <c r="BU224">
        <v>0</v>
      </c>
      <c r="BV224">
        <v>0</v>
      </c>
      <c r="BW224">
        <v>1</v>
      </c>
      <c r="CV224">
        <v>0</v>
      </c>
      <c r="CW224">
        <v>0</v>
      </c>
      <c r="CX224">
        <f>ROUND(Y224*Source!I176,7)</f>
        <v>0.16500000000000001</v>
      </c>
      <c r="CY224">
        <f t="shared" si="115"/>
        <v>188.92</v>
      </c>
      <c r="CZ224">
        <f t="shared" si="116"/>
        <v>174.93</v>
      </c>
      <c r="DA224">
        <f t="shared" si="117"/>
        <v>1.08</v>
      </c>
      <c r="DB224">
        <f t="shared" si="118"/>
        <v>577.27</v>
      </c>
      <c r="DC224">
        <f t="shared" si="119"/>
        <v>0</v>
      </c>
      <c r="DD224" t="s">
        <v>3</v>
      </c>
      <c r="DE224" t="s">
        <v>3</v>
      </c>
      <c r="DF224">
        <f t="shared" si="121"/>
        <v>31.17</v>
      </c>
      <c r="DG224">
        <f t="shared" si="113"/>
        <v>0</v>
      </c>
      <c r="DH224">
        <f t="shared" si="106"/>
        <v>0</v>
      </c>
      <c r="DI224">
        <f t="shared" si="107"/>
        <v>0</v>
      </c>
      <c r="DJ224">
        <f t="shared" si="120"/>
        <v>31.17</v>
      </c>
      <c r="DK224">
        <v>0</v>
      </c>
      <c r="DL224" t="s">
        <v>3</v>
      </c>
      <c r="DM224">
        <v>0</v>
      </c>
      <c r="DN224" t="s">
        <v>3</v>
      </c>
      <c r="DO224">
        <v>0</v>
      </c>
    </row>
    <row r="225" spans="1:119" x14ac:dyDescent="0.25">
      <c r="A225">
        <f>ROW(Source!A176)</f>
        <v>176</v>
      </c>
      <c r="B225">
        <v>75604747</v>
      </c>
      <c r="C225">
        <v>75618325</v>
      </c>
      <c r="D225">
        <v>74260587</v>
      </c>
      <c r="E225">
        <v>1</v>
      </c>
      <c r="F225">
        <v>1</v>
      </c>
      <c r="G225">
        <v>1</v>
      </c>
      <c r="H225">
        <v>3</v>
      </c>
      <c r="I225" t="s">
        <v>530</v>
      </c>
      <c r="J225" t="s">
        <v>531</v>
      </c>
      <c r="K225" t="s">
        <v>532</v>
      </c>
      <c r="L225">
        <v>1348</v>
      </c>
      <c r="N225">
        <v>1009</v>
      </c>
      <c r="O225" t="s">
        <v>174</v>
      </c>
      <c r="P225" t="s">
        <v>174</v>
      </c>
      <c r="Q225">
        <v>1000</v>
      </c>
      <c r="W225">
        <v>0</v>
      </c>
      <c r="X225">
        <v>1479353699</v>
      </c>
      <c r="Y225">
        <f t="shared" si="114"/>
        <v>1.0000000000000001E-5</v>
      </c>
      <c r="AA225">
        <v>92790.98</v>
      </c>
      <c r="AB225">
        <v>0</v>
      </c>
      <c r="AC225">
        <v>0</v>
      </c>
      <c r="AD225">
        <v>0</v>
      </c>
      <c r="AE225">
        <v>70296.2</v>
      </c>
      <c r="AF225">
        <v>0</v>
      </c>
      <c r="AG225">
        <v>0</v>
      </c>
      <c r="AH225">
        <v>0</v>
      </c>
      <c r="AI225">
        <v>1.32</v>
      </c>
      <c r="AJ225">
        <v>1</v>
      </c>
      <c r="AK225">
        <v>1</v>
      </c>
      <c r="AL225">
        <v>1</v>
      </c>
      <c r="AM225">
        <v>2</v>
      </c>
      <c r="AN225">
        <v>0</v>
      </c>
      <c r="AO225">
        <v>0</v>
      </c>
      <c r="AP225">
        <v>1</v>
      </c>
      <c r="AQ225">
        <v>1</v>
      </c>
      <c r="AR225">
        <v>0</v>
      </c>
      <c r="AS225" t="s">
        <v>3</v>
      </c>
      <c r="AT225">
        <v>1.0000000000000001E-5</v>
      </c>
      <c r="AU225" t="s">
        <v>3</v>
      </c>
      <c r="AV225">
        <v>0</v>
      </c>
      <c r="AW225">
        <v>2</v>
      </c>
      <c r="AX225">
        <v>75618359</v>
      </c>
      <c r="AY225">
        <v>1</v>
      </c>
      <c r="AZ225">
        <v>0</v>
      </c>
      <c r="BA225">
        <v>236</v>
      </c>
      <c r="BB225">
        <v>1</v>
      </c>
      <c r="BC225">
        <v>0</v>
      </c>
      <c r="BD225">
        <v>0</v>
      </c>
      <c r="BE225">
        <v>0</v>
      </c>
      <c r="BF225">
        <v>0</v>
      </c>
      <c r="BG225">
        <v>0</v>
      </c>
      <c r="BH225">
        <v>0</v>
      </c>
      <c r="BI225">
        <v>0</v>
      </c>
      <c r="BJ225">
        <v>0.70296199999999998</v>
      </c>
      <c r="BK225">
        <v>0</v>
      </c>
      <c r="BL225">
        <v>0</v>
      </c>
      <c r="BM225">
        <v>0</v>
      </c>
      <c r="BN225">
        <v>0</v>
      </c>
      <c r="BO225">
        <v>0</v>
      </c>
      <c r="BP225">
        <v>1</v>
      </c>
      <c r="BQ225">
        <v>0.70296199999999998</v>
      </c>
      <c r="BR225">
        <v>0</v>
      </c>
      <c r="BS225">
        <v>0</v>
      </c>
      <c r="BT225">
        <v>0</v>
      </c>
      <c r="BU225">
        <v>0</v>
      </c>
      <c r="BV225">
        <v>0</v>
      </c>
      <c r="BW225">
        <v>1</v>
      </c>
      <c r="CV225">
        <v>0</v>
      </c>
      <c r="CW225">
        <v>0</v>
      </c>
      <c r="CX225">
        <f>ROUND(Y225*Source!I176,7)</f>
        <v>4.9999999999999998E-7</v>
      </c>
      <c r="CY225">
        <f t="shared" si="115"/>
        <v>92790.98</v>
      </c>
      <c r="CZ225">
        <f t="shared" si="116"/>
        <v>70296.2</v>
      </c>
      <c r="DA225">
        <f t="shared" si="117"/>
        <v>1.32</v>
      </c>
      <c r="DB225">
        <f t="shared" si="118"/>
        <v>0.7</v>
      </c>
      <c r="DC225">
        <f t="shared" si="119"/>
        <v>0</v>
      </c>
      <c r="DD225" t="s">
        <v>3</v>
      </c>
      <c r="DE225" t="s">
        <v>3</v>
      </c>
      <c r="DF225">
        <f t="shared" si="121"/>
        <v>0.05</v>
      </c>
      <c r="DG225">
        <f t="shared" si="113"/>
        <v>0</v>
      </c>
      <c r="DH225">
        <f t="shared" si="106"/>
        <v>0</v>
      </c>
      <c r="DI225">
        <f t="shared" si="107"/>
        <v>0</v>
      </c>
      <c r="DJ225">
        <f t="shared" si="120"/>
        <v>0.05</v>
      </c>
      <c r="DK225">
        <v>0</v>
      </c>
      <c r="DL225" t="s">
        <v>3</v>
      </c>
      <c r="DM225">
        <v>0</v>
      </c>
      <c r="DN225" t="s">
        <v>3</v>
      </c>
      <c r="DO225">
        <v>0</v>
      </c>
    </row>
    <row r="226" spans="1:119" x14ac:dyDescent="0.25">
      <c r="A226">
        <f>ROW(Source!A176)</f>
        <v>176</v>
      </c>
      <c r="B226">
        <v>75604747</v>
      </c>
      <c r="C226">
        <v>75618325</v>
      </c>
      <c r="D226">
        <v>74261679</v>
      </c>
      <c r="E226">
        <v>1</v>
      </c>
      <c r="F226">
        <v>1</v>
      </c>
      <c r="G226">
        <v>1</v>
      </c>
      <c r="H226">
        <v>3</v>
      </c>
      <c r="I226" t="s">
        <v>626</v>
      </c>
      <c r="J226" t="s">
        <v>627</v>
      </c>
      <c r="K226" t="s">
        <v>628</v>
      </c>
      <c r="L226">
        <v>1348</v>
      </c>
      <c r="N226">
        <v>1009</v>
      </c>
      <c r="O226" t="s">
        <v>174</v>
      </c>
      <c r="P226" t="s">
        <v>174</v>
      </c>
      <c r="Q226">
        <v>1000</v>
      </c>
      <c r="W226">
        <v>0</v>
      </c>
      <c r="X226">
        <v>-196647353</v>
      </c>
      <c r="Y226">
        <f t="shared" si="114"/>
        <v>1E-4</v>
      </c>
      <c r="AA226">
        <v>368541.89</v>
      </c>
      <c r="AB226">
        <v>0</v>
      </c>
      <c r="AC226">
        <v>0</v>
      </c>
      <c r="AD226">
        <v>0</v>
      </c>
      <c r="AE226">
        <v>231787.35</v>
      </c>
      <c r="AF226">
        <v>0</v>
      </c>
      <c r="AG226">
        <v>0</v>
      </c>
      <c r="AH226">
        <v>0</v>
      </c>
      <c r="AI226">
        <v>1.59</v>
      </c>
      <c r="AJ226">
        <v>1</v>
      </c>
      <c r="AK226">
        <v>1</v>
      </c>
      <c r="AL226">
        <v>1</v>
      </c>
      <c r="AM226">
        <v>2</v>
      </c>
      <c r="AN226">
        <v>0</v>
      </c>
      <c r="AO226">
        <v>0</v>
      </c>
      <c r="AP226">
        <v>1</v>
      </c>
      <c r="AQ226">
        <v>1</v>
      </c>
      <c r="AR226">
        <v>0</v>
      </c>
      <c r="AS226" t="s">
        <v>3</v>
      </c>
      <c r="AT226">
        <v>1E-4</v>
      </c>
      <c r="AU226" t="s">
        <v>3</v>
      </c>
      <c r="AV226">
        <v>0</v>
      </c>
      <c r="AW226">
        <v>2</v>
      </c>
      <c r="AX226">
        <v>75618360</v>
      </c>
      <c r="AY226">
        <v>1</v>
      </c>
      <c r="AZ226">
        <v>0</v>
      </c>
      <c r="BA226">
        <v>237</v>
      </c>
      <c r="BB226">
        <v>1</v>
      </c>
      <c r="BC226">
        <v>0</v>
      </c>
      <c r="BD226">
        <v>0</v>
      </c>
      <c r="BE226">
        <v>0</v>
      </c>
      <c r="BF226">
        <v>0</v>
      </c>
      <c r="BG226">
        <v>0</v>
      </c>
      <c r="BH226">
        <v>0</v>
      </c>
      <c r="BI226">
        <v>0</v>
      </c>
      <c r="BJ226">
        <v>23.178735000000003</v>
      </c>
      <c r="BK226">
        <v>0</v>
      </c>
      <c r="BL226">
        <v>0</v>
      </c>
      <c r="BM226">
        <v>0</v>
      </c>
      <c r="BN226">
        <v>0</v>
      </c>
      <c r="BO226">
        <v>0</v>
      </c>
      <c r="BP226">
        <v>1</v>
      </c>
      <c r="BQ226">
        <v>23.178735000000003</v>
      </c>
      <c r="BR226">
        <v>0</v>
      </c>
      <c r="BS226">
        <v>0</v>
      </c>
      <c r="BT226">
        <v>0</v>
      </c>
      <c r="BU226">
        <v>0</v>
      </c>
      <c r="BV226">
        <v>0</v>
      </c>
      <c r="BW226">
        <v>1</v>
      </c>
      <c r="CV226">
        <v>0</v>
      </c>
      <c r="CW226">
        <v>0</v>
      </c>
      <c r="CX226">
        <f>ROUND(Y226*Source!I176,7)</f>
        <v>5.0000000000000004E-6</v>
      </c>
      <c r="CY226">
        <f t="shared" si="115"/>
        <v>368541.89</v>
      </c>
      <c r="CZ226">
        <f t="shared" si="116"/>
        <v>231787.35</v>
      </c>
      <c r="DA226">
        <f t="shared" si="117"/>
        <v>1.59</v>
      </c>
      <c r="DB226">
        <f t="shared" si="118"/>
        <v>23.18</v>
      </c>
      <c r="DC226">
        <f t="shared" si="119"/>
        <v>0</v>
      </c>
      <c r="DD226" t="s">
        <v>3</v>
      </c>
      <c r="DE226" t="s">
        <v>3</v>
      </c>
      <c r="DF226">
        <f t="shared" si="121"/>
        <v>1.84</v>
      </c>
      <c r="DG226">
        <f t="shared" si="113"/>
        <v>0</v>
      </c>
      <c r="DH226">
        <f t="shared" si="106"/>
        <v>0</v>
      </c>
      <c r="DI226">
        <f t="shared" si="107"/>
        <v>0</v>
      </c>
      <c r="DJ226">
        <f t="shared" si="120"/>
        <v>1.84</v>
      </c>
      <c r="DK226">
        <v>0</v>
      </c>
      <c r="DL226" t="s">
        <v>3</v>
      </c>
      <c r="DM226">
        <v>0</v>
      </c>
      <c r="DN226" t="s">
        <v>3</v>
      </c>
      <c r="DO226">
        <v>0</v>
      </c>
    </row>
    <row r="227" spans="1:119" x14ac:dyDescent="0.25">
      <c r="A227">
        <f>ROW(Source!A176)</f>
        <v>176</v>
      </c>
      <c r="B227">
        <v>75604747</v>
      </c>
      <c r="C227">
        <v>75618325</v>
      </c>
      <c r="D227">
        <v>74267598</v>
      </c>
      <c r="E227">
        <v>1</v>
      </c>
      <c r="F227">
        <v>1</v>
      </c>
      <c r="G227">
        <v>1</v>
      </c>
      <c r="H227">
        <v>3</v>
      </c>
      <c r="I227" t="s">
        <v>629</v>
      </c>
      <c r="J227" t="s">
        <v>630</v>
      </c>
      <c r="K227" t="s">
        <v>631</v>
      </c>
      <c r="L227">
        <v>1302</v>
      </c>
      <c r="N227">
        <v>1003</v>
      </c>
      <c r="O227" t="s">
        <v>632</v>
      </c>
      <c r="P227" t="s">
        <v>632</v>
      </c>
      <c r="Q227">
        <v>10</v>
      </c>
      <c r="W227">
        <v>0</v>
      </c>
      <c r="X227">
        <v>-16063298</v>
      </c>
      <c r="Y227">
        <f t="shared" si="114"/>
        <v>1.8700000000000001E-2</v>
      </c>
      <c r="AA227">
        <v>221.64</v>
      </c>
      <c r="AB227">
        <v>0</v>
      </c>
      <c r="AC227">
        <v>0</v>
      </c>
      <c r="AD227">
        <v>0</v>
      </c>
      <c r="AE227">
        <v>307.83999999999997</v>
      </c>
      <c r="AF227">
        <v>0</v>
      </c>
      <c r="AG227">
        <v>0</v>
      </c>
      <c r="AH227">
        <v>0</v>
      </c>
      <c r="AI227">
        <v>0.72</v>
      </c>
      <c r="AJ227">
        <v>1</v>
      </c>
      <c r="AK227">
        <v>1</v>
      </c>
      <c r="AL227">
        <v>1</v>
      </c>
      <c r="AM227">
        <v>2</v>
      </c>
      <c r="AN227">
        <v>0</v>
      </c>
      <c r="AO227">
        <v>0</v>
      </c>
      <c r="AP227">
        <v>1</v>
      </c>
      <c r="AQ227">
        <v>1</v>
      </c>
      <c r="AR227">
        <v>0</v>
      </c>
      <c r="AS227" t="s">
        <v>3</v>
      </c>
      <c r="AT227">
        <v>1.8700000000000001E-2</v>
      </c>
      <c r="AU227" t="s">
        <v>3</v>
      </c>
      <c r="AV227">
        <v>0</v>
      </c>
      <c r="AW227">
        <v>2</v>
      </c>
      <c r="AX227">
        <v>75618362</v>
      </c>
      <c r="AY227">
        <v>1</v>
      </c>
      <c r="AZ227">
        <v>0</v>
      </c>
      <c r="BA227">
        <v>239</v>
      </c>
      <c r="BB227">
        <v>1</v>
      </c>
      <c r="BC227">
        <v>0</v>
      </c>
      <c r="BD227">
        <v>0</v>
      </c>
      <c r="BE227">
        <v>0</v>
      </c>
      <c r="BF227">
        <v>0</v>
      </c>
      <c r="BG227">
        <v>0</v>
      </c>
      <c r="BH227">
        <v>0</v>
      </c>
      <c r="BI227">
        <v>0</v>
      </c>
      <c r="BJ227">
        <v>5.7566079999999999</v>
      </c>
      <c r="BK227">
        <v>0</v>
      </c>
      <c r="BL227">
        <v>0</v>
      </c>
      <c r="BM227">
        <v>0</v>
      </c>
      <c r="BN227">
        <v>0</v>
      </c>
      <c r="BO227">
        <v>0</v>
      </c>
      <c r="BP227">
        <v>1</v>
      </c>
      <c r="BQ227">
        <v>5.7566079999999999</v>
      </c>
      <c r="BR227">
        <v>0</v>
      </c>
      <c r="BS227">
        <v>0</v>
      </c>
      <c r="BT227">
        <v>0</v>
      </c>
      <c r="BU227">
        <v>0</v>
      </c>
      <c r="BV227">
        <v>0</v>
      </c>
      <c r="BW227">
        <v>1</v>
      </c>
      <c r="CV227">
        <v>0</v>
      </c>
      <c r="CW227">
        <v>0</v>
      </c>
      <c r="CX227">
        <f>ROUND(Y227*Source!I176,7)</f>
        <v>9.3499999999999996E-4</v>
      </c>
      <c r="CY227">
        <f t="shared" si="115"/>
        <v>221.64</v>
      </c>
      <c r="CZ227">
        <f t="shared" si="116"/>
        <v>307.83999999999997</v>
      </c>
      <c r="DA227">
        <f t="shared" si="117"/>
        <v>0.72</v>
      </c>
      <c r="DB227">
        <f t="shared" si="118"/>
        <v>5.76</v>
      </c>
      <c r="DC227">
        <f t="shared" si="119"/>
        <v>0</v>
      </c>
      <c r="DD227" t="s">
        <v>3</v>
      </c>
      <c r="DE227" t="s">
        <v>3</v>
      </c>
      <c r="DF227">
        <f t="shared" si="121"/>
        <v>0.21</v>
      </c>
      <c r="DG227">
        <f t="shared" si="113"/>
        <v>0</v>
      </c>
      <c r="DH227">
        <f t="shared" si="106"/>
        <v>0</v>
      </c>
      <c r="DI227">
        <f t="shared" si="107"/>
        <v>0</v>
      </c>
      <c r="DJ227">
        <f t="shared" si="120"/>
        <v>0.21</v>
      </c>
      <c r="DK227">
        <v>0</v>
      </c>
      <c r="DL227" t="s">
        <v>3</v>
      </c>
      <c r="DM227">
        <v>0</v>
      </c>
      <c r="DN227" t="s">
        <v>3</v>
      </c>
      <c r="DO227">
        <v>0</v>
      </c>
    </row>
    <row r="228" spans="1:119" x14ac:dyDescent="0.25">
      <c r="A228">
        <f>ROW(Source!A176)</f>
        <v>176</v>
      </c>
      <c r="B228">
        <v>75604747</v>
      </c>
      <c r="C228">
        <v>75618325</v>
      </c>
      <c r="D228">
        <v>74267758</v>
      </c>
      <c r="E228">
        <v>1</v>
      </c>
      <c r="F228">
        <v>1</v>
      </c>
      <c r="G228">
        <v>1</v>
      </c>
      <c r="H228">
        <v>3</v>
      </c>
      <c r="I228" t="s">
        <v>533</v>
      </c>
      <c r="J228" t="s">
        <v>534</v>
      </c>
      <c r="K228" t="s">
        <v>535</v>
      </c>
      <c r="L228">
        <v>1348</v>
      </c>
      <c r="N228">
        <v>1009</v>
      </c>
      <c r="O228" t="s">
        <v>174</v>
      </c>
      <c r="P228" t="s">
        <v>174</v>
      </c>
      <c r="Q228">
        <v>1000</v>
      </c>
      <c r="W228">
        <v>0</v>
      </c>
      <c r="X228">
        <v>1897739153</v>
      </c>
      <c r="Y228">
        <f t="shared" si="114"/>
        <v>3.0000000000000001E-5</v>
      </c>
      <c r="AA228">
        <v>52424.63</v>
      </c>
      <c r="AB228">
        <v>0</v>
      </c>
      <c r="AC228">
        <v>0</v>
      </c>
      <c r="AD228">
        <v>0</v>
      </c>
      <c r="AE228">
        <v>60258.2</v>
      </c>
      <c r="AF228">
        <v>0</v>
      </c>
      <c r="AG228">
        <v>0</v>
      </c>
      <c r="AH228">
        <v>0</v>
      </c>
      <c r="AI228">
        <v>0.87</v>
      </c>
      <c r="AJ228">
        <v>1</v>
      </c>
      <c r="AK228">
        <v>1</v>
      </c>
      <c r="AL228">
        <v>1</v>
      </c>
      <c r="AM228">
        <v>2</v>
      </c>
      <c r="AN228">
        <v>0</v>
      </c>
      <c r="AO228">
        <v>0</v>
      </c>
      <c r="AP228">
        <v>1</v>
      </c>
      <c r="AQ228">
        <v>1</v>
      </c>
      <c r="AR228">
        <v>0</v>
      </c>
      <c r="AS228" t="s">
        <v>3</v>
      </c>
      <c r="AT228">
        <v>3.0000000000000001E-5</v>
      </c>
      <c r="AU228" t="s">
        <v>3</v>
      </c>
      <c r="AV228">
        <v>0</v>
      </c>
      <c r="AW228">
        <v>2</v>
      </c>
      <c r="AX228">
        <v>75618363</v>
      </c>
      <c r="AY228">
        <v>1</v>
      </c>
      <c r="AZ228">
        <v>0</v>
      </c>
      <c r="BA228">
        <v>240</v>
      </c>
      <c r="BB228">
        <v>1</v>
      </c>
      <c r="BC228">
        <v>0</v>
      </c>
      <c r="BD228">
        <v>0</v>
      </c>
      <c r="BE228">
        <v>0</v>
      </c>
      <c r="BF228">
        <v>0</v>
      </c>
      <c r="BG228">
        <v>0</v>
      </c>
      <c r="BH228">
        <v>0</v>
      </c>
      <c r="BI228">
        <v>0</v>
      </c>
      <c r="BJ228">
        <v>1.8077459999999999</v>
      </c>
      <c r="BK228">
        <v>0</v>
      </c>
      <c r="BL228">
        <v>0</v>
      </c>
      <c r="BM228">
        <v>0</v>
      </c>
      <c r="BN228">
        <v>0</v>
      </c>
      <c r="BO228">
        <v>0</v>
      </c>
      <c r="BP228">
        <v>1</v>
      </c>
      <c r="BQ228">
        <v>1.8077459999999999</v>
      </c>
      <c r="BR228">
        <v>0</v>
      </c>
      <c r="BS228">
        <v>0</v>
      </c>
      <c r="BT228">
        <v>0</v>
      </c>
      <c r="BU228">
        <v>0</v>
      </c>
      <c r="BV228">
        <v>0</v>
      </c>
      <c r="BW228">
        <v>1</v>
      </c>
      <c r="CV228">
        <v>0</v>
      </c>
      <c r="CW228">
        <v>0</v>
      </c>
      <c r="CX228">
        <f>ROUND(Y228*Source!I176,7)</f>
        <v>1.5E-6</v>
      </c>
      <c r="CY228">
        <f t="shared" si="115"/>
        <v>52424.63</v>
      </c>
      <c r="CZ228">
        <f t="shared" si="116"/>
        <v>60258.2</v>
      </c>
      <c r="DA228">
        <f t="shared" si="117"/>
        <v>0.87</v>
      </c>
      <c r="DB228">
        <f t="shared" si="118"/>
        <v>1.81</v>
      </c>
      <c r="DC228">
        <f t="shared" si="119"/>
        <v>0</v>
      </c>
      <c r="DD228" t="s">
        <v>3</v>
      </c>
      <c r="DE228" t="s">
        <v>3</v>
      </c>
      <c r="DF228">
        <f t="shared" si="121"/>
        <v>0.08</v>
      </c>
      <c r="DG228">
        <f t="shared" si="113"/>
        <v>0</v>
      </c>
      <c r="DH228">
        <f t="shared" si="106"/>
        <v>0</v>
      </c>
      <c r="DI228">
        <f t="shared" si="107"/>
        <v>0</v>
      </c>
      <c r="DJ228">
        <f t="shared" si="120"/>
        <v>0.08</v>
      </c>
      <c r="DK228">
        <v>0</v>
      </c>
      <c r="DL228" t="s">
        <v>3</v>
      </c>
      <c r="DM228">
        <v>0</v>
      </c>
      <c r="DN228" t="s">
        <v>3</v>
      </c>
      <c r="DO228">
        <v>0</v>
      </c>
    </row>
    <row r="229" spans="1:119" x14ac:dyDescent="0.25">
      <c r="A229">
        <f>ROW(Source!A176)</f>
        <v>176</v>
      </c>
      <c r="B229">
        <v>75604747</v>
      </c>
      <c r="C229">
        <v>75618325</v>
      </c>
      <c r="D229">
        <v>74267868</v>
      </c>
      <c r="E229">
        <v>1</v>
      </c>
      <c r="F229">
        <v>1</v>
      </c>
      <c r="G229">
        <v>1</v>
      </c>
      <c r="H229">
        <v>3</v>
      </c>
      <c r="I229" t="s">
        <v>364</v>
      </c>
      <c r="J229" t="s">
        <v>366</v>
      </c>
      <c r="K229" t="s">
        <v>365</v>
      </c>
      <c r="L229">
        <v>1348</v>
      </c>
      <c r="N229">
        <v>1009</v>
      </c>
      <c r="O229" t="s">
        <v>174</v>
      </c>
      <c r="P229" t="s">
        <v>174</v>
      </c>
      <c r="Q229">
        <v>1000</v>
      </c>
      <c r="W229">
        <v>0</v>
      </c>
      <c r="X229">
        <v>1472636897</v>
      </c>
      <c r="Y229">
        <f t="shared" si="114"/>
        <v>0.75600000000000001</v>
      </c>
      <c r="AA229">
        <v>46372.91</v>
      </c>
      <c r="AB229">
        <v>0</v>
      </c>
      <c r="AC229">
        <v>0</v>
      </c>
      <c r="AD229">
        <v>0</v>
      </c>
      <c r="AE229">
        <v>46372.91</v>
      </c>
      <c r="AF229">
        <v>0</v>
      </c>
      <c r="AG229">
        <v>0</v>
      </c>
      <c r="AH229">
        <v>0</v>
      </c>
      <c r="AI229">
        <v>1</v>
      </c>
      <c r="AJ229">
        <v>1</v>
      </c>
      <c r="AK229">
        <v>1</v>
      </c>
      <c r="AL229">
        <v>1</v>
      </c>
      <c r="AM229">
        <v>0</v>
      </c>
      <c r="AN229">
        <v>0</v>
      </c>
      <c r="AO229">
        <v>0</v>
      </c>
      <c r="AP229">
        <v>1</v>
      </c>
      <c r="AQ229">
        <v>0</v>
      </c>
      <c r="AR229">
        <v>0</v>
      </c>
      <c r="AS229" t="s">
        <v>3</v>
      </c>
      <c r="AT229">
        <v>0.75600000000000001</v>
      </c>
      <c r="AU229" t="s">
        <v>3</v>
      </c>
      <c r="AV229">
        <v>0</v>
      </c>
      <c r="AW229">
        <v>1</v>
      </c>
      <c r="AX229">
        <v>-1</v>
      </c>
      <c r="AY229">
        <v>0</v>
      </c>
      <c r="AZ229">
        <v>0</v>
      </c>
      <c r="BA229" t="s">
        <v>3</v>
      </c>
      <c r="BB229">
        <v>0</v>
      </c>
      <c r="BC229">
        <v>0</v>
      </c>
      <c r="BD229">
        <v>0</v>
      </c>
      <c r="BE229">
        <v>0</v>
      </c>
      <c r="BF229">
        <v>0</v>
      </c>
      <c r="BG229">
        <v>0</v>
      </c>
      <c r="BH229">
        <v>0</v>
      </c>
      <c r="BI229">
        <v>0</v>
      </c>
      <c r="BJ229">
        <v>0</v>
      </c>
      <c r="BK229">
        <v>0</v>
      </c>
      <c r="BL229">
        <v>0</v>
      </c>
      <c r="BM229">
        <v>0</v>
      </c>
      <c r="BN229">
        <v>0</v>
      </c>
      <c r="BO229">
        <v>0</v>
      </c>
      <c r="BP229">
        <v>0</v>
      </c>
      <c r="BQ229">
        <v>0</v>
      </c>
      <c r="BR229">
        <v>0</v>
      </c>
      <c r="BS229">
        <v>0</v>
      </c>
      <c r="BT229">
        <v>0</v>
      </c>
      <c r="BU229">
        <v>0</v>
      </c>
      <c r="BV229">
        <v>0</v>
      </c>
      <c r="BW229">
        <v>0</v>
      </c>
      <c r="CV229">
        <v>0</v>
      </c>
      <c r="CW229">
        <v>0</v>
      </c>
      <c r="CX229">
        <f>ROUND(Y229*Source!I176,7)</f>
        <v>3.78E-2</v>
      </c>
      <c r="CY229">
        <f t="shared" si="115"/>
        <v>46372.91</v>
      </c>
      <c r="CZ229">
        <f t="shared" si="116"/>
        <v>46372.91</v>
      </c>
      <c r="DA229">
        <f t="shared" si="117"/>
        <v>1</v>
      </c>
      <c r="DB229">
        <f t="shared" si="118"/>
        <v>35057.919999999998</v>
      </c>
      <c r="DC229">
        <f t="shared" si="119"/>
        <v>0</v>
      </c>
      <c r="DD229" t="s">
        <v>3</v>
      </c>
      <c r="DE229" t="s">
        <v>3</v>
      </c>
      <c r="DF229">
        <f>ROUND(ROUND(AE229,2)*CX229,2)</f>
        <v>1752.9</v>
      </c>
      <c r="DG229">
        <f t="shared" si="113"/>
        <v>0</v>
      </c>
      <c r="DH229">
        <f t="shared" si="106"/>
        <v>0</v>
      </c>
      <c r="DI229">
        <f t="shared" si="107"/>
        <v>0</v>
      </c>
      <c r="DJ229">
        <f t="shared" si="120"/>
        <v>1752.9</v>
      </c>
      <c r="DK229">
        <v>1</v>
      </c>
      <c r="DL229" t="s">
        <v>3</v>
      </c>
      <c r="DM229">
        <v>0</v>
      </c>
      <c r="DN229" t="s">
        <v>3</v>
      </c>
      <c r="DO229">
        <v>0</v>
      </c>
    </row>
    <row r="230" spans="1:119" x14ac:dyDescent="0.25">
      <c r="A230">
        <f>ROW(Source!A176)</f>
        <v>176</v>
      </c>
      <c r="B230">
        <v>75604747</v>
      </c>
      <c r="C230">
        <v>75618325</v>
      </c>
      <c r="D230">
        <v>74268122</v>
      </c>
      <c r="E230">
        <v>1</v>
      </c>
      <c r="F230">
        <v>1</v>
      </c>
      <c r="G230">
        <v>1</v>
      </c>
      <c r="H230">
        <v>3</v>
      </c>
      <c r="I230" t="s">
        <v>360</v>
      </c>
      <c r="J230" t="s">
        <v>362</v>
      </c>
      <c r="K230" t="s">
        <v>361</v>
      </c>
      <c r="L230">
        <v>1348</v>
      </c>
      <c r="N230">
        <v>1009</v>
      </c>
      <c r="O230" t="s">
        <v>174</v>
      </c>
      <c r="P230" t="s">
        <v>174</v>
      </c>
      <c r="Q230">
        <v>1000</v>
      </c>
      <c r="W230">
        <v>0</v>
      </c>
      <c r="X230">
        <v>985670142</v>
      </c>
      <c r="Y230">
        <f t="shared" si="114"/>
        <v>0.24399999999999999</v>
      </c>
      <c r="AA230">
        <v>42246.27</v>
      </c>
      <c r="AB230">
        <v>0</v>
      </c>
      <c r="AC230">
        <v>0</v>
      </c>
      <c r="AD230">
        <v>0</v>
      </c>
      <c r="AE230">
        <v>42246.27</v>
      </c>
      <c r="AF230">
        <v>0</v>
      </c>
      <c r="AG230">
        <v>0</v>
      </c>
      <c r="AH230">
        <v>0</v>
      </c>
      <c r="AI230">
        <v>1</v>
      </c>
      <c r="AJ230">
        <v>1</v>
      </c>
      <c r="AK230">
        <v>1</v>
      </c>
      <c r="AL230">
        <v>1</v>
      </c>
      <c r="AM230">
        <v>0</v>
      </c>
      <c r="AN230">
        <v>0</v>
      </c>
      <c r="AO230">
        <v>0</v>
      </c>
      <c r="AP230">
        <v>1</v>
      </c>
      <c r="AQ230">
        <v>0</v>
      </c>
      <c r="AR230">
        <v>0</v>
      </c>
      <c r="AS230" t="s">
        <v>3</v>
      </c>
      <c r="AT230">
        <v>0.24399999999999999</v>
      </c>
      <c r="AU230" t="s">
        <v>3</v>
      </c>
      <c r="AV230">
        <v>0</v>
      </c>
      <c r="AW230">
        <v>1</v>
      </c>
      <c r="AX230">
        <v>-1</v>
      </c>
      <c r="AY230">
        <v>0</v>
      </c>
      <c r="AZ230">
        <v>0</v>
      </c>
      <c r="BA230" t="s">
        <v>3</v>
      </c>
      <c r="BB230">
        <v>0</v>
      </c>
      <c r="BC230">
        <v>0</v>
      </c>
      <c r="BD230">
        <v>0</v>
      </c>
      <c r="BE230">
        <v>0</v>
      </c>
      <c r="BF230">
        <v>0</v>
      </c>
      <c r="BG230">
        <v>0</v>
      </c>
      <c r="BH230">
        <v>0</v>
      </c>
      <c r="BI230">
        <v>0</v>
      </c>
      <c r="BJ230">
        <v>0</v>
      </c>
      <c r="BK230">
        <v>0</v>
      </c>
      <c r="BL230">
        <v>0</v>
      </c>
      <c r="BM230">
        <v>0</v>
      </c>
      <c r="BN230">
        <v>0</v>
      </c>
      <c r="BO230">
        <v>0</v>
      </c>
      <c r="BP230">
        <v>0</v>
      </c>
      <c r="BQ230">
        <v>0</v>
      </c>
      <c r="BR230">
        <v>0</v>
      </c>
      <c r="BS230">
        <v>0</v>
      </c>
      <c r="BT230">
        <v>0</v>
      </c>
      <c r="BU230">
        <v>0</v>
      </c>
      <c r="BV230">
        <v>0</v>
      </c>
      <c r="BW230">
        <v>0</v>
      </c>
      <c r="CV230">
        <v>0</v>
      </c>
      <c r="CW230">
        <v>0</v>
      </c>
      <c r="CX230">
        <f>ROUND(Y230*Source!I176,7)</f>
        <v>1.2200000000000001E-2</v>
      </c>
      <c r="CY230">
        <f t="shared" si="115"/>
        <v>42246.27</v>
      </c>
      <c r="CZ230">
        <f t="shared" si="116"/>
        <v>42246.27</v>
      </c>
      <c r="DA230">
        <f t="shared" si="117"/>
        <v>1</v>
      </c>
      <c r="DB230">
        <f t="shared" si="118"/>
        <v>10308.09</v>
      </c>
      <c r="DC230">
        <f t="shared" si="119"/>
        <v>0</v>
      </c>
      <c r="DD230" t="s">
        <v>3</v>
      </c>
      <c r="DE230" t="s">
        <v>3</v>
      </c>
      <c r="DF230">
        <f>ROUND(ROUND(AE230,2)*CX230,2)</f>
        <v>515.4</v>
      </c>
      <c r="DG230">
        <f t="shared" si="113"/>
        <v>0</v>
      </c>
      <c r="DH230">
        <f t="shared" si="106"/>
        <v>0</v>
      </c>
      <c r="DI230">
        <f t="shared" si="107"/>
        <v>0</v>
      </c>
      <c r="DJ230">
        <f t="shared" si="120"/>
        <v>515.4</v>
      </c>
      <c r="DK230">
        <v>1</v>
      </c>
      <c r="DL230" t="s">
        <v>3</v>
      </c>
      <c r="DM230">
        <v>0</v>
      </c>
      <c r="DN230" t="s">
        <v>3</v>
      </c>
      <c r="DO230">
        <v>0</v>
      </c>
    </row>
    <row r="231" spans="1:119" x14ac:dyDescent="0.25">
      <c r="A231">
        <f>ROW(Source!A176)</f>
        <v>176</v>
      </c>
      <c r="B231">
        <v>75604747</v>
      </c>
      <c r="C231">
        <v>75618325</v>
      </c>
      <c r="D231">
        <v>74268214</v>
      </c>
      <c r="E231">
        <v>1</v>
      </c>
      <c r="F231">
        <v>1</v>
      </c>
      <c r="G231">
        <v>1</v>
      </c>
      <c r="H231">
        <v>3</v>
      </c>
      <c r="I231" t="s">
        <v>633</v>
      </c>
      <c r="J231" t="s">
        <v>634</v>
      </c>
      <c r="K231" t="s">
        <v>635</v>
      </c>
      <c r="L231">
        <v>1348</v>
      </c>
      <c r="N231">
        <v>1009</v>
      </c>
      <c r="O231" t="s">
        <v>174</v>
      </c>
      <c r="P231" t="s">
        <v>174</v>
      </c>
      <c r="Q231">
        <v>1000</v>
      </c>
      <c r="W231">
        <v>0</v>
      </c>
      <c r="X231">
        <v>506900767</v>
      </c>
      <c r="Y231">
        <f t="shared" si="114"/>
        <v>1.9400000000000001E-3</v>
      </c>
      <c r="AA231">
        <v>124451.6</v>
      </c>
      <c r="AB231">
        <v>0</v>
      </c>
      <c r="AC231">
        <v>0</v>
      </c>
      <c r="AD231">
        <v>0</v>
      </c>
      <c r="AE231">
        <v>136760</v>
      </c>
      <c r="AF231">
        <v>0</v>
      </c>
      <c r="AG231">
        <v>0</v>
      </c>
      <c r="AH231">
        <v>0</v>
      </c>
      <c r="AI231">
        <v>0.91</v>
      </c>
      <c r="AJ231">
        <v>1</v>
      </c>
      <c r="AK231">
        <v>1</v>
      </c>
      <c r="AL231">
        <v>1</v>
      </c>
      <c r="AM231">
        <v>2</v>
      </c>
      <c r="AN231">
        <v>0</v>
      </c>
      <c r="AO231">
        <v>0</v>
      </c>
      <c r="AP231">
        <v>1</v>
      </c>
      <c r="AQ231">
        <v>1</v>
      </c>
      <c r="AR231">
        <v>0</v>
      </c>
      <c r="AS231" t="s">
        <v>3</v>
      </c>
      <c r="AT231">
        <v>1.9400000000000001E-3</v>
      </c>
      <c r="AU231" t="s">
        <v>3</v>
      </c>
      <c r="AV231">
        <v>0</v>
      </c>
      <c r="AW231">
        <v>2</v>
      </c>
      <c r="AX231">
        <v>75618364</v>
      </c>
      <c r="AY231">
        <v>1</v>
      </c>
      <c r="AZ231">
        <v>0</v>
      </c>
      <c r="BA231">
        <v>241</v>
      </c>
      <c r="BB231">
        <v>1</v>
      </c>
      <c r="BC231">
        <v>0</v>
      </c>
      <c r="BD231">
        <v>0</v>
      </c>
      <c r="BE231">
        <v>0</v>
      </c>
      <c r="BF231">
        <v>0</v>
      </c>
      <c r="BG231">
        <v>0</v>
      </c>
      <c r="BH231">
        <v>0</v>
      </c>
      <c r="BI231">
        <v>0</v>
      </c>
      <c r="BJ231">
        <v>265.31440000000003</v>
      </c>
      <c r="BK231">
        <v>0</v>
      </c>
      <c r="BL231">
        <v>0</v>
      </c>
      <c r="BM231">
        <v>0</v>
      </c>
      <c r="BN231">
        <v>0</v>
      </c>
      <c r="BO231">
        <v>0</v>
      </c>
      <c r="BP231">
        <v>1</v>
      </c>
      <c r="BQ231">
        <v>265.31440000000003</v>
      </c>
      <c r="BR231">
        <v>0</v>
      </c>
      <c r="BS231">
        <v>0</v>
      </c>
      <c r="BT231">
        <v>0</v>
      </c>
      <c r="BU231">
        <v>0</v>
      </c>
      <c r="BV231">
        <v>0</v>
      </c>
      <c r="BW231">
        <v>1</v>
      </c>
      <c r="CV231">
        <v>0</v>
      </c>
      <c r="CW231">
        <v>0</v>
      </c>
      <c r="CX231">
        <f>ROUND(Y231*Source!I176,7)</f>
        <v>9.7E-5</v>
      </c>
      <c r="CY231">
        <f t="shared" si="115"/>
        <v>124451.6</v>
      </c>
      <c r="CZ231">
        <f t="shared" si="116"/>
        <v>136760</v>
      </c>
      <c r="DA231">
        <f t="shared" si="117"/>
        <v>0.91</v>
      </c>
      <c r="DB231">
        <f t="shared" si="118"/>
        <v>265.31</v>
      </c>
      <c r="DC231">
        <f t="shared" si="119"/>
        <v>0</v>
      </c>
      <c r="DD231" t="s">
        <v>3</v>
      </c>
      <c r="DE231" t="s">
        <v>3</v>
      </c>
      <c r="DF231">
        <f>ROUND(ROUND(AE231*AI231,2)*CX231,2)</f>
        <v>12.07</v>
      </c>
      <c r="DG231">
        <f t="shared" si="113"/>
        <v>0</v>
      </c>
      <c r="DH231">
        <f t="shared" si="106"/>
        <v>0</v>
      </c>
      <c r="DI231">
        <f t="shared" si="107"/>
        <v>0</v>
      </c>
      <c r="DJ231">
        <f t="shared" si="120"/>
        <v>12.07</v>
      </c>
      <c r="DK231">
        <v>0</v>
      </c>
      <c r="DL231" t="s">
        <v>3</v>
      </c>
      <c r="DM231">
        <v>0</v>
      </c>
      <c r="DN231" t="s">
        <v>3</v>
      </c>
      <c r="DO231">
        <v>0</v>
      </c>
    </row>
    <row r="232" spans="1:119" x14ac:dyDescent="0.25">
      <c r="A232">
        <f>ROW(Source!A176)</f>
        <v>176</v>
      </c>
      <c r="B232">
        <v>75604747</v>
      </c>
      <c r="C232">
        <v>75618325</v>
      </c>
      <c r="D232">
        <v>74277951</v>
      </c>
      <c r="E232">
        <v>1</v>
      </c>
      <c r="F232">
        <v>1</v>
      </c>
      <c r="G232">
        <v>1</v>
      </c>
      <c r="H232">
        <v>3</v>
      </c>
      <c r="I232" t="s">
        <v>639</v>
      </c>
      <c r="J232" t="s">
        <v>640</v>
      </c>
      <c r="K232" t="s">
        <v>641</v>
      </c>
      <c r="L232">
        <v>1348</v>
      </c>
      <c r="N232">
        <v>1009</v>
      </c>
      <c r="O232" t="s">
        <v>174</v>
      </c>
      <c r="P232" t="s">
        <v>174</v>
      </c>
      <c r="Q232">
        <v>1000</v>
      </c>
      <c r="W232">
        <v>0</v>
      </c>
      <c r="X232">
        <v>-490487806</v>
      </c>
      <c r="Y232">
        <f t="shared" si="114"/>
        <v>3.1E-4</v>
      </c>
      <c r="AA232">
        <v>81535.44</v>
      </c>
      <c r="AB232">
        <v>0</v>
      </c>
      <c r="AC232">
        <v>0</v>
      </c>
      <c r="AD232">
        <v>0</v>
      </c>
      <c r="AE232">
        <v>51280.15</v>
      </c>
      <c r="AF232">
        <v>0</v>
      </c>
      <c r="AG232">
        <v>0</v>
      </c>
      <c r="AH232">
        <v>0</v>
      </c>
      <c r="AI232">
        <v>1.59</v>
      </c>
      <c r="AJ232">
        <v>1</v>
      </c>
      <c r="AK232">
        <v>1</v>
      </c>
      <c r="AL232">
        <v>1</v>
      </c>
      <c r="AM232">
        <v>2</v>
      </c>
      <c r="AN232">
        <v>0</v>
      </c>
      <c r="AO232">
        <v>0</v>
      </c>
      <c r="AP232">
        <v>1</v>
      </c>
      <c r="AQ232">
        <v>1</v>
      </c>
      <c r="AR232">
        <v>0</v>
      </c>
      <c r="AS232" t="s">
        <v>3</v>
      </c>
      <c r="AT232">
        <v>3.1E-4</v>
      </c>
      <c r="AU232" t="s">
        <v>3</v>
      </c>
      <c r="AV232">
        <v>0</v>
      </c>
      <c r="AW232">
        <v>2</v>
      </c>
      <c r="AX232">
        <v>75618365</v>
      </c>
      <c r="AY232">
        <v>1</v>
      </c>
      <c r="AZ232">
        <v>0</v>
      </c>
      <c r="BA232">
        <v>242</v>
      </c>
      <c r="BB232">
        <v>1</v>
      </c>
      <c r="BC232">
        <v>0</v>
      </c>
      <c r="BD232">
        <v>0</v>
      </c>
      <c r="BE232">
        <v>0</v>
      </c>
      <c r="BF232">
        <v>0</v>
      </c>
      <c r="BG232">
        <v>0</v>
      </c>
      <c r="BH232">
        <v>0</v>
      </c>
      <c r="BI232">
        <v>0</v>
      </c>
      <c r="BJ232">
        <v>15.896846500000001</v>
      </c>
      <c r="BK232">
        <v>0</v>
      </c>
      <c r="BL232">
        <v>0</v>
      </c>
      <c r="BM232">
        <v>0</v>
      </c>
      <c r="BN232">
        <v>0</v>
      </c>
      <c r="BO232">
        <v>0</v>
      </c>
      <c r="BP232">
        <v>1</v>
      </c>
      <c r="BQ232">
        <v>15.896846500000001</v>
      </c>
      <c r="BR232">
        <v>0</v>
      </c>
      <c r="BS232">
        <v>0</v>
      </c>
      <c r="BT232">
        <v>0</v>
      </c>
      <c r="BU232">
        <v>0</v>
      </c>
      <c r="BV232">
        <v>0</v>
      </c>
      <c r="BW232">
        <v>1</v>
      </c>
      <c r="CV232">
        <v>0</v>
      </c>
      <c r="CW232">
        <v>0</v>
      </c>
      <c r="CX232">
        <f>ROUND(Y232*Source!I176,7)</f>
        <v>1.5500000000000001E-5</v>
      </c>
      <c r="CY232">
        <f t="shared" si="115"/>
        <v>81535.44</v>
      </c>
      <c r="CZ232">
        <f t="shared" si="116"/>
        <v>51280.15</v>
      </c>
      <c r="DA232">
        <f t="shared" si="117"/>
        <v>1.59</v>
      </c>
      <c r="DB232">
        <f t="shared" si="118"/>
        <v>15.9</v>
      </c>
      <c r="DC232">
        <f t="shared" si="119"/>
        <v>0</v>
      </c>
      <c r="DD232" t="s">
        <v>3</v>
      </c>
      <c r="DE232" t="s">
        <v>3</v>
      </c>
      <c r="DF232">
        <f>ROUND(ROUND(AE232*AI232,2)*CX232,2)</f>
        <v>1.26</v>
      </c>
      <c r="DG232">
        <f t="shared" si="113"/>
        <v>0</v>
      </c>
      <c r="DH232">
        <f t="shared" si="106"/>
        <v>0</v>
      </c>
      <c r="DI232">
        <f t="shared" si="107"/>
        <v>0</v>
      </c>
      <c r="DJ232">
        <f t="shared" si="120"/>
        <v>1.26</v>
      </c>
      <c r="DK232">
        <v>0</v>
      </c>
      <c r="DL232" t="s">
        <v>3</v>
      </c>
      <c r="DM232">
        <v>0</v>
      </c>
      <c r="DN232" t="s">
        <v>3</v>
      </c>
      <c r="DO232">
        <v>0</v>
      </c>
    </row>
    <row r="233" spans="1:119" x14ac:dyDescent="0.25">
      <c r="A233">
        <f>ROW(Source!A176)</f>
        <v>176</v>
      </c>
      <c r="B233">
        <v>75604747</v>
      </c>
      <c r="C233">
        <v>75618325</v>
      </c>
      <c r="D233">
        <v>74278428</v>
      </c>
      <c r="E233">
        <v>1</v>
      </c>
      <c r="F233">
        <v>1</v>
      </c>
      <c r="G233">
        <v>1</v>
      </c>
      <c r="H233">
        <v>3</v>
      </c>
      <c r="I233" t="s">
        <v>642</v>
      </c>
      <c r="J233" t="s">
        <v>643</v>
      </c>
      <c r="K233" t="s">
        <v>644</v>
      </c>
      <c r="L233">
        <v>1348</v>
      </c>
      <c r="N233">
        <v>1009</v>
      </c>
      <c r="O233" t="s">
        <v>174</v>
      </c>
      <c r="P233" t="s">
        <v>174</v>
      </c>
      <c r="Q233">
        <v>1000</v>
      </c>
      <c r="W233">
        <v>0</v>
      </c>
      <c r="X233">
        <v>-970634170</v>
      </c>
      <c r="Y233">
        <f t="shared" si="114"/>
        <v>5.9999999999999995E-4</v>
      </c>
      <c r="AA233">
        <v>146804.41</v>
      </c>
      <c r="AB233">
        <v>0</v>
      </c>
      <c r="AC233">
        <v>0</v>
      </c>
      <c r="AD233">
        <v>0</v>
      </c>
      <c r="AE233">
        <v>98526.45</v>
      </c>
      <c r="AF233">
        <v>0</v>
      </c>
      <c r="AG233">
        <v>0</v>
      </c>
      <c r="AH233">
        <v>0</v>
      </c>
      <c r="AI233">
        <v>1.49</v>
      </c>
      <c r="AJ233">
        <v>1</v>
      </c>
      <c r="AK233">
        <v>1</v>
      </c>
      <c r="AL233">
        <v>1</v>
      </c>
      <c r="AM233">
        <v>2</v>
      </c>
      <c r="AN233">
        <v>0</v>
      </c>
      <c r="AO233">
        <v>0</v>
      </c>
      <c r="AP233">
        <v>1</v>
      </c>
      <c r="AQ233">
        <v>1</v>
      </c>
      <c r="AR233">
        <v>0</v>
      </c>
      <c r="AS233" t="s">
        <v>3</v>
      </c>
      <c r="AT233">
        <v>5.9999999999999995E-4</v>
      </c>
      <c r="AU233" t="s">
        <v>3</v>
      </c>
      <c r="AV233">
        <v>0</v>
      </c>
      <c r="AW233">
        <v>2</v>
      </c>
      <c r="AX233">
        <v>75618366</v>
      </c>
      <c r="AY233">
        <v>1</v>
      </c>
      <c r="AZ233">
        <v>0</v>
      </c>
      <c r="BA233">
        <v>243</v>
      </c>
      <c r="BB233">
        <v>1</v>
      </c>
      <c r="BC233">
        <v>0</v>
      </c>
      <c r="BD233">
        <v>0</v>
      </c>
      <c r="BE233">
        <v>0</v>
      </c>
      <c r="BF233">
        <v>0</v>
      </c>
      <c r="BG233">
        <v>0</v>
      </c>
      <c r="BH233">
        <v>0</v>
      </c>
      <c r="BI233">
        <v>0</v>
      </c>
      <c r="BJ233">
        <v>59.115869999999994</v>
      </c>
      <c r="BK233">
        <v>0</v>
      </c>
      <c r="BL233">
        <v>0</v>
      </c>
      <c r="BM233">
        <v>0</v>
      </c>
      <c r="BN233">
        <v>0</v>
      </c>
      <c r="BO233">
        <v>0</v>
      </c>
      <c r="BP233">
        <v>1</v>
      </c>
      <c r="BQ233">
        <v>59.115869999999994</v>
      </c>
      <c r="BR233">
        <v>0</v>
      </c>
      <c r="BS233">
        <v>0</v>
      </c>
      <c r="BT233">
        <v>0</v>
      </c>
      <c r="BU233">
        <v>0</v>
      </c>
      <c r="BV233">
        <v>0</v>
      </c>
      <c r="BW233">
        <v>1</v>
      </c>
      <c r="CV233">
        <v>0</v>
      </c>
      <c r="CW233">
        <v>0</v>
      </c>
      <c r="CX233">
        <f>ROUND(Y233*Source!I176,7)</f>
        <v>3.0000000000000001E-5</v>
      </c>
      <c r="CY233">
        <f t="shared" si="115"/>
        <v>146804.41</v>
      </c>
      <c r="CZ233">
        <f t="shared" si="116"/>
        <v>98526.45</v>
      </c>
      <c r="DA233">
        <f t="shared" si="117"/>
        <v>1.49</v>
      </c>
      <c r="DB233">
        <f t="shared" si="118"/>
        <v>59.12</v>
      </c>
      <c r="DC233">
        <f t="shared" si="119"/>
        <v>0</v>
      </c>
      <c r="DD233" t="s">
        <v>3</v>
      </c>
      <c r="DE233" t="s">
        <v>3</v>
      </c>
      <c r="DF233">
        <f>ROUND(ROUND(AE233*AI233,2)*CX233,2)</f>
        <v>4.4000000000000004</v>
      </c>
      <c r="DG233">
        <f t="shared" si="113"/>
        <v>0</v>
      </c>
      <c r="DH233">
        <f t="shared" si="106"/>
        <v>0</v>
      </c>
      <c r="DI233">
        <f t="shared" si="107"/>
        <v>0</v>
      </c>
      <c r="DJ233">
        <f t="shared" si="120"/>
        <v>4.4000000000000004</v>
      </c>
      <c r="DK233">
        <v>0</v>
      </c>
      <c r="DL233" t="s">
        <v>3</v>
      </c>
      <c r="DM233">
        <v>0</v>
      </c>
      <c r="DN233" t="s">
        <v>3</v>
      </c>
      <c r="DO233">
        <v>0</v>
      </c>
    </row>
    <row r="234" spans="1:119" x14ac:dyDescent="0.25">
      <c r="A234">
        <f>ROW(Source!A179)</f>
        <v>179</v>
      </c>
      <c r="B234">
        <v>75604747</v>
      </c>
      <c r="C234">
        <v>75618414</v>
      </c>
      <c r="D234">
        <v>74182275</v>
      </c>
      <c r="E234">
        <v>118</v>
      </c>
      <c r="F234">
        <v>1</v>
      </c>
      <c r="G234">
        <v>1</v>
      </c>
      <c r="H234">
        <v>1</v>
      </c>
      <c r="I234" t="s">
        <v>612</v>
      </c>
      <c r="J234" t="s">
        <v>3</v>
      </c>
      <c r="K234" t="s">
        <v>613</v>
      </c>
      <c r="L234">
        <v>1191</v>
      </c>
      <c r="N234">
        <v>1013</v>
      </c>
      <c r="O234" t="s">
        <v>501</v>
      </c>
      <c r="P234" t="s">
        <v>501</v>
      </c>
      <c r="Q234">
        <v>1</v>
      </c>
      <c r="W234">
        <v>0</v>
      </c>
      <c r="X234">
        <v>-715079457</v>
      </c>
      <c r="Y234">
        <f t="shared" ref="Y234:Y239" si="122">(AT234*ROUND(((0.15+1)*2),7))</f>
        <v>5.8419999999999996</v>
      </c>
      <c r="AA234">
        <v>0</v>
      </c>
      <c r="AB234">
        <v>0</v>
      </c>
      <c r="AC234">
        <v>0</v>
      </c>
      <c r="AD234">
        <v>347.42</v>
      </c>
      <c r="AE234">
        <v>0</v>
      </c>
      <c r="AF234">
        <v>0</v>
      </c>
      <c r="AG234">
        <v>0</v>
      </c>
      <c r="AH234">
        <v>347.42</v>
      </c>
      <c r="AI234">
        <v>1</v>
      </c>
      <c r="AJ234">
        <v>1</v>
      </c>
      <c r="AK234">
        <v>1</v>
      </c>
      <c r="AL234">
        <v>1</v>
      </c>
      <c r="AM234">
        <v>-2</v>
      </c>
      <c r="AN234">
        <v>0</v>
      </c>
      <c r="AO234">
        <v>0</v>
      </c>
      <c r="AP234">
        <v>1</v>
      </c>
      <c r="AQ234">
        <v>1</v>
      </c>
      <c r="AR234">
        <v>0</v>
      </c>
      <c r="AS234" t="s">
        <v>3</v>
      </c>
      <c r="AT234">
        <v>2.54</v>
      </c>
      <c r="AU234" t="s">
        <v>289</v>
      </c>
      <c r="AV234">
        <v>1</v>
      </c>
      <c r="AW234">
        <v>2</v>
      </c>
      <c r="AX234">
        <v>75618415</v>
      </c>
      <c r="AY234">
        <v>1</v>
      </c>
      <c r="AZ234">
        <v>0</v>
      </c>
      <c r="BA234">
        <v>244</v>
      </c>
      <c r="BB234">
        <v>1</v>
      </c>
      <c r="BC234">
        <v>0</v>
      </c>
      <c r="BD234">
        <v>0</v>
      </c>
      <c r="BE234">
        <v>0</v>
      </c>
      <c r="BF234">
        <v>0</v>
      </c>
      <c r="BG234">
        <v>0</v>
      </c>
      <c r="BH234">
        <v>0</v>
      </c>
      <c r="BI234">
        <v>0</v>
      </c>
      <c r="BJ234">
        <v>0</v>
      </c>
      <c r="BK234">
        <v>0</v>
      </c>
      <c r="BL234">
        <v>0</v>
      </c>
      <c r="BM234">
        <v>882.44680000000005</v>
      </c>
      <c r="BN234">
        <v>2.54</v>
      </c>
      <c r="BO234">
        <v>0</v>
      </c>
      <c r="BP234">
        <v>1</v>
      </c>
      <c r="BQ234">
        <v>0</v>
      </c>
      <c r="BR234">
        <v>0</v>
      </c>
      <c r="BS234">
        <v>0</v>
      </c>
      <c r="BT234">
        <v>2029.6276399999999</v>
      </c>
      <c r="BU234">
        <v>5.8419999999999996</v>
      </c>
      <c r="BV234">
        <v>0</v>
      </c>
      <c r="BW234">
        <v>1</v>
      </c>
      <c r="CU234">
        <f>ROUND(AT234*Source!I179*AH234*AL234,2)</f>
        <v>35.299999999999997</v>
      </c>
      <c r="CV234">
        <f>ROUND(Y234*Source!I179,7)</f>
        <v>0.23368</v>
      </c>
      <c r="CW234">
        <v>0</v>
      </c>
      <c r="CX234">
        <f>ROUND(Y234*Source!I179,7)</f>
        <v>0.23368</v>
      </c>
      <c r="CY234">
        <f>AD234</f>
        <v>347.42</v>
      </c>
      <c r="CZ234">
        <f>AH234</f>
        <v>347.42</v>
      </c>
      <c r="DA234">
        <f>AL234</f>
        <v>1</v>
      </c>
      <c r="DB234">
        <f t="shared" ref="DB234:DB239" si="123">ROUND((ROUND(AT234*CZ234,2)*ROUND(((0.15+1)*2),7)),6)</f>
        <v>2029.635</v>
      </c>
      <c r="DC234">
        <f t="shared" ref="DC234:DC239" si="124">ROUND((ROUND(AT234*AG234,2)*ROUND(((0.15+1)*2),7)),6)</f>
        <v>0</v>
      </c>
      <c r="DD234" t="s">
        <v>3</v>
      </c>
      <c r="DE234" t="s">
        <v>3</v>
      </c>
      <c r="DF234">
        <f t="shared" ref="DF234:DF239" si="125">ROUND(ROUND(AE234,2)*CX234,2)</f>
        <v>0</v>
      </c>
      <c r="DG234">
        <f t="shared" si="113"/>
        <v>0</v>
      </c>
      <c r="DH234">
        <f t="shared" si="106"/>
        <v>0</v>
      </c>
      <c r="DI234">
        <f t="shared" si="107"/>
        <v>81.19</v>
      </c>
      <c r="DJ234">
        <f>DI234</f>
        <v>81.19</v>
      </c>
      <c r="DK234">
        <v>1</v>
      </c>
      <c r="DL234" t="s">
        <v>3</v>
      </c>
      <c r="DM234">
        <v>0</v>
      </c>
      <c r="DN234" t="s">
        <v>3</v>
      </c>
      <c r="DO234">
        <v>0</v>
      </c>
    </row>
    <row r="235" spans="1:119" x14ac:dyDescent="0.25">
      <c r="A235">
        <f>ROW(Source!A179)</f>
        <v>179</v>
      </c>
      <c r="B235">
        <v>75604747</v>
      </c>
      <c r="C235">
        <v>75618414</v>
      </c>
      <c r="D235">
        <v>74182464</v>
      </c>
      <c r="E235">
        <v>118</v>
      </c>
      <c r="F235">
        <v>1</v>
      </c>
      <c r="G235">
        <v>1</v>
      </c>
      <c r="H235">
        <v>1</v>
      </c>
      <c r="I235" t="s">
        <v>504</v>
      </c>
      <c r="J235" t="s">
        <v>3</v>
      </c>
      <c r="K235" t="s">
        <v>505</v>
      </c>
      <c r="L235">
        <v>1191</v>
      </c>
      <c r="N235">
        <v>1013</v>
      </c>
      <c r="O235" t="s">
        <v>501</v>
      </c>
      <c r="P235" t="s">
        <v>501</v>
      </c>
      <c r="Q235">
        <v>1</v>
      </c>
      <c r="W235">
        <v>0</v>
      </c>
      <c r="X235">
        <v>-1417349443</v>
      </c>
      <c r="Y235">
        <f t="shared" si="122"/>
        <v>9.1999999999999998E-2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1</v>
      </c>
      <c r="AJ235">
        <v>1</v>
      </c>
      <c r="AK235">
        <v>1</v>
      </c>
      <c r="AL235">
        <v>1</v>
      </c>
      <c r="AM235">
        <v>-2</v>
      </c>
      <c r="AN235">
        <v>0</v>
      </c>
      <c r="AO235">
        <v>0</v>
      </c>
      <c r="AP235">
        <v>1</v>
      </c>
      <c r="AQ235">
        <v>1</v>
      </c>
      <c r="AR235">
        <v>0</v>
      </c>
      <c r="AS235" t="s">
        <v>3</v>
      </c>
      <c r="AT235">
        <v>0.04</v>
      </c>
      <c r="AU235" t="s">
        <v>289</v>
      </c>
      <c r="AV235">
        <v>2</v>
      </c>
      <c r="AW235">
        <v>2</v>
      </c>
      <c r="AX235">
        <v>75618416</v>
      </c>
      <c r="AY235">
        <v>1</v>
      </c>
      <c r="AZ235">
        <v>0</v>
      </c>
      <c r="BA235">
        <v>245</v>
      </c>
      <c r="BB235">
        <v>1</v>
      </c>
      <c r="BC235">
        <v>0</v>
      </c>
      <c r="BD235">
        <v>0</v>
      </c>
      <c r="BE235">
        <v>0</v>
      </c>
      <c r="BF235">
        <v>0</v>
      </c>
      <c r="BG235">
        <v>0</v>
      </c>
      <c r="BH235">
        <v>0</v>
      </c>
      <c r="BI235">
        <v>0</v>
      </c>
      <c r="BJ235">
        <v>0</v>
      </c>
      <c r="BK235">
        <v>0</v>
      </c>
      <c r="BL235">
        <v>0</v>
      </c>
      <c r="BM235">
        <v>0</v>
      </c>
      <c r="BN235">
        <v>0</v>
      </c>
      <c r="BO235">
        <v>0</v>
      </c>
      <c r="BP235">
        <v>0</v>
      </c>
      <c r="BQ235">
        <v>0</v>
      </c>
      <c r="BR235">
        <v>0</v>
      </c>
      <c r="BS235">
        <v>0</v>
      </c>
      <c r="BT235">
        <v>0</v>
      </c>
      <c r="BU235">
        <v>0</v>
      </c>
      <c r="BV235">
        <v>0</v>
      </c>
      <c r="BW235">
        <v>0</v>
      </c>
      <c r="CV235">
        <v>0</v>
      </c>
      <c r="CW235">
        <v>0</v>
      </c>
      <c r="CX235">
        <f>ROUND(Y235*Source!I179,7)</f>
        <v>3.6800000000000001E-3</v>
      </c>
      <c r="CY235">
        <f>AD235</f>
        <v>0</v>
      </c>
      <c r="CZ235">
        <f>AH235</f>
        <v>0</v>
      </c>
      <c r="DA235">
        <f>AL235</f>
        <v>1</v>
      </c>
      <c r="DB235">
        <f t="shared" si="123"/>
        <v>0</v>
      </c>
      <c r="DC235">
        <f t="shared" si="124"/>
        <v>0</v>
      </c>
      <c r="DD235" t="s">
        <v>3</v>
      </c>
      <c r="DE235" t="s">
        <v>3</v>
      </c>
      <c r="DF235">
        <f t="shared" si="125"/>
        <v>0</v>
      </c>
      <c r="DG235">
        <f t="shared" si="113"/>
        <v>0</v>
      </c>
      <c r="DH235">
        <f t="shared" si="106"/>
        <v>0</v>
      </c>
      <c r="DI235">
        <f t="shared" si="107"/>
        <v>0</v>
      </c>
      <c r="DJ235">
        <f>DI235</f>
        <v>0</v>
      </c>
      <c r="DK235">
        <v>0</v>
      </c>
      <c r="DL235" t="s">
        <v>3</v>
      </c>
      <c r="DM235">
        <v>0</v>
      </c>
      <c r="DN235" t="s">
        <v>3</v>
      </c>
      <c r="DO235">
        <v>0</v>
      </c>
    </row>
    <row r="236" spans="1:119" x14ac:dyDescent="0.25">
      <c r="A236">
        <f>ROW(Source!A179)</f>
        <v>179</v>
      </c>
      <c r="B236">
        <v>75604747</v>
      </c>
      <c r="C236">
        <v>75618414</v>
      </c>
      <c r="D236">
        <v>74309061</v>
      </c>
      <c r="E236">
        <v>1</v>
      </c>
      <c r="F236">
        <v>1</v>
      </c>
      <c r="G236">
        <v>1</v>
      </c>
      <c r="H236">
        <v>2</v>
      </c>
      <c r="I236" t="s">
        <v>659</v>
      </c>
      <c r="J236" t="s">
        <v>660</v>
      </c>
      <c r="K236" t="s">
        <v>661</v>
      </c>
      <c r="L236">
        <v>1368</v>
      </c>
      <c r="N236">
        <v>1011</v>
      </c>
      <c r="O236" t="s">
        <v>509</v>
      </c>
      <c r="P236" t="s">
        <v>509</v>
      </c>
      <c r="Q236">
        <v>1</v>
      </c>
      <c r="W236">
        <v>0</v>
      </c>
      <c r="X236">
        <v>-43419242</v>
      </c>
      <c r="Y236">
        <f t="shared" si="122"/>
        <v>2.3E-2</v>
      </c>
      <c r="AA236">
        <v>0</v>
      </c>
      <c r="AB236">
        <v>10.06</v>
      </c>
      <c r="AC236">
        <v>0</v>
      </c>
      <c r="AD236">
        <v>0</v>
      </c>
      <c r="AE236">
        <v>0</v>
      </c>
      <c r="AF236">
        <v>6.62</v>
      </c>
      <c r="AG236">
        <v>0</v>
      </c>
      <c r="AH236">
        <v>0</v>
      </c>
      <c r="AI236">
        <v>1</v>
      </c>
      <c r="AJ236">
        <v>1.52</v>
      </c>
      <c r="AK236">
        <v>1</v>
      </c>
      <c r="AL236">
        <v>1</v>
      </c>
      <c r="AM236">
        <v>2</v>
      </c>
      <c r="AN236">
        <v>0</v>
      </c>
      <c r="AO236">
        <v>0</v>
      </c>
      <c r="AP236">
        <v>1</v>
      </c>
      <c r="AQ236">
        <v>1</v>
      </c>
      <c r="AR236">
        <v>0</v>
      </c>
      <c r="AS236" t="s">
        <v>3</v>
      </c>
      <c r="AT236">
        <v>0.01</v>
      </c>
      <c r="AU236" t="s">
        <v>289</v>
      </c>
      <c r="AV236">
        <v>1</v>
      </c>
      <c r="AW236">
        <v>2</v>
      </c>
      <c r="AX236">
        <v>75618417</v>
      </c>
      <c r="AY236">
        <v>1</v>
      </c>
      <c r="AZ236">
        <v>0</v>
      </c>
      <c r="BA236">
        <v>246</v>
      </c>
      <c r="BB236">
        <v>1</v>
      </c>
      <c r="BC236">
        <v>0</v>
      </c>
      <c r="BD236">
        <v>0</v>
      </c>
      <c r="BE236">
        <v>0</v>
      </c>
      <c r="BF236">
        <v>0</v>
      </c>
      <c r="BG236">
        <v>0</v>
      </c>
      <c r="BH236">
        <v>0</v>
      </c>
      <c r="BI236">
        <v>0</v>
      </c>
      <c r="BJ236">
        <v>0</v>
      </c>
      <c r="BK236">
        <v>6.6200000000000009E-2</v>
      </c>
      <c r="BL236">
        <v>0</v>
      </c>
      <c r="BM236">
        <v>0</v>
      </c>
      <c r="BN236">
        <v>0</v>
      </c>
      <c r="BO236">
        <v>0</v>
      </c>
      <c r="BP236">
        <v>1</v>
      </c>
      <c r="BQ236">
        <v>0</v>
      </c>
      <c r="BR236">
        <v>0.15226000000000001</v>
      </c>
      <c r="BS236">
        <v>0</v>
      </c>
      <c r="BT236">
        <v>0</v>
      </c>
      <c r="BU236">
        <v>0</v>
      </c>
      <c r="BV236">
        <v>0</v>
      </c>
      <c r="BW236">
        <v>1</v>
      </c>
      <c r="CV236">
        <v>0</v>
      </c>
      <c r="CW236">
        <f>ROUND(Y236*Source!I179*DO236,7)</f>
        <v>0</v>
      </c>
      <c r="CX236">
        <f>ROUND(Y236*Source!I179,7)</f>
        <v>9.2000000000000003E-4</v>
      </c>
      <c r="CY236">
        <f>AB236</f>
        <v>10.06</v>
      </c>
      <c r="CZ236">
        <f>AF236</f>
        <v>6.62</v>
      </c>
      <c r="DA236">
        <f>AJ236</f>
        <v>1.52</v>
      </c>
      <c r="DB236">
        <f t="shared" si="123"/>
        <v>0.161</v>
      </c>
      <c r="DC236">
        <f t="shared" si="124"/>
        <v>0</v>
      </c>
      <c r="DD236" t="s">
        <v>3</v>
      </c>
      <c r="DE236" t="s">
        <v>3</v>
      </c>
      <c r="DF236">
        <f t="shared" si="125"/>
        <v>0</v>
      </c>
      <c r="DG236">
        <f>ROUND(ROUND(AF236*AJ236,2)*CX236,2)</f>
        <v>0.01</v>
      </c>
      <c r="DH236">
        <f t="shared" si="106"/>
        <v>0</v>
      </c>
      <c r="DI236">
        <f t="shared" si="107"/>
        <v>0</v>
      </c>
      <c r="DJ236">
        <f>DG236+DH236</f>
        <v>0.01</v>
      </c>
      <c r="DK236">
        <v>0</v>
      </c>
      <c r="DL236" t="s">
        <v>3</v>
      </c>
      <c r="DM236">
        <v>0</v>
      </c>
      <c r="DN236" t="s">
        <v>3</v>
      </c>
      <c r="DO236">
        <v>0</v>
      </c>
    </row>
    <row r="237" spans="1:119" x14ac:dyDescent="0.25">
      <c r="A237">
        <f>ROW(Source!A179)</f>
        <v>179</v>
      </c>
      <c r="B237">
        <v>75604747</v>
      </c>
      <c r="C237">
        <v>75618414</v>
      </c>
      <c r="D237">
        <v>74309079</v>
      </c>
      <c r="E237">
        <v>1</v>
      </c>
      <c r="F237">
        <v>1</v>
      </c>
      <c r="G237">
        <v>1</v>
      </c>
      <c r="H237">
        <v>2</v>
      </c>
      <c r="I237" t="s">
        <v>662</v>
      </c>
      <c r="J237" t="s">
        <v>663</v>
      </c>
      <c r="K237" t="s">
        <v>664</v>
      </c>
      <c r="L237">
        <v>1368</v>
      </c>
      <c r="N237">
        <v>1011</v>
      </c>
      <c r="O237" t="s">
        <v>509</v>
      </c>
      <c r="P237" t="s">
        <v>509</v>
      </c>
      <c r="Q237">
        <v>1</v>
      </c>
      <c r="W237">
        <v>0</v>
      </c>
      <c r="X237">
        <v>-771947225</v>
      </c>
      <c r="Y237">
        <f t="shared" si="122"/>
        <v>2.3E-2</v>
      </c>
      <c r="AA237">
        <v>0</v>
      </c>
      <c r="AB237">
        <v>1569.2</v>
      </c>
      <c r="AC237">
        <v>422.95</v>
      </c>
      <c r="AD237">
        <v>0</v>
      </c>
      <c r="AE237">
        <v>0</v>
      </c>
      <c r="AF237">
        <v>1569.2</v>
      </c>
      <c r="AG237">
        <v>422.95</v>
      </c>
      <c r="AH237">
        <v>0</v>
      </c>
      <c r="AI237">
        <v>1</v>
      </c>
      <c r="AJ237">
        <v>1</v>
      </c>
      <c r="AK237">
        <v>1</v>
      </c>
      <c r="AL237">
        <v>1</v>
      </c>
      <c r="AM237">
        <v>-2</v>
      </c>
      <c r="AN237">
        <v>0</v>
      </c>
      <c r="AO237">
        <v>0</v>
      </c>
      <c r="AP237">
        <v>1</v>
      </c>
      <c r="AQ237">
        <v>1</v>
      </c>
      <c r="AR237">
        <v>0</v>
      </c>
      <c r="AS237" t="s">
        <v>3</v>
      </c>
      <c r="AT237">
        <v>0.01</v>
      </c>
      <c r="AU237" t="s">
        <v>289</v>
      </c>
      <c r="AV237">
        <v>1</v>
      </c>
      <c r="AW237">
        <v>2</v>
      </c>
      <c r="AX237">
        <v>75618418</v>
      </c>
      <c r="AY237">
        <v>1</v>
      </c>
      <c r="AZ237">
        <v>0</v>
      </c>
      <c r="BA237">
        <v>247</v>
      </c>
      <c r="BB237">
        <v>1</v>
      </c>
      <c r="BC237">
        <v>0</v>
      </c>
      <c r="BD237">
        <v>0</v>
      </c>
      <c r="BE237">
        <v>0</v>
      </c>
      <c r="BF237">
        <v>0</v>
      </c>
      <c r="BG237">
        <v>0</v>
      </c>
      <c r="BH237">
        <v>0</v>
      </c>
      <c r="BI237">
        <v>0</v>
      </c>
      <c r="BJ237">
        <v>0</v>
      </c>
      <c r="BK237">
        <v>15.692</v>
      </c>
      <c r="BL237">
        <v>4.2294999999999998</v>
      </c>
      <c r="BM237">
        <v>0</v>
      </c>
      <c r="BN237">
        <v>0</v>
      </c>
      <c r="BO237">
        <v>0.01</v>
      </c>
      <c r="BP237">
        <v>1</v>
      </c>
      <c r="BQ237">
        <v>0</v>
      </c>
      <c r="BR237">
        <v>36.0916</v>
      </c>
      <c r="BS237">
        <v>9.7278500000000001</v>
      </c>
      <c r="BT237">
        <v>0</v>
      </c>
      <c r="BU237">
        <v>0</v>
      </c>
      <c r="BV237">
        <v>2.3E-2</v>
      </c>
      <c r="BW237">
        <v>1</v>
      </c>
      <c r="CV237">
        <v>0</v>
      </c>
      <c r="CW237">
        <f>ROUND(Y237*Source!I179*DO237,7)</f>
        <v>9.2000000000000003E-4</v>
      </c>
      <c r="CX237">
        <f>ROUND(Y237*Source!I179,7)</f>
        <v>9.2000000000000003E-4</v>
      </c>
      <c r="CY237">
        <f>AB237</f>
        <v>1569.2</v>
      </c>
      <c r="CZ237">
        <f>AF237</f>
        <v>1569.2</v>
      </c>
      <c r="DA237">
        <f>AJ237</f>
        <v>1</v>
      </c>
      <c r="DB237">
        <f t="shared" si="123"/>
        <v>36.087000000000003</v>
      </c>
      <c r="DC237">
        <f t="shared" si="124"/>
        <v>9.7289999999999992</v>
      </c>
      <c r="DD237" t="s">
        <v>3</v>
      </c>
      <c r="DE237" t="s">
        <v>3</v>
      </c>
      <c r="DF237">
        <f t="shared" si="125"/>
        <v>0</v>
      </c>
      <c r="DG237">
        <f>ROUND(ROUND(AF237,2)*CX237,2)</f>
        <v>1.44</v>
      </c>
      <c r="DH237">
        <f t="shared" si="106"/>
        <v>0.39</v>
      </c>
      <c r="DI237">
        <f t="shared" si="107"/>
        <v>0</v>
      </c>
      <c r="DJ237">
        <f>DG237+DH237</f>
        <v>1.83</v>
      </c>
      <c r="DK237">
        <v>1</v>
      </c>
      <c r="DL237" t="s">
        <v>510</v>
      </c>
      <c r="DM237">
        <v>5</v>
      </c>
      <c r="DN237" t="s">
        <v>501</v>
      </c>
      <c r="DO237">
        <v>1</v>
      </c>
    </row>
    <row r="238" spans="1:119" x14ac:dyDescent="0.25">
      <c r="A238">
        <f>ROW(Source!A179)</f>
        <v>179</v>
      </c>
      <c r="B238">
        <v>75604747</v>
      </c>
      <c r="C238">
        <v>75618414</v>
      </c>
      <c r="D238">
        <v>74309824</v>
      </c>
      <c r="E238">
        <v>1</v>
      </c>
      <c r="F238">
        <v>1</v>
      </c>
      <c r="G238">
        <v>1</v>
      </c>
      <c r="H238">
        <v>2</v>
      </c>
      <c r="I238" t="s">
        <v>527</v>
      </c>
      <c r="J238" t="s">
        <v>528</v>
      </c>
      <c r="K238" t="s">
        <v>529</v>
      </c>
      <c r="L238">
        <v>1368</v>
      </c>
      <c r="N238">
        <v>1011</v>
      </c>
      <c r="O238" t="s">
        <v>509</v>
      </c>
      <c r="P238" t="s">
        <v>509</v>
      </c>
      <c r="Q238">
        <v>1</v>
      </c>
      <c r="W238">
        <v>0</v>
      </c>
      <c r="X238">
        <v>-312038840</v>
      </c>
      <c r="Y238">
        <f t="shared" si="122"/>
        <v>6.8999999999999992E-2</v>
      </c>
      <c r="AA238">
        <v>0</v>
      </c>
      <c r="AB238">
        <v>551.45000000000005</v>
      </c>
      <c r="AC238">
        <v>368.02</v>
      </c>
      <c r="AD238">
        <v>0</v>
      </c>
      <c r="AE238">
        <v>0</v>
      </c>
      <c r="AF238">
        <v>551.45000000000005</v>
      </c>
      <c r="AG238">
        <v>368.02</v>
      </c>
      <c r="AH238">
        <v>0</v>
      </c>
      <c r="AI238">
        <v>1</v>
      </c>
      <c r="AJ238">
        <v>1</v>
      </c>
      <c r="AK238">
        <v>1</v>
      </c>
      <c r="AL238">
        <v>1</v>
      </c>
      <c r="AM238">
        <v>-2</v>
      </c>
      <c r="AN238">
        <v>0</v>
      </c>
      <c r="AO238">
        <v>0</v>
      </c>
      <c r="AP238">
        <v>1</v>
      </c>
      <c r="AQ238">
        <v>1</v>
      </c>
      <c r="AR238">
        <v>0</v>
      </c>
      <c r="AS238" t="s">
        <v>3</v>
      </c>
      <c r="AT238">
        <v>0.03</v>
      </c>
      <c r="AU238" t="s">
        <v>289</v>
      </c>
      <c r="AV238">
        <v>1</v>
      </c>
      <c r="AW238">
        <v>2</v>
      </c>
      <c r="AX238">
        <v>75618419</v>
      </c>
      <c r="AY238">
        <v>1</v>
      </c>
      <c r="AZ238">
        <v>0</v>
      </c>
      <c r="BA238">
        <v>248</v>
      </c>
      <c r="BB238">
        <v>1</v>
      </c>
      <c r="BC238">
        <v>0</v>
      </c>
      <c r="BD238">
        <v>0</v>
      </c>
      <c r="BE238">
        <v>0</v>
      </c>
      <c r="BF238">
        <v>0</v>
      </c>
      <c r="BG238">
        <v>0</v>
      </c>
      <c r="BH238">
        <v>0</v>
      </c>
      <c r="BI238">
        <v>0</v>
      </c>
      <c r="BJ238">
        <v>0</v>
      </c>
      <c r="BK238">
        <v>16.543500000000002</v>
      </c>
      <c r="BL238">
        <v>11.0406</v>
      </c>
      <c r="BM238">
        <v>0</v>
      </c>
      <c r="BN238">
        <v>0</v>
      </c>
      <c r="BO238">
        <v>0.03</v>
      </c>
      <c r="BP238">
        <v>1</v>
      </c>
      <c r="BQ238">
        <v>0</v>
      </c>
      <c r="BR238">
        <v>38.050049999999999</v>
      </c>
      <c r="BS238">
        <v>25.393379999999997</v>
      </c>
      <c r="BT238">
        <v>0</v>
      </c>
      <c r="BU238">
        <v>0</v>
      </c>
      <c r="BV238">
        <v>6.8999999999999992E-2</v>
      </c>
      <c r="BW238">
        <v>1</v>
      </c>
      <c r="CV238">
        <v>0</v>
      </c>
      <c r="CW238">
        <f>ROUND(Y238*Source!I179*DO238,7)</f>
        <v>2.7599999999999999E-3</v>
      </c>
      <c r="CX238">
        <f>ROUND(Y238*Source!I179,7)</f>
        <v>2.7599999999999999E-3</v>
      </c>
      <c r="CY238">
        <f>AB238</f>
        <v>551.45000000000005</v>
      </c>
      <c r="CZ238">
        <f>AF238</f>
        <v>551.45000000000005</v>
      </c>
      <c r="DA238">
        <f>AJ238</f>
        <v>1</v>
      </c>
      <c r="DB238">
        <f t="shared" si="123"/>
        <v>38.042000000000002</v>
      </c>
      <c r="DC238">
        <f t="shared" si="124"/>
        <v>25.391999999999999</v>
      </c>
      <c r="DD238" t="s">
        <v>3</v>
      </c>
      <c r="DE238" t="s">
        <v>3</v>
      </c>
      <c r="DF238">
        <f t="shared" si="125"/>
        <v>0</v>
      </c>
      <c r="DG238">
        <f>ROUND(ROUND(AF238,2)*CX238,2)</f>
        <v>1.52</v>
      </c>
      <c r="DH238">
        <f t="shared" si="106"/>
        <v>1.02</v>
      </c>
      <c r="DI238">
        <f t="shared" si="107"/>
        <v>0</v>
      </c>
      <c r="DJ238">
        <f>DG238+DH238</f>
        <v>2.54</v>
      </c>
      <c r="DK238">
        <v>1</v>
      </c>
      <c r="DL238" t="s">
        <v>522</v>
      </c>
      <c r="DM238">
        <v>4</v>
      </c>
      <c r="DN238" t="s">
        <v>501</v>
      </c>
      <c r="DO238">
        <v>1</v>
      </c>
    </row>
    <row r="239" spans="1:119" x14ac:dyDescent="0.25">
      <c r="A239">
        <f>ROW(Source!A179)</f>
        <v>179</v>
      </c>
      <c r="B239">
        <v>75604747</v>
      </c>
      <c r="C239">
        <v>75618414</v>
      </c>
      <c r="D239">
        <v>74310389</v>
      </c>
      <c r="E239">
        <v>1</v>
      </c>
      <c r="F239">
        <v>1</v>
      </c>
      <c r="G239">
        <v>1</v>
      </c>
      <c r="H239">
        <v>2</v>
      </c>
      <c r="I239" t="s">
        <v>665</v>
      </c>
      <c r="J239" t="s">
        <v>666</v>
      </c>
      <c r="K239" t="s">
        <v>667</v>
      </c>
      <c r="L239">
        <v>1368</v>
      </c>
      <c r="N239">
        <v>1011</v>
      </c>
      <c r="O239" t="s">
        <v>509</v>
      </c>
      <c r="P239" t="s">
        <v>509</v>
      </c>
      <c r="Q239">
        <v>1</v>
      </c>
      <c r="W239">
        <v>0</v>
      </c>
      <c r="X239">
        <v>1784360336</v>
      </c>
      <c r="Y239">
        <f t="shared" si="122"/>
        <v>2.5760000000000001</v>
      </c>
      <c r="AA239">
        <v>0</v>
      </c>
      <c r="AB239">
        <v>6.33</v>
      </c>
      <c r="AC239">
        <v>0</v>
      </c>
      <c r="AD239">
        <v>0</v>
      </c>
      <c r="AE239">
        <v>0</v>
      </c>
      <c r="AF239">
        <v>4.5199999999999996</v>
      </c>
      <c r="AG239">
        <v>0</v>
      </c>
      <c r="AH239">
        <v>0</v>
      </c>
      <c r="AI239">
        <v>1</v>
      </c>
      <c r="AJ239">
        <v>1.4</v>
      </c>
      <c r="AK239">
        <v>1</v>
      </c>
      <c r="AL239">
        <v>1</v>
      </c>
      <c r="AM239">
        <v>2</v>
      </c>
      <c r="AN239">
        <v>0</v>
      </c>
      <c r="AO239">
        <v>0</v>
      </c>
      <c r="AP239">
        <v>1</v>
      </c>
      <c r="AQ239">
        <v>1</v>
      </c>
      <c r="AR239">
        <v>0</v>
      </c>
      <c r="AS239" t="s">
        <v>3</v>
      </c>
      <c r="AT239">
        <v>1.1200000000000001</v>
      </c>
      <c r="AU239" t="s">
        <v>289</v>
      </c>
      <c r="AV239">
        <v>1</v>
      </c>
      <c r="AW239">
        <v>2</v>
      </c>
      <c r="AX239">
        <v>75618420</v>
      </c>
      <c r="AY239">
        <v>1</v>
      </c>
      <c r="AZ239">
        <v>0</v>
      </c>
      <c r="BA239">
        <v>249</v>
      </c>
      <c r="BB239">
        <v>1</v>
      </c>
      <c r="BC239">
        <v>0</v>
      </c>
      <c r="BD239">
        <v>0</v>
      </c>
      <c r="BE239">
        <v>0</v>
      </c>
      <c r="BF239">
        <v>0</v>
      </c>
      <c r="BG239">
        <v>0</v>
      </c>
      <c r="BH239">
        <v>0</v>
      </c>
      <c r="BI239">
        <v>0</v>
      </c>
      <c r="BJ239">
        <v>0</v>
      </c>
      <c r="BK239">
        <v>5.0624000000000002</v>
      </c>
      <c r="BL239">
        <v>0</v>
      </c>
      <c r="BM239">
        <v>0</v>
      </c>
      <c r="BN239">
        <v>0</v>
      </c>
      <c r="BO239">
        <v>0</v>
      </c>
      <c r="BP239">
        <v>1</v>
      </c>
      <c r="BQ239">
        <v>0</v>
      </c>
      <c r="BR239">
        <v>11.643519999999999</v>
      </c>
      <c r="BS239">
        <v>0</v>
      </c>
      <c r="BT239">
        <v>0</v>
      </c>
      <c r="BU239">
        <v>0</v>
      </c>
      <c r="BV239">
        <v>0</v>
      </c>
      <c r="BW239">
        <v>1</v>
      </c>
      <c r="CV239">
        <v>0</v>
      </c>
      <c r="CW239">
        <f>ROUND(Y239*Source!I179*DO239,7)</f>
        <v>0</v>
      </c>
      <c r="CX239">
        <f>ROUND(Y239*Source!I179,7)</f>
        <v>0.10304000000000001</v>
      </c>
      <c r="CY239">
        <f>AB239</f>
        <v>6.33</v>
      </c>
      <c r="CZ239">
        <f>AF239</f>
        <v>4.5199999999999996</v>
      </c>
      <c r="DA239">
        <f>AJ239</f>
        <v>1.4</v>
      </c>
      <c r="DB239">
        <f t="shared" si="123"/>
        <v>11.638</v>
      </c>
      <c r="DC239">
        <f t="shared" si="124"/>
        <v>0</v>
      </c>
      <c r="DD239" t="s">
        <v>3</v>
      </c>
      <c r="DE239" t="s">
        <v>3</v>
      </c>
      <c r="DF239">
        <f t="shared" si="125"/>
        <v>0</v>
      </c>
      <c r="DG239">
        <f>ROUND(ROUND(AF239*AJ239,2)*CX239,2)</f>
        <v>0.65</v>
      </c>
      <c r="DH239">
        <f t="shared" si="106"/>
        <v>0</v>
      </c>
      <c r="DI239">
        <f t="shared" si="107"/>
        <v>0</v>
      </c>
      <c r="DJ239">
        <f>DG239+DH239</f>
        <v>0.65</v>
      </c>
      <c r="DK239">
        <v>0</v>
      </c>
      <c r="DL239" t="s">
        <v>3</v>
      </c>
      <c r="DM239">
        <v>0</v>
      </c>
      <c r="DN239" t="s">
        <v>3</v>
      </c>
      <c r="DO239">
        <v>0</v>
      </c>
    </row>
    <row r="240" spans="1:119" x14ac:dyDescent="0.25">
      <c r="A240">
        <f>ROW(Source!A179)</f>
        <v>179</v>
      </c>
      <c r="B240">
        <v>75604747</v>
      </c>
      <c r="C240">
        <v>75618414</v>
      </c>
      <c r="D240">
        <v>74277650</v>
      </c>
      <c r="E240">
        <v>1</v>
      </c>
      <c r="F240">
        <v>1</v>
      </c>
      <c r="G240">
        <v>1</v>
      </c>
      <c r="H240">
        <v>3</v>
      </c>
      <c r="I240" t="s">
        <v>372</v>
      </c>
      <c r="J240" t="s">
        <v>374</v>
      </c>
      <c r="K240" t="s">
        <v>373</v>
      </c>
      <c r="L240">
        <v>1348</v>
      </c>
      <c r="N240">
        <v>1009</v>
      </c>
      <c r="O240" t="s">
        <v>174</v>
      </c>
      <c r="P240" t="s">
        <v>174</v>
      </c>
      <c r="Q240">
        <v>1000</v>
      </c>
      <c r="W240">
        <v>0</v>
      </c>
      <c r="X240">
        <v>284279185</v>
      </c>
      <c r="Y240">
        <f>AT240</f>
        <v>1.7999999999999999E-2</v>
      </c>
      <c r="AA240">
        <v>249201.71</v>
      </c>
      <c r="AB240">
        <v>0</v>
      </c>
      <c r="AC240">
        <v>0</v>
      </c>
      <c r="AD240">
        <v>0</v>
      </c>
      <c r="AE240">
        <v>130472.1</v>
      </c>
      <c r="AF240">
        <v>0</v>
      </c>
      <c r="AG240">
        <v>0</v>
      </c>
      <c r="AH240">
        <v>0</v>
      </c>
      <c r="AI240">
        <v>1.91</v>
      </c>
      <c r="AJ240">
        <v>1</v>
      </c>
      <c r="AK240">
        <v>1</v>
      </c>
      <c r="AL240">
        <v>1</v>
      </c>
      <c r="AM240">
        <v>0</v>
      </c>
      <c r="AN240">
        <v>0</v>
      </c>
      <c r="AO240">
        <v>0</v>
      </c>
      <c r="AP240">
        <v>1</v>
      </c>
      <c r="AQ240">
        <v>0</v>
      </c>
      <c r="AR240">
        <v>0</v>
      </c>
      <c r="AS240" t="s">
        <v>3</v>
      </c>
      <c r="AT240">
        <v>1.7999999999999999E-2</v>
      </c>
      <c r="AU240" t="s">
        <v>3</v>
      </c>
      <c r="AV240">
        <v>0</v>
      </c>
      <c r="AW240">
        <v>1</v>
      </c>
      <c r="AX240">
        <v>-1</v>
      </c>
      <c r="AY240">
        <v>0</v>
      </c>
      <c r="AZ240">
        <v>0</v>
      </c>
      <c r="BA240" t="s">
        <v>3</v>
      </c>
      <c r="BB240">
        <v>0</v>
      </c>
      <c r="BC240">
        <v>0</v>
      </c>
      <c r="BD240">
        <v>0</v>
      </c>
      <c r="BE240">
        <v>0</v>
      </c>
      <c r="BF240">
        <v>0</v>
      </c>
      <c r="BG240">
        <v>0</v>
      </c>
      <c r="BH240">
        <v>0</v>
      </c>
      <c r="BI240">
        <v>0</v>
      </c>
      <c r="BJ240">
        <v>0</v>
      </c>
      <c r="BK240">
        <v>0</v>
      </c>
      <c r="BL240">
        <v>0</v>
      </c>
      <c r="BM240">
        <v>0</v>
      </c>
      <c r="BN240">
        <v>0</v>
      </c>
      <c r="BO240">
        <v>0</v>
      </c>
      <c r="BP240">
        <v>0</v>
      </c>
      <c r="BQ240">
        <v>0</v>
      </c>
      <c r="BR240">
        <v>0</v>
      </c>
      <c r="BS240">
        <v>0</v>
      </c>
      <c r="BT240">
        <v>0</v>
      </c>
      <c r="BU240">
        <v>0</v>
      </c>
      <c r="BV240">
        <v>0</v>
      </c>
      <c r="BW240">
        <v>0</v>
      </c>
      <c r="CV240">
        <v>0</v>
      </c>
      <c r="CW240">
        <v>0</v>
      </c>
      <c r="CX240">
        <f>ROUND(Y240*Source!I179,7)</f>
        <v>7.2000000000000005E-4</v>
      </c>
      <c r="CY240">
        <f>AA240</f>
        <v>249201.71</v>
      </c>
      <c r="CZ240">
        <f>AE240</f>
        <v>130472.1</v>
      </c>
      <c r="DA240">
        <f>AI240</f>
        <v>1.91</v>
      </c>
      <c r="DB240">
        <f>ROUND(ROUND(AT240*CZ240,2),6)</f>
        <v>2348.5</v>
      </c>
      <c r="DC240">
        <f>ROUND(ROUND(AT240*AG240,2),6)</f>
        <v>0</v>
      </c>
      <c r="DD240" t="s">
        <v>3</v>
      </c>
      <c r="DE240" t="s">
        <v>3</v>
      </c>
      <c r="DF240">
        <f>ROUND(ROUND(AE240*AI240,2)*CX240,2)</f>
        <v>179.43</v>
      </c>
      <c r="DG240">
        <f>ROUND(ROUND(AF240,2)*CX240,2)</f>
        <v>0</v>
      </c>
      <c r="DH240">
        <f t="shared" si="106"/>
        <v>0</v>
      </c>
      <c r="DI240">
        <f t="shared" si="107"/>
        <v>0</v>
      </c>
      <c r="DJ240">
        <f>DF240</f>
        <v>179.43</v>
      </c>
      <c r="DK240">
        <v>0</v>
      </c>
      <c r="DL240" t="s">
        <v>3</v>
      </c>
      <c r="DM240">
        <v>0</v>
      </c>
      <c r="DN240" t="s">
        <v>3</v>
      </c>
      <c r="DO240">
        <v>0</v>
      </c>
    </row>
    <row r="241" spans="1:119" x14ac:dyDescent="0.25">
      <c r="A241">
        <f>ROW(Source!A179)</f>
        <v>179</v>
      </c>
      <c r="B241">
        <v>75604747</v>
      </c>
      <c r="C241">
        <v>75618414</v>
      </c>
      <c r="D241">
        <v>74278445</v>
      </c>
      <c r="E241">
        <v>1</v>
      </c>
      <c r="F241">
        <v>1</v>
      </c>
      <c r="G241">
        <v>1</v>
      </c>
      <c r="H241">
        <v>3</v>
      </c>
      <c r="I241" t="s">
        <v>376</v>
      </c>
      <c r="J241" t="s">
        <v>378</v>
      </c>
      <c r="K241" t="s">
        <v>377</v>
      </c>
      <c r="L241">
        <v>1348</v>
      </c>
      <c r="N241">
        <v>1009</v>
      </c>
      <c r="O241" t="s">
        <v>174</v>
      </c>
      <c r="P241" t="s">
        <v>174</v>
      </c>
      <c r="Q241">
        <v>1000</v>
      </c>
      <c r="W241">
        <v>0</v>
      </c>
      <c r="X241">
        <v>-1034340975</v>
      </c>
      <c r="Y241">
        <f>AT241</f>
        <v>2E-3</v>
      </c>
      <c r="AA241">
        <v>110506.94</v>
      </c>
      <c r="AB241">
        <v>0</v>
      </c>
      <c r="AC241">
        <v>0</v>
      </c>
      <c r="AD241">
        <v>0</v>
      </c>
      <c r="AE241">
        <v>74165.73</v>
      </c>
      <c r="AF241">
        <v>0</v>
      </c>
      <c r="AG241">
        <v>0</v>
      </c>
      <c r="AH241">
        <v>0</v>
      </c>
      <c r="AI241">
        <v>1.49</v>
      </c>
      <c r="AJ241">
        <v>1</v>
      </c>
      <c r="AK241">
        <v>1</v>
      </c>
      <c r="AL241">
        <v>1</v>
      </c>
      <c r="AM241">
        <v>0</v>
      </c>
      <c r="AN241">
        <v>0</v>
      </c>
      <c r="AO241">
        <v>0</v>
      </c>
      <c r="AP241">
        <v>1</v>
      </c>
      <c r="AQ241">
        <v>0</v>
      </c>
      <c r="AR241">
        <v>0</v>
      </c>
      <c r="AS241" t="s">
        <v>3</v>
      </c>
      <c r="AT241">
        <v>2E-3</v>
      </c>
      <c r="AU241" t="s">
        <v>3</v>
      </c>
      <c r="AV241">
        <v>0</v>
      </c>
      <c r="AW241">
        <v>1</v>
      </c>
      <c r="AX241">
        <v>-1</v>
      </c>
      <c r="AY241">
        <v>0</v>
      </c>
      <c r="AZ241">
        <v>0</v>
      </c>
      <c r="BA241" t="s">
        <v>3</v>
      </c>
      <c r="BB241">
        <v>0</v>
      </c>
      <c r="BC241">
        <v>0</v>
      </c>
      <c r="BD241">
        <v>0</v>
      </c>
      <c r="BE241">
        <v>0</v>
      </c>
      <c r="BF241">
        <v>0</v>
      </c>
      <c r="BG241">
        <v>0</v>
      </c>
      <c r="BH241">
        <v>0</v>
      </c>
      <c r="BI241">
        <v>0</v>
      </c>
      <c r="BJ241">
        <v>0</v>
      </c>
      <c r="BK241">
        <v>0</v>
      </c>
      <c r="BL241">
        <v>0</v>
      </c>
      <c r="BM241">
        <v>0</v>
      </c>
      <c r="BN241">
        <v>0</v>
      </c>
      <c r="BO241">
        <v>0</v>
      </c>
      <c r="BP241">
        <v>0</v>
      </c>
      <c r="BQ241">
        <v>0</v>
      </c>
      <c r="BR241">
        <v>0</v>
      </c>
      <c r="BS241">
        <v>0</v>
      </c>
      <c r="BT241">
        <v>0</v>
      </c>
      <c r="BU241">
        <v>0</v>
      </c>
      <c r="BV241">
        <v>0</v>
      </c>
      <c r="BW241">
        <v>0</v>
      </c>
      <c r="CV241">
        <v>0</v>
      </c>
      <c r="CW241">
        <v>0</v>
      </c>
      <c r="CX241">
        <f>ROUND(Y241*Source!I179,7)</f>
        <v>8.0000000000000007E-5</v>
      </c>
      <c r="CY241">
        <f>AA241</f>
        <v>110506.94</v>
      </c>
      <c r="CZ241">
        <f>AE241</f>
        <v>74165.73</v>
      </c>
      <c r="DA241">
        <f>AI241</f>
        <v>1.49</v>
      </c>
      <c r="DB241">
        <f>ROUND(ROUND(AT241*CZ241,2),6)</f>
        <v>148.33000000000001</v>
      </c>
      <c r="DC241">
        <f>ROUND(ROUND(AT241*AG241,2),6)</f>
        <v>0</v>
      </c>
      <c r="DD241" t="s">
        <v>3</v>
      </c>
      <c r="DE241" t="s">
        <v>3</v>
      </c>
      <c r="DF241">
        <f>ROUND(ROUND(AE241*AI241,2)*CX241,2)</f>
        <v>8.84</v>
      </c>
      <c r="DG241">
        <f>ROUND(ROUND(AF241,2)*CX241,2)</f>
        <v>0</v>
      </c>
      <c r="DH241">
        <f t="shared" si="106"/>
        <v>0</v>
      </c>
      <c r="DI241">
        <f t="shared" si="107"/>
        <v>0</v>
      </c>
      <c r="DJ241">
        <f>DF241</f>
        <v>8.84</v>
      </c>
      <c r="DK241">
        <v>0</v>
      </c>
      <c r="DL241" t="s">
        <v>3</v>
      </c>
      <c r="DM241">
        <v>0</v>
      </c>
      <c r="DN241" t="s">
        <v>3</v>
      </c>
      <c r="DO241">
        <v>0</v>
      </c>
    </row>
    <row r="242" spans="1:119" x14ac:dyDescent="0.25">
      <c r="A242">
        <f>ROW(Source!A182)</f>
        <v>182</v>
      </c>
      <c r="B242">
        <v>75604747</v>
      </c>
      <c r="C242">
        <v>75618430</v>
      </c>
      <c r="D242">
        <v>74182287</v>
      </c>
      <c r="E242">
        <v>118</v>
      </c>
      <c r="F242">
        <v>1</v>
      </c>
      <c r="G242">
        <v>1</v>
      </c>
      <c r="H242">
        <v>1</v>
      </c>
      <c r="I242" t="s">
        <v>645</v>
      </c>
      <c r="J242" t="s">
        <v>3</v>
      </c>
      <c r="K242" t="s">
        <v>646</v>
      </c>
      <c r="L242">
        <v>1191</v>
      </c>
      <c r="N242">
        <v>1013</v>
      </c>
      <c r="O242" t="s">
        <v>501</v>
      </c>
      <c r="P242" t="s">
        <v>501</v>
      </c>
      <c r="Q242">
        <v>1</v>
      </c>
      <c r="W242">
        <v>0</v>
      </c>
      <c r="X242">
        <v>888410196</v>
      </c>
      <c r="Y242">
        <f>(AT242*ROUND((0.15+1),7))</f>
        <v>70.265000000000001</v>
      </c>
      <c r="AA242">
        <v>0</v>
      </c>
      <c r="AB242">
        <v>0</v>
      </c>
      <c r="AC242">
        <v>0</v>
      </c>
      <c r="AD242">
        <v>368.02</v>
      </c>
      <c r="AE242">
        <v>0</v>
      </c>
      <c r="AF242">
        <v>0</v>
      </c>
      <c r="AG242">
        <v>0</v>
      </c>
      <c r="AH242">
        <v>368.02</v>
      </c>
      <c r="AI242">
        <v>1</v>
      </c>
      <c r="AJ242">
        <v>1</v>
      </c>
      <c r="AK242">
        <v>1</v>
      </c>
      <c r="AL242">
        <v>1</v>
      </c>
      <c r="AM242">
        <v>-2</v>
      </c>
      <c r="AN242">
        <v>0</v>
      </c>
      <c r="AO242">
        <v>0</v>
      </c>
      <c r="AP242">
        <v>1</v>
      </c>
      <c r="AQ242">
        <v>1</v>
      </c>
      <c r="AR242">
        <v>0</v>
      </c>
      <c r="AS242" t="s">
        <v>3</v>
      </c>
      <c r="AT242">
        <v>61.1</v>
      </c>
      <c r="AU242" t="s">
        <v>27</v>
      </c>
      <c r="AV242">
        <v>1</v>
      </c>
      <c r="AW242">
        <v>2</v>
      </c>
      <c r="AX242">
        <v>75618437</v>
      </c>
      <c r="AY242">
        <v>1</v>
      </c>
      <c r="AZ242">
        <v>0</v>
      </c>
      <c r="BA242">
        <v>252</v>
      </c>
      <c r="BB242">
        <v>1</v>
      </c>
      <c r="BC242">
        <v>0</v>
      </c>
      <c r="BD242">
        <v>0</v>
      </c>
      <c r="BE242">
        <v>0</v>
      </c>
      <c r="BF242">
        <v>0</v>
      </c>
      <c r="BG242">
        <v>0</v>
      </c>
      <c r="BH242">
        <v>0</v>
      </c>
      <c r="BI242">
        <v>0</v>
      </c>
      <c r="BJ242">
        <v>0</v>
      </c>
      <c r="BK242">
        <v>0</v>
      </c>
      <c r="BL242">
        <v>0</v>
      </c>
      <c r="BM242">
        <v>22486.022000000001</v>
      </c>
      <c r="BN242">
        <v>61.1</v>
      </c>
      <c r="BO242">
        <v>0</v>
      </c>
      <c r="BP242">
        <v>1</v>
      </c>
      <c r="BQ242">
        <v>0</v>
      </c>
      <c r="BR242">
        <v>0</v>
      </c>
      <c r="BS242">
        <v>0</v>
      </c>
      <c r="BT242">
        <v>25858.925299999999</v>
      </c>
      <c r="BU242">
        <v>70.265000000000001</v>
      </c>
      <c r="BV242">
        <v>0</v>
      </c>
      <c r="BW242">
        <v>1</v>
      </c>
      <c r="CU242">
        <f>ROUND(AT242*Source!I182*AH242*AL242,2)</f>
        <v>449.72</v>
      </c>
      <c r="CV242">
        <f>ROUND(Y242*Source!I182,7)</f>
        <v>1.4053</v>
      </c>
      <c r="CW242">
        <v>0</v>
      </c>
      <c r="CX242">
        <f>ROUND(Y242*Source!I182,7)</f>
        <v>1.4053</v>
      </c>
      <c r="CY242">
        <f>AD242</f>
        <v>368.02</v>
      </c>
      <c r="CZ242">
        <f>AH242</f>
        <v>368.02</v>
      </c>
      <c r="DA242">
        <f>AL242</f>
        <v>1</v>
      </c>
      <c r="DB242">
        <f>ROUND((ROUND(AT242*CZ242,2)*ROUND((0.15+1),7)),6)</f>
        <v>25858.922999999999</v>
      </c>
      <c r="DC242">
        <f>ROUND((ROUND(AT242*AG242,2)*ROUND((0.15+1),7)),6)</f>
        <v>0</v>
      </c>
      <c r="DD242" t="s">
        <v>3</v>
      </c>
      <c r="DE242" t="s">
        <v>3</v>
      </c>
      <c r="DF242">
        <f>ROUND(ROUND(AE242,2)*CX242,2)</f>
        <v>0</v>
      </c>
      <c r="DG242">
        <f>ROUND(ROUND(AF242,2)*CX242,2)</f>
        <v>0</v>
      </c>
      <c r="DH242">
        <f t="shared" si="106"/>
        <v>0</v>
      </c>
      <c r="DI242">
        <f t="shared" si="107"/>
        <v>517.17999999999995</v>
      </c>
      <c r="DJ242">
        <f>DI242</f>
        <v>517.17999999999995</v>
      </c>
      <c r="DK242">
        <v>1</v>
      </c>
      <c r="DL242" t="s">
        <v>3</v>
      </c>
      <c r="DM242">
        <v>0</v>
      </c>
      <c r="DN242" t="s">
        <v>3</v>
      </c>
      <c r="DO242">
        <v>0</v>
      </c>
    </row>
    <row r="243" spans="1:119" x14ac:dyDescent="0.25">
      <c r="A243">
        <f>ROW(Source!A182)</f>
        <v>182</v>
      </c>
      <c r="B243">
        <v>75604747</v>
      </c>
      <c r="C243">
        <v>75618430</v>
      </c>
      <c r="D243">
        <v>74309062</v>
      </c>
      <c r="E243">
        <v>1</v>
      </c>
      <c r="F243">
        <v>1</v>
      </c>
      <c r="G243">
        <v>1</v>
      </c>
      <c r="H243">
        <v>2</v>
      </c>
      <c r="I243" t="s">
        <v>717</v>
      </c>
      <c r="J243" t="s">
        <v>718</v>
      </c>
      <c r="K243" t="s">
        <v>719</v>
      </c>
      <c r="L243">
        <v>1368</v>
      </c>
      <c r="N243">
        <v>1011</v>
      </c>
      <c r="O243" t="s">
        <v>509</v>
      </c>
      <c r="P243" t="s">
        <v>509</v>
      </c>
      <c r="Q243">
        <v>1</v>
      </c>
      <c r="W243">
        <v>0</v>
      </c>
      <c r="X243">
        <v>805750914</v>
      </c>
      <c r="Y243">
        <f>(AT243*ROUND((0.15+1),7))</f>
        <v>1.0349999999999999</v>
      </c>
      <c r="AA243">
        <v>0</v>
      </c>
      <c r="AB243">
        <v>13.44</v>
      </c>
      <c r="AC243">
        <v>0</v>
      </c>
      <c r="AD243">
        <v>0</v>
      </c>
      <c r="AE243">
        <v>0</v>
      </c>
      <c r="AF243">
        <v>8.84</v>
      </c>
      <c r="AG243">
        <v>0</v>
      </c>
      <c r="AH243">
        <v>0</v>
      </c>
      <c r="AI243">
        <v>1</v>
      </c>
      <c r="AJ243">
        <v>1.52</v>
      </c>
      <c r="AK243">
        <v>1</v>
      </c>
      <c r="AL243">
        <v>1</v>
      </c>
      <c r="AM243">
        <v>2</v>
      </c>
      <c r="AN243">
        <v>0</v>
      </c>
      <c r="AO243">
        <v>0</v>
      </c>
      <c r="AP243">
        <v>1</v>
      </c>
      <c r="AQ243">
        <v>1</v>
      </c>
      <c r="AR243">
        <v>0</v>
      </c>
      <c r="AS243" t="s">
        <v>3</v>
      </c>
      <c r="AT243">
        <v>0.9</v>
      </c>
      <c r="AU243" t="s">
        <v>27</v>
      </c>
      <c r="AV243">
        <v>1</v>
      </c>
      <c r="AW243">
        <v>2</v>
      </c>
      <c r="AX243">
        <v>75618438</v>
      </c>
      <c r="AY243">
        <v>1</v>
      </c>
      <c r="AZ243">
        <v>0</v>
      </c>
      <c r="BA243">
        <v>253</v>
      </c>
      <c r="BB243">
        <v>1</v>
      </c>
      <c r="BC243">
        <v>0</v>
      </c>
      <c r="BD243">
        <v>0</v>
      </c>
      <c r="BE243">
        <v>0</v>
      </c>
      <c r="BF243">
        <v>0</v>
      </c>
      <c r="BG243">
        <v>0</v>
      </c>
      <c r="BH243">
        <v>0</v>
      </c>
      <c r="BI243">
        <v>0</v>
      </c>
      <c r="BJ243">
        <v>0</v>
      </c>
      <c r="BK243">
        <v>7.9560000000000004</v>
      </c>
      <c r="BL243">
        <v>0</v>
      </c>
      <c r="BM243">
        <v>0</v>
      </c>
      <c r="BN243">
        <v>0</v>
      </c>
      <c r="BO243">
        <v>0</v>
      </c>
      <c r="BP243">
        <v>1</v>
      </c>
      <c r="BQ243">
        <v>0</v>
      </c>
      <c r="BR243">
        <v>9.1494</v>
      </c>
      <c r="BS243">
        <v>0</v>
      </c>
      <c r="BT243">
        <v>0</v>
      </c>
      <c r="BU243">
        <v>0</v>
      </c>
      <c r="BV243">
        <v>0</v>
      </c>
      <c r="BW243">
        <v>1</v>
      </c>
      <c r="CV243">
        <v>0</v>
      </c>
      <c r="CW243">
        <f>ROUND(Y243*Source!I182*DO243,7)</f>
        <v>0</v>
      </c>
      <c r="CX243">
        <f>ROUND(Y243*Source!I182,7)</f>
        <v>2.07E-2</v>
      </c>
      <c r="CY243">
        <f>AB243</f>
        <v>13.44</v>
      </c>
      <c r="CZ243">
        <f>AF243</f>
        <v>8.84</v>
      </c>
      <c r="DA243">
        <f>AJ243</f>
        <v>1.52</v>
      </c>
      <c r="DB243">
        <f>ROUND((ROUND(AT243*CZ243,2)*ROUND((0.15+1),7)),6)</f>
        <v>9.1539999999999999</v>
      </c>
      <c r="DC243">
        <f>ROUND((ROUND(AT243*AG243,2)*ROUND((0.15+1),7)),6)</f>
        <v>0</v>
      </c>
      <c r="DD243" t="s">
        <v>3</v>
      </c>
      <c r="DE243" t="s">
        <v>3</v>
      </c>
      <c r="DF243">
        <f>ROUND(ROUND(AE243,2)*CX243,2)</f>
        <v>0</v>
      </c>
      <c r="DG243">
        <f>ROUND(ROUND(AF243*AJ243,2)*CX243,2)</f>
        <v>0.28000000000000003</v>
      </c>
      <c r="DH243">
        <f t="shared" si="106"/>
        <v>0</v>
      </c>
      <c r="DI243">
        <f t="shared" si="107"/>
        <v>0</v>
      </c>
      <c r="DJ243">
        <f>DG243+DH243</f>
        <v>0.28000000000000003</v>
      </c>
      <c r="DK243">
        <v>0</v>
      </c>
      <c r="DL243" t="s">
        <v>3</v>
      </c>
      <c r="DM243">
        <v>0</v>
      </c>
      <c r="DN243" t="s">
        <v>3</v>
      </c>
      <c r="DO243">
        <v>0</v>
      </c>
    </row>
    <row r="244" spans="1:119" x14ac:dyDescent="0.25">
      <c r="A244">
        <f>ROW(Source!A182)</f>
        <v>182</v>
      </c>
      <c r="B244">
        <v>75604747</v>
      </c>
      <c r="C244">
        <v>75618430</v>
      </c>
      <c r="D244">
        <v>74309204</v>
      </c>
      <c r="E244">
        <v>1</v>
      </c>
      <c r="F244">
        <v>1</v>
      </c>
      <c r="G244">
        <v>1</v>
      </c>
      <c r="H244">
        <v>2</v>
      </c>
      <c r="I244" t="s">
        <v>720</v>
      </c>
      <c r="J244" t="s">
        <v>721</v>
      </c>
      <c r="K244" t="s">
        <v>722</v>
      </c>
      <c r="L244">
        <v>1368</v>
      </c>
      <c r="N244">
        <v>1011</v>
      </c>
      <c r="O244" t="s">
        <v>509</v>
      </c>
      <c r="P244" t="s">
        <v>509</v>
      </c>
      <c r="Q244">
        <v>1</v>
      </c>
      <c r="W244">
        <v>0</v>
      </c>
      <c r="X244">
        <v>-1133879444</v>
      </c>
      <c r="Y244">
        <f>(AT244*ROUND((0.15+1),7))</f>
        <v>2.76</v>
      </c>
      <c r="AA244">
        <v>0</v>
      </c>
      <c r="AB244">
        <v>24.19</v>
      </c>
      <c r="AC244">
        <v>0</v>
      </c>
      <c r="AD244">
        <v>0</v>
      </c>
      <c r="AE244">
        <v>0</v>
      </c>
      <c r="AF244">
        <v>24.19</v>
      </c>
      <c r="AG244">
        <v>0</v>
      </c>
      <c r="AH244">
        <v>0</v>
      </c>
      <c r="AI244">
        <v>1</v>
      </c>
      <c r="AJ244">
        <v>1</v>
      </c>
      <c r="AK244">
        <v>1</v>
      </c>
      <c r="AL244">
        <v>1</v>
      </c>
      <c r="AM244">
        <v>-2</v>
      </c>
      <c r="AN244">
        <v>0</v>
      </c>
      <c r="AO244">
        <v>0</v>
      </c>
      <c r="AP244">
        <v>1</v>
      </c>
      <c r="AQ244">
        <v>1</v>
      </c>
      <c r="AR244">
        <v>0</v>
      </c>
      <c r="AS244" t="s">
        <v>3</v>
      </c>
      <c r="AT244">
        <v>2.4</v>
      </c>
      <c r="AU244" t="s">
        <v>27</v>
      </c>
      <c r="AV244">
        <v>1</v>
      </c>
      <c r="AW244">
        <v>2</v>
      </c>
      <c r="AX244">
        <v>75618439</v>
      </c>
      <c r="AY244">
        <v>1</v>
      </c>
      <c r="AZ244">
        <v>0</v>
      </c>
      <c r="BA244">
        <v>254</v>
      </c>
      <c r="BB244">
        <v>1</v>
      </c>
      <c r="BC244">
        <v>0</v>
      </c>
      <c r="BD244">
        <v>0</v>
      </c>
      <c r="BE244">
        <v>0</v>
      </c>
      <c r="BF244">
        <v>0</v>
      </c>
      <c r="BG244">
        <v>0</v>
      </c>
      <c r="BH244">
        <v>0</v>
      </c>
      <c r="BI244">
        <v>0</v>
      </c>
      <c r="BJ244">
        <v>0</v>
      </c>
      <c r="BK244">
        <v>58.055999999999997</v>
      </c>
      <c r="BL244">
        <v>0</v>
      </c>
      <c r="BM244">
        <v>0</v>
      </c>
      <c r="BN244">
        <v>0</v>
      </c>
      <c r="BO244">
        <v>0</v>
      </c>
      <c r="BP244">
        <v>1</v>
      </c>
      <c r="BQ244">
        <v>0</v>
      </c>
      <c r="BR244">
        <v>66.764399999999995</v>
      </c>
      <c r="BS244">
        <v>0</v>
      </c>
      <c r="BT244">
        <v>0</v>
      </c>
      <c r="BU244">
        <v>0</v>
      </c>
      <c r="BV244">
        <v>0</v>
      </c>
      <c r="BW244">
        <v>1</v>
      </c>
      <c r="CV244">
        <v>0</v>
      </c>
      <c r="CW244">
        <f>ROUND(Y244*Source!I182*DO244,7)</f>
        <v>0</v>
      </c>
      <c r="CX244">
        <f>ROUND(Y244*Source!I182,7)</f>
        <v>5.5199999999999999E-2</v>
      </c>
      <c r="CY244">
        <f>AB244</f>
        <v>24.19</v>
      </c>
      <c r="CZ244">
        <f>AF244</f>
        <v>24.19</v>
      </c>
      <c r="DA244">
        <f>AJ244</f>
        <v>1</v>
      </c>
      <c r="DB244">
        <f>ROUND((ROUND(AT244*CZ244,2)*ROUND((0.15+1),7)),6)</f>
        <v>66.769000000000005</v>
      </c>
      <c r="DC244">
        <f>ROUND((ROUND(AT244*AG244,2)*ROUND((0.15+1),7)),6)</f>
        <v>0</v>
      </c>
      <c r="DD244" t="s">
        <v>3</v>
      </c>
      <c r="DE244" t="s">
        <v>3</v>
      </c>
      <c r="DF244">
        <f>ROUND(ROUND(AE244,2)*CX244,2)</f>
        <v>0</v>
      </c>
      <c r="DG244">
        <f>ROUND(ROUND(AF244,2)*CX244,2)</f>
        <v>1.34</v>
      </c>
      <c r="DH244">
        <f t="shared" si="106"/>
        <v>0</v>
      </c>
      <c r="DI244">
        <f t="shared" si="107"/>
        <v>0</v>
      </c>
      <c r="DJ244">
        <f>DG244+DH244</f>
        <v>1.34</v>
      </c>
      <c r="DK244">
        <v>1</v>
      </c>
      <c r="DL244" t="s">
        <v>3</v>
      </c>
      <c r="DM244">
        <v>0</v>
      </c>
      <c r="DN244" t="s">
        <v>3</v>
      </c>
      <c r="DO244">
        <v>0</v>
      </c>
    </row>
    <row r="245" spans="1:119" x14ac:dyDescent="0.25">
      <c r="A245">
        <f>ROW(Source!A182)</f>
        <v>182</v>
      </c>
      <c r="B245">
        <v>75604747</v>
      </c>
      <c r="C245">
        <v>75618430</v>
      </c>
      <c r="D245">
        <v>74259029</v>
      </c>
      <c r="E245">
        <v>1</v>
      </c>
      <c r="F245">
        <v>1</v>
      </c>
      <c r="G245">
        <v>1</v>
      </c>
      <c r="H245">
        <v>3</v>
      </c>
      <c r="I245" t="s">
        <v>600</v>
      </c>
      <c r="J245" t="s">
        <v>601</v>
      </c>
      <c r="K245" t="s">
        <v>602</v>
      </c>
      <c r="L245">
        <v>1339</v>
      </c>
      <c r="N245">
        <v>1007</v>
      </c>
      <c r="O245" t="s">
        <v>205</v>
      </c>
      <c r="P245" t="s">
        <v>205</v>
      </c>
      <c r="Q245">
        <v>1</v>
      </c>
      <c r="W245">
        <v>0</v>
      </c>
      <c r="X245">
        <v>727623859</v>
      </c>
      <c r="Y245">
        <f>AT245</f>
        <v>0.35</v>
      </c>
      <c r="AA245">
        <v>31.42</v>
      </c>
      <c r="AB245">
        <v>0</v>
      </c>
      <c r="AC245">
        <v>0</v>
      </c>
      <c r="AD245">
        <v>0</v>
      </c>
      <c r="AE245">
        <v>35.71</v>
      </c>
      <c r="AF245">
        <v>0</v>
      </c>
      <c r="AG245">
        <v>0</v>
      </c>
      <c r="AH245">
        <v>0</v>
      </c>
      <c r="AI245">
        <v>0.88</v>
      </c>
      <c r="AJ245">
        <v>1</v>
      </c>
      <c r="AK245">
        <v>1</v>
      </c>
      <c r="AL245">
        <v>1</v>
      </c>
      <c r="AM245">
        <v>2</v>
      </c>
      <c r="AN245">
        <v>0</v>
      </c>
      <c r="AO245">
        <v>0</v>
      </c>
      <c r="AP245">
        <v>1</v>
      </c>
      <c r="AQ245">
        <v>1</v>
      </c>
      <c r="AR245">
        <v>0</v>
      </c>
      <c r="AS245" t="s">
        <v>3</v>
      </c>
      <c r="AT245">
        <v>0.35</v>
      </c>
      <c r="AU245" t="s">
        <v>3</v>
      </c>
      <c r="AV245">
        <v>0</v>
      </c>
      <c r="AW245">
        <v>2</v>
      </c>
      <c r="AX245">
        <v>75618440</v>
      </c>
      <c r="AY245">
        <v>1</v>
      </c>
      <c r="AZ245">
        <v>0</v>
      </c>
      <c r="BA245">
        <v>255</v>
      </c>
      <c r="BB245">
        <v>1</v>
      </c>
      <c r="BC245">
        <v>0</v>
      </c>
      <c r="BD245">
        <v>0</v>
      </c>
      <c r="BE245">
        <v>0</v>
      </c>
      <c r="BF245">
        <v>0</v>
      </c>
      <c r="BG245">
        <v>0</v>
      </c>
      <c r="BH245">
        <v>0</v>
      </c>
      <c r="BI245">
        <v>0</v>
      </c>
      <c r="BJ245">
        <v>12.4985</v>
      </c>
      <c r="BK245">
        <v>0</v>
      </c>
      <c r="BL245">
        <v>0</v>
      </c>
      <c r="BM245">
        <v>0</v>
      </c>
      <c r="BN245">
        <v>0</v>
      </c>
      <c r="BO245">
        <v>0</v>
      </c>
      <c r="BP245">
        <v>1</v>
      </c>
      <c r="BQ245">
        <v>12.4985</v>
      </c>
      <c r="BR245">
        <v>0</v>
      </c>
      <c r="BS245">
        <v>0</v>
      </c>
      <c r="BT245">
        <v>0</v>
      </c>
      <c r="BU245">
        <v>0</v>
      </c>
      <c r="BV245">
        <v>0</v>
      </c>
      <c r="BW245">
        <v>1</v>
      </c>
      <c r="CV245">
        <v>0</v>
      </c>
      <c r="CW245">
        <v>0</v>
      </c>
      <c r="CX245">
        <f>ROUND(Y245*Source!I182,7)</f>
        <v>7.0000000000000001E-3</v>
      </c>
      <c r="CY245">
        <f>AA245</f>
        <v>31.42</v>
      </c>
      <c r="CZ245">
        <f>AE245</f>
        <v>35.71</v>
      </c>
      <c r="DA245">
        <f>AI245</f>
        <v>0.88</v>
      </c>
      <c r="DB245">
        <f>ROUND(ROUND(AT245*CZ245,2),6)</f>
        <v>12.5</v>
      </c>
      <c r="DC245">
        <f>ROUND(ROUND(AT245*AG245,2),6)</f>
        <v>0</v>
      </c>
      <c r="DD245" t="s">
        <v>3</v>
      </c>
      <c r="DE245" t="s">
        <v>3</v>
      </c>
      <c r="DF245">
        <f>ROUND(ROUND(AE245*AI245,2)*CX245,2)</f>
        <v>0.22</v>
      </c>
      <c r="DG245">
        <f>ROUND(ROUND(AF245,2)*CX245,2)</f>
        <v>0</v>
      </c>
      <c r="DH245">
        <f t="shared" si="106"/>
        <v>0</v>
      </c>
      <c r="DI245">
        <f t="shared" si="107"/>
        <v>0</v>
      </c>
      <c r="DJ245">
        <f>DF245</f>
        <v>0.22</v>
      </c>
      <c r="DK245">
        <v>0</v>
      </c>
      <c r="DL245" t="s">
        <v>3</v>
      </c>
      <c r="DM245">
        <v>0</v>
      </c>
      <c r="DN245" t="s">
        <v>3</v>
      </c>
      <c r="DO245">
        <v>0</v>
      </c>
    </row>
    <row r="246" spans="1:119" x14ac:dyDescent="0.25">
      <c r="A246">
        <f>ROW(Source!A182)</f>
        <v>182</v>
      </c>
      <c r="B246">
        <v>75604747</v>
      </c>
      <c r="C246">
        <v>75618430</v>
      </c>
      <c r="D246">
        <v>74263004</v>
      </c>
      <c r="E246">
        <v>1</v>
      </c>
      <c r="F246">
        <v>1</v>
      </c>
      <c r="G246">
        <v>1</v>
      </c>
      <c r="H246">
        <v>3</v>
      </c>
      <c r="I246" t="s">
        <v>388</v>
      </c>
      <c r="J246" t="s">
        <v>390</v>
      </c>
      <c r="K246" t="s">
        <v>389</v>
      </c>
      <c r="L246">
        <v>1339</v>
      </c>
      <c r="N246">
        <v>1007</v>
      </c>
      <c r="O246" t="s">
        <v>205</v>
      </c>
      <c r="P246" t="s">
        <v>205</v>
      </c>
      <c r="Q246">
        <v>1</v>
      </c>
      <c r="W246">
        <v>0</v>
      </c>
      <c r="X246">
        <v>2020741444</v>
      </c>
      <c r="Y246">
        <f>AT246</f>
        <v>1.89</v>
      </c>
      <c r="AA246">
        <v>6045.99</v>
      </c>
      <c r="AB246">
        <v>0</v>
      </c>
      <c r="AC246">
        <v>0</v>
      </c>
      <c r="AD246">
        <v>0</v>
      </c>
      <c r="AE246">
        <v>3925.97</v>
      </c>
      <c r="AF246">
        <v>0</v>
      </c>
      <c r="AG246">
        <v>0</v>
      </c>
      <c r="AH246">
        <v>0</v>
      </c>
      <c r="AI246">
        <v>1.54</v>
      </c>
      <c r="AJ246">
        <v>1</v>
      </c>
      <c r="AK246">
        <v>1</v>
      </c>
      <c r="AL246">
        <v>1</v>
      </c>
      <c r="AM246">
        <v>0</v>
      </c>
      <c r="AN246">
        <v>0</v>
      </c>
      <c r="AO246">
        <v>0</v>
      </c>
      <c r="AP246">
        <v>1</v>
      </c>
      <c r="AQ246">
        <v>0</v>
      </c>
      <c r="AR246">
        <v>0</v>
      </c>
      <c r="AS246" t="s">
        <v>3</v>
      </c>
      <c r="AT246">
        <v>1.89</v>
      </c>
      <c r="AU246" t="s">
        <v>3</v>
      </c>
      <c r="AV246">
        <v>0</v>
      </c>
      <c r="AW246">
        <v>1</v>
      </c>
      <c r="AX246">
        <v>-1</v>
      </c>
      <c r="AY246">
        <v>0</v>
      </c>
      <c r="AZ246">
        <v>0</v>
      </c>
      <c r="BA246" t="s">
        <v>3</v>
      </c>
      <c r="BB246">
        <v>0</v>
      </c>
      <c r="BC246">
        <v>0</v>
      </c>
      <c r="BD246">
        <v>0</v>
      </c>
      <c r="BE246">
        <v>0</v>
      </c>
      <c r="BF246">
        <v>0</v>
      </c>
      <c r="BG246">
        <v>0</v>
      </c>
      <c r="BH246">
        <v>0</v>
      </c>
      <c r="BI246">
        <v>0</v>
      </c>
      <c r="BJ246">
        <v>0</v>
      </c>
      <c r="BK246">
        <v>0</v>
      </c>
      <c r="BL246">
        <v>0</v>
      </c>
      <c r="BM246">
        <v>0</v>
      </c>
      <c r="BN246">
        <v>0</v>
      </c>
      <c r="BO246">
        <v>0</v>
      </c>
      <c r="BP246">
        <v>0</v>
      </c>
      <c r="BQ246">
        <v>0</v>
      </c>
      <c r="BR246">
        <v>0</v>
      </c>
      <c r="BS246">
        <v>0</v>
      </c>
      <c r="BT246">
        <v>0</v>
      </c>
      <c r="BU246">
        <v>0</v>
      </c>
      <c r="BV246">
        <v>0</v>
      </c>
      <c r="BW246">
        <v>0</v>
      </c>
      <c r="CV246">
        <v>0</v>
      </c>
      <c r="CW246">
        <v>0</v>
      </c>
      <c r="CX246">
        <f>ROUND(Y246*Source!I182,7)</f>
        <v>3.78E-2</v>
      </c>
      <c r="CY246">
        <f>AA246</f>
        <v>6045.99</v>
      </c>
      <c r="CZ246">
        <f>AE246</f>
        <v>3925.97</v>
      </c>
      <c r="DA246">
        <f>AI246</f>
        <v>1.54</v>
      </c>
      <c r="DB246">
        <f>ROUND(ROUND(AT246*CZ246,2),6)</f>
        <v>7420.08</v>
      </c>
      <c r="DC246">
        <f>ROUND(ROUND(AT246*AG246,2),6)</f>
        <v>0</v>
      </c>
      <c r="DD246" t="s">
        <v>3</v>
      </c>
      <c r="DE246" t="s">
        <v>3</v>
      </c>
      <c r="DF246">
        <f>ROUND(ROUND(AE246*AI246,2)*CX246,2)</f>
        <v>228.54</v>
      </c>
      <c r="DG246">
        <f>ROUND(ROUND(AF246,2)*CX246,2)</f>
        <v>0</v>
      </c>
      <c r="DH246">
        <f t="shared" si="106"/>
        <v>0</v>
      </c>
      <c r="DI246">
        <f t="shared" si="107"/>
        <v>0</v>
      </c>
      <c r="DJ246">
        <f>DF246</f>
        <v>228.54</v>
      </c>
      <c r="DK246">
        <v>0</v>
      </c>
      <c r="DL246" t="s">
        <v>3</v>
      </c>
      <c r="DM246">
        <v>0</v>
      </c>
      <c r="DN246" t="s">
        <v>3</v>
      </c>
      <c r="DO246">
        <v>0</v>
      </c>
    </row>
    <row r="247" spans="1:119" x14ac:dyDescent="0.25">
      <c r="A247">
        <f>ROW(Source!A184)</f>
        <v>184</v>
      </c>
      <c r="B247">
        <v>75604747</v>
      </c>
      <c r="C247">
        <v>75618443</v>
      </c>
      <c r="D247">
        <v>74182283</v>
      </c>
      <c r="E247">
        <v>118</v>
      </c>
      <c r="F247">
        <v>1</v>
      </c>
      <c r="G247">
        <v>1</v>
      </c>
      <c r="H247">
        <v>1</v>
      </c>
      <c r="I247" t="s">
        <v>723</v>
      </c>
      <c r="J247" t="s">
        <v>3</v>
      </c>
      <c r="K247" t="s">
        <v>724</v>
      </c>
      <c r="L247">
        <v>1191</v>
      </c>
      <c r="N247">
        <v>1013</v>
      </c>
      <c r="O247" t="s">
        <v>501</v>
      </c>
      <c r="P247" t="s">
        <v>501</v>
      </c>
      <c r="Q247">
        <v>1</v>
      </c>
      <c r="W247">
        <v>0</v>
      </c>
      <c r="X247">
        <v>-1088579471</v>
      </c>
      <c r="Y247">
        <f>(AT247*ROUND((0.15+1),7))</f>
        <v>24.38</v>
      </c>
      <c r="AA247">
        <v>0</v>
      </c>
      <c r="AB247">
        <v>0</v>
      </c>
      <c r="AC247">
        <v>0</v>
      </c>
      <c r="AD247">
        <v>363.9</v>
      </c>
      <c r="AE247">
        <v>0</v>
      </c>
      <c r="AF247">
        <v>0</v>
      </c>
      <c r="AG247">
        <v>0</v>
      </c>
      <c r="AH247">
        <v>363.9</v>
      </c>
      <c r="AI247">
        <v>1</v>
      </c>
      <c r="AJ247">
        <v>1</v>
      </c>
      <c r="AK247">
        <v>1</v>
      </c>
      <c r="AL247">
        <v>1</v>
      </c>
      <c r="AM247">
        <v>-2</v>
      </c>
      <c r="AN247">
        <v>0</v>
      </c>
      <c r="AO247">
        <v>0</v>
      </c>
      <c r="AP247">
        <v>1</v>
      </c>
      <c r="AQ247">
        <v>1</v>
      </c>
      <c r="AR247">
        <v>0</v>
      </c>
      <c r="AS247" t="s">
        <v>3</v>
      </c>
      <c r="AT247">
        <v>21.2</v>
      </c>
      <c r="AU247" t="s">
        <v>27</v>
      </c>
      <c r="AV247">
        <v>1</v>
      </c>
      <c r="AW247">
        <v>2</v>
      </c>
      <c r="AX247">
        <v>75618456</v>
      </c>
      <c r="AY247">
        <v>1</v>
      </c>
      <c r="AZ247">
        <v>0</v>
      </c>
      <c r="BA247">
        <v>257</v>
      </c>
      <c r="BB247">
        <v>1</v>
      </c>
      <c r="BC247">
        <v>0</v>
      </c>
      <c r="BD247">
        <v>0</v>
      </c>
      <c r="BE247">
        <v>0</v>
      </c>
      <c r="BF247">
        <v>0</v>
      </c>
      <c r="BG247">
        <v>0</v>
      </c>
      <c r="BH247">
        <v>0</v>
      </c>
      <c r="BI247">
        <v>0</v>
      </c>
      <c r="BJ247">
        <v>0</v>
      </c>
      <c r="BK247">
        <v>0</v>
      </c>
      <c r="BL247">
        <v>0</v>
      </c>
      <c r="BM247">
        <v>7714.6799999999994</v>
      </c>
      <c r="BN247">
        <v>21.2</v>
      </c>
      <c r="BO247">
        <v>0</v>
      </c>
      <c r="BP247">
        <v>1</v>
      </c>
      <c r="BQ247">
        <v>0</v>
      </c>
      <c r="BR247">
        <v>0</v>
      </c>
      <c r="BS247">
        <v>0</v>
      </c>
      <c r="BT247">
        <v>8871.8819999999996</v>
      </c>
      <c r="BU247">
        <v>24.38</v>
      </c>
      <c r="BV247">
        <v>0</v>
      </c>
      <c r="BW247">
        <v>1</v>
      </c>
      <c r="CU247">
        <f>ROUND(AT247*Source!I184*AH247*AL247,2)</f>
        <v>154.29</v>
      </c>
      <c r="CV247">
        <f>ROUND(Y247*Source!I184,7)</f>
        <v>0.48759999999999998</v>
      </c>
      <c r="CW247">
        <v>0</v>
      </c>
      <c r="CX247">
        <f>ROUND(Y247*Source!I184,7)</f>
        <v>0.48759999999999998</v>
      </c>
      <c r="CY247">
        <f>AD247</f>
        <v>363.9</v>
      </c>
      <c r="CZ247">
        <f>AH247</f>
        <v>363.9</v>
      </c>
      <c r="DA247">
        <f>AL247</f>
        <v>1</v>
      </c>
      <c r="DB247">
        <f>ROUND((ROUND(AT247*CZ247,2)*ROUND((0.15+1),7)),6)</f>
        <v>8871.8819999999996</v>
      </c>
      <c r="DC247">
        <f>ROUND((ROUND(AT247*AG247,2)*ROUND((0.15+1),7)),6)</f>
        <v>0</v>
      </c>
      <c r="DD247" t="s">
        <v>3</v>
      </c>
      <c r="DE247" t="s">
        <v>3</v>
      </c>
      <c r="DF247">
        <f>ROUND(ROUND(AE247,2)*CX247,2)</f>
        <v>0</v>
      </c>
      <c r="DG247">
        <f>ROUND(ROUND(AF247,2)*CX247,2)</f>
        <v>0</v>
      </c>
      <c r="DH247">
        <f t="shared" si="106"/>
        <v>0</v>
      </c>
      <c r="DI247">
        <f t="shared" si="107"/>
        <v>177.44</v>
      </c>
      <c r="DJ247">
        <f>DI247</f>
        <v>177.44</v>
      </c>
      <c r="DK247">
        <v>1</v>
      </c>
      <c r="DL247" t="s">
        <v>3</v>
      </c>
      <c r="DM247">
        <v>0</v>
      </c>
      <c r="DN247" t="s">
        <v>3</v>
      </c>
      <c r="DO247">
        <v>0</v>
      </c>
    </row>
    <row r="248" spans="1:119" x14ac:dyDescent="0.25">
      <c r="A248">
        <f>ROW(Source!A184)</f>
        <v>184</v>
      </c>
      <c r="B248">
        <v>75604747</v>
      </c>
      <c r="C248">
        <v>75618443</v>
      </c>
      <c r="D248">
        <v>74182464</v>
      </c>
      <c r="E248">
        <v>118</v>
      </c>
      <c r="F248">
        <v>1</v>
      </c>
      <c r="G248">
        <v>1</v>
      </c>
      <c r="H248">
        <v>1</v>
      </c>
      <c r="I248" t="s">
        <v>504</v>
      </c>
      <c r="J248" t="s">
        <v>3</v>
      </c>
      <c r="K248" t="s">
        <v>505</v>
      </c>
      <c r="L248">
        <v>1191</v>
      </c>
      <c r="N248">
        <v>1013</v>
      </c>
      <c r="O248" t="s">
        <v>501</v>
      </c>
      <c r="P248" t="s">
        <v>501</v>
      </c>
      <c r="Q248">
        <v>1</v>
      </c>
      <c r="W248">
        <v>0</v>
      </c>
      <c r="X248">
        <v>-1417349443</v>
      </c>
      <c r="Y248">
        <f>(AT248*ROUND((0.15+1),7))</f>
        <v>0.22999999999999998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1</v>
      </c>
      <c r="AJ248">
        <v>1</v>
      </c>
      <c r="AK248">
        <v>1</v>
      </c>
      <c r="AL248">
        <v>1</v>
      </c>
      <c r="AM248">
        <v>-2</v>
      </c>
      <c r="AN248">
        <v>0</v>
      </c>
      <c r="AO248">
        <v>0</v>
      </c>
      <c r="AP248">
        <v>1</v>
      </c>
      <c r="AQ248">
        <v>1</v>
      </c>
      <c r="AR248">
        <v>0</v>
      </c>
      <c r="AS248" t="s">
        <v>3</v>
      </c>
      <c r="AT248">
        <v>0.2</v>
      </c>
      <c r="AU248" t="s">
        <v>27</v>
      </c>
      <c r="AV248">
        <v>2</v>
      </c>
      <c r="AW248">
        <v>2</v>
      </c>
      <c r="AX248">
        <v>75618457</v>
      </c>
      <c r="AY248">
        <v>1</v>
      </c>
      <c r="AZ248">
        <v>0</v>
      </c>
      <c r="BA248">
        <v>258</v>
      </c>
      <c r="BB248">
        <v>1</v>
      </c>
      <c r="BC248">
        <v>0</v>
      </c>
      <c r="BD248">
        <v>0</v>
      </c>
      <c r="BE248">
        <v>0</v>
      </c>
      <c r="BF248">
        <v>0</v>
      </c>
      <c r="BG248">
        <v>0</v>
      </c>
      <c r="BH248">
        <v>0</v>
      </c>
      <c r="BI248">
        <v>0</v>
      </c>
      <c r="BJ248">
        <v>0</v>
      </c>
      <c r="BK248">
        <v>0</v>
      </c>
      <c r="BL248">
        <v>0</v>
      </c>
      <c r="BM248">
        <v>0</v>
      </c>
      <c r="BN248">
        <v>0</v>
      </c>
      <c r="BO248">
        <v>0</v>
      </c>
      <c r="BP248">
        <v>0</v>
      </c>
      <c r="BQ248">
        <v>0</v>
      </c>
      <c r="BR248">
        <v>0</v>
      </c>
      <c r="BS248">
        <v>0</v>
      </c>
      <c r="BT248">
        <v>0</v>
      </c>
      <c r="BU248">
        <v>0</v>
      </c>
      <c r="BV248">
        <v>0</v>
      </c>
      <c r="BW248">
        <v>0</v>
      </c>
      <c r="CV248">
        <v>0</v>
      </c>
      <c r="CW248">
        <v>0</v>
      </c>
      <c r="CX248">
        <f>ROUND(Y248*Source!I184,7)</f>
        <v>4.5999999999999999E-3</v>
      </c>
      <c r="CY248">
        <f>AD248</f>
        <v>0</v>
      </c>
      <c r="CZ248">
        <f>AH248</f>
        <v>0</v>
      </c>
      <c r="DA248">
        <f>AL248</f>
        <v>1</v>
      </c>
      <c r="DB248">
        <f>ROUND((ROUND(AT248*CZ248,2)*ROUND((0.15+1),7)),6)</f>
        <v>0</v>
      </c>
      <c r="DC248">
        <f>ROUND((ROUND(AT248*AG248,2)*ROUND((0.15+1),7)),6)</f>
        <v>0</v>
      </c>
      <c r="DD248" t="s">
        <v>3</v>
      </c>
      <c r="DE248" t="s">
        <v>3</v>
      </c>
      <c r="DF248">
        <f>ROUND(ROUND(AE248,2)*CX248,2)</f>
        <v>0</v>
      </c>
      <c r="DG248">
        <f>ROUND(ROUND(AF248,2)*CX248,2)</f>
        <v>0</v>
      </c>
      <c r="DH248">
        <f t="shared" si="106"/>
        <v>0</v>
      </c>
      <c r="DI248">
        <f t="shared" si="107"/>
        <v>0</v>
      </c>
      <c r="DJ248">
        <f>DI248</f>
        <v>0</v>
      </c>
      <c r="DK248">
        <v>0</v>
      </c>
      <c r="DL248" t="s">
        <v>3</v>
      </c>
      <c r="DM248">
        <v>0</v>
      </c>
      <c r="DN248" t="s">
        <v>3</v>
      </c>
      <c r="DO248">
        <v>0</v>
      </c>
    </row>
    <row r="249" spans="1:119" x14ac:dyDescent="0.25">
      <c r="A249">
        <f>ROW(Source!A184)</f>
        <v>184</v>
      </c>
      <c r="B249">
        <v>75604747</v>
      </c>
      <c r="C249">
        <v>75618443</v>
      </c>
      <c r="D249">
        <v>74309296</v>
      </c>
      <c r="E249">
        <v>1</v>
      </c>
      <c r="F249">
        <v>1</v>
      </c>
      <c r="G249">
        <v>1</v>
      </c>
      <c r="H249">
        <v>2</v>
      </c>
      <c r="I249" t="s">
        <v>689</v>
      </c>
      <c r="J249" t="s">
        <v>690</v>
      </c>
      <c r="K249" t="s">
        <v>691</v>
      </c>
      <c r="L249">
        <v>1368</v>
      </c>
      <c r="N249">
        <v>1011</v>
      </c>
      <c r="O249" t="s">
        <v>509</v>
      </c>
      <c r="P249" t="s">
        <v>509</v>
      </c>
      <c r="Q249">
        <v>1</v>
      </c>
      <c r="W249">
        <v>0</v>
      </c>
      <c r="X249">
        <v>-1433341575</v>
      </c>
      <c r="Y249">
        <f>(AT249*ROUND((0.15+1),7))</f>
        <v>2.2424999999999997</v>
      </c>
      <c r="AA249">
        <v>0</v>
      </c>
      <c r="AB249">
        <v>151.44999999999999</v>
      </c>
      <c r="AC249">
        <v>0</v>
      </c>
      <c r="AD249">
        <v>0</v>
      </c>
      <c r="AE249">
        <v>0</v>
      </c>
      <c r="AF249">
        <v>95.25</v>
      </c>
      <c r="AG249">
        <v>0</v>
      </c>
      <c r="AH249">
        <v>0</v>
      </c>
      <c r="AI249">
        <v>1</v>
      </c>
      <c r="AJ249">
        <v>1.59</v>
      </c>
      <c r="AK249">
        <v>1</v>
      </c>
      <c r="AL249">
        <v>1</v>
      </c>
      <c r="AM249">
        <v>2</v>
      </c>
      <c r="AN249">
        <v>0</v>
      </c>
      <c r="AO249">
        <v>0</v>
      </c>
      <c r="AP249">
        <v>1</v>
      </c>
      <c r="AQ249">
        <v>1</v>
      </c>
      <c r="AR249">
        <v>0</v>
      </c>
      <c r="AS249" t="s">
        <v>3</v>
      </c>
      <c r="AT249">
        <v>1.95</v>
      </c>
      <c r="AU249" t="s">
        <v>27</v>
      </c>
      <c r="AV249">
        <v>1</v>
      </c>
      <c r="AW249">
        <v>2</v>
      </c>
      <c r="AX249">
        <v>75618458</v>
      </c>
      <c r="AY249">
        <v>1</v>
      </c>
      <c r="AZ249">
        <v>0</v>
      </c>
      <c r="BA249">
        <v>259</v>
      </c>
      <c r="BB249">
        <v>1</v>
      </c>
      <c r="BC249">
        <v>0</v>
      </c>
      <c r="BD249">
        <v>0</v>
      </c>
      <c r="BE249">
        <v>0</v>
      </c>
      <c r="BF249">
        <v>0</v>
      </c>
      <c r="BG249">
        <v>0</v>
      </c>
      <c r="BH249">
        <v>0</v>
      </c>
      <c r="BI249">
        <v>0</v>
      </c>
      <c r="BJ249">
        <v>0</v>
      </c>
      <c r="BK249">
        <v>185.73749999999998</v>
      </c>
      <c r="BL249">
        <v>0</v>
      </c>
      <c r="BM249">
        <v>0</v>
      </c>
      <c r="BN249">
        <v>0</v>
      </c>
      <c r="BO249">
        <v>0</v>
      </c>
      <c r="BP249">
        <v>1</v>
      </c>
      <c r="BQ249">
        <v>0</v>
      </c>
      <c r="BR249">
        <v>213.59812499999998</v>
      </c>
      <c r="BS249">
        <v>0</v>
      </c>
      <c r="BT249">
        <v>0</v>
      </c>
      <c r="BU249">
        <v>0</v>
      </c>
      <c r="BV249">
        <v>0</v>
      </c>
      <c r="BW249">
        <v>1</v>
      </c>
      <c r="CV249">
        <v>0</v>
      </c>
      <c r="CW249">
        <f>ROUND(Y249*Source!I184*DO249,7)</f>
        <v>0</v>
      </c>
      <c r="CX249">
        <f>ROUND(Y249*Source!I184,7)</f>
        <v>4.4850000000000001E-2</v>
      </c>
      <c r="CY249">
        <f>AB249</f>
        <v>151.44999999999999</v>
      </c>
      <c r="CZ249">
        <f>AF249</f>
        <v>95.25</v>
      </c>
      <c r="DA249">
        <f>AJ249</f>
        <v>1.59</v>
      </c>
      <c r="DB249">
        <f>ROUND((ROUND(AT249*CZ249,2)*ROUND((0.15+1),7)),6)</f>
        <v>213.601</v>
      </c>
      <c r="DC249">
        <f>ROUND((ROUND(AT249*AG249,2)*ROUND((0.15+1),7)),6)</f>
        <v>0</v>
      </c>
      <c r="DD249" t="s">
        <v>3</v>
      </c>
      <c r="DE249" t="s">
        <v>3</v>
      </c>
      <c r="DF249">
        <f>ROUND(ROUND(AE249,2)*CX249,2)</f>
        <v>0</v>
      </c>
      <c r="DG249">
        <f>ROUND(ROUND(AF249*AJ249,2)*CX249,2)</f>
        <v>6.79</v>
      </c>
      <c r="DH249">
        <f t="shared" si="106"/>
        <v>0</v>
      </c>
      <c r="DI249">
        <f t="shared" si="107"/>
        <v>0</v>
      </c>
      <c r="DJ249">
        <f>DG249+DH249</f>
        <v>6.79</v>
      </c>
      <c r="DK249">
        <v>0</v>
      </c>
      <c r="DL249" t="s">
        <v>3</v>
      </c>
      <c r="DM249">
        <v>0</v>
      </c>
      <c r="DN249" t="s">
        <v>3</v>
      </c>
      <c r="DO249">
        <v>0</v>
      </c>
    </row>
    <row r="250" spans="1:119" x14ac:dyDescent="0.25">
      <c r="A250">
        <f>ROW(Source!A184)</f>
        <v>184</v>
      </c>
      <c r="B250">
        <v>75604747</v>
      </c>
      <c r="C250">
        <v>75618443</v>
      </c>
      <c r="D250">
        <v>74309824</v>
      </c>
      <c r="E250">
        <v>1</v>
      </c>
      <c r="F250">
        <v>1</v>
      </c>
      <c r="G250">
        <v>1</v>
      </c>
      <c r="H250">
        <v>2</v>
      </c>
      <c r="I250" t="s">
        <v>527</v>
      </c>
      <c r="J250" t="s">
        <v>528</v>
      </c>
      <c r="K250" t="s">
        <v>529</v>
      </c>
      <c r="L250">
        <v>1368</v>
      </c>
      <c r="N250">
        <v>1011</v>
      </c>
      <c r="O250" t="s">
        <v>509</v>
      </c>
      <c r="P250" t="s">
        <v>509</v>
      </c>
      <c r="Q250">
        <v>1</v>
      </c>
      <c r="W250">
        <v>0</v>
      </c>
      <c r="X250">
        <v>-312038840</v>
      </c>
      <c r="Y250">
        <f>(AT250*ROUND((0.15+1),7))</f>
        <v>0.22999999999999998</v>
      </c>
      <c r="AA250">
        <v>0</v>
      </c>
      <c r="AB250">
        <v>551.45000000000005</v>
      </c>
      <c r="AC250">
        <v>368.02</v>
      </c>
      <c r="AD250">
        <v>0</v>
      </c>
      <c r="AE250">
        <v>0</v>
      </c>
      <c r="AF250">
        <v>551.45000000000005</v>
      </c>
      <c r="AG250">
        <v>368.02</v>
      </c>
      <c r="AH250">
        <v>0</v>
      </c>
      <c r="AI250">
        <v>1</v>
      </c>
      <c r="AJ250">
        <v>1</v>
      </c>
      <c r="AK250">
        <v>1</v>
      </c>
      <c r="AL250">
        <v>1</v>
      </c>
      <c r="AM250">
        <v>-2</v>
      </c>
      <c r="AN250">
        <v>0</v>
      </c>
      <c r="AO250">
        <v>0</v>
      </c>
      <c r="AP250">
        <v>1</v>
      </c>
      <c r="AQ250">
        <v>1</v>
      </c>
      <c r="AR250">
        <v>0</v>
      </c>
      <c r="AS250" t="s">
        <v>3</v>
      </c>
      <c r="AT250">
        <v>0.2</v>
      </c>
      <c r="AU250" t="s">
        <v>27</v>
      </c>
      <c r="AV250">
        <v>1</v>
      </c>
      <c r="AW250">
        <v>2</v>
      </c>
      <c r="AX250">
        <v>75618459</v>
      </c>
      <c r="AY250">
        <v>1</v>
      </c>
      <c r="AZ250">
        <v>0</v>
      </c>
      <c r="BA250">
        <v>260</v>
      </c>
      <c r="BB250">
        <v>1</v>
      </c>
      <c r="BC250">
        <v>0</v>
      </c>
      <c r="BD250">
        <v>0</v>
      </c>
      <c r="BE250">
        <v>0</v>
      </c>
      <c r="BF250">
        <v>0</v>
      </c>
      <c r="BG250">
        <v>0</v>
      </c>
      <c r="BH250">
        <v>0</v>
      </c>
      <c r="BI250">
        <v>0</v>
      </c>
      <c r="BJ250">
        <v>0</v>
      </c>
      <c r="BK250">
        <v>110.29000000000002</v>
      </c>
      <c r="BL250">
        <v>73.603999999999999</v>
      </c>
      <c r="BM250">
        <v>0</v>
      </c>
      <c r="BN250">
        <v>0</v>
      </c>
      <c r="BO250">
        <v>0.2</v>
      </c>
      <c r="BP250">
        <v>1</v>
      </c>
      <c r="BQ250">
        <v>0</v>
      </c>
      <c r="BR250">
        <v>126.8335</v>
      </c>
      <c r="BS250">
        <v>84.644599999999983</v>
      </c>
      <c r="BT250">
        <v>0</v>
      </c>
      <c r="BU250">
        <v>0</v>
      </c>
      <c r="BV250">
        <v>0.22999999999999998</v>
      </c>
      <c r="BW250">
        <v>1</v>
      </c>
      <c r="CV250">
        <v>0</v>
      </c>
      <c r="CW250">
        <f>ROUND(Y250*Source!I184*DO250,7)</f>
        <v>4.5999999999999999E-3</v>
      </c>
      <c r="CX250">
        <f>ROUND(Y250*Source!I184,7)</f>
        <v>4.5999999999999999E-3</v>
      </c>
      <c r="CY250">
        <f>AB250</f>
        <v>551.45000000000005</v>
      </c>
      <c r="CZ250">
        <f>AF250</f>
        <v>551.45000000000005</v>
      </c>
      <c r="DA250">
        <f>AJ250</f>
        <v>1</v>
      </c>
      <c r="DB250">
        <f>ROUND((ROUND(AT250*CZ250,2)*ROUND((0.15+1),7)),6)</f>
        <v>126.8335</v>
      </c>
      <c r="DC250">
        <f>ROUND((ROUND(AT250*AG250,2)*ROUND((0.15+1),7)),6)</f>
        <v>84.64</v>
      </c>
      <c r="DD250" t="s">
        <v>3</v>
      </c>
      <c r="DE250" t="s">
        <v>3</v>
      </c>
      <c r="DF250">
        <f>ROUND(ROUND(AE250,2)*CX250,2)</f>
        <v>0</v>
      </c>
      <c r="DG250">
        <f t="shared" ref="DG250:DG256" si="126">ROUND(ROUND(AF250,2)*CX250,2)</f>
        <v>2.54</v>
      </c>
      <c r="DH250">
        <f t="shared" si="106"/>
        <v>1.69</v>
      </c>
      <c r="DI250">
        <f t="shared" si="107"/>
        <v>0</v>
      </c>
      <c r="DJ250">
        <f>DG250+DH250</f>
        <v>4.2300000000000004</v>
      </c>
      <c r="DK250">
        <v>1</v>
      </c>
      <c r="DL250" t="s">
        <v>522</v>
      </c>
      <c r="DM250">
        <v>4</v>
      </c>
      <c r="DN250" t="s">
        <v>501</v>
      </c>
      <c r="DO250">
        <v>1</v>
      </c>
    </row>
    <row r="251" spans="1:119" x14ac:dyDescent="0.25">
      <c r="A251">
        <f>ROW(Source!A184)</f>
        <v>184</v>
      </c>
      <c r="B251">
        <v>75604747</v>
      </c>
      <c r="C251">
        <v>75618443</v>
      </c>
      <c r="D251">
        <v>74256929</v>
      </c>
      <c r="E251">
        <v>1</v>
      </c>
      <c r="F251">
        <v>1</v>
      </c>
      <c r="G251">
        <v>1</v>
      </c>
      <c r="H251">
        <v>3</v>
      </c>
      <c r="I251" t="s">
        <v>396</v>
      </c>
      <c r="J251" t="s">
        <v>398</v>
      </c>
      <c r="K251" t="s">
        <v>397</v>
      </c>
      <c r="L251">
        <v>1348</v>
      </c>
      <c r="N251">
        <v>1009</v>
      </c>
      <c r="O251" t="s">
        <v>174</v>
      </c>
      <c r="P251" t="s">
        <v>174</v>
      </c>
      <c r="Q251">
        <v>1000</v>
      </c>
      <c r="W251">
        <v>0</v>
      </c>
      <c r="X251">
        <v>2072643849</v>
      </c>
      <c r="Y251">
        <f>AT251</f>
        <v>1.6E-2</v>
      </c>
      <c r="AA251">
        <v>17984.22</v>
      </c>
      <c r="AB251">
        <v>0</v>
      </c>
      <c r="AC251">
        <v>0</v>
      </c>
      <c r="AD251">
        <v>0</v>
      </c>
      <c r="AE251">
        <v>23356.13</v>
      </c>
      <c r="AF251">
        <v>0</v>
      </c>
      <c r="AG251">
        <v>0</v>
      </c>
      <c r="AH251">
        <v>0</v>
      </c>
      <c r="AI251">
        <v>0.77</v>
      </c>
      <c r="AJ251">
        <v>1</v>
      </c>
      <c r="AK251">
        <v>1</v>
      </c>
      <c r="AL251">
        <v>1</v>
      </c>
      <c r="AM251">
        <v>0</v>
      </c>
      <c r="AN251">
        <v>0</v>
      </c>
      <c r="AO251">
        <v>0</v>
      </c>
      <c r="AP251">
        <v>1</v>
      </c>
      <c r="AQ251">
        <v>0</v>
      </c>
      <c r="AR251">
        <v>0</v>
      </c>
      <c r="AS251" t="s">
        <v>3</v>
      </c>
      <c r="AT251">
        <v>1.6E-2</v>
      </c>
      <c r="AU251" t="s">
        <v>3</v>
      </c>
      <c r="AV251">
        <v>0</v>
      </c>
      <c r="AW251">
        <v>1</v>
      </c>
      <c r="AX251">
        <v>-1</v>
      </c>
      <c r="AY251">
        <v>0</v>
      </c>
      <c r="AZ251">
        <v>0</v>
      </c>
      <c r="BA251" t="s">
        <v>3</v>
      </c>
      <c r="BB251">
        <v>0</v>
      </c>
      <c r="BC251">
        <v>0</v>
      </c>
      <c r="BD251">
        <v>0</v>
      </c>
      <c r="BE251">
        <v>0</v>
      </c>
      <c r="BF251">
        <v>0</v>
      </c>
      <c r="BG251">
        <v>0</v>
      </c>
      <c r="BH251">
        <v>0</v>
      </c>
      <c r="BI251">
        <v>0</v>
      </c>
      <c r="BJ251">
        <v>0</v>
      </c>
      <c r="BK251">
        <v>0</v>
      </c>
      <c r="BL251">
        <v>0</v>
      </c>
      <c r="BM251">
        <v>0</v>
      </c>
      <c r="BN251">
        <v>0</v>
      </c>
      <c r="BO251">
        <v>0</v>
      </c>
      <c r="BP251">
        <v>0</v>
      </c>
      <c r="BQ251">
        <v>0</v>
      </c>
      <c r="BR251">
        <v>0</v>
      </c>
      <c r="BS251">
        <v>0</v>
      </c>
      <c r="BT251">
        <v>0</v>
      </c>
      <c r="BU251">
        <v>0</v>
      </c>
      <c r="BV251">
        <v>0</v>
      </c>
      <c r="BW251">
        <v>0</v>
      </c>
      <c r="CV251">
        <v>0</v>
      </c>
      <c r="CW251">
        <v>0</v>
      </c>
      <c r="CX251">
        <f>ROUND(Y251*Source!I184,7)</f>
        <v>3.2000000000000003E-4</v>
      </c>
      <c r="CY251">
        <f>AA251</f>
        <v>17984.22</v>
      </c>
      <c r="CZ251">
        <f>AE251</f>
        <v>23356.13</v>
      </c>
      <c r="DA251">
        <f>AI251</f>
        <v>0.77</v>
      </c>
      <c r="DB251">
        <f>ROUND(ROUND(AT251*CZ251,2),6)</f>
        <v>373.7</v>
      </c>
      <c r="DC251">
        <f>ROUND(ROUND(AT251*AG251,2),6)</f>
        <v>0</v>
      </c>
      <c r="DD251" t="s">
        <v>3</v>
      </c>
      <c r="DE251" t="s">
        <v>3</v>
      </c>
      <c r="DF251">
        <f>ROUND(ROUND(AE251*AI251,2)*CX251,2)</f>
        <v>5.75</v>
      </c>
      <c r="DG251">
        <f t="shared" si="126"/>
        <v>0</v>
      </c>
      <c r="DH251">
        <f t="shared" si="106"/>
        <v>0</v>
      </c>
      <c r="DI251">
        <f t="shared" si="107"/>
        <v>0</v>
      </c>
      <c r="DJ251">
        <f>DF251</f>
        <v>5.75</v>
      </c>
      <c r="DK251">
        <v>0</v>
      </c>
      <c r="DL251" t="s">
        <v>3</v>
      </c>
      <c r="DM251">
        <v>0</v>
      </c>
      <c r="DN251" t="s">
        <v>3</v>
      </c>
      <c r="DO251">
        <v>0</v>
      </c>
    </row>
    <row r="252" spans="1:119" x14ac:dyDescent="0.25">
      <c r="A252">
        <f>ROW(Source!A184)</f>
        <v>184</v>
      </c>
      <c r="B252">
        <v>75604747</v>
      </c>
      <c r="C252">
        <v>75618443</v>
      </c>
      <c r="D252">
        <v>74256944</v>
      </c>
      <c r="E252">
        <v>1</v>
      </c>
      <c r="F252">
        <v>1</v>
      </c>
      <c r="G252">
        <v>1</v>
      </c>
      <c r="H252">
        <v>3</v>
      </c>
      <c r="I252" t="s">
        <v>400</v>
      </c>
      <c r="J252" t="s">
        <v>402</v>
      </c>
      <c r="K252" t="s">
        <v>401</v>
      </c>
      <c r="L252">
        <v>1348</v>
      </c>
      <c r="N252">
        <v>1009</v>
      </c>
      <c r="O252" t="s">
        <v>174</v>
      </c>
      <c r="P252" t="s">
        <v>174</v>
      </c>
      <c r="Q252">
        <v>1000</v>
      </c>
      <c r="W252">
        <v>0</v>
      </c>
      <c r="X252">
        <v>-587443483</v>
      </c>
      <c r="Y252">
        <f>AT252</f>
        <v>0.24</v>
      </c>
      <c r="AA252">
        <v>37893.89</v>
      </c>
      <c r="AB252">
        <v>0</v>
      </c>
      <c r="AC252">
        <v>0</v>
      </c>
      <c r="AD252">
        <v>0</v>
      </c>
      <c r="AE252">
        <v>24767.25</v>
      </c>
      <c r="AF252">
        <v>0</v>
      </c>
      <c r="AG252">
        <v>0</v>
      </c>
      <c r="AH252">
        <v>0</v>
      </c>
      <c r="AI252">
        <v>1.53</v>
      </c>
      <c r="AJ252">
        <v>1</v>
      </c>
      <c r="AK252">
        <v>1</v>
      </c>
      <c r="AL252">
        <v>1</v>
      </c>
      <c r="AM252">
        <v>0</v>
      </c>
      <c r="AN252">
        <v>0</v>
      </c>
      <c r="AO252">
        <v>0</v>
      </c>
      <c r="AP252">
        <v>1</v>
      </c>
      <c r="AQ252">
        <v>0</v>
      </c>
      <c r="AR252">
        <v>0</v>
      </c>
      <c r="AS252" t="s">
        <v>3</v>
      </c>
      <c r="AT252">
        <v>0.24</v>
      </c>
      <c r="AU252" t="s">
        <v>3</v>
      </c>
      <c r="AV252">
        <v>0</v>
      </c>
      <c r="AW252">
        <v>1</v>
      </c>
      <c r="AX252">
        <v>-1</v>
      </c>
      <c r="AY252">
        <v>0</v>
      </c>
      <c r="AZ252">
        <v>0</v>
      </c>
      <c r="BA252" t="s">
        <v>3</v>
      </c>
      <c r="BB252">
        <v>0</v>
      </c>
      <c r="BC252">
        <v>0</v>
      </c>
      <c r="BD252">
        <v>0</v>
      </c>
      <c r="BE252">
        <v>0</v>
      </c>
      <c r="BF252">
        <v>0</v>
      </c>
      <c r="BG252">
        <v>0</v>
      </c>
      <c r="BH252">
        <v>0</v>
      </c>
      <c r="BI252">
        <v>0</v>
      </c>
      <c r="BJ252">
        <v>0</v>
      </c>
      <c r="BK252">
        <v>0</v>
      </c>
      <c r="BL252">
        <v>0</v>
      </c>
      <c r="BM252">
        <v>0</v>
      </c>
      <c r="BN252">
        <v>0</v>
      </c>
      <c r="BO252">
        <v>0</v>
      </c>
      <c r="BP252">
        <v>0</v>
      </c>
      <c r="BQ252">
        <v>0</v>
      </c>
      <c r="BR252">
        <v>0</v>
      </c>
      <c r="BS252">
        <v>0</v>
      </c>
      <c r="BT252">
        <v>0</v>
      </c>
      <c r="BU252">
        <v>0</v>
      </c>
      <c r="BV252">
        <v>0</v>
      </c>
      <c r="BW252">
        <v>0</v>
      </c>
      <c r="CV252">
        <v>0</v>
      </c>
      <c r="CW252">
        <v>0</v>
      </c>
      <c r="CX252">
        <f>ROUND(Y252*Source!I184,7)</f>
        <v>4.7999999999999996E-3</v>
      </c>
      <c r="CY252">
        <f>AA252</f>
        <v>37893.89</v>
      </c>
      <c r="CZ252">
        <f>AE252</f>
        <v>24767.25</v>
      </c>
      <c r="DA252">
        <f>AI252</f>
        <v>1.53</v>
      </c>
      <c r="DB252">
        <f>ROUND(ROUND(AT252*CZ252,2),6)</f>
        <v>5944.14</v>
      </c>
      <c r="DC252">
        <f>ROUND(ROUND(AT252*AG252,2),6)</f>
        <v>0</v>
      </c>
      <c r="DD252" t="s">
        <v>3</v>
      </c>
      <c r="DE252" t="s">
        <v>3</v>
      </c>
      <c r="DF252">
        <f>ROUND(ROUND(AE252*AI252,2)*CX252,2)</f>
        <v>181.89</v>
      </c>
      <c r="DG252">
        <f t="shared" si="126"/>
        <v>0</v>
      </c>
      <c r="DH252">
        <f t="shared" si="106"/>
        <v>0</v>
      </c>
      <c r="DI252">
        <f t="shared" si="107"/>
        <v>0</v>
      </c>
      <c r="DJ252">
        <f>DF252</f>
        <v>181.89</v>
      </c>
      <c r="DK252">
        <v>0</v>
      </c>
      <c r="DL252" t="s">
        <v>3</v>
      </c>
      <c r="DM252">
        <v>0</v>
      </c>
      <c r="DN252" t="s">
        <v>3</v>
      </c>
      <c r="DO252">
        <v>0</v>
      </c>
    </row>
    <row r="253" spans="1:119" x14ac:dyDescent="0.25">
      <c r="A253">
        <f>ROW(Source!A184)</f>
        <v>184</v>
      </c>
      <c r="B253">
        <v>75604747</v>
      </c>
      <c r="C253">
        <v>75618443</v>
      </c>
      <c r="D253">
        <v>74256998</v>
      </c>
      <c r="E253">
        <v>1</v>
      </c>
      <c r="F253">
        <v>1</v>
      </c>
      <c r="G253">
        <v>1</v>
      </c>
      <c r="H253">
        <v>3</v>
      </c>
      <c r="I253" t="s">
        <v>725</v>
      </c>
      <c r="J253" t="s">
        <v>726</v>
      </c>
      <c r="K253" t="s">
        <v>727</v>
      </c>
      <c r="L253">
        <v>1348</v>
      </c>
      <c r="N253">
        <v>1009</v>
      </c>
      <c r="O253" t="s">
        <v>174</v>
      </c>
      <c r="P253" t="s">
        <v>174</v>
      </c>
      <c r="Q253">
        <v>1000</v>
      </c>
      <c r="W253">
        <v>0</v>
      </c>
      <c r="X253">
        <v>778448453</v>
      </c>
      <c r="Y253">
        <f>AT253</f>
        <v>2.4E-2</v>
      </c>
      <c r="AA253">
        <v>69649.16</v>
      </c>
      <c r="AB253">
        <v>0</v>
      </c>
      <c r="AC253">
        <v>0</v>
      </c>
      <c r="AD253">
        <v>0</v>
      </c>
      <c r="AE253">
        <v>62186.75</v>
      </c>
      <c r="AF253">
        <v>0</v>
      </c>
      <c r="AG253">
        <v>0</v>
      </c>
      <c r="AH253">
        <v>0</v>
      </c>
      <c r="AI253">
        <v>1.1200000000000001</v>
      </c>
      <c r="AJ253">
        <v>1</v>
      </c>
      <c r="AK253">
        <v>1</v>
      </c>
      <c r="AL253">
        <v>1</v>
      </c>
      <c r="AM253">
        <v>2</v>
      </c>
      <c r="AN253">
        <v>0</v>
      </c>
      <c r="AO253">
        <v>0</v>
      </c>
      <c r="AP253">
        <v>1</v>
      </c>
      <c r="AQ253">
        <v>1</v>
      </c>
      <c r="AR253">
        <v>0</v>
      </c>
      <c r="AS253" t="s">
        <v>3</v>
      </c>
      <c r="AT253">
        <v>2.4E-2</v>
      </c>
      <c r="AU253" t="s">
        <v>3</v>
      </c>
      <c r="AV253">
        <v>0</v>
      </c>
      <c r="AW253">
        <v>2</v>
      </c>
      <c r="AX253">
        <v>75618462</v>
      </c>
      <c r="AY253">
        <v>1</v>
      </c>
      <c r="AZ253">
        <v>0</v>
      </c>
      <c r="BA253">
        <v>263</v>
      </c>
      <c r="BB253">
        <v>1</v>
      </c>
      <c r="BC253">
        <v>0</v>
      </c>
      <c r="BD253">
        <v>0</v>
      </c>
      <c r="BE253">
        <v>0</v>
      </c>
      <c r="BF253">
        <v>0</v>
      </c>
      <c r="BG253">
        <v>0</v>
      </c>
      <c r="BH253">
        <v>0</v>
      </c>
      <c r="BI253">
        <v>0</v>
      </c>
      <c r="BJ253">
        <v>1492.482</v>
      </c>
      <c r="BK253">
        <v>0</v>
      </c>
      <c r="BL253">
        <v>0</v>
      </c>
      <c r="BM253">
        <v>0</v>
      </c>
      <c r="BN253">
        <v>0</v>
      </c>
      <c r="BO253">
        <v>0</v>
      </c>
      <c r="BP253">
        <v>1</v>
      </c>
      <c r="BQ253">
        <v>1492.482</v>
      </c>
      <c r="BR253">
        <v>0</v>
      </c>
      <c r="BS253">
        <v>0</v>
      </c>
      <c r="BT253">
        <v>0</v>
      </c>
      <c r="BU253">
        <v>0</v>
      </c>
      <c r="BV253">
        <v>0</v>
      </c>
      <c r="BW253">
        <v>1</v>
      </c>
      <c r="CV253">
        <v>0</v>
      </c>
      <c r="CW253">
        <v>0</v>
      </c>
      <c r="CX253">
        <f>ROUND(Y253*Source!I184,7)</f>
        <v>4.8000000000000001E-4</v>
      </c>
      <c r="CY253">
        <f>AA253</f>
        <v>69649.16</v>
      </c>
      <c r="CZ253">
        <f>AE253</f>
        <v>62186.75</v>
      </c>
      <c r="DA253">
        <f>AI253</f>
        <v>1.1200000000000001</v>
      </c>
      <c r="DB253">
        <f>ROUND(ROUND(AT253*CZ253,2),6)</f>
        <v>1492.48</v>
      </c>
      <c r="DC253">
        <f>ROUND(ROUND(AT253*AG253,2),6)</f>
        <v>0</v>
      </c>
      <c r="DD253" t="s">
        <v>3</v>
      </c>
      <c r="DE253" t="s">
        <v>3</v>
      </c>
      <c r="DF253">
        <f>ROUND(ROUND(AE253*AI253,2)*CX253,2)</f>
        <v>33.43</v>
      </c>
      <c r="DG253">
        <f t="shared" si="126"/>
        <v>0</v>
      </c>
      <c r="DH253">
        <f t="shared" si="106"/>
        <v>0</v>
      </c>
      <c r="DI253">
        <f t="shared" si="107"/>
        <v>0</v>
      </c>
      <c r="DJ253">
        <f>DF253</f>
        <v>33.43</v>
      </c>
      <c r="DK253">
        <v>0</v>
      </c>
      <c r="DL253" t="s">
        <v>3</v>
      </c>
      <c r="DM253">
        <v>0</v>
      </c>
      <c r="DN253" t="s">
        <v>3</v>
      </c>
      <c r="DO253">
        <v>0</v>
      </c>
    </row>
    <row r="254" spans="1:119" x14ac:dyDescent="0.25">
      <c r="A254">
        <f>ROW(Source!A184)</f>
        <v>184</v>
      </c>
      <c r="B254">
        <v>75604747</v>
      </c>
      <c r="C254">
        <v>75618443</v>
      </c>
      <c r="D254">
        <v>74261677</v>
      </c>
      <c r="E254">
        <v>1</v>
      </c>
      <c r="F254">
        <v>1</v>
      </c>
      <c r="G254">
        <v>1</v>
      </c>
      <c r="H254">
        <v>3</v>
      </c>
      <c r="I254" t="s">
        <v>728</v>
      </c>
      <c r="J254" t="s">
        <v>729</v>
      </c>
      <c r="K254" t="s">
        <v>730</v>
      </c>
      <c r="L254">
        <v>1346</v>
      </c>
      <c r="N254">
        <v>1009</v>
      </c>
      <c r="O254" t="s">
        <v>240</v>
      </c>
      <c r="P254" t="s">
        <v>240</v>
      </c>
      <c r="Q254">
        <v>1</v>
      </c>
      <c r="W254">
        <v>0</v>
      </c>
      <c r="X254">
        <v>651944166</v>
      </c>
      <c r="Y254">
        <f>AT254</f>
        <v>0.1</v>
      </c>
      <c r="AA254">
        <v>89.21</v>
      </c>
      <c r="AB254">
        <v>0</v>
      </c>
      <c r="AC254">
        <v>0</v>
      </c>
      <c r="AD254">
        <v>0</v>
      </c>
      <c r="AE254">
        <v>56.11</v>
      </c>
      <c r="AF254">
        <v>0</v>
      </c>
      <c r="AG254">
        <v>0</v>
      </c>
      <c r="AH254">
        <v>0</v>
      </c>
      <c r="AI254">
        <v>1.59</v>
      </c>
      <c r="AJ254">
        <v>1</v>
      </c>
      <c r="AK254">
        <v>1</v>
      </c>
      <c r="AL254">
        <v>1</v>
      </c>
      <c r="AM254">
        <v>2</v>
      </c>
      <c r="AN254">
        <v>0</v>
      </c>
      <c r="AO254">
        <v>0</v>
      </c>
      <c r="AP254">
        <v>1</v>
      </c>
      <c r="AQ254">
        <v>1</v>
      </c>
      <c r="AR254">
        <v>0</v>
      </c>
      <c r="AS254" t="s">
        <v>3</v>
      </c>
      <c r="AT254">
        <v>0.1</v>
      </c>
      <c r="AU254" t="s">
        <v>3</v>
      </c>
      <c r="AV254">
        <v>0</v>
      </c>
      <c r="AW254">
        <v>2</v>
      </c>
      <c r="AX254">
        <v>75618463</v>
      </c>
      <c r="AY254">
        <v>1</v>
      </c>
      <c r="AZ254">
        <v>0</v>
      </c>
      <c r="BA254">
        <v>264</v>
      </c>
      <c r="BB254">
        <v>1</v>
      </c>
      <c r="BC254">
        <v>0</v>
      </c>
      <c r="BD254">
        <v>0</v>
      </c>
      <c r="BE254">
        <v>0</v>
      </c>
      <c r="BF254">
        <v>0</v>
      </c>
      <c r="BG254">
        <v>0</v>
      </c>
      <c r="BH254">
        <v>0</v>
      </c>
      <c r="BI254">
        <v>0</v>
      </c>
      <c r="BJ254">
        <v>5.6110000000000007</v>
      </c>
      <c r="BK254">
        <v>0</v>
      </c>
      <c r="BL254">
        <v>0</v>
      </c>
      <c r="BM254">
        <v>0</v>
      </c>
      <c r="BN254">
        <v>0</v>
      </c>
      <c r="BO254">
        <v>0</v>
      </c>
      <c r="BP254">
        <v>1</v>
      </c>
      <c r="BQ254">
        <v>5.6110000000000007</v>
      </c>
      <c r="BR254">
        <v>0</v>
      </c>
      <c r="BS254">
        <v>0</v>
      </c>
      <c r="BT254">
        <v>0</v>
      </c>
      <c r="BU254">
        <v>0</v>
      </c>
      <c r="BV254">
        <v>0</v>
      </c>
      <c r="BW254">
        <v>1</v>
      </c>
      <c r="CV254">
        <v>0</v>
      </c>
      <c r="CW254">
        <v>0</v>
      </c>
      <c r="CX254">
        <f>ROUND(Y254*Source!I184,7)</f>
        <v>2E-3</v>
      </c>
      <c r="CY254">
        <f>AA254</f>
        <v>89.21</v>
      </c>
      <c r="CZ254">
        <f>AE254</f>
        <v>56.11</v>
      </c>
      <c r="DA254">
        <f>AI254</f>
        <v>1.59</v>
      </c>
      <c r="DB254">
        <f>ROUND(ROUND(AT254*CZ254,2),6)</f>
        <v>5.61</v>
      </c>
      <c r="DC254">
        <f>ROUND(ROUND(AT254*AG254,2),6)</f>
        <v>0</v>
      </c>
      <c r="DD254" t="s">
        <v>3</v>
      </c>
      <c r="DE254" t="s">
        <v>3</v>
      </c>
      <c r="DF254">
        <f>ROUND(ROUND(AE254*AI254,2)*CX254,2)</f>
        <v>0.18</v>
      </c>
      <c r="DG254">
        <f t="shared" si="126"/>
        <v>0</v>
      </c>
      <c r="DH254">
        <f t="shared" si="106"/>
        <v>0</v>
      </c>
      <c r="DI254">
        <f t="shared" si="107"/>
        <v>0</v>
      </c>
      <c r="DJ254">
        <f>DF254</f>
        <v>0.18</v>
      </c>
      <c r="DK254">
        <v>0</v>
      </c>
      <c r="DL254" t="s">
        <v>3</v>
      </c>
      <c r="DM254">
        <v>0</v>
      </c>
      <c r="DN254" t="s">
        <v>3</v>
      </c>
      <c r="DO254">
        <v>0</v>
      </c>
    </row>
    <row r="255" spans="1:119" x14ac:dyDescent="0.25">
      <c r="A255">
        <f>ROW(Source!A224)</f>
        <v>224</v>
      </c>
      <c r="B255">
        <v>75604747</v>
      </c>
      <c r="C255">
        <v>75604948</v>
      </c>
      <c r="D255">
        <v>74182232</v>
      </c>
      <c r="E255">
        <v>118</v>
      </c>
      <c r="F255">
        <v>1</v>
      </c>
      <c r="G255">
        <v>1</v>
      </c>
      <c r="H255">
        <v>1</v>
      </c>
      <c r="I255" t="s">
        <v>731</v>
      </c>
      <c r="J255" t="s">
        <v>3</v>
      </c>
      <c r="K255" t="s">
        <v>732</v>
      </c>
      <c r="L255">
        <v>1191</v>
      </c>
      <c r="N255">
        <v>1013</v>
      </c>
      <c r="O255" t="s">
        <v>501</v>
      </c>
      <c r="P255" t="s">
        <v>501</v>
      </c>
      <c r="Q255">
        <v>1</v>
      </c>
      <c r="W255">
        <v>0</v>
      </c>
      <c r="X255">
        <v>1048598872</v>
      </c>
      <c r="Y255">
        <f>(AT255*ROUND((0.15+1),7))</f>
        <v>30.797000000000001</v>
      </c>
      <c r="AA255">
        <v>0</v>
      </c>
      <c r="AB255">
        <v>0</v>
      </c>
      <c r="AC255">
        <v>0</v>
      </c>
      <c r="AD255">
        <v>304.85000000000002</v>
      </c>
      <c r="AE255">
        <v>0</v>
      </c>
      <c r="AF255">
        <v>0</v>
      </c>
      <c r="AG255">
        <v>0</v>
      </c>
      <c r="AH255">
        <v>304.85000000000002</v>
      </c>
      <c r="AI255">
        <v>1</v>
      </c>
      <c r="AJ255">
        <v>1</v>
      </c>
      <c r="AK255">
        <v>1</v>
      </c>
      <c r="AL255">
        <v>1</v>
      </c>
      <c r="AM255">
        <v>-2</v>
      </c>
      <c r="AN255">
        <v>0</v>
      </c>
      <c r="AO255">
        <v>0</v>
      </c>
      <c r="AP255">
        <v>1</v>
      </c>
      <c r="AQ255">
        <v>1</v>
      </c>
      <c r="AR255">
        <v>0</v>
      </c>
      <c r="AS255" t="s">
        <v>3</v>
      </c>
      <c r="AT255">
        <v>26.78</v>
      </c>
      <c r="AU255" t="s">
        <v>27</v>
      </c>
      <c r="AV255">
        <v>1</v>
      </c>
      <c r="AW255">
        <v>2</v>
      </c>
      <c r="AX255">
        <v>75604955</v>
      </c>
      <c r="AY255">
        <v>1</v>
      </c>
      <c r="AZ255">
        <v>0</v>
      </c>
      <c r="BA255">
        <v>265</v>
      </c>
      <c r="BB255">
        <v>1</v>
      </c>
      <c r="BC255">
        <v>0</v>
      </c>
      <c r="BD255">
        <v>0</v>
      </c>
      <c r="BE255">
        <v>0</v>
      </c>
      <c r="BF255">
        <v>0</v>
      </c>
      <c r="BG255">
        <v>0</v>
      </c>
      <c r="BH255">
        <v>0</v>
      </c>
      <c r="BI255">
        <v>0</v>
      </c>
      <c r="BJ255">
        <v>0</v>
      </c>
      <c r="BK255">
        <v>0</v>
      </c>
      <c r="BL255">
        <v>0</v>
      </c>
      <c r="BM255">
        <v>8163.8830000000007</v>
      </c>
      <c r="BN255">
        <v>26.78</v>
      </c>
      <c r="BO255">
        <v>0</v>
      </c>
      <c r="BP255">
        <v>1</v>
      </c>
      <c r="BQ255">
        <v>0</v>
      </c>
      <c r="BR255">
        <v>0</v>
      </c>
      <c r="BS255">
        <v>0</v>
      </c>
      <c r="BT255">
        <v>9388.4654500000015</v>
      </c>
      <c r="BU255">
        <v>30.797000000000001</v>
      </c>
      <c r="BV255">
        <v>0</v>
      </c>
      <c r="BW255">
        <v>1</v>
      </c>
      <c r="CU255">
        <f>ROUND(AT255*Source!I224*AH255*AL255,2)</f>
        <v>3265.55</v>
      </c>
      <c r="CV255">
        <f>ROUND(Y255*Source!I224,7)</f>
        <v>12.3188</v>
      </c>
      <c r="CW255">
        <v>0</v>
      </c>
      <c r="CX255">
        <f>ROUND(Y255*Source!I224,7)</f>
        <v>12.3188</v>
      </c>
      <c r="CY255">
        <f>AD255</f>
        <v>304.85000000000002</v>
      </c>
      <c r="CZ255">
        <f>AH255</f>
        <v>304.85000000000002</v>
      </c>
      <c r="DA255">
        <f>AL255</f>
        <v>1</v>
      </c>
      <c r="DB255">
        <f>ROUND((ROUND(AT255*CZ255,2)*ROUND((0.15+1),7)),6)</f>
        <v>9388.4619999999995</v>
      </c>
      <c r="DC255">
        <f>ROUND((ROUND(AT255*AG255,2)*ROUND((0.15+1),7)),6)</f>
        <v>0</v>
      </c>
      <c r="DD255" t="s">
        <v>3</v>
      </c>
      <c r="DE255" t="s">
        <v>3</v>
      </c>
      <c r="DF255">
        <f>ROUND(ROUND(AE255,2)*CX255,2)</f>
        <v>0</v>
      </c>
      <c r="DG255">
        <f t="shared" si="126"/>
        <v>0</v>
      </c>
      <c r="DH255">
        <f t="shared" si="106"/>
        <v>0</v>
      </c>
      <c r="DI255">
        <f t="shared" si="107"/>
        <v>3755.39</v>
      </c>
      <c r="DJ255">
        <f>DI255</f>
        <v>3755.39</v>
      </c>
      <c r="DK255">
        <v>1</v>
      </c>
      <c r="DL255" t="s">
        <v>3</v>
      </c>
      <c r="DM255">
        <v>0</v>
      </c>
      <c r="DN255" t="s">
        <v>3</v>
      </c>
      <c r="DO255">
        <v>0</v>
      </c>
    </row>
    <row r="256" spans="1:119" x14ac:dyDescent="0.25">
      <c r="A256">
        <f>ROW(Source!A224)</f>
        <v>224</v>
      </c>
      <c r="B256">
        <v>75604747</v>
      </c>
      <c r="C256">
        <v>75604948</v>
      </c>
      <c r="D256">
        <v>74182464</v>
      </c>
      <c r="E256">
        <v>118</v>
      </c>
      <c r="F256">
        <v>1</v>
      </c>
      <c r="G256">
        <v>1</v>
      </c>
      <c r="H256">
        <v>1</v>
      </c>
      <c r="I256" t="s">
        <v>504</v>
      </c>
      <c r="J256" t="s">
        <v>3</v>
      </c>
      <c r="K256" t="s">
        <v>505</v>
      </c>
      <c r="L256">
        <v>1191</v>
      </c>
      <c r="N256">
        <v>1013</v>
      </c>
      <c r="O256" t="s">
        <v>501</v>
      </c>
      <c r="P256" t="s">
        <v>501</v>
      </c>
      <c r="Q256">
        <v>1</v>
      </c>
      <c r="W256">
        <v>0</v>
      </c>
      <c r="X256">
        <v>-1417349443</v>
      </c>
      <c r="Y256">
        <f>(AT256*ROUND((0.15+1),7))</f>
        <v>5.7499999999999996E-2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1</v>
      </c>
      <c r="AJ256">
        <v>1</v>
      </c>
      <c r="AK256">
        <v>1</v>
      </c>
      <c r="AL256">
        <v>1</v>
      </c>
      <c r="AM256">
        <v>-2</v>
      </c>
      <c r="AN256">
        <v>0</v>
      </c>
      <c r="AO256">
        <v>0</v>
      </c>
      <c r="AP256">
        <v>1</v>
      </c>
      <c r="AQ256">
        <v>1</v>
      </c>
      <c r="AR256">
        <v>0</v>
      </c>
      <c r="AS256" t="s">
        <v>3</v>
      </c>
      <c r="AT256">
        <v>0.05</v>
      </c>
      <c r="AU256" t="s">
        <v>27</v>
      </c>
      <c r="AV256">
        <v>2</v>
      </c>
      <c r="AW256">
        <v>2</v>
      </c>
      <c r="AX256">
        <v>75604956</v>
      </c>
      <c r="AY256">
        <v>1</v>
      </c>
      <c r="AZ256">
        <v>0</v>
      </c>
      <c r="BA256">
        <v>266</v>
      </c>
      <c r="BB256">
        <v>1</v>
      </c>
      <c r="BC256">
        <v>0</v>
      </c>
      <c r="BD256">
        <v>0</v>
      </c>
      <c r="BE256">
        <v>0</v>
      </c>
      <c r="BF256">
        <v>0</v>
      </c>
      <c r="BG256">
        <v>0</v>
      </c>
      <c r="BH256">
        <v>0</v>
      </c>
      <c r="BI256">
        <v>0</v>
      </c>
      <c r="BJ256">
        <v>0</v>
      </c>
      <c r="BK256">
        <v>0</v>
      </c>
      <c r="BL256">
        <v>0</v>
      </c>
      <c r="BM256">
        <v>0</v>
      </c>
      <c r="BN256">
        <v>0</v>
      </c>
      <c r="BO256">
        <v>0</v>
      </c>
      <c r="BP256">
        <v>0</v>
      </c>
      <c r="BQ256">
        <v>0</v>
      </c>
      <c r="BR256">
        <v>0</v>
      </c>
      <c r="BS256">
        <v>0</v>
      </c>
      <c r="BT256">
        <v>0</v>
      </c>
      <c r="BU256">
        <v>0</v>
      </c>
      <c r="BV256">
        <v>0</v>
      </c>
      <c r="BW256">
        <v>0</v>
      </c>
      <c r="CV256">
        <v>0</v>
      </c>
      <c r="CW256">
        <v>0</v>
      </c>
      <c r="CX256">
        <f>ROUND(Y256*Source!I224,7)</f>
        <v>2.3E-2</v>
      </c>
      <c r="CY256">
        <f>AD256</f>
        <v>0</v>
      </c>
      <c r="CZ256">
        <f>AH256</f>
        <v>0</v>
      </c>
      <c r="DA256">
        <f>AL256</f>
        <v>1</v>
      </c>
      <c r="DB256">
        <f>ROUND((ROUND(AT256*CZ256,2)*ROUND((0.15+1),7)),6)</f>
        <v>0</v>
      </c>
      <c r="DC256">
        <f>ROUND((ROUND(AT256*AG256,2)*ROUND((0.15+1),7)),6)</f>
        <v>0</v>
      </c>
      <c r="DD256" t="s">
        <v>3</v>
      </c>
      <c r="DE256" t="s">
        <v>3</v>
      </c>
      <c r="DF256">
        <f>ROUND(ROUND(AE256,2)*CX256,2)</f>
        <v>0</v>
      </c>
      <c r="DG256">
        <f t="shared" si="126"/>
        <v>0</v>
      </c>
      <c r="DH256">
        <f t="shared" si="106"/>
        <v>0</v>
      </c>
      <c r="DI256">
        <f t="shared" si="107"/>
        <v>0</v>
      </c>
      <c r="DJ256">
        <f>DI256</f>
        <v>0</v>
      </c>
      <c r="DK256">
        <v>0</v>
      </c>
      <c r="DL256" t="s">
        <v>3</v>
      </c>
      <c r="DM256">
        <v>0</v>
      </c>
      <c r="DN256" t="s">
        <v>3</v>
      </c>
      <c r="DO256">
        <v>0</v>
      </c>
    </row>
    <row r="257" spans="1:119" x14ac:dyDescent="0.25">
      <c r="A257">
        <f>ROW(Source!A224)</f>
        <v>224</v>
      </c>
      <c r="B257">
        <v>75604747</v>
      </c>
      <c r="C257">
        <v>75604948</v>
      </c>
      <c r="D257">
        <v>74309738</v>
      </c>
      <c r="E257">
        <v>1</v>
      </c>
      <c r="F257">
        <v>1</v>
      </c>
      <c r="G257">
        <v>1</v>
      </c>
      <c r="H257">
        <v>2</v>
      </c>
      <c r="I257" t="s">
        <v>733</v>
      </c>
      <c r="J257" t="s">
        <v>734</v>
      </c>
      <c r="K257" t="s">
        <v>735</v>
      </c>
      <c r="L257">
        <v>1368</v>
      </c>
      <c r="N257">
        <v>1011</v>
      </c>
      <c r="O257" t="s">
        <v>509</v>
      </c>
      <c r="P257" t="s">
        <v>509</v>
      </c>
      <c r="Q257">
        <v>1</v>
      </c>
      <c r="W257">
        <v>0</v>
      </c>
      <c r="X257">
        <v>114626288</v>
      </c>
      <c r="Y257">
        <f>(AT257*ROUND((0.15+1),7))</f>
        <v>0.161</v>
      </c>
      <c r="AA257">
        <v>0</v>
      </c>
      <c r="AB257">
        <v>75.319999999999993</v>
      </c>
      <c r="AC257">
        <v>0</v>
      </c>
      <c r="AD257">
        <v>0</v>
      </c>
      <c r="AE257">
        <v>0</v>
      </c>
      <c r="AF257">
        <v>50.89</v>
      </c>
      <c r="AG257">
        <v>0</v>
      </c>
      <c r="AH257">
        <v>0</v>
      </c>
      <c r="AI257">
        <v>1</v>
      </c>
      <c r="AJ257">
        <v>1.48</v>
      </c>
      <c r="AK257">
        <v>1</v>
      </c>
      <c r="AL257">
        <v>1</v>
      </c>
      <c r="AM257">
        <v>2</v>
      </c>
      <c r="AN257">
        <v>0</v>
      </c>
      <c r="AO257">
        <v>0</v>
      </c>
      <c r="AP257">
        <v>1</v>
      </c>
      <c r="AQ257">
        <v>1</v>
      </c>
      <c r="AR257">
        <v>0</v>
      </c>
      <c r="AS257" t="s">
        <v>3</v>
      </c>
      <c r="AT257">
        <v>0.14000000000000001</v>
      </c>
      <c r="AU257" t="s">
        <v>27</v>
      </c>
      <c r="AV257">
        <v>1</v>
      </c>
      <c r="AW257">
        <v>2</v>
      </c>
      <c r="AX257">
        <v>75604957</v>
      </c>
      <c r="AY257">
        <v>1</v>
      </c>
      <c r="AZ257">
        <v>0</v>
      </c>
      <c r="BA257">
        <v>267</v>
      </c>
      <c r="BB257">
        <v>1</v>
      </c>
      <c r="BC257">
        <v>0</v>
      </c>
      <c r="BD257">
        <v>0</v>
      </c>
      <c r="BE257">
        <v>0</v>
      </c>
      <c r="BF257">
        <v>0</v>
      </c>
      <c r="BG257">
        <v>0</v>
      </c>
      <c r="BH257">
        <v>0</v>
      </c>
      <c r="BI257">
        <v>0</v>
      </c>
      <c r="BJ257">
        <v>0</v>
      </c>
      <c r="BK257">
        <v>7.1246000000000009</v>
      </c>
      <c r="BL257">
        <v>0</v>
      </c>
      <c r="BM257">
        <v>0</v>
      </c>
      <c r="BN257">
        <v>0</v>
      </c>
      <c r="BO257">
        <v>0</v>
      </c>
      <c r="BP257">
        <v>1</v>
      </c>
      <c r="BQ257">
        <v>0</v>
      </c>
      <c r="BR257">
        <v>8.1932900000000011</v>
      </c>
      <c r="BS257">
        <v>0</v>
      </c>
      <c r="BT257">
        <v>0</v>
      </c>
      <c r="BU257">
        <v>0</v>
      </c>
      <c r="BV257">
        <v>0</v>
      </c>
      <c r="BW257">
        <v>1</v>
      </c>
      <c r="CV257">
        <v>0</v>
      </c>
      <c r="CW257">
        <f>ROUND(Y257*Source!I224*DO257,7)</f>
        <v>0</v>
      </c>
      <c r="CX257">
        <f>ROUND(Y257*Source!I224,7)</f>
        <v>6.4399999999999999E-2</v>
      </c>
      <c r="CY257">
        <f>AB257</f>
        <v>75.319999999999993</v>
      </c>
      <c r="CZ257">
        <f>AF257</f>
        <v>50.89</v>
      </c>
      <c r="DA257">
        <f>AJ257</f>
        <v>1.48</v>
      </c>
      <c r="DB257">
        <f>ROUND((ROUND(AT257*CZ257,2)*ROUND((0.15+1),7)),6)</f>
        <v>8.1880000000000006</v>
      </c>
      <c r="DC257">
        <f>ROUND((ROUND(AT257*AG257,2)*ROUND((0.15+1),7)),6)</f>
        <v>0</v>
      </c>
      <c r="DD257" t="s">
        <v>3</v>
      </c>
      <c r="DE257" t="s">
        <v>3</v>
      </c>
      <c r="DF257">
        <f>ROUND(ROUND(AE257,2)*CX257,2)</f>
        <v>0</v>
      </c>
      <c r="DG257">
        <f>ROUND(ROUND(AF257*AJ257,2)*CX257,2)</f>
        <v>4.8499999999999996</v>
      </c>
      <c r="DH257">
        <f t="shared" si="106"/>
        <v>0</v>
      </c>
      <c r="DI257">
        <f t="shared" si="107"/>
        <v>0</v>
      </c>
      <c r="DJ257">
        <f>DG257+DH257</f>
        <v>4.8499999999999996</v>
      </c>
      <c r="DK257">
        <v>0</v>
      </c>
      <c r="DL257" t="s">
        <v>3</v>
      </c>
      <c r="DM257">
        <v>0</v>
      </c>
      <c r="DN257" t="s">
        <v>3</v>
      </c>
      <c r="DO257">
        <v>0</v>
      </c>
    </row>
    <row r="258" spans="1:119" x14ac:dyDescent="0.25">
      <c r="A258">
        <f>ROW(Source!A224)</f>
        <v>224</v>
      </c>
      <c r="B258">
        <v>75604747</v>
      </c>
      <c r="C258">
        <v>75604948</v>
      </c>
      <c r="D258">
        <v>74309909</v>
      </c>
      <c r="E258">
        <v>1</v>
      </c>
      <c r="F258">
        <v>1</v>
      </c>
      <c r="G258">
        <v>1</v>
      </c>
      <c r="H258">
        <v>2</v>
      </c>
      <c r="I258" t="s">
        <v>736</v>
      </c>
      <c r="J258" t="s">
        <v>737</v>
      </c>
      <c r="K258" t="s">
        <v>738</v>
      </c>
      <c r="L258">
        <v>1368</v>
      </c>
      <c r="N258">
        <v>1011</v>
      </c>
      <c r="O258" t="s">
        <v>509</v>
      </c>
      <c r="P258" t="s">
        <v>509</v>
      </c>
      <c r="Q258">
        <v>1</v>
      </c>
      <c r="W258">
        <v>0</v>
      </c>
      <c r="X258">
        <v>-203367391</v>
      </c>
      <c r="Y258">
        <f>(AT258*ROUND((0.15+1),7))</f>
        <v>5.7499999999999996E-2</v>
      </c>
      <c r="AA258">
        <v>0</v>
      </c>
      <c r="AB258">
        <v>650.61</v>
      </c>
      <c r="AC258">
        <v>368.02</v>
      </c>
      <c r="AD258">
        <v>0</v>
      </c>
      <c r="AE258">
        <v>0</v>
      </c>
      <c r="AF258">
        <v>650.61</v>
      </c>
      <c r="AG258">
        <v>368.02</v>
      </c>
      <c r="AH258">
        <v>0</v>
      </c>
      <c r="AI258">
        <v>1</v>
      </c>
      <c r="AJ258">
        <v>1</v>
      </c>
      <c r="AK258">
        <v>1</v>
      </c>
      <c r="AL258">
        <v>1</v>
      </c>
      <c r="AM258">
        <v>-2</v>
      </c>
      <c r="AN258">
        <v>0</v>
      </c>
      <c r="AO258">
        <v>0</v>
      </c>
      <c r="AP258">
        <v>1</v>
      </c>
      <c r="AQ258">
        <v>1</v>
      </c>
      <c r="AR258">
        <v>0</v>
      </c>
      <c r="AS258" t="s">
        <v>3</v>
      </c>
      <c r="AT258">
        <v>0.05</v>
      </c>
      <c r="AU258" t="s">
        <v>27</v>
      </c>
      <c r="AV258">
        <v>1</v>
      </c>
      <c r="AW258">
        <v>2</v>
      </c>
      <c r="AX258">
        <v>75604958</v>
      </c>
      <c r="AY258">
        <v>1</v>
      </c>
      <c r="AZ258">
        <v>0</v>
      </c>
      <c r="BA258">
        <v>268</v>
      </c>
      <c r="BB258">
        <v>1</v>
      </c>
      <c r="BC258">
        <v>0</v>
      </c>
      <c r="BD258">
        <v>0</v>
      </c>
      <c r="BE258">
        <v>0</v>
      </c>
      <c r="BF258">
        <v>0</v>
      </c>
      <c r="BG258">
        <v>0</v>
      </c>
      <c r="BH258">
        <v>0</v>
      </c>
      <c r="BI258">
        <v>0</v>
      </c>
      <c r="BJ258">
        <v>0</v>
      </c>
      <c r="BK258">
        <v>32.530500000000004</v>
      </c>
      <c r="BL258">
        <v>18.401</v>
      </c>
      <c r="BM258">
        <v>0</v>
      </c>
      <c r="BN258">
        <v>0</v>
      </c>
      <c r="BO258">
        <v>0.05</v>
      </c>
      <c r="BP258">
        <v>1</v>
      </c>
      <c r="BQ258">
        <v>0</v>
      </c>
      <c r="BR258">
        <v>37.410074999999999</v>
      </c>
      <c r="BS258">
        <v>21.161149999999996</v>
      </c>
      <c r="BT258">
        <v>0</v>
      </c>
      <c r="BU258">
        <v>0</v>
      </c>
      <c r="BV258">
        <v>5.7499999999999996E-2</v>
      </c>
      <c r="BW258">
        <v>1</v>
      </c>
      <c r="CV258">
        <v>0</v>
      </c>
      <c r="CW258">
        <f>ROUND(Y258*Source!I224*DO258,7)</f>
        <v>2.3E-2</v>
      </c>
      <c r="CX258">
        <f>ROUND(Y258*Source!I224,7)</f>
        <v>2.3E-2</v>
      </c>
      <c r="CY258">
        <f>AB258</f>
        <v>650.61</v>
      </c>
      <c r="CZ258">
        <f>AF258</f>
        <v>650.61</v>
      </c>
      <c r="DA258">
        <f>AJ258</f>
        <v>1</v>
      </c>
      <c r="DB258">
        <f>ROUND((ROUND(AT258*CZ258,2)*ROUND((0.15+1),7)),6)</f>
        <v>37.409500000000001</v>
      </c>
      <c r="DC258">
        <f>ROUND((ROUND(AT258*AG258,2)*ROUND((0.15+1),7)),6)</f>
        <v>21.16</v>
      </c>
      <c r="DD258" t="s">
        <v>3</v>
      </c>
      <c r="DE258" t="s">
        <v>3</v>
      </c>
      <c r="DF258">
        <f>ROUND(ROUND(AE258,2)*CX258,2)</f>
        <v>0</v>
      </c>
      <c r="DG258">
        <f>ROUND(ROUND(AF258,2)*CX258,2)</f>
        <v>14.96</v>
      </c>
      <c r="DH258">
        <f t="shared" si="106"/>
        <v>8.4600000000000009</v>
      </c>
      <c r="DI258">
        <f t="shared" si="107"/>
        <v>0</v>
      </c>
      <c r="DJ258">
        <f>DG258+DH258</f>
        <v>23.42</v>
      </c>
      <c r="DK258">
        <v>1</v>
      </c>
      <c r="DL258" t="s">
        <v>522</v>
      </c>
      <c r="DM258">
        <v>4</v>
      </c>
      <c r="DN258" t="s">
        <v>501</v>
      </c>
      <c r="DO258">
        <v>1</v>
      </c>
    </row>
    <row r="259" spans="1:119" x14ac:dyDescent="0.25">
      <c r="A259">
        <f>ROW(Source!A224)</f>
        <v>224</v>
      </c>
      <c r="B259">
        <v>75604747</v>
      </c>
      <c r="C259">
        <v>75604948</v>
      </c>
      <c r="D259">
        <v>74278581</v>
      </c>
      <c r="E259">
        <v>1</v>
      </c>
      <c r="F259">
        <v>1</v>
      </c>
      <c r="G259">
        <v>1</v>
      </c>
      <c r="H259">
        <v>3</v>
      </c>
      <c r="I259" t="s">
        <v>413</v>
      </c>
      <c r="J259" t="s">
        <v>415</v>
      </c>
      <c r="K259" t="s">
        <v>414</v>
      </c>
      <c r="L259">
        <v>1339</v>
      </c>
      <c r="N259">
        <v>1007</v>
      </c>
      <c r="O259" t="s">
        <v>205</v>
      </c>
      <c r="P259" t="s">
        <v>205</v>
      </c>
      <c r="Q259">
        <v>1</v>
      </c>
      <c r="W259">
        <v>0</v>
      </c>
      <c r="X259">
        <v>-349141523</v>
      </c>
      <c r="Y259">
        <f>AT259</f>
        <v>15</v>
      </c>
      <c r="AA259">
        <v>1423.68</v>
      </c>
      <c r="AB259">
        <v>0</v>
      </c>
      <c r="AC259">
        <v>0</v>
      </c>
      <c r="AD259">
        <v>0</v>
      </c>
      <c r="AE259">
        <v>1062.45</v>
      </c>
      <c r="AF259">
        <v>0</v>
      </c>
      <c r="AG259">
        <v>0</v>
      </c>
      <c r="AH259">
        <v>0</v>
      </c>
      <c r="AI259">
        <v>1.34</v>
      </c>
      <c r="AJ259">
        <v>1</v>
      </c>
      <c r="AK259">
        <v>1</v>
      </c>
      <c r="AL259">
        <v>1</v>
      </c>
      <c r="AM259">
        <v>0</v>
      </c>
      <c r="AN259">
        <v>0</v>
      </c>
      <c r="AO259">
        <v>0</v>
      </c>
      <c r="AP259">
        <v>1</v>
      </c>
      <c r="AQ259">
        <v>0</v>
      </c>
      <c r="AR259">
        <v>0</v>
      </c>
      <c r="AS259" t="s">
        <v>3</v>
      </c>
      <c r="AT259">
        <v>15</v>
      </c>
      <c r="AU259" t="s">
        <v>3</v>
      </c>
      <c r="AV259">
        <v>0</v>
      </c>
      <c r="AW259">
        <v>1</v>
      </c>
      <c r="AX259">
        <v>-1</v>
      </c>
      <c r="AY259">
        <v>0</v>
      </c>
      <c r="AZ259">
        <v>0</v>
      </c>
      <c r="BA259" t="s">
        <v>3</v>
      </c>
      <c r="BB259">
        <v>0</v>
      </c>
      <c r="BC259">
        <v>0</v>
      </c>
      <c r="BD259">
        <v>0</v>
      </c>
      <c r="BE259">
        <v>0</v>
      </c>
      <c r="BF259">
        <v>0</v>
      </c>
      <c r="BG259">
        <v>0</v>
      </c>
      <c r="BH259">
        <v>0</v>
      </c>
      <c r="BI259">
        <v>0</v>
      </c>
      <c r="BJ259">
        <v>0</v>
      </c>
      <c r="BK259">
        <v>0</v>
      </c>
      <c r="BL259">
        <v>0</v>
      </c>
      <c r="BM259">
        <v>0</v>
      </c>
      <c r="BN259">
        <v>0</v>
      </c>
      <c r="BO259">
        <v>0</v>
      </c>
      <c r="BP259">
        <v>0</v>
      </c>
      <c r="BQ259">
        <v>0</v>
      </c>
      <c r="BR259">
        <v>0</v>
      </c>
      <c r="BS259">
        <v>0</v>
      </c>
      <c r="BT259">
        <v>0</v>
      </c>
      <c r="BU259">
        <v>0</v>
      </c>
      <c r="BV259">
        <v>0</v>
      </c>
      <c r="BW259">
        <v>0</v>
      </c>
      <c r="CV259">
        <v>0</v>
      </c>
      <c r="CW259">
        <v>0</v>
      </c>
      <c r="CX259">
        <f>ROUND(Y259*Source!I224,7)</f>
        <v>6</v>
      </c>
      <c r="CY259">
        <f>AA259</f>
        <v>1423.68</v>
      </c>
      <c r="CZ259">
        <f>AE259</f>
        <v>1062.45</v>
      </c>
      <c r="DA259">
        <f>AI259</f>
        <v>1.34</v>
      </c>
      <c r="DB259">
        <f>ROUND(ROUND(AT259*CZ259,2),6)</f>
        <v>15936.75</v>
      </c>
      <c r="DC259">
        <f>ROUND(ROUND(AT259*AG259,2),6)</f>
        <v>0</v>
      </c>
      <c r="DD259" t="s">
        <v>3</v>
      </c>
      <c r="DE259" t="s">
        <v>3</v>
      </c>
      <c r="DF259">
        <f>ROUND(ROUND(AE259*AI259,2)*CX259,2)</f>
        <v>8542.08</v>
      </c>
      <c r="DG259">
        <f>ROUND(ROUND(AF259,2)*CX259,2)</f>
        <v>0</v>
      </c>
      <c r="DH259">
        <f t="shared" si="106"/>
        <v>0</v>
      </c>
      <c r="DI259">
        <f t="shared" si="107"/>
        <v>0</v>
      </c>
      <c r="DJ259">
        <f>DF259</f>
        <v>8542.08</v>
      </c>
      <c r="DK259">
        <v>0</v>
      </c>
      <c r="DL259" t="s">
        <v>3</v>
      </c>
      <c r="DM259">
        <v>0</v>
      </c>
      <c r="DN259" t="s">
        <v>3</v>
      </c>
      <c r="DO259">
        <v>0</v>
      </c>
    </row>
    <row r="260" spans="1:119" x14ac:dyDescent="0.25">
      <c r="A260">
        <f>ROW(Source!A227)</f>
        <v>227</v>
      </c>
      <c r="B260">
        <v>75604747</v>
      </c>
      <c r="C260">
        <v>75604961</v>
      </c>
      <c r="D260">
        <v>74182232</v>
      </c>
      <c r="E260">
        <v>118</v>
      </c>
      <c r="F260">
        <v>1</v>
      </c>
      <c r="G260">
        <v>1</v>
      </c>
      <c r="H260">
        <v>1</v>
      </c>
      <c r="I260" t="s">
        <v>731</v>
      </c>
      <c r="J260" t="s">
        <v>3</v>
      </c>
      <c r="K260" t="s">
        <v>732</v>
      </c>
      <c r="L260">
        <v>1191</v>
      </c>
      <c r="N260">
        <v>1013</v>
      </c>
      <c r="O260" t="s">
        <v>501</v>
      </c>
      <c r="P260" t="s">
        <v>501</v>
      </c>
      <c r="Q260">
        <v>1</v>
      </c>
      <c r="W260">
        <v>0</v>
      </c>
      <c r="X260">
        <v>1048598872</v>
      </c>
      <c r="Y260">
        <f>(AT260*ROUND((0.15+1),7))</f>
        <v>6.2904999999999989</v>
      </c>
      <c r="AA260">
        <v>0</v>
      </c>
      <c r="AB260">
        <v>0</v>
      </c>
      <c r="AC260">
        <v>0</v>
      </c>
      <c r="AD260">
        <v>304.85000000000002</v>
      </c>
      <c r="AE260">
        <v>0</v>
      </c>
      <c r="AF260">
        <v>0</v>
      </c>
      <c r="AG260">
        <v>0</v>
      </c>
      <c r="AH260">
        <v>304.85000000000002</v>
      </c>
      <c r="AI260">
        <v>1</v>
      </c>
      <c r="AJ260">
        <v>1</v>
      </c>
      <c r="AK260">
        <v>1</v>
      </c>
      <c r="AL260">
        <v>1</v>
      </c>
      <c r="AM260">
        <v>-2</v>
      </c>
      <c r="AN260">
        <v>0</v>
      </c>
      <c r="AO260">
        <v>0</v>
      </c>
      <c r="AP260">
        <v>1</v>
      </c>
      <c r="AQ260">
        <v>1</v>
      </c>
      <c r="AR260">
        <v>0</v>
      </c>
      <c r="AS260" t="s">
        <v>3</v>
      </c>
      <c r="AT260">
        <v>5.47</v>
      </c>
      <c r="AU260" t="s">
        <v>27</v>
      </c>
      <c r="AV260">
        <v>1</v>
      </c>
      <c r="AW260">
        <v>2</v>
      </c>
      <c r="AX260">
        <v>75604965</v>
      </c>
      <c r="AY260">
        <v>1</v>
      </c>
      <c r="AZ260">
        <v>0</v>
      </c>
      <c r="BA260">
        <v>270</v>
      </c>
      <c r="BB260">
        <v>1</v>
      </c>
      <c r="BC260">
        <v>0</v>
      </c>
      <c r="BD260">
        <v>0</v>
      </c>
      <c r="BE260">
        <v>0</v>
      </c>
      <c r="BF260">
        <v>0</v>
      </c>
      <c r="BG260">
        <v>0</v>
      </c>
      <c r="BH260">
        <v>0</v>
      </c>
      <c r="BI260">
        <v>0</v>
      </c>
      <c r="BJ260">
        <v>0</v>
      </c>
      <c r="BK260">
        <v>0</v>
      </c>
      <c r="BL260">
        <v>0</v>
      </c>
      <c r="BM260">
        <v>1667.5295000000001</v>
      </c>
      <c r="BN260">
        <v>5.47</v>
      </c>
      <c r="BO260">
        <v>0</v>
      </c>
      <c r="BP260">
        <v>1</v>
      </c>
      <c r="BQ260">
        <v>0</v>
      </c>
      <c r="BR260">
        <v>0</v>
      </c>
      <c r="BS260">
        <v>0</v>
      </c>
      <c r="BT260">
        <v>1917.6589249999997</v>
      </c>
      <c r="BU260">
        <v>6.2904999999999989</v>
      </c>
      <c r="BV260">
        <v>0</v>
      </c>
      <c r="BW260">
        <v>1</v>
      </c>
      <c r="CU260">
        <f>ROUND(AT260*Source!I227*AH260*AL260,2)</f>
        <v>-667.01</v>
      </c>
      <c r="CV260">
        <f>ROUND(Y260*Source!I227,7)</f>
        <v>-2.5162</v>
      </c>
      <c r="CW260">
        <v>0</v>
      </c>
      <c r="CX260">
        <f>ROUND(Y260*Source!I227,7)</f>
        <v>-2.5162</v>
      </c>
      <c r="CY260">
        <f>AD260</f>
        <v>304.85000000000002</v>
      </c>
      <c r="CZ260">
        <f>AH260</f>
        <v>304.85000000000002</v>
      </c>
      <c r="DA260">
        <f>AL260</f>
        <v>1</v>
      </c>
      <c r="DB260">
        <f>ROUND((ROUND(AT260*CZ260,2)*ROUND((0.15+1),7)),6)</f>
        <v>1917.6595</v>
      </c>
      <c r="DC260">
        <f>ROUND((ROUND(AT260*AG260,2)*ROUND((0.15+1),7)),6)</f>
        <v>0</v>
      </c>
      <c r="DD260" t="s">
        <v>3</v>
      </c>
      <c r="DE260" t="s">
        <v>3</v>
      </c>
      <c r="DF260">
        <f>ROUND(ROUND(AE260,2)*CX260,2)</f>
        <v>0</v>
      </c>
      <c r="DG260">
        <f>ROUND(ROUND(AF260,2)*CX260,2)</f>
        <v>0</v>
      </c>
      <c r="DH260">
        <f t="shared" si="106"/>
        <v>0</v>
      </c>
      <c r="DI260">
        <f t="shared" si="107"/>
        <v>-767.06</v>
      </c>
      <c r="DJ260">
        <f>DI260</f>
        <v>-767.06</v>
      </c>
      <c r="DK260">
        <v>1</v>
      </c>
      <c r="DL260" t="s">
        <v>3</v>
      </c>
      <c r="DM260">
        <v>0</v>
      </c>
      <c r="DN260" t="s">
        <v>3</v>
      </c>
      <c r="DO260">
        <v>0</v>
      </c>
    </row>
    <row r="261" spans="1:119" x14ac:dyDescent="0.25">
      <c r="A261">
        <f>ROW(Source!A227)</f>
        <v>227</v>
      </c>
      <c r="B261">
        <v>75604747</v>
      </c>
      <c r="C261">
        <v>75604961</v>
      </c>
      <c r="D261">
        <v>74278581</v>
      </c>
      <c r="E261">
        <v>1</v>
      </c>
      <c r="F261">
        <v>1</v>
      </c>
      <c r="G261">
        <v>1</v>
      </c>
      <c r="H261">
        <v>3</v>
      </c>
      <c r="I261" t="s">
        <v>413</v>
      </c>
      <c r="J261" t="s">
        <v>415</v>
      </c>
      <c r="K261" t="s">
        <v>414</v>
      </c>
      <c r="L261">
        <v>1339</v>
      </c>
      <c r="N261">
        <v>1007</v>
      </c>
      <c r="O261" t="s">
        <v>205</v>
      </c>
      <c r="P261" t="s">
        <v>205</v>
      </c>
      <c r="Q261">
        <v>1</v>
      </c>
      <c r="W261">
        <v>0</v>
      </c>
      <c r="X261">
        <v>-349141523</v>
      </c>
      <c r="Y261">
        <f>AT261</f>
        <v>5</v>
      </c>
      <c r="AA261">
        <v>1423.68</v>
      </c>
      <c r="AB261">
        <v>0</v>
      </c>
      <c r="AC261">
        <v>0</v>
      </c>
      <c r="AD261">
        <v>0</v>
      </c>
      <c r="AE261">
        <v>1062.45</v>
      </c>
      <c r="AF261">
        <v>0</v>
      </c>
      <c r="AG261">
        <v>0</v>
      </c>
      <c r="AH261">
        <v>0</v>
      </c>
      <c r="AI261">
        <v>1.34</v>
      </c>
      <c r="AJ261">
        <v>1</v>
      </c>
      <c r="AK261">
        <v>1</v>
      </c>
      <c r="AL261">
        <v>1</v>
      </c>
      <c r="AM261">
        <v>0</v>
      </c>
      <c r="AN261">
        <v>0</v>
      </c>
      <c r="AO261">
        <v>0</v>
      </c>
      <c r="AP261">
        <v>1</v>
      </c>
      <c r="AQ261">
        <v>0</v>
      </c>
      <c r="AR261">
        <v>0</v>
      </c>
      <c r="AS261" t="s">
        <v>3</v>
      </c>
      <c r="AT261">
        <v>5</v>
      </c>
      <c r="AU261" t="s">
        <v>3</v>
      </c>
      <c r="AV261">
        <v>0</v>
      </c>
      <c r="AW261">
        <v>1</v>
      </c>
      <c r="AX261">
        <v>-1</v>
      </c>
      <c r="AY261">
        <v>0</v>
      </c>
      <c r="AZ261">
        <v>0</v>
      </c>
      <c r="BA261" t="s">
        <v>3</v>
      </c>
      <c r="BB261">
        <v>0</v>
      </c>
      <c r="BC261">
        <v>0</v>
      </c>
      <c r="BD261">
        <v>0</v>
      </c>
      <c r="BE261">
        <v>0</v>
      </c>
      <c r="BF261">
        <v>0</v>
      </c>
      <c r="BG261">
        <v>0</v>
      </c>
      <c r="BH261">
        <v>0</v>
      </c>
      <c r="BI261">
        <v>0</v>
      </c>
      <c r="BJ261">
        <v>0</v>
      </c>
      <c r="BK261">
        <v>0</v>
      </c>
      <c r="BL261">
        <v>0</v>
      </c>
      <c r="BM261">
        <v>0</v>
      </c>
      <c r="BN261">
        <v>0</v>
      </c>
      <c r="BO261">
        <v>0</v>
      </c>
      <c r="BP261">
        <v>0</v>
      </c>
      <c r="BQ261">
        <v>0</v>
      </c>
      <c r="BR261">
        <v>0</v>
      </c>
      <c r="BS261">
        <v>0</v>
      </c>
      <c r="BT261">
        <v>0</v>
      </c>
      <c r="BU261">
        <v>0</v>
      </c>
      <c r="BV261">
        <v>0</v>
      </c>
      <c r="BW261">
        <v>0</v>
      </c>
      <c r="CV261">
        <v>0</v>
      </c>
      <c r="CW261">
        <v>0</v>
      </c>
      <c r="CX261">
        <f>ROUND(Y261*Source!I227,7)</f>
        <v>-2</v>
      </c>
      <c r="CY261">
        <f>AA261</f>
        <v>1423.68</v>
      </c>
      <c r="CZ261">
        <f>AE261</f>
        <v>1062.45</v>
      </c>
      <c r="DA261">
        <f>AI261</f>
        <v>1.34</v>
      </c>
      <c r="DB261">
        <f>ROUND(ROUND(AT261*CZ261,2),6)</f>
        <v>5312.25</v>
      </c>
      <c r="DC261">
        <f>ROUND(ROUND(AT261*AG261,2),6)</f>
        <v>0</v>
      </c>
      <c r="DD261" t="s">
        <v>3</v>
      </c>
      <c r="DE261" t="s">
        <v>3</v>
      </c>
      <c r="DF261">
        <f>ROUND(ROUND(AE261*AI261,2)*CX261,2)</f>
        <v>-2847.36</v>
      </c>
      <c r="DG261">
        <f>ROUND(ROUND(AF261,2)*CX261,2)</f>
        <v>0</v>
      </c>
      <c r="DH261">
        <f t="shared" si="106"/>
        <v>0</v>
      </c>
      <c r="DI261">
        <f t="shared" si="107"/>
        <v>0</v>
      </c>
      <c r="DJ261">
        <f>DF261</f>
        <v>-2847.36</v>
      </c>
      <c r="DK261">
        <v>0</v>
      </c>
      <c r="DL261" t="s">
        <v>3</v>
      </c>
      <c r="DM261">
        <v>0</v>
      </c>
      <c r="DN261" t="s">
        <v>3</v>
      </c>
      <c r="DO261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R271"/>
  <sheetViews>
    <sheetView workbookViewId="0"/>
  </sheetViews>
  <sheetFormatPr defaultColWidth="9.21875" defaultRowHeight="13.2" x14ac:dyDescent="0.25"/>
  <cols>
    <col min="1" max="256" width="9.21875" customWidth="1"/>
  </cols>
  <sheetData>
    <row r="1" spans="1:44" x14ac:dyDescent="0.25">
      <c r="A1">
        <f>ROW(Source!A31)</f>
        <v>31</v>
      </c>
      <c r="B1">
        <v>75604878</v>
      </c>
      <c r="C1">
        <v>75604876</v>
      </c>
      <c r="D1">
        <v>74182223</v>
      </c>
      <c r="E1">
        <v>118</v>
      </c>
      <c r="F1">
        <v>1</v>
      </c>
      <c r="G1">
        <v>1</v>
      </c>
      <c r="H1">
        <v>1</v>
      </c>
      <c r="I1" t="s">
        <v>499</v>
      </c>
      <c r="J1" t="s">
        <v>3</v>
      </c>
      <c r="K1" t="s">
        <v>500</v>
      </c>
      <c r="L1">
        <v>1191</v>
      </c>
      <c r="N1">
        <v>1013</v>
      </c>
      <c r="O1" t="s">
        <v>501</v>
      </c>
      <c r="P1" t="s">
        <v>501</v>
      </c>
      <c r="Q1">
        <v>1</v>
      </c>
      <c r="X1">
        <v>154</v>
      </c>
      <c r="Y1">
        <v>0</v>
      </c>
      <c r="Z1">
        <v>0</v>
      </c>
      <c r="AA1">
        <v>0</v>
      </c>
      <c r="AB1">
        <v>299.36</v>
      </c>
      <c r="AC1">
        <v>0</v>
      </c>
      <c r="AD1">
        <v>1</v>
      </c>
      <c r="AE1">
        <v>1</v>
      </c>
      <c r="AF1" t="s">
        <v>28</v>
      </c>
      <c r="AG1">
        <v>203.66499999999996</v>
      </c>
      <c r="AH1">
        <v>2</v>
      </c>
      <c r="AI1">
        <v>75604878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 x14ac:dyDescent="0.25">
      <c r="A2">
        <f>ROW(Source!A32)</f>
        <v>32</v>
      </c>
      <c r="B2">
        <v>75604884</v>
      </c>
      <c r="C2">
        <v>75604882</v>
      </c>
      <c r="D2">
        <v>74182213</v>
      </c>
      <c r="E2">
        <v>118</v>
      </c>
      <c r="F2">
        <v>1</v>
      </c>
      <c r="G2">
        <v>1</v>
      </c>
      <c r="H2">
        <v>1</v>
      </c>
      <c r="I2" t="s">
        <v>502</v>
      </c>
      <c r="J2" t="s">
        <v>3</v>
      </c>
      <c r="K2" t="s">
        <v>503</v>
      </c>
      <c r="L2">
        <v>1191</v>
      </c>
      <c r="N2">
        <v>1013</v>
      </c>
      <c r="O2" t="s">
        <v>501</v>
      </c>
      <c r="P2" t="s">
        <v>501</v>
      </c>
      <c r="Q2">
        <v>1</v>
      </c>
      <c r="X2">
        <v>53.56</v>
      </c>
      <c r="Y2">
        <v>0</v>
      </c>
      <c r="Z2">
        <v>0</v>
      </c>
      <c r="AA2">
        <v>0</v>
      </c>
      <c r="AB2">
        <v>287</v>
      </c>
      <c r="AC2">
        <v>0</v>
      </c>
      <c r="AD2">
        <v>1</v>
      </c>
      <c r="AE2">
        <v>1</v>
      </c>
      <c r="AF2" t="s">
        <v>27</v>
      </c>
      <c r="AG2">
        <v>61.594000000000001</v>
      </c>
      <c r="AH2">
        <v>2</v>
      </c>
      <c r="AI2">
        <v>75604884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 x14ac:dyDescent="0.25">
      <c r="A3">
        <f>ROW(Source!A35)</f>
        <v>35</v>
      </c>
      <c r="B3">
        <v>75604891</v>
      </c>
      <c r="C3">
        <v>75604888</v>
      </c>
      <c r="D3">
        <v>74182464</v>
      </c>
      <c r="E3">
        <v>118</v>
      </c>
      <c r="F3">
        <v>1</v>
      </c>
      <c r="G3">
        <v>1</v>
      </c>
      <c r="H3">
        <v>1</v>
      </c>
      <c r="I3" t="s">
        <v>504</v>
      </c>
      <c r="J3" t="s">
        <v>3</v>
      </c>
      <c r="K3" t="s">
        <v>505</v>
      </c>
      <c r="L3">
        <v>1191</v>
      </c>
      <c r="N3">
        <v>1013</v>
      </c>
      <c r="O3" t="s">
        <v>501</v>
      </c>
      <c r="P3" t="s">
        <v>501</v>
      </c>
      <c r="Q3">
        <v>1</v>
      </c>
      <c r="X3">
        <v>53</v>
      </c>
      <c r="Y3">
        <v>0</v>
      </c>
      <c r="Z3">
        <v>0</v>
      </c>
      <c r="AA3">
        <v>0</v>
      </c>
      <c r="AB3">
        <v>0</v>
      </c>
      <c r="AC3">
        <v>0</v>
      </c>
      <c r="AD3">
        <v>1</v>
      </c>
      <c r="AE3">
        <v>2</v>
      </c>
      <c r="AF3" t="s">
        <v>27</v>
      </c>
      <c r="AG3">
        <v>60.949999999999996</v>
      </c>
      <c r="AH3">
        <v>2</v>
      </c>
      <c r="AI3">
        <v>75604891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 x14ac:dyDescent="0.25">
      <c r="A4">
        <f>ROW(Source!A35)</f>
        <v>35</v>
      </c>
      <c r="B4">
        <v>75604892</v>
      </c>
      <c r="C4">
        <v>75604888</v>
      </c>
      <c r="D4">
        <v>74308540</v>
      </c>
      <c r="E4">
        <v>1</v>
      </c>
      <c r="F4">
        <v>1</v>
      </c>
      <c r="G4">
        <v>1</v>
      </c>
      <c r="H4">
        <v>2</v>
      </c>
      <c r="I4" t="s">
        <v>506</v>
      </c>
      <c r="J4" t="s">
        <v>507</v>
      </c>
      <c r="K4" t="s">
        <v>508</v>
      </c>
      <c r="L4">
        <v>1368</v>
      </c>
      <c r="N4">
        <v>1011</v>
      </c>
      <c r="O4" t="s">
        <v>509</v>
      </c>
      <c r="P4" t="s">
        <v>509</v>
      </c>
      <c r="Q4">
        <v>1</v>
      </c>
      <c r="X4">
        <v>53</v>
      </c>
      <c r="Y4">
        <v>0</v>
      </c>
      <c r="Z4">
        <v>800.37</v>
      </c>
      <c r="AA4">
        <v>422.95</v>
      </c>
      <c r="AB4">
        <v>0</v>
      </c>
      <c r="AC4">
        <v>0</v>
      </c>
      <c r="AD4">
        <v>1</v>
      </c>
      <c r="AE4">
        <v>0</v>
      </c>
      <c r="AF4" t="s">
        <v>27</v>
      </c>
      <c r="AG4">
        <v>60.949999999999996</v>
      </c>
      <c r="AH4">
        <v>2</v>
      </c>
      <c r="AI4">
        <v>75604892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 x14ac:dyDescent="0.25">
      <c r="A5">
        <f>ROW(Source!A36)</f>
        <v>36</v>
      </c>
      <c r="B5">
        <v>75604895</v>
      </c>
      <c r="C5">
        <v>75604893</v>
      </c>
      <c r="D5">
        <v>74182223</v>
      </c>
      <c r="E5">
        <v>118</v>
      </c>
      <c r="F5">
        <v>1</v>
      </c>
      <c r="G5">
        <v>1</v>
      </c>
      <c r="H5">
        <v>1</v>
      </c>
      <c r="I5" t="s">
        <v>499</v>
      </c>
      <c r="J5" t="s">
        <v>3</v>
      </c>
      <c r="K5" t="s">
        <v>500</v>
      </c>
      <c r="L5">
        <v>1191</v>
      </c>
      <c r="N5">
        <v>1013</v>
      </c>
      <c r="O5" t="s">
        <v>501</v>
      </c>
      <c r="P5" t="s">
        <v>501</v>
      </c>
      <c r="Q5">
        <v>1</v>
      </c>
      <c r="X5">
        <v>154</v>
      </c>
      <c r="Y5">
        <v>0</v>
      </c>
      <c r="Z5">
        <v>0</v>
      </c>
      <c r="AA5">
        <v>0</v>
      </c>
      <c r="AB5">
        <v>299.36</v>
      </c>
      <c r="AC5">
        <v>0</v>
      </c>
      <c r="AD5">
        <v>1</v>
      </c>
      <c r="AE5">
        <v>1</v>
      </c>
      <c r="AF5" t="s">
        <v>60</v>
      </c>
      <c r="AG5">
        <v>212.51999999999998</v>
      </c>
      <c r="AH5">
        <v>2</v>
      </c>
      <c r="AI5">
        <v>75604895</v>
      </c>
      <c r="AJ5">
        <v>5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 x14ac:dyDescent="0.25">
      <c r="A6">
        <f>ROW(Source!A37)</f>
        <v>37</v>
      </c>
      <c r="B6">
        <v>75604898</v>
      </c>
      <c r="C6">
        <v>75604896</v>
      </c>
      <c r="D6">
        <v>74182213</v>
      </c>
      <c r="E6">
        <v>118</v>
      </c>
      <c r="F6">
        <v>1</v>
      </c>
      <c r="G6">
        <v>1</v>
      </c>
      <c r="H6">
        <v>1</v>
      </c>
      <c r="I6" t="s">
        <v>502</v>
      </c>
      <c r="J6" t="s">
        <v>3</v>
      </c>
      <c r="K6" t="s">
        <v>503</v>
      </c>
      <c r="L6">
        <v>1191</v>
      </c>
      <c r="N6">
        <v>1013</v>
      </c>
      <c r="O6" t="s">
        <v>501</v>
      </c>
      <c r="P6" t="s">
        <v>501</v>
      </c>
      <c r="Q6">
        <v>1</v>
      </c>
      <c r="X6">
        <v>53.56</v>
      </c>
      <c r="Y6">
        <v>0</v>
      </c>
      <c r="Z6">
        <v>0</v>
      </c>
      <c r="AA6">
        <v>0</v>
      </c>
      <c r="AB6">
        <v>287</v>
      </c>
      <c r="AC6">
        <v>0</v>
      </c>
      <c r="AD6">
        <v>1</v>
      </c>
      <c r="AE6">
        <v>1</v>
      </c>
      <c r="AF6" t="s">
        <v>27</v>
      </c>
      <c r="AG6">
        <v>61.594000000000001</v>
      </c>
      <c r="AH6">
        <v>2</v>
      </c>
      <c r="AI6">
        <v>75604898</v>
      </c>
      <c r="AJ6">
        <v>6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 x14ac:dyDescent="0.25">
      <c r="A7">
        <f>ROW(Source!A41)</f>
        <v>41</v>
      </c>
      <c r="B7">
        <v>75604908</v>
      </c>
      <c r="C7">
        <v>75604901</v>
      </c>
      <c r="D7">
        <v>74182464</v>
      </c>
      <c r="E7">
        <v>118</v>
      </c>
      <c r="F7">
        <v>1</v>
      </c>
      <c r="G7">
        <v>1</v>
      </c>
      <c r="H7">
        <v>1</v>
      </c>
      <c r="I7" t="s">
        <v>504</v>
      </c>
      <c r="J7" t="s">
        <v>3</v>
      </c>
      <c r="K7" t="s">
        <v>505</v>
      </c>
      <c r="L7">
        <v>1191</v>
      </c>
      <c r="N7">
        <v>1013</v>
      </c>
      <c r="O7" t="s">
        <v>501</v>
      </c>
      <c r="P7" t="s">
        <v>501</v>
      </c>
      <c r="Q7">
        <v>1</v>
      </c>
      <c r="X7">
        <v>41</v>
      </c>
      <c r="Y7">
        <v>0</v>
      </c>
      <c r="Z7">
        <v>0</v>
      </c>
      <c r="AA7">
        <v>0</v>
      </c>
      <c r="AB7">
        <v>0</v>
      </c>
      <c r="AC7">
        <v>0</v>
      </c>
      <c r="AD7">
        <v>1</v>
      </c>
      <c r="AE7">
        <v>2</v>
      </c>
      <c r="AF7" t="s">
        <v>27</v>
      </c>
      <c r="AG7">
        <v>47.15</v>
      </c>
      <c r="AH7">
        <v>2</v>
      </c>
      <c r="AI7">
        <v>75604908</v>
      </c>
      <c r="AJ7">
        <v>7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 x14ac:dyDescent="0.25">
      <c r="A8">
        <f>ROW(Source!A41)</f>
        <v>41</v>
      </c>
      <c r="B8">
        <v>75604909</v>
      </c>
      <c r="C8">
        <v>75604901</v>
      </c>
      <c r="D8">
        <v>74308540</v>
      </c>
      <c r="E8">
        <v>1</v>
      </c>
      <c r="F8">
        <v>1</v>
      </c>
      <c r="G8">
        <v>1</v>
      </c>
      <c r="H8">
        <v>2</v>
      </c>
      <c r="I8" t="s">
        <v>506</v>
      </c>
      <c r="J8" t="s">
        <v>507</v>
      </c>
      <c r="K8" t="s">
        <v>508</v>
      </c>
      <c r="L8">
        <v>1368</v>
      </c>
      <c r="N8">
        <v>1011</v>
      </c>
      <c r="O8" t="s">
        <v>509</v>
      </c>
      <c r="P8" t="s">
        <v>509</v>
      </c>
      <c r="Q8">
        <v>1</v>
      </c>
      <c r="X8">
        <v>41</v>
      </c>
      <c r="Y8">
        <v>0</v>
      </c>
      <c r="Z8">
        <v>800.37</v>
      </c>
      <c r="AA8">
        <v>422.95</v>
      </c>
      <c r="AB8">
        <v>0</v>
      </c>
      <c r="AC8">
        <v>0</v>
      </c>
      <c r="AD8">
        <v>1</v>
      </c>
      <c r="AE8">
        <v>0</v>
      </c>
      <c r="AF8" t="s">
        <v>27</v>
      </c>
      <c r="AG8">
        <v>47.15</v>
      </c>
      <c r="AH8">
        <v>2</v>
      </c>
      <c r="AI8">
        <v>75604909</v>
      </c>
      <c r="AJ8">
        <v>8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 x14ac:dyDescent="0.25">
      <c r="A9">
        <f>ROW(Source!A43)</f>
        <v>43</v>
      </c>
      <c r="B9">
        <v>75604913</v>
      </c>
      <c r="C9">
        <v>75604911</v>
      </c>
      <c r="D9">
        <v>74182213</v>
      </c>
      <c r="E9">
        <v>118</v>
      </c>
      <c r="F9">
        <v>1</v>
      </c>
      <c r="G9">
        <v>1</v>
      </c>
      <c r="H9">
        <v>1</v>
      </c>
      <c r="I9" t="s">
        <v>502</v>
      </c>
      <c r="J9" t="s">
        <v>3</v>
      </c>
      <c r="K9" t="s">
        <v>503</v>
      </c>
      <c r="L9">
        <v>1191</v>
      </c>
      <c r="N9">
        <v>1013</v>
      </c>
      <c r="O9" t="s">
        <v>501</v>
      </c>
      <c r="P9" t="s">
        <v>501</v>
      </c>
      <c r="Q9">
        <v>1</v>
      </c>
      <c r="X9">
        <v>88.5</v>
      </c>
      <c r="Y9">
        <v>0</v>
      </c>
      <c r="Z9">
        <v>0</v>
      </c>
      <c r="AA9">
        <v>0</v>
      </c>
      <c r="AB9">
        <v>287</v>
      </c>
      <c r="AC9">
        <v>0</v>
      </c>
      <c r="AD9">
        <v>1</v>
      </c>
      <c r="AE9">
        <v>1</v>
      </c>
      <c r="AF9" t="s">
        <v>27</v>
      </c>
      <c r="AG9">
        <v>101.77499999999999</v>
      </c>
      <c r="AH9">
        <v>2</v>
      </c>
      <c r="AI9">
        <v>75604913</v>
      </c>
      <c r="AJ9">
        <v>9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 x14ac:dyDescent="0.25">
      <c r="A10">
        <f>ROW(Source!A44)</f>
        <v>44</v>
      </c>
      <c r="B10">
        <v>75605791</v>
      </c>
      <c r="C10">
        <v>75605789</v>
      </c>
      <c r="D10">
        <v>37071503</v>
      </c>
      <c r="E10">
        <v>118</v>
      </c>
      <c r="F10">
        <v>1</v>
      </c>
      <c r="G10">
        <v>1</v>
      </c>
      <c r="H10">
        <v>1</v>
      </c>
      <c r="I10" t="s">
        <v>502</v>
      </c>
      <c r="J10" t="s">
        <v>3</v>
      </c>
      <c r="K10" t="s">
        <v>503</v>
      </c>
      <c r="L10">
        <v>1191</v>
      </c>
      <c r="N10">
        <v>1013</v>
      </c>
      <c r="O10" t="s">
        <v>501</v>
      </c>
      <c r="P10" t="s">
        <v>501</v>
      </c>
      <c r="Q10">
        <v>1</v>
      </c>
      <c r="X10">
        <v>88.5</v>
      </c>
      <c r="Y10">
        <v>0</v>
      </c>
      <c r="Z10">
        <v>0</v>
      </c>
      <c r="AA10">
        <v>0</v>
      </c>
      <c r="AB10">
        <v>287</v>
      </c>
      <c r="AC10">
        <v>0</v>
      </c>
      <c r="AD10">
        <v>1</v>
      </c>
      <c r="AE10">
        <v>1</v>
      </c>
      <c r="AF10" t="s">
        <v>27</v>
      </c>
      <c r="AG10">
        <v>101.77499999999999</v>
      </c>
      <c r="AH10">
        <v>2</v>
      </c>
      <c r="AI10">
        <v>75605790</v>
      </c>
      <c r="AJ10">
        <v>10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 x14ac:dyDescent="0.25">
      <c r="A11">
        <f>ROW(Source!A46)</f>
        <v>46</v>
      </c>
      <c r="B11">
        <v>75605781</v>
      </c>
      <c r="C11">
        <v>75605777</v>
      </c>
      <c r="D11">
        <v>37064998</v>
      </c>
      <c r="E11">
        <v>118</v>
      </c>
      <c r="F11">
        <v>1</v>
      </c>
      <c r="G11">
        <v>1</v>
      </c>
      <c r="H11">
        <v>1</v>
      </c>
      <c r="I11" t="s">
        <v>499</v>
      </c>
      <c r="J11" t="s">
        <v>3</v>
      </c>
      <c r="K11" t="s">
        <v>500</v>
      </c>
      <c r="L11">
        <v>1191</v>
      </c>
      <c r="N11">
        <v>1013</v>
      </c>
      <c r="O11" t="s">
        <v>501</v>
      </c>
      <c r="P11" t="s">
        <v>501</v>
      </c>
      <c r="Q11">
        <v>1</v>
      </c>
      <c r="X11">
        <v>7.14</v>
      </c>
      <c r="Y11">
        <v>0</v>
      </c>
      <c r="Z11">
        <v>0</v>
      </c>
      <c r="AA11">
        <v>0</v>
      </c>
      <c r="AB11">
        <v>299.36</v>
      </c>
      <c r="AC11">
        <v>0</v>
      </c>
      <c r="AD11">
        <v>1</v>
      </c>
      <c r="AE11">
        <v>1</v>
      </c>
      <c r="AF11" t="s">
        <v>81</v>
      </c>
      <c r="AG11">
        <v>4.1054999999999993</v>
      </c>
      <c r="AH11">
        <v>2</v>
      </c>
      <c r="AI11">
        <v>75605778</v>
      </c>
      <c r="AJ11">
        <v>11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 x14ac:dyDescent="0.25">
      <c r="A12">
        <f>ROW(Source!A46)</f>
        <v>46</v>
      </c>
      <c r="B12">
        <v>75605782</v>
      </c>
      <c r="C12">
        <v>75605777</v>
      </c>
      <c r="D12">
        <v>37064876</v>
      </c>
      <c r="E12">
        <v>118</v>
      </c>
      <c r="F12">
        <v>1</v>
      </c>
      <c r="G12">
        <v>1</v>
      </c>
      <c r="H12">
        <v>1</v>
      </c>
      <c r="I12" t="s">
        <v>504</v>
      </c>
      <c r="J12" t="s">
        <v>3</v>
      </c>
      <c r="K12" t="s">
        <v>505</v>
      </c>
      <c r="L12">
        <v>1191</v>
      </c>
      <c r="N12">
        <v>1013</v>
      </c>
      <c r="O12" t="s">
        <v>501</v>
      </c>
      <c r="P12" t="s">
        <v>501</v>
      </c>
      <c r="Q12">
        <v>1</v>
      </c>
      <c r="X12">
        <v>35.58</v>
      </c>
      <c r="Y12">
        <v>0</v>
      </c>
      <c r="Z12">
        <v>0</v>
      </c>
      <c r="AA12">
        <v>0</v>
      </c>
      <c r="AB12">
        <v>0</v>
      </c>
      <c r="AC12">
        <v>0</v>
      </c>
      <c r="AD12">
        <v>1</v>
      </c>
      <c r="AE12">
        <v>2</v>
      </c>
      <c r="AF12" t="s">
        <v>81</v>
      </c>
      <c r="AG12">
        <v>20.458499999999997</v>
      </c>
      <c r="AH12">
        <v>2</v>
      </c>
      <c r="AI12">
        <v>75605779</v>
      </c>
      <c r="AJ12">
        <v>12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 x14ac:dyDescent="0.25">
      <c r="A13">
        <f>ROW(Source!A46)</f>
        <v>46</v>
      </c>
      <c r="B13">
        <v>75605783</v>
      </c>
      <c r="C13">
        <v>75605777</v>
      </c>
      <c r="D13">
        <v>74308522</v>
      </c>
      <c r="E13">
        <v>1</v>
      </c>
      <c r="F13">
        <v>1</v>
      </c>
      <c r="G13">
        <v>1</v>
      </c>
      <c r="H13">
        <v>2</v>
      </c>
      <c r="I13" t="s">
        <v>511</v>
      </c>
      <c r="J13" t="s">
        <v>512</v>
      </c>
      <c r="K13" t="s">
        <v>513</v>
      </c>
      <c r="L13">
        <v>1368</v>
      </c>
      <c r="N13">
        <v>1011</v>
      </c>
      <c r="O13" t="s">
        <v>509</v>
      </c>
      <c r="P13" t="s">
        <v>509</v>
      </c>
      <c r="Q13">
        <v>1</v>
      </c>
      <c r="X13">
        <v>35.58</v>
      </c>
      <c r="Y13">
        <v>0</v>
      </c>
      <c r="Z13">
        <v>675.43</v>
      </c>
      <c r="AA13">
        <v>422.95</v>
      </c>
      <c r="AB13">
        <v>0</v>
      </c>
      <c r="AC13">
        <v>0</v>
      </c>
      <c r="AD13">
        <v>1</v>
      </c>
      <c r="AE13">
        <v>0</v>
      </c>
      <c r="AF13" t="s">
        <v>81</v>
      </c>
      <c r="AG13">
        <v>20.458499999999997</v>
      </c>
      <c r="AH13">
        <v>2</v>
      </c>
      <c r="AI13">
        <v>75605780</v>
      </c>
      <c r="AJ13">
        <v>13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 x14ac:dyDescent="0.25">
      <c r="A14">
        <f>ROW(Source!A47)</f>
        <v>47</v>
      </c>
      <c r="B14">
        <v>75604924</v>
      </c>
      <c r="C14">
        <v>75604919</v>
      </c>
      <c r="D14">
        <v>74182263</v>
      </c>
      <c r="E14">
        <v>118</v>
      </c>
      <c r="F14">
        <v>1</v>
      </c>
      <c r="G14">
        <v>1</v>
      </c>
      <c r="H14">
        <v>1</v>
      </c>
      <c r="I14" t="s">
        <v>514</v>
      </c>
      <c r="J14" t="s">
        <v>3</v>
      </c>
      <c r="K14" t="s">
        <v>515</v>
      </c>
      <c r="L14">
        <v>1191</v>
      </c>
      <c r="N14">
        <v>1013</v>
      </c>
      <c r="O14" t="s">
        <v>501</v>
      </c>
      <c r="P14" t="s">
        <v>501</v>
      </c>
      <c r="Q14">
        <v>1</v>
      </c>
      <c r="X14">
        <v>12.53</v>
      </c>
      <c r="Y14">
        <v>0</v>
      </c>
      <c r="Z14">
        <v>0</v>
      </c>
      <c r="AA14">
        <v>0</v>
      </c>
      <c r="AB14">
        <v>326.82</v>
      </c>
      <c r="AC14">
        <v>0</v>
      </c>
      <c r="AD14">
        <v>1</v>
      </c>
      <c r="AE14">
        <v>1</v>
      </c>
      <c r="AF14" t="s">
        <v>27</v>
      </c>
      <c r="AG14">
        <v>14.409499999999998</v>
      </c>
      <c r="AH14">
        <v>2</v>
      </c>
      <c r="AI14">
        <v>75604924</v>
      </c>
      <c r="AJ14">
        <v>14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 x14ac:dyDescent="0.25">
      <c r="A15">
        <f>ROW(Source!A47)</f>
        <v>47</v>
      </c>
      <c r="B15">
        <v>75604925</v>
      </c>
      <c r="C15">
        <v>75604919</v>
      </c>
      <c r="D15">
        <v>74182464</v>
      </c>
      <c r="E15">
        <v>118</v>
      </c>
      <c r="F15">
        <v>1</v>
      </c>
      <c r="G15">
        <v>1</v>
      </c>
      <c r="H15">
        <v>1</v>
      </c>
      <c r="I15" t="s">
        <v>504</v>
      </c>
      <c r="J15" t="s">
        <v>3</v>
      </c>
      <c r="K15" t="s">
        <v>505</v>
      </c>
      <c r="L15">
        <v>1191</v>
      </c>
      <c r="N15">
        <v>1013</v>
      </c>
      <c r="O15" t="s">
        <v>501</v>
      </c>
      <c r="P15" t="s">
        <v>501</v>
      </c>
      <c r="Q15">
        <v>1</v>
      </c>
      <c r="X15">
        <v>2.62</v>
      </c>
      <c r="Y15">
        <v>0</v>
      </c>
      <c r="Z15">
        <v>0</v>
      </c>
      <c r="AA15">
        <v>0</v>
      </c>
      <c r="AB15">
        <v>0</v>
      </c>
      <c r="AC15">
        <v>0</v>
      </c>
      <c r="AD15">
        <v>1</v>
      </c>
      <c r="AE15">
        <v>2</v>
      </c>
      <c r="AF15" t="s">
        <v>27</v>
      </c>
      <c r="AG15">
        <v>3.0129999999999999</v>
      </c>
      <c r="AH15">
        <v>2</v>
      </c>
      <c r="AI15">
        <v>75604925</v>
      </c>
      <c r="AJ15">
        <v>15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 x14ac:dyDescent="0.25">
      <c r="A16">
        <f>ROW(Source!A47)</f>
        <v>47</v>
      </c>
      <c r="B16">
        <v>75604926</v>
      </c>
      <c r="C16">
        <v>75604919</v>
      </c>
      <c r="D16">
        <v>74309359</v>
      </c>
      <c r="E16">
        <v>1</v>
      </c>
      <c r="F16">
        <v>1</v>
      </c>
      <c r="G16">
        <v>1</v>
      </c>
      <c r="H16">
        <v>2</v>
      </c>
      <c r="I16" t="s">
        <v>516</v>
      </c>
      <c r="J16" t="s">
        <v>517</v>
      </c>
      <c r="K16" t="s">
        <v>518</v>
      </c>
      <c r="L16">
        <v>1368</v>
      </c>
      <c r="N16">
        <v>1011</v>
      </c>
      <c r="O16" t="s">
        <v>509</v>
      </c>
      <c r="P16" t="s">
        <v>509</v>
      </c>
      <c r="Q16">
        <v>1</v>
      </c>
      <c r="X16">
        <v>10.5</v>
      </c>
      <c r="Y16">
        <v>0</v>
      </c>
      <c r="Z16">
        <v>2.41</v>
      </c>
      <c r="AA16">
        <v>0</v>
      </c>
      <c r="AB16">
        <v>0</v>
      </c>
      <c r="AC16">
        <v>0</v>
      </c>
      <c r="AD16">
        <v>1</v>
      </c>
      <c r="AE16">
        <v>0</v>
      </c>
      <c r="AF16" t="s">
        <v>27</v>
      </c>
      <c r="AG16">
        <v>12.074999999999999</v>
      </c>
      <c r="AH16">
        <v>2</v>
      </c>
      <c r="AI16">
        <v>75604926</v>
      </c>
      <c r="AJ16">
        <v>16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4" x14ac:dyDescent="0.25">
      <c r="A17">
        <f>ROW(Source!A47)</f>
        <v>47</v>
      </c>
      <c r="B17">
        <v>75604927</v>
      </c>
      <c r="C17">
        <v>75604919</v>
      </c>
      <c r="D17">
        <v>74310033</v>
      </c>
      <c r="E17">
        <v>1</v>
      </c>
      <c r="F17">
        <v>1</v>
      </c>
      <c r="G17">
        <v>1</v>
      </c>
      <c r="H17">
        <v>2</v>
      </c>
      <c r="I17" t="s">
        <v>519</v>
      </c>
      <c r="J17" t="s">
        <v>520</v>
      </c>
      <c r="K17" t="s">
        <v>521</v>
      </c>
      <c r="L17">
        <v>1368</v>
      </c>
      <c r="N17">
        <v>1011</v>
      </c>
      <c r="O17" t="s">
        <v>509</v>
      </c>
      <c r="P17" t="s">
        <v>509</v>
      </c>
      <c r="Q17">
        <v>1</v>
      </c>
      <c r="X17">
        <v>2.62</v>
      </c>
      <c r="Y17">
        <v>0</v>
      </c>
      <c r="Z17">
        <v>385.61</v>
      </c>
      <c r="AA17">
        <v>368.02</v>
      </c>
      <c r="AB17">
        <v>0</v>
      </c>
      <c r="AC17">
        <v>0</v>
      </c>
      <c r="AD17">
        <v>1</v>
      </c>
      <c r="AE17">
        <v>0</v>
      </c>
      <c r="AF17" t="s">
        <v>27</v>
      </c>
      <c r="AG17">
        <v>3.0129999999999999</v>
      </c>
      <c r="AH17">
        <v>2</v>
      </c>
      <c r="AI17">
        <v>75604927</v>
      </c>
      <c r="AJ17">
        <v>17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 x14ac:dyDescent="0.25">
      <c r="A18">
        <f>ROW(Source!A48)</f>
        <v>48</v>
      </c>
      <c r="B18">
        <v>75605771</v>
      </c>
      <c r="C18">
        <v>75605769</v>
      </c>
      <c r="D18">
        <v>74182263</v>
      </c>
      <c r="E18">
        <v>118</v>
      </c>
      <c r="F18">
        <v>1</v>
      </c>
      <c r="G18">
        <v>1</v>
      </c>
      <c r="H18">
        <v>1</v>
      </c>
      <c r="I18" t="s">
        <v>514</v>
      </c>
      <c r="J18" t="s">
        <v>3</v>
      </c>
      <c r="K18" t="s">
        <v>515</v>
      </c>
      <c r="L18">
        <v>1191</v>
      </c>
      <c r="N18">
        <v>1013</v>
      </c>
      <c r="O18" t="s">
        <v>501</v>
      </c>
      <c r="P18" t="s">
        <v>501</v>
      </c>
      <c r="Q18">
        <v>1</v>
      </c>
      <c r="X18">
        <v>100</v>
      </c>
      <c r="Y18">
        <v>0</v>
      </c>
      <c r="Z18">
        <v>0</v>
      </c>
      <c r="AA18">
        <v>0</v>
      </c>
      <c r="AB18">
        <v>326.82</v>
      </c>
      <c r="AC18">
        <v>0</v>
      </c>
      <c r="AD18">
        <v>1</v>
      </c>
      <c r="AE18">
        <v>1</v>
      </c>
      <c r="AF18" t="s">
        <v>27</v>
      </c>
      <c r="AG18">
        <v>114.99999999999999</v>
      </c>
      <c r="AH18">
        <v>2</v>
      </c>
      <c r="AI18">
        <v>75605771</v>
      </c>
      <c r="AJ18">
        <v>18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 x14ac:dyDescent="0.25">
      <c r="A19">
        <f>ROW(Source!A49)</f>
        <v>49</v>
      </c>
      <c r="B19">
        <v>75604938</v>
      </c>
      <c r="C19">
        <v>75604928</v>
      </c>
      <c r="D19">
        <v>74182263</v>
      </c>
      <c r="E19">
        <v>118</v>
      </c>
      <c r="F19">
        <v>1</v>
      </c>
      <c r="G19">
        <v>1</v>
      </c>
      <c r="H19">
        <v>1</v>
      </c>
      <c r="I19" t="s">
        <v>514</v>
      </c>
      <c r="J19" t="s">
        <v>3</v>
      </c>
      <c r="K19" t="s">
        <v>515</v>
      </c>
      <c r="L19">
        <v>1191</v>
      </c>
      <c r="N19">
        <v>1013</v>
      </c>
      <c r="O19" t="s">
        <v>501</v>
      </c>
      <c r="P19" t="s">
        <v>501</v>
      </c>
      <c r="Q19">
        <v>1</v>
      </c>
      <c r="X19">
        <v>1.44</v>
      </c>
      <c r="Y19">
        <v>0</v>
      </c>
      <c r="Z19">
        <v>0</v>
      </c>
      <c r="AA19">
        <v>0</v>
      </c>
      <c r="AB19">
        <v>326.82</v>
      </c>
      <c r="AC19">
        <v>0</v>
      </c>
      <c r="AD19">
        <v>1</v>
      </c>
      <c r="AE19">
        <v>1</v>
      </c>
      <c r="AF19" t="s">
        <v>27</v>
      </c>
      <c r="AG19">
        <v>1.6559999999999999</v>
      </c>
      <c r="AH19">
        <v>2</v>
      </c>
      <c r="AI19">
        <v>75604938</v>
      </c>
      <c r="AJ19">
        <v>19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 x14ac:dyDescent="0.25">
      <c r="A20">
        <f>ROW(Source!A49)</f>
        <v>49</v>
      </c>
      <c r="B20">
        <v>75604939</v>
      </c>
      <c r="C20">
        <v>75604928</v>
      </c>
      <c r="D20">
        <v>74182464</v>
      </c>
      <c r="E20">
        <v>118</v>
      </c>
      <c r="F20">
        <v>1</v>
      </c>
      <c r="G20">
        <v>1</v>
      </c>
      <c r="H20">
        <v>1</v>
      </c>
      <c r="I20" t="s">
        <v>504</v>
      </c>
      <c r="J20" t="s">
        <v>3</v>
      </c>
      <c r="K20" t="s">
        <v>505</v>
      </c>
      <c r="L20">
        <v>1191</v>
      </c>
      <c r="N20">
        <v>1013</v>
      </c>
      <c r="O20" t="s">
        <v>501</v>
      </c>
      <c r="P20" t="s">
        <v>501</v>
      </c>
      <c r="Q20">
        <v>1</v>
      </c>
      <c r="X20">
        <v>0.27</v>
      </c>
      <c r="Y20">
        <v>0</v>
      </c>
      <c r="Z20">
        <v>0</v>
      </c>
      <c r="AA20">
        <v>0</v>
      </c>
      <c r="AB20">
        <v>0</v>
      </c>
      <c r="AC20">
        <v>0</v>
      </c>
      <c r="AD20">
        <v>1</v>
      </c>
      <c r="AE20">
        <v>2</v>
      </c>
      <c r="AF20" t="s">
        <v>27</v>
      </c>
      <c r="AG20">
        <v>0.3105</v>
      </c>
      <c r="AH20">
        <v>2</v>
      </c>
      <c r="AI20">
        <v>75604939</v>
      </c>
      <c r="AJ20">
        <v>20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4" x14ac:dyDescent="0.25">
      <c r="A21">
        <f>ROW(Source!A49)</f>
        <v>49</v>
      </c>
      <c r="B21">
        <v>75604940</v>
      </c>
      <c r="C21">
        <v>75604928</v>
      </c>
      <c r="D21">
        <v>74309574</v>
      </c>
      <c r="E21">
        <v>1</v>
      </c>
      <c r="F21">
        <v>1</v>
      </c>
      <c r="G21">
        <v>1</v>
      </c>
      <c r="H21">
        <v>2</v>
      </c>
      <c r="I21" t="s">
        <v>523</v>
      </c>
      <c r="J21" t="s">
        <v>524</v>
      </c>
      <c r="K21" t="s">
        <v>525</v>
      </c>
      <c r="L21">
        <v>1368</v>
      </c>
      <c r="N21">
        <v>1011</v>
      </c>
      <c r="O21" t="s">
        <v>509</v>
      </c>
      <c r="P21" t="s">
        <v>509</v>
      </c>
      <c r="Q21">
        <v>1</v>
      </c>
      <c r="X21">
        <v>0.11</v>
      </c>
      <c r="Y21">
        <v>0</v>
      </c>
      <c r="Z21">
        <v>2279.3200000000002</v>
      </c>
      <c r="AA21">
        <v>527.30999999999995</v>
      </c>
      <c r="AB21">
        <v>0</v>
      </c>
      <c r="AC21">
        <v>0</v>
      </c>
      <c r="AD21">
        <v>1</v>
      </c>
      <c r="AE21">
        <v>0</v>
      </c>
      <c r="AF21" t="s">
        <v>27</v>
      </c>
      <c r="AG21">
        <v>0.1265</v>
      </c>
      <c r="AH21">
        <v>2</v>
      </c>
      <c r="AI21">
        <v>75604940</v>
      </c>
      <c r="AJ21">
        <v>21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 x14ac:dyDescent="0.25">
      <c r="A22">
        <f>ROW(Source!A49)</f>
        <v>49</v>
      </c>
      <c r="B22">
        <v>75604941</v>
      </c>
      <c r="C22">
        <v>75604928</v>
      </c>
      <c r="D22">
        <v>74309824</v>
      </c>
      <c r="E22">
        <v>1</v>
      </c>
      <c r="F22">
        <v>1</v>
      </c>
      <c r="G22">
        <v>1</v>
      </c>
      <c r="H22">
        <v>2</v>
      </c>
      <c r="I22" t="s">
        <v>527</v>
      </c>
      <c r="J22" t="s">
        <v>528</v>
      </c>
      <c r="K22" t="s">
        <v>529</v>
      </c>
      <c r="L22">
        <v>1368</v>
      </c>
      <c r="N22">
        <v>1011</v>
      </c>
      <c r="O22" t="s">
        <v>509</v>
      </c>
      <c r="P22" t="s">
        <v>509</v>
      </c>
      <c r="Q22">
        <v>1</v>
      </c>
      <c r="X22">
        <v>0.16</v>
      </c>
      <c r="Y22">
        <v>0</v>
      </c>
      <c r="Z22">
        <v>551.45000000000005</v>
      </c>
      <c r="AA22">
        <v>368.02</v>
      </c>
      <c r="AB22">
        <v>0</v>
      </c>
      <c r="AC22">
        <v>0</v>
      </c>
      <c r="AD22">
        <v>1</v>
      </c>
      <c r="AE22">
        <v>0</v>
      </c>
      <c r="AF22" t="s">
        <v>27</v>
      </c>
      <c r="AG22">
        <v>0.184</v>
      </c>
      <c r="AH22">
        <v>2</v>
      </c>
      <c r="AI22">
        <v>75604941</v>
      </c>
      <c r="AJ22">
        <v>22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 x14ac:dyDescent="0.25">
      <c r="A23">
        <f>ROW(Source!A49)</f>
        <v>49</v>
      </c>
      <c r="B23">
        <v>75604942</v>
      </c>
      <c r="C23">
        <v>75604928</v>
      </c>
      <c r="D23">
        <v>74260587</v>
      </c>
      <c r="E23">
        <v>1</v>
      </c>
      <c r="F23">
        <v>1</v>
      </c>
      <c r="G23">
        <v>1</v>
      </c>
      <c r="H23">
        <v>3</v>
      </c>
      <c r="I23" t="s">
        <v>530</v>
      </c>
      <c r="J23" t="s">
        <v>531</v>
      </c>
      <c r="K23" t="s">
        <v>532</v>
      </c>
      <c r="L23">
        <v>1348</v>
      </c>
      <c r="N23">
        <v>1009</v>
      </c>
      <c r="O23" t="s">
        <v>174</v>
      </c>
      <c r="P23" t="s">
        <v>174</v>
      </c>
      <c r="Q23">
        <v>1000</v>
      </c>
      <c r="X23">
        <v>2.7999999999999998E-4</v>
      </c>
      <c r="Y23">
        <v>70296.2</v>
      </c>
      <c r="Z23">
        <v>0</v>
      </c>
      <c r="AA23">
        <v>0</v>
      </c>
      <c r="AB23">
        <v>0</v>
      </c>
      <c r="AC23">
        <v>0</v>
      </c>
      <c r="AD23">
        <v>1</v>
      </c>
      <c r="AE23">
        <v>0</v>
      </c>
      <c r="AF23" t="s">
        <v>3</v>
      </c>
      <c r="AG23">
        <v>2.7999999999999998E-4</v>
      </c>
      <c r="AH23">
        <v>2</v>
      </c>
      <c r="AI23">
        <v>75604942</v>
      </c>
      <c r="AJ23">
        <v>23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 x14ac:dyDescent="0.25">
      <c r="A24">
        <f>ROW(Source!A49)</f>
        <v>49</v>
      </c>
      <c r="B24">
        <v>75604943</v>
      </c>
      <c r="C24">
        <v>75604928</v>
      </c>
      <c r="D24">
        <v>74267758</v>
      </c>
      <c r="E24">
        <v>1</v>
      </c>
      <c r="F24">
        <v>1</v>
      </c>
      <c r="G24">
        <v>1</v>
      </c>
      <c r="H24">
        <v>3</v>
      </c>
      <c r="I24" t="s">
        <v>533</v>
      </c>
      <c r="J24" t="s">
        <v>534</v>
      </c>
      <c r="K24" t="s">
        <v>535</v>
      </c>
      <c r="L24">
        <v>1348</v>
      </c>
      <c r="N24">
        <v>1009</v>
      </c>
      <c r="O24" t="s">
        <v>174</v>
      </c>
      <c r="P24" t="s">
        <v>174</v>
      </c>
      <c r="Q24">
        <v>1000</v>
      </c>
      <c r="X24">
        <v>2.0999999999999999E-3</v>
      </c>
      <c r="Y24">
        <v>60258.2</v>
      </c>
      <c r="Z24">
        <v>0</v>
      </c>
      <c r="AA24">
        <v>0</v>
      </c>
      <c r="AB24">
        <v>0</v>
      </c>
      <c r="AC24">
        <v>0</v>
      </c>
      <c r="AD24">
        <v>1</v>
      </c>
      <c r="AE24">
        <v>0</v>
      </c>
      <c r="AF24" t="s">
        <v>3</v>
      </c>
      <c r="AG24">
        <v>2.0999999999999999E-3</v>
      </c>
      <c r="AH24">
        <v>2</v>
      </c>
      <c r="AI24">
        <v>75604943</v>
      </c>
      <c r="AJ24">
        <v>24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</row>
    <row r="25" spans="1:44" x14ac:dyDescent="0.25">
      <c r="A25">
        <f>ROW(Source!A49)</f>
        <v>49</v>
      </c>
      <c r="B25">
        <v>75604944</v>
      </c>
      <c r="C25">
        <v>75604928</v>
      </c>
      <c r="D25">
        <v>74269895</v>
      </c>
      <c r="E25">
        <v>1</v>
      </c>
      <c r="F25">
        <v>1</v>
      </c>
      <c r="G25">
        <v>1</v>
      </c>
      <c r="H25">
        <v>3</v>
      </c>
      <c r="I25" t="s">
        <v>536</v>
      </c>
      <c r="J25" t="s">
        <v>537</v>
      </c>
      <c r="K25" t="s">
        <v>538</v>
      </c>
      <c r="L25">
        <v>1339</v>
      </c>
      <c r="N25">
        <v>1007</v>
      </c>
      <c r="O25" t="s">
        <v>205</v>
      </c>
      <c r="P25" t="s">
        <v>205</v>
      </c>
      <c r="Q25">
        <v>1</v>
      </c>
      <c r="X25">
        <v>3.5999999999999997E-2</v>
      </c>
      <c r="Y25">
        <v>6442.06</v>
      </c>
      <c r="Z25">
        <v>0</v>
      </c>
      <c r="AA25">
        <v>0</v>
      </c>
      <c r="AB25">
        <v>0</v>
      </c>
      <c r="AC25">
        <v>0</v>
      </c>
      <c r="AD25">
        <v>1</v>
      </c>
      <c r="AE25">
        <v>0</v>
      </c>
      <c r="AF25" t="s">
        <v>3</v>
      </c>
      <c r="AG25">
        <v>3.5999999999999997E-2</v>
      </c>
      <c r="AH25">
        <v>2</v>
      </c>
      <c r="AI25">
        <v>75604944</v>
      </c>
      <c r="AJ25">
        <v>25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</row>
    <row r="26" spans="1:44" x14ac:dyDescent="0.25">
      <c r="A26">
        <f>ROW(Source!A49)</f>
        <v>49</v>
      </c>
      <c r="B26">
        <v>75604945</v>
      </c>
      <c r="C26">
        <v>75604928</v>
      </c>
      <c r="D26">
        <v>74269924</v>
      </c>
      <c r="E26">
        <v>1</v>
      </c>
      <c r="F26">
        <v>1</v>
      </c>
      <c r="G26">
        <v>1</v>
      </c>
      <c r="H26">
        <v>3</v>
      </c>
      <c r="I26" t="s">
        <v>539</v>
      </c>
      <c r="J26" t="s">
        <v>540</v>
      </c>
      <c r="K26" t="s">
        <v>541</v>
      </c>
      <c r="L26">
        <v>1339</v>
      </c>
      <c r="N26">
        <v>1007</v>
      </c>
      <c r="O26" t="s">
        <v>205</v>
      </c>
      <c r="P26" t="s">
        <v>205</v>
      </c>
      <c r="Q26">
        <v>1</v>
      </c>
      <c r="X26">
        <v>2.5000000000000001E-3</v>
      </c>
      <c r="Y26">
        <v>16496.03</v>
      </c>
      <c r="Z26">
        <v>0</v>
      </c>
      <c r="AA26">
        <v>0</v>
      </c>
      <c r="AB26">
        <v>0</v>
      </c>
      <c r="AC26">
        <v>0</v>
      </c>
      <c r="AD26">
        <v>1</v>
      </c>
      <c r="AE26">
        <v>0</v>
      </c>
      <c r="AF26" t="s">
        <v>3</v>
      </c>
      <c r="AG26">
        <v>2.5000000000000001E-3</v>
      </c>
      <c r="AH26">
        <v>2</v>
      </c>
      <c r="AI26">
        <v>75604945</v>
      </c>
      <c r="AJ26">
        <v>26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 spans="1:44" x14ac:dyDescent="0.25">
      <c r="A27">
        <f>ROW(Source!A49)</f>
        <v>49</v>
      </c>
      <c r="B27">
        <v>75604946</v>
      </c>
      <c r="C27">
        <v>75604928</v>
      </c>
      <c r="D27">
        <v>74269970</v>
      </c>
      <c r="E27">
        <v>1</v>
      </c>
      <c r="F27">
        <v>1</v>
      </c>
      <c r="G27">
        <v>1</v>
      </c>
      <c r="H27">
        <v>3</v>
      </c>
      <c r="I27" t="s">
        <v>542</v>
      </c>
      <c r="J27" t="s">
        <v>543</v>
      </c>
      <c r="K27" t="s">
        <v>544</v>
      </c>
      <c r="L27">
        <v>1339</v>
      </c>
      <c r="N27">
        <v>1007</v>
      </c>
      <c r="O27" t="s">
        <v>205</v>
      </c>
      <c r="P27" t="s">
        <v>205</v>
      </c>
      <c r="Q27">
        <v>1</v>
      </c>
      <c r="X27">
        <v>5.2999999999999999E-2</v>
      </c>
      <c r="Y27">
        <v>5764.42</v>
      </c>
      <c r="Z27">
        <v>0</v>
      </c>
      <c r="AA27">
        <v>0</v>
      </c>
      <c r="AB27">
        <v>0</v>
      </c>
      <c r="AC27">
        <v>0</v>
      </c>
      <c r="AD27">
        <v>1</v>
      </c>
      <c r="AE27">
        <v>0</v>
      </c>
      <c r="AF27" t="s">
        <v>3</v>
      </c>
      <c r="AG27">
        <v>5.2999999999999999E-2</v>
      </c>
      <c r="AH27">
        <v>2</v>
      </c>
      <c r="AI27">
        <v>75604946</v>
      </c>
      <c r="AJ27">
        <v>27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</row>
    <row r="28" spans="1:44" x14ac:dyDescent="0.25">
      <c r="A28">
        <f>ROW(Source!A87)</f>
        <v>87</v>
      </c>
      <c r="B28">
        <v>75605216</v>
      </c>
      <c r="C28">
        <v>75605213</v>
      </c>
      <c r="D28">
        <v>74182223</v>
      </c>
      <c r="E28">
        <v>118</v>
      </c>
      <c r="F28">
        <v>1</v>
      </c>
      <c r="G28">
        <v>1</v>
      </c>
      <c r="H28">
        <v>1</v>
      </c>
      <c r="I28" t="s">
        <v>499</v>
      </c>
      <c r="J28" t="s">
        <v>3</v>
      </c>
      <c r="K28" t="s">
        <v>500</v>
      </c>
      <c r="L28">
        <v>1191</v>
      </c>
      <c r="N28">
        <v>1013</v>
      </c>
      <c r="O28" t="s">
        <v>501</v>
      </c>
      <c r="P28" t="s">
        <v>501</v>
      </c>
      <c r="Q28">
        <v>1</v>
      </c>
      <c r="X28">
        <v>85.8</v>
      </c>
      <c r="Y28">
        <v>0</v>
      </c>
      <c r="Z28">
        <v>0</v>
      </c>
      <c r="AA28">
        <v>0</v>
      </c>
      <c r="AB28">
        <v>299.36</v>
      </c>
      <c r="AC28">
        <v>0</v>
      </c>
      <c r="AD28">
        <v>1</v>
      </c>
      <c r="AE28">
        <v>1</v>
      </c>
      <c r="AF28" t="s">
        <v>27</v>
      </c>
      <c r="AG28">
        <v>98.669999999999987</v>
      </c>
      <c r="AH28">
        <v>2</v>
      </c>
      <c r="AI28">
        <v>75605216</v>
      </c>
      <c r="AJ28">
        <v>28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</row>
    <row r="29" spans="1:44" x14ac:dyDescent="0.25">
      <c r="A29">
        <f>ROW(Source!A87)</f>
        <v>87</v>
      </c>
      <c r="B29">
        <v>75605217</v>
      </c>
      <c r="C29">
        <v>75605213</v>
      </c>
      <c r="D29">
        <v>74310122</v>
      </c>
      <c r="E29">
        <v>1</v>
      </c>
      <c r="F29">
        <v>1</v>
      </c>
      <c r="G29">
        <v>1</v>
      </c>
      <c r="H29">
        <v>2</v>
      </c>
      <c r="I29" t="s">
        <v>545</v>
      </c>
      <c r="J29" t="s">
        <v>546</v>
      </c>
      <c r="K29" t="s">
        <v>547</v>
      </c>
      <c r="L29">
        <v>1368</v>
      </c>
      <c r="N29">
        <v>1011</v>
      </c>
      <c r="O29" t="s">
        <v>509</v>
      </c>
      <c r="P29" t="s">
        <v>509</v>
      </c>
      <c r="Q29">
        <v>1</v>
      </c>
      <c r="X29">
        <v>286</v>
      </c>
      <c r="Y29">
        <v>0</v>
      </c>
      <c r="Z29">
        <v>13.04</v>
      </c>
      <c r="AA29">
        <v>0</v>
      </c>
      <c r="AB29">
        <v>0</v>
      </c>
      <c r="AC29">
        <v>0</v>
      </c>
      <c r="AD29">
        <v>1</v>
      </c>
      <c r="AE29">
        <v>0</v>
      </c>
      <c r="AF29" t="s">
        <v>27</v>
      </c>
      <c r="AG29">
        <v>328.9</v>
      </c>
      <c r="AH29">
        <v>2</v>
      </c>
      <c r="AI29">
        <v>75605217</v>
      </c>
      <c r="AJ29">
        <v>29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</row>
    <row r="30" spans="1:44" x14ac:dyDescent="0.25">
      <c r="A30">
        <f>ROW(Source!A89)</f>
        <v>89</v>
      </c>
      <c r="B30">
        <v>75605375</v>
      </c>
      <c r="C30">
        <v>75605362</v>
      </c>
      <c r="D30">
        <v>74182417</v>
      </c>
      <c r="E30">
        <v>118</v>
      </c>
      <c r="F30">
        <v>1</v>
      </c>
      <c r="G30">
        <v>1</v>
      </c>
      <c r="H30">
        <v>1</v>
      </c>
      <c r="I30" t="s">
        <v>548</v>
      </c>
      <c r="J30" t="s">
        <v>3</v>
      </c>
      <c r="K30" t="s">
        <v>549</v>
      </c>
      <c r="L30">
        <v>1369</v>
      </c>
      <c r="N30">
        <v>1013</v>
      </c>
      <c r="O30" t="s">
        <v>550</v>
      </c>
      <c r="P30" t="s">
        <v>550</v>
      </c>
      <c r="Q30">
        <v>1</v>
      </c>
      <c r="X30">
        <v>0.02</v>
      </c>
      <c r="Y30">
        <v>0</v>
      </c>
      <c r="Z30">
        <v>0</v>
      </c>
      <c r="AA30">
        <v>0</v>
      </c>
      <c r="AB30">
        <v>274.64</v>
      </c>
      <c r="AC30">
        <v>0</v>
      </c>
      <c r="AD30">
        <v>1</v>
      </c>
      <c r="AE30">
        <v>1</v>
      </c>
      <c r="AF30" t="s">
        <v>27</v>
      </c>
      <c r="AG30">
        <v>2.3E-2</v>
      </c>
      <c r="AH30">
        <v>2</v>
      </c>
      <c r="AI30">
        <v>75605375</v>
      </c>
      <c r="AJ30">
        <v>30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</row>
    <row r="31" spans="1:44" x14ac:dyDescent="0.25">
      <c r="A31">
        <f>ROW(Source!A89)</f>
        <v>89</v>
      </c>
      <c r="B31">
        <v>75605376</v>
      </c>
      <c r="C31">
        <v>75605362</v>
      </c>
      <c r="D31">
        <v>74182421</v>
      </c>
      <c r="E31">
        <v>118</v>
      </c>
      <c r="F31">
        <v>1</v>
      </c>
      <c r="G31">
        <v>1</v>
      </c>
      <c r="H31">
        <v>1</v>
      </c>
      <c r="I31" t="s">
        <v>551</v>
      </c>
      <c r="J31" t="s">
        <v>3</v>
      </c>
      <c r="K31" t="s">
        <v>552</v>
      </c>
      <c r="L31">
        <v>1369</v>
      </c>
      <c r="N31">
        <v>1013</v>
      </c>
      <c r="O31" t="s">
        <v>550</v>
      </c>
      <c r="P31" t="s">
        <v>550</v>
      </c>
      <c r="Q31">
        <v>1</v>
      </c>
      <c r="X31">
        <v>6.18</v>
      </c>
      <c r="Y31">
        <v>0</v>
      </c>
      <c r="Z31">
        <v>0</v>
      </c>
      <c r="AA31">
        <v>0</v>
      </c>
      <c r="AB31">
        <v>326.82</v>
      </c>
      <c r="AC31">
        <v>0</v>
      </c>
      <c r="AD31">
        <v>1</v>
      </c>
      <c r="AE31">
        <v>1</v>
      </c>
      <c r="AF31" t="s">
        <v>27</v>
      </c>
      <c r="AG31">
        <v>7.1069999999999993</v>
      </c>
      <c r="AH31">
        <v>2</v>
      </c>
      <c r="AI31">
        <v>75605376</v>
      </c>
      <c r="AJ31">
        <v>31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</row>
    <row r="32" spans="1:44" x14ac:dyDescent="0.25">
      <c r="A32">
        <f>ROW(Source!A89)</f>
        <v>89</v>
      </c>
      <c r="B32">
        <v>75605377</v>
      </c>
      <c r="C32">
        <v>75605362</v>
      </c>
      <c r="D32">
        <v>74182423</v>
      </c>
      <c r="E32">
        <v>118</v>
      </c>
      <c r="F32">
        <v>1</v>
      </c>
      <c r="G32">
        <v>1</v>
      </c>
      <c r="H32">
        <v>1</v>
      </c>
      <c r="I32" t="s">
        <v>553</v>
      </c>
      <c r="J32" t="s">
        <v>3</v>
      </c>
      <c r="K32" t="s">
        <v>554</v>
      </c>
      <c r="L32">
        <v>1369</v>
      </c>
      <c r="N32">
        <v>1013</v>
      </c>
      <c r="O32" t="s">
        <v>550</v>
      </c>
      <c r="P32" t="s">
        <v>550</v>
      </c>
      <c r="Q32">
        <v>1</v>
      </c>
      <c r="X32">
        <v>1.44</v>
      </c>
      <c r="Y32">
        <v>0</v>
      </c>
      <c r="Z32">
        <v>0</v>
      </c>
      <c r="AA32">
        <v>0</v>
      </c>
      <c r="AB32">
        <v>368.02</v>
      </c>
      <c r="AC32">
        <v>0</v>
      </c>
      <c r="AD32">
        <v>1</v>
      </c>
      <c r="AE32">
        <v>1</v>
      </c>
      <c r="AF32" t="s">
        <v>27</v>
      </c>
      <c r="AG32">
        <v>1.6559999999999999</v>
      </c>
      <c r="AH32">
        <v>2</v>
      </c>
      <c r="AI32">
        <v>75605377</v>
      </c>
      <c r="AJ32">
        <v>32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</row>
    <row r="33" spans="1:44" x14ac:dyDescent="0.25">
      <c r="A33">
        <f>ROW(Source!A89)</f>
        <v>89</v>
      </c>
      <c r="B33">
        <v>75605378</v>
      </c>
      <c r="C33">
        <v>75605362</v>
      </c>
      <c r="D33">
        <v>74182425</v>
      </c>
      <c r="E33">
        <v>118</v>
      </c>
      <c r="F33">
        <v>1</v>
      </c>
      <c r="G33">
        <v>1</v>
      </c>
      <c r="H33">
        <v>1</v>
      </c>
      <c r="I33" t="s">
        <v>555</v>
      </c>
      <c r="J33" t="s">
        <v>3</v>
      </c>
      <c r="K33" t="s">
        <v>556</v>
      </c>
      <c r="L33">
        <v>1369</v>
      </c>
      <c r="N33">
        <v>1013</v>
      </c>
      <c r="O33" t="s">
        <v>550</v>
      </c>
      <c r="P33" t="s">
        <v>550</v>
      </c>
      <c r="Q33">
        <v>1</v>
      </c>
      <c r="X33">
        <v>7.58</v>
      </c>
      <c r="Y33">
        <v>0</v>
      </c>
      <c r="Z33">
        <v>0</v>
      </c>
      <c r="AA33">
        <v>0</v>
      </c>
      <c r="AB33">
        <v>422.95</v>
      </c>
      <c r="AC33">
        <v>0</v>
      </c>
      <c r="AD33">
        <v>1</v>
      </c>
      <c r="AE33">
        <v>1</v>
      </c>
      <c r="AF33" t="s">
        <v>27</v>
      </c>
      <c r="AG33">
        <v>8.7169999999999987</v>
      </c>
      <c r="AH33">
        <v>2</v>
      </c>
      <c r="AI33">
        <v>75605378</v>
      </c>
      <c r="AJ33">
        <v>33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</row>
    <row r="34" spans="1:44" x14ac:dyDescent="0.25">
      <c r="A34">
        <f>ROW(Source!A89)</f>
        <v>89</v>
      </c>
      <c r="B34">
        <v>75605379</v>
      </c>
      <c r="C34">
        <v>75605362</v>
      </c>
      <c r="D34">
        <v>74182464</v>
      </c>
      <c r="E34">
        <v>118</v>
      </c>
      <c r="F34">
        <v>1</v>
      </c>
      <c r="G34">
        <v>1</v>
      </c>
      <c r="H34">
        <v>1</v>
      </c>
      <c r="I34" t="s">
        <v>504</v>
      </c>
      <c r="J34" t="s">
        <v>3</v>
      </c>
      <c r="K34" t="s">
        <v>505</v>
      </c>
      <c r="L34">
        <v>1191</v>
      </c>
      <c r="N34">
        <v>1013</v>
      </c>
      <c r="O34" t="s">
        <v>501</v>
      </c>
      <c r="P34" t="s">
        <v>501</v>
      </c>
      <c r="Q34">
        <v>1</v>
      </c>
      <c r="X34">
        <v>7.37</v>
      </c>
      <c r="Y34">
        <v>0</v>
      </c>
      <c r="Z34">
        <v>0</v>
      </c>
      <c r="AA34">
        <v>0</v>
      </c>
      <c r="AB34">
        <v>0</v>
      </c>
      <c r="AC34">
        <v>0</v>
      </c>
      <c r="AD34">
        <v>1</v>
      </c>
      <c r="AE34">
        <v>2</v>
      </c>
      <c r="AF34" t="s">
        <v>27</v>
      </c>
      <c r="AG34">
        <v>8.4755000000000003</v>
      </c>
      <c r="AH34">
        <v>2</v>
      </c>
      <c r="AI34">
        <v>75605379</v>
      </c>
      <c r="AJ34">
        <v>34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</row>
    <row r="35" spans="1:44" x14ac:dyDescent="0.25">
      <c r="A35">
        <f>ROW(Source!A89)</f>
        <v>89</v>
      </c>
      <c r="B35">
        <v>75605380</v>
      </c>
      <c r="C35">
        <v>75605362</v>
      </c>
      <c r="D35">
        <v>74309824</v>
      </c>
      <c r="E35">
        <v>1</v>
      </c>
      <c r="F35">
        <v>1</v>
      </c>
      <c r="G35">
        <v>1</v>
      </c>
      <c r="H35">
        <v>2</v>
      </c>
      <c r="I35" t="s">
        <v>527</v>
      </c>
      <c r="J35" t="s">
        <v>528</v>
      </c>
      <c r="K35" t="s">
        <v>529</v>
      </c>
      <c r="L35">
        <v>1368</v>
      </c>
      <c r="N35">
        <v>1011</v>
      </c>
      <c r="O35" t="s">
        <v>509</v>
      </c>
      <c r="P35" t="s">
        <v>509</v>
      </c>
      <c r="Q35">
        <v>1</v>
      </c>
      <c r="X35">
        <v>0.01</v>
      </c>
      <c r="Y35">
        <v>0</v>
      </c>
      <c r="Z35">
        <v>551.45000000000005</v>
      </c>
      <c r="AA35">
        <v>368.02</v>
      </c>
      <c r="AB35">
        <v>0</v>
      </c>
      <c r="AC35">
        <v>0</v>
      </c>
      <c r="AD35">
        <v>1</v>
      </c>
      <c r="AE35">
        <v>0</v>
      </c>
      <c r="AF35" t="s">
        <v>27</v>
      </c>
      <c r="AG35">
        <v>1.15E-2</v>
      </c>
      <c r="AH35">
        <v>2</v>
      </c>
      <c r="AI35">
        <v>75605380</v>
      </c>
      <c r="AJ35">
        <v>35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</row>
    <row r="36" spans="1:44" x14ac:dyDescent="0.25">
      <c r="A36">
        <f>ROW(Source!A89)</f>
        <v>89</v>
      </c>
      <c r="B36">
        <v>75605381</v>
      </c>
      <c r="C36">
        <v>75605362</v>
      </c>
      <c r="D36">
        <v>74309978</v>
      </c>
      <c r="E36">
        <v>1</v>
      </c>
      <c r="F36">
        <v>1</v>
      </c>
      <c r="G36">
        <v>1</v>
      </c>
      <c r="H36">
        <v>2</v>
      </c>
      <c r="I36" t="s">
        <v>557</v>
      </c>
      <c r="J36" t="s">
        <v>558</v>
      </c>
      <c r="K36" t="s">
        <v>559</v>
      </c>
      <c r="L36">
        <v>1368</v>
      </c>
      <c r="N36">
        <v>1011</v>
      </c>
      <c r="O36" t="s">
        <v>509</v>
      </c>
      <c r="P36" t="s">
        <v>509</v>
      </c>
      <c r="Q36">
        <v>1</v>
      </c>
      <c r="X36">
        <v>7.36</v>
      </c>
      <c r="Y36">
        <v>0</v>
      </c>
      <c r="Z36">
        <v>1069.08</v>
      </c>
      <c r="AA36">
        <v>422.95</v>
      </c>
      <c r="AB36">
        <v>0</v>
      </c>
      <c r="AC36">
        <v>0</v>
      </c>
      <c r="AD36">
        <v>1</v>
      </c>
      <c r="AE36">
        <v>0</v>
      </c>
      <c r="AF36" t="s">
        <v>27</v>
      </c>
      <c r="AG36">
        <v>8.4640000000000004</v>
      </c>
      <c r="AH36">
        <v>2</v>
      </c>
      <c r="AI36">
        <v>75605381</v>
      </c>
      <c r="AJ36">
        <v>36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</row>
    <row r="37" spans="1:44" x14ac:dyDescent="0.25">
      <c r="A37">
        <f>ROW(Source!A89)</f>
        <v>89</v>
      </c>
      <c r="B37">
        <v>75605382</v>
      </c>
      <c r="C37">
        <v>75605362</v>
      </c>
      <c r="D37">
        <v>74259041</v>
      </c>
      <c r="E37">
        <v>1</v>
      </c>
      <c r="F37">
        <v>1</v>
      </c>
      <c r="G37">
        <v>1</v>
      </c>
      <c r="H37">
        <v>3</v>
      </c>
      <c r="I37" t="s">
        <v>560</v>
      </c>
      <c r="J37" t="s">
        <v>561</v>
      </c>
      <c r="K37" t="s">
        <v>562</v>
      </c>
      <c r="L37">
        <v>1383</v>
      </c>
      <c r="N37">
        <v>1013</v>
      </c>
      <c r="O37" t="s">
        <v>563</v>
      </c>
      <c r="P37" t="s">
        <v>563</v>
      </c>
      <c r="Q37">
        <v>1</v>
      </c>
      <c r="X37">
        <v>3.4319999999999999</v>
      </c>
      <c r="Y37">
        <v>9.0399999999999991</v>
      </c>
      <c r="Z37">
        <v>0</v>
      </c>
      <c r="AA37">
        <v>0</v>
      </c>
      <c r="AB37">
        <v>0</v>
      </c>
      <c r="AC37">
        <v>0</v>
      </c>
      <c r="AD37">
        <v>1</v>
      </c>
      <c r="AE37">
        <v>0</v>
      </c>
      <c r="AF37" t="s">
        <v>3</v>
      </c>
      <c r="AG37">
        <v>3.4319999999999999</v>
      </c>
      <c r="AH37">
        <v>2</v>
      </c>
      <c r="AI37">
        <v>75605382</v>
      </c>
      <c r="AJ37">
        <v>37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</row>
    <row r="38" spans="1:44" x14ac:dyDescent="0.25">
      <c r="A38">
        <f>ROW(Source!A89)</f>
        <v>89</v>
      </c>
      <c r="B38">
        <v>75605383</v>
      </c>
      <c r="C38">
        <v>75605362</v>
      </c>
      <c r="D38">
        <v>74259724</v>
      </c>
      <c r="E38">
        <v>1</v>
      </c>
      <c r="F38">
        <v>1</v>
      </c>
      <c r="G38">
        <v>1</v>
      </c>
      <c r="H38">
        <v>3</v>
      </c>
      <c r="I38" t="s">
        <v>564</v>
      </c>
      <c r="J38" t="s">
        <v>565</v>
      </c>
      <c r="K38" t="s">
        <v>566</v>
      </c>
      <c r="L38">
        <v>1346</v>
      </c>
      <c r="N38">
        <v>1009</v>
      </c>
      <c r="O38" t="s">
        <v>240</v>
      </c>
      <c r="P38" t="s">
        <v>240</v>
      </c>
      <c r="Q38">
        <v>1</v>
      </c>
      <c r="X38">
        <v>2.2000000000000002</v>
      </c>
      <c r="Y38">
        <v>187.01</v>
      </c>
      <c r="Z38">
        <v>0</v>
      </c>
      <c r="AA38">
        <v>0</v>
      </c>
      <c r="AB38">
        <v>0</v>
      </c>
      <c r="AC38">
        <v>0</v>
      </c>
      <c r="AD38">
        <v>1</v>
      </c>
      <c r="AE38">
        <v>0</v>
      </c>
      <c r="AF38" t="s">
        <v>3</v>
      </c>
      <c r="AG38">
        <v>2.2000000000000002</v>
      </c>
      <c r="AH38">
        <v>2</v>
      </c>
      <c r="AI38">
        <v>75605383</v>
      </c>
      <c r="AJ38">
        <v>38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</row>
    <row r="39" spans="1:44" x14ac:dyDescent="0.25">
      <c r="A39">
        <f>ROW(Source!A89)</f>
        <v>89</v>
      </c>
      <c r="B39">
        <v>75605384</v>
      </c>
      <c r="C39">
        <v>75605362</v>
      </c>
      <c r="D39">
        <v>74261035</v>
      </c>
      <c r="E39">
        <v>1</v>
      </c>
      <c r="F39">
        <v>1</v>
      </c>
      <c r="G39">
        <v>1</v>
      </c>
      <c r="H39">
        <v>3</v>
      </c>
      <c r="I39" t="s">
        <v>567</v>
      </c>
      <c r="J39" t="s">
        <v>568</v>
      </c>
      <c r="K39" t="s">
        <v>569</v>
      </c>
      <c r="L39">
        <v>1371</v>
      </c>
      <c r="N39">
        <v>1013</v>
      </c>
      <c r="O39" t="s">
        <v>222</v>
      </c>
      <c r="P39" t="s">
        <v>222</v>
      </c>
      <c r="Q39">
        <v>1</v>
      </c>
      <c r="X39">
        <v>0.24</v>
      </c>
      <c r="Y39">
        <v>101.12</v>
      </c>
      <c r="Z39">
        <v>0</v>
      </c>
      <c r="AA39">
        <v>0</v>
      </c>
      <c r="AB39">
        <v>0</v>
      </c>
      <c r="AC39">
        <v>0</v>
      </c>
      <c r="AD39">
        <v>1</v>
      </c>
      <c r="AE39">
        <v>0</v>
      </c>
      <c r="AF39" t="s">
        <v>3</v>
      </c>
      <c r="AG39">
        <v>0.24</v>
      </c>
      <c r="AH39">
        <v>2</v>
      </c>
      <c r="AI39">
        <v>75605384</v>
      </c>
      <c r="AJ39">
        <v>39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</row>
    <row r="40" spans="1:44" x14ac:dyDescent="0.25">
      <c r="A40">
        <f>ROW(Source!A89)</f>
        <v>89</v>
      </c>
      <c r="B40">
        <v>75605385</v>
      </c>
      <c r="C40">
        <v>75605362</v>
      </c>
      <c r="D40">
        <v>74187969</v>
      </c>
      <c r="E40">
        <v>118</v>
      </c>
      <c r="F40">
        <v>1</v>
      </c>
      <c r="G40">
        <v>1</v>
      </c>
      <c r="H40">
        <v>3</v>
      </c>
      <c r="I40" t="s">
        <v>739</v>
      </c>
      <c r="J40" t="s">
        <v>3</v>
      </c>
      <c r="K40" t="s">
        <v>740</v>
      </c>
      <c r="L40">
        <v>1371</v>
      </c>
      <c r="N40">
        <v>1013</v>
      </c>
      <c r="O40" t="s">
        <v>222</v>
      </c>
      <c r="P40" t="s">
        <v>222</v>
      </c>
      <c r="Q40">
        <v>1</v>
      </c>
      <c r="X40">
        <v>10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 t="s">
        <v>3</v>
      </c>
      <c r="AG40">
        <v>10</v>
      </c>
      <c r="AH40">
        <v>3</v>
      </c>
      <c r="AI40">
        <v>-1</v>
      </c>
      <c r="AJ40" t="s">
        <v>3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</row>
    <row r="41" spans="1:44" x14ac:dyDescent="0.25">
      <c r="A41">
        <f>ROW(Source!A91)</f>
        <v>91</v>
      </c>
      <c r="B41">
        <v>75605403</v>
      </c>
      <c r="C41">
        <v>75605390</v>
      </c>
      <c r="D41">
        <v>74182417</v>
      </c>
      <c r="E41">
        <v>118</v>
      </c>
      <c r="F41">
        <v>1</v>
      </c>
      <c r="G41">
        <v>1</v>
      </c>
      <c r="H41">
        <v>1</v>
      </c>
      <c r="I41" t="s">
        <v>548</v>
      </c>
      <c r="J41" t="s">
        <v>3</v>
      </c>
      <c r="K41" t="s">
        <v>549</v>
      </c>
      <c r="L41">
        <v>1369</v>
      </c>
      <c r="N41">
        <v>1013</v>
      </c>
      <c r="O41" t="s">
        <v>550</v>
      </c>
      <c r="P41" t="s">
        <v>550</v>
      </c>
      <c r="Q41">
        <v>1</v>
      </c>
      <c r="X41">
        <v>0.02</v>
      </c>
      <c r="Y41">
        <v>0</v>
      </c>
      <c r="Z41">
        <v>0</v>
      </c>
      <c r="AA41">
        <v>0</v>
      </c>
      <c r="AB41">
        <v>274.64</v>
      </c>
      <c r="AC41">
        <v>0</v>
      </c>
      <c r="AD41">
        <v>1</v>
      </c>
      <c r="AE41">
        <v>1</v>
      </c>
      <c r="AF41" t="s">
        <v>179</v>
      </c>
      <c r="AG41">
        <v>1.38E-2</v>
      </c>
      <c r="AH41">
        <v>2</v>
      </c>
      <c r="AI41">
        <v>75605403</v>
      </c>
      <c r="AJ41">
        <v>41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</row>
    <row r="42" spans="1:44" x14ac:dyDescent="0.25">
      <c r="A42">
        <f>ROW(Source!A91)</f>
        <v>91</v>
      </c>
      <c r="B42">
        <v>75605404</v>
      </c>
      <c r="C42">
        <v>75605390</v>
      </c>
      <c r="D42">
        <v>74182421</v>
      </c>
      <c r="E42">
        <v>118</v>
      </c>
      <c r="F42">
        <v>1</v>
      </c>
      <c r="G42">
        <v>1</v>
      </c>
      <c r="H42">
        <v>1</v>
      </c>
      <c r="I42" t="s">
        <v>551</v>
      </c>
      <c r="J42" t="s">
        <v>3</v>
      </c>
      <c r="K42" t="s">
        <v>552</v>
      </c>
      <c r="L42">
        <v>1369</v>
      </c>
      <c r="N42">
        <v>1013</v>
      </c>
      <c r="O42" t="s">
        <v>550</v>
      </c>
      <c r="P42" t="s">
        <v>550</v>
      </c>
      <c r="Q42">
        <v>1</v>
      </c>
      <c r="X42">
        <v>6.18</v>
      </c>
      <c r="Y42">
        <v>0</v>
      </c>
      <c r="Z42">
        <v>0</v>
      </c>
      <c r="AA42">
        <v>0</v>
      </c>
      <c r="AB42">
        <v>326.82</v>
      </c>
      <c r="AC42">
        <v>0</v>
      </c>
      <c r="AD42">
        <v>1</v>
      </c>
      <c r="AE42">
        <v>1</v>
      </c>
      <c r="AF42" t="s">
        <v>179</v>
      </c>
      <c r="AG42">
        <v>4.2641999999999998</v>
      </c>
      <c r="AH42">
        <v>2</v>
      </c>
      <c r="AI42">
        <v>75605404</v>
      </c>
      <c r="AJ42">
        <v>42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</row>
    <row r="43" spans="1:44" x14ac:dyDescent="0.25">
      <c r="A43">
        <f>ROW(Source!A91)</f>
        <v>91</v>
      </c>
      <c r="B43">
        <v>75605405</v>
      </c>
      <c r="C43">
        <v>75605390</v>
      </c>
      <c r="D43">
        <v>74182423</v>
      </c>
      <c r="E43">
        <v>118</v>
      </c>
      <c r="F43">
        <v>1</v>
      </c>
      <c r="G43">
        <v>1</v>
      </c>
      <c r="H43">
        <v>1</v>
      </c>
      <c r="I43" t="s">
        <v>553</v>
      </c>
      <c r="J43" t="s">
        <v>3</v>
      </c>
      <c r="K43" t="s">
        <v>554</v>
      </c>
      <c r="L43">
        <v>1369</v>
      </c>
      <c r="N43">
        <v>1013</v>
      </c>
      <c r="O43" t="s">
        <v>550</v>
      </c>
      <c r="P43" t="s">
        <v>550</v>
      </c>
      <c r="Q43">
        <v>1</v>
      </c>
      <c r="X43">
        <v>1.44</v>
      </c>
      <c r="Y43">
        <v>0</v>
      </c>
      <c r="Z43">
        <v>0</v>
      </c>
      <c r="AA43">
        <v>0</v>
      </c>
      <c r="AB43">
        <v>368.02</v>
      </c>
      <c r="AC43">
        <v>0</v>
      </c>
      <c r="AD43">
        <v>1</v>
      </c>
      <c r="AE43">
        <v>1</v>
      </c>
      <c r="AF43" t="s">
        <v>179</v>
      </c>
      <c r="AG43">
        <v>0.99359999999999993</v>
      </c>
      <c r="AH43">
        <v>2</v>
      </c>
      <c r="AI43">
        <v>75605405</v>
      </c>
      <c r="AJ43">
        <v>43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</row>
    <row r="44" spans="1:44" x14ac:dyDescent="0.25">
      <c r="A44">
        <f>ROW(Source!A91)</f>
        <v>91</v>
      </c>
      <c r="B44">
        <v>75605406</v>
      </c>
      <c r="C44">
        <v>75605390</v>
      </c>
      <c r="D44">
        <v>74182425</v>
      </c>
      <c r="E44">
        <v>118</v>
      </c>
      <c r="F44">
        <v>1</v>
      </c>
      <c r="G44">
        <v>1</v>
      </c>
      <c r="H44">
        <v>1</v>
      </c>
      <c r="I44" t="s">
        <v>555</v>
      </c>
      <c r="J44" t="s">
        <v>3</v>
      </c>
      <c r="K44" t="s">
        <v>556</v>
      </c>
      <c r="L44">
        <v>1369</v>
      </c>
      <c r="N44">
        <v>1013</v>
      </c>
      <c r="O44" t="s">
        <v>550</v>
      </c>
      <c r="P44" t="s">
        <v>550</v>
      </c>
      <c r="Q44">
        <v>1</v>
      </c>
      <c r="X44">
        <v>7.58</v>
      </c>
      <c r="Y44">
        <v>0</v>
      </c>
      <c r="Z44">
        <v>0</v>
      </c>
      <c r="AA44">
        <v>0</v>
      </c>
      <c r="AB44">
        <v>422.95</v>
      </c>
      <c r="AC44">
        <v>0</v>
      </c>
      <c r="AD44">
        <v>1</v>
      </c>
      <c r="AE44">
        <v>1</v>
      </c>
      <c r="AF44" t="s">
        <v>179</v>
      </c>
      <c r="AG44">
        <v>5.2301999999999991</v>
      </c>
      <c r="AH44">
        <v>2</v>
      </c>
      <c r="AI44">
        <v>75605406</v>
      </c>
      <c r="AJ44">
        <v>44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</row>
    <row r="45" spans="1:44" x14ac:dyDescent="0.25">
      <c r="A45">
        <f>ROW(Source!A91)</f>
        <v>91</v>
      </c>
      <c r="B45">
        <v>75605407</v>
      </c>
      <c r="C45">
        <v>75605390</v>
      </c>
      <c r="D45">
        <v>74182464</v>
      </c>
      <c r="E45">
        <v>118</v>
      </c>
      <c r="F45">
        <v>1</v>
      </c>
      <c r="G45">
        <v>1</v>
      </c>
      <c r="H45">
        <v>1</v>
      </c>
      <c r="I45" t="s">
        <v>504</v>
      </c>
      <c r="J45" t="s">
        <v>3</v>
      </c>
      <c r="K45" t="s">
        <v>505</v>
      </c>
      <c r="L45">
        <v>1191</v>
      </c>
      <c r="N45">
        <v>1013</v>
      </c>
      <c r="O45" t="s">
        <v>501</v>
      </c>
      <c r="P45" t="s">
        <v>501</v>
      </c>
      <c r="Q45">
        <v>1</v>
      </c>
      <c r="X45">
        <v>7.37</v>
      </c>
      <c r="Y45">
        <v>0</v>
      </c>
      <c r="Z45">
        <v>0</v>
      </c>
      <c r="AA45">
        <v>0</v>
      </c>
      <c r="AB45">
        <v>0</v>
      </c>
      <c r="AC45">
        <v>0</v>
      </c>
      <c r="AD45">
        <v>1</v>
      </c>
      <c r="AE45">
        <v>2</v>
      </c>
      <c r="AF45" t="s">
        <v>179</v>
      </c>
      <c r="AG45">
        <v>5.0853000000000002</v>
      </c>
      <c r="AH45">
        <v>2</v>
      </c>
      <c r="AI45">
        <v>75605407</v>
      </c>
      <c r="AJ45">
        <v>45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</row>
    <row r="46" spans="1:44" x14ac:dyDescent="0.25">
      <c r="A46">
        <f>ROW(Source!A91)</f>
        <v>91</v>
      </c>
      <c r="B46">
        <v>75605408</v>
      </c>
      <c r="C46">
        <v>75605390</v>
      </c>
      <c r="D46">
        <v>74309824</v>
      </c>
      <c r="E46">
        <v>1</v>
      </c>
      <c r="F46">
        <v>1</v>
      </c>
      <c r="G46">
        <v>1</v>
      </c>
      <c r="H46">
        <v>2</v>
      </c>
      <c r="I46" t="s">
        <v>527</v>
      </c>
      <c r="J46" t="s">
        <v>528</v>
      </c>
      <c r="K46" t="s">
        <v>529</v>
      </c>
      <c r="L46">
        <v>1368</v>
      </c>
      <c r="N46">
        <v>1011</v>
      </c>
      <c r="O46" t="s">
        <v>509</v>
      </c>
      <c r="P46" t="s">
        <v>509</v>
      </c>
      <c r="Q46">
        <v>1</v>
      </c>
      <c r="X46">
        <v>0.01</v>
      </c>
      <c r="Y46">
        <v>0</v>
      </c>
      <c r="Z46">
        <v>551.45000000000005</v>
      </c>
      <c r="AA46">
        <v>368.02</v>
      </c>
      <c r="AB46">
        <v>0</v>
      </c>
      <c r="AC46">
        <v>0</v>
      </c>
      <c r="AD46">
        <v>1</v>
      </c>
      <c r="AE46">
        <v>0</v>
      </c>
      <c r="AF46" t="s">
        <v>179</v>
      </c>
      <c r="AG46">
        <v>6.8999999999999999E-3</v>
      </c>
      <c r="AH46">
        <v>2</v>
      </c>
      <c r="AI46">
        <v>75605408</v>
      </c>
      <c r="AJ46">
        <v>46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</row>
    <row r="47" spans="1:44" x14ac:dyDescent="0.25">
      <c r="A47">
        <f>ROW(Source!A91)</f>
        <v>91</v>
      </c>
      <c r="B47">
        <v>75605409</v>
      </c>
      <c r="C47">
        <v>75605390</v>
      </c>
      <c r="D47">
        <v>74309978</v>
      </c>
      <c r="E47">
        <v>1</v>
      </c>
      <c r="F47">
        <v>1</v>
      </c>
      <c r="G47">
        <v>1</v>
      </c>
      <c r="H47">
        <v>2</v>
      </c>
      <c r="I47" t="s">
        <v>557</v>
      </c>
      <c r="J47" t="s">
        <v>558</v>
      </c>
      <c r="K47" t="s">
        <v>559</v>
      </c>
      <c r="L47">
        <v>1368</v>
      </c>
      <c r="N47">
        <v>1011</v>
      </c>
      <c r="O47" t="s">
        <v>509</v>
      </c>
      <c r="P47" t="s">
        <v>509</v>
      </c>
      <c r="Q47">
        <v>1</v>
      </c>
      <c r="X47">
        <v>7.36</v>
      </c>
      <c r="Y47">
        <v>0</v>
      </c>
      <c r="Z47">
        <v>1069.08</v>
      </c>
      <c r="AA47">
        <v>422.95</v>
      </c>
      <c r="AB47">
        <v>0</v>
      </c>
      <c r="AC47">
        <v>0</v>
      </c>
      <c r="AD47">
        <v>1</v>
      </c>
      <c r="AE47">
        <v>0</v>
      </c>
      <c r="AF47" t="s">
        <v>179</v>
      </c>
      <c r="AG47">
        <v>5.0784000000000002</v>
      </c>
      <c r="AH47">
        <v>2</v>
      </c>
      <c r="AI47">
        <v>75605409</v>
      </c>
      <c r="AJ47">
        <v>47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</row>
    <row r="48" spans="1:44" x14ac:dyDescent="0.25">
      <c r="A48">
        <f>ROW(Source!A91)</f>
        <v>91</v>
      </c>
      <c r="B48">
        <v>75605410</v>
      </c>
      <c r="C48">
        <v>75605390</v>
      </c>
      <c r="D48">
        <v>74259041</v>
      </c>
      <c r="E48">
        <v>1</v>
      </c>
      <c r="F48">
        <v>1</v>
      </c>
      <c r="G48">
        <v>1</v>
      </c>
      <c r="H48">
        <v>3</v>
      </c>
      <c r="I48" t="s">
        <v>560</v>
      </c>
      <c r="J48" t="s">
        <v>561</v>
      </c>
      <c r="K48" t="s">
        <v>562</v>
      </c>
      <c r="L48">
        <v>1383</v>
      </c>
      <c r="N48">
        <v>1013</v>
      </c>
      <c r="O48" t="s">
        <v>563</v>
      </c>
      <c r="P48" t="s">
        <v>563</v>
      </c>
      <c r="Q48">
        <v>1</v>
      </c>
      <c r="X48">
        <v>3.4319999999999999</v>
      </c>
      <c r="Y48">
        <v>9.0399999999999991</v>
      </c>
      <c r="Z48">
        <v>0</v>
      </c>
      <c r="AA48">
        <v>0</v>
      </c>
      <c r="AB48">
        <v>0</v>
      </c>
      <c r="AC48">
        <v>0</v>
      </c>
      <c r="AD48">
        <v>1</v>
      </c>
      <c r="AE48">
        <v>0</v>
      </c>
      <c r="AF48" t="s">
        <v>178</v>
      </c>
      <c r="AG48">
        <v>0</v>
      </c>
      <c r="AH48">
        <v>2</v>
      </c>
      <c r="AI48">
        <v>75605410</v>
      </c>
      <c r="AJ48">
        <v>48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</row>
    <row r="49" spans="1:44" x14ac:dyDescent="0.25">
      <c r="A49">
        <f>ROW(Source!A91)</f>
        <v>91</v>
      </c>
      <c r="B49">
        <v>75605411</v>
      </c>
      <c r="C49">
        <v>75605390</v>
      </c>
      <c r="D49">
        <v>74259724</v>
      </c>
      <c r="E49">
        <v>1</v>
      </c>
      <c r="F49">
        <v>1</v>
      </c>
      <c r="G49">
        <v>1</v>
      </c>
      <c r="H49">
        <v>3</v>
      </c>
      <c r="I49" t="s">
        <v>564</v>
      </c>
      <c r="J49" t="s">
        <v>565</v>
      </c>
      <c r="K49" t="s">
        <v>566</v>
      </c>
      <c r="L49">
        <v>1346</v>
      </c>
      <c r="N49">
        <v>1009</v>
      </c>
      <c r="O49" t="s">
        <v>240</v>
      </c>
      <c r="P49" t="s">
        <v>240</v>
      </c>
      <c r="Q49">
        <v>1</v>
      </c>
      <c r="X49">
        <v>2.2000000000000002</v>
      </c>
      <c r="Y49">
        <v>187.01</v>
      </c>
      <c r="Z49">
        <v>0</v>
      </c>
      <c r="AA49">
        <v>0</v>
      </c>
      <c r="AB49">
        <v>0</v>
      </c>
      <c r="AC49">
        <v>0</v>
      </c>
      <c r="AD49">
        <v>1</v>
      </c>
      <c r="AE49">
        <v>0</v>
      </c>
      <c r="AF49" t="s">
        <v>178</v>
      </c>
      <c r="AG49">
        <v>0</v>
      </c>
      <c r="AH49">
        <v>2</v>
      </c>
      <c r="AI49">
        <v>75605411</v>
      </c>
      <c r="AJ49">
        <v>49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</row>
    <row r="50" spans="1:44" x14ac:dyDescent="0.25">
      <c r="A50">
        <f>ROW(Source!A91)</f>
        <v>91</v>
      </c>
      <c r="B50">
        <v>75605412</v>
      </c>
      <c r="C50">
        <v>75605390</v>
      </c>
      <c r="D50">
        <v>74261035</v>
      </c>
      <c r="E50">
        <v>1</v>
      </c>
      <c r="F50">
        <v>1</v>
      </c>
      <c r="G50">
        <v>1</v>
      </c>
      <c r="H50">
        <v>3</v>
      </c>
      <c r="I50" t="s">
        <v>567</v>
      </c>
      <c r="J50" t="s">
        <v>568</v>
      </c>
      <c r="K50" t="s">
        <v>569</v>
      </c>
      <c r="L50">
        <v>1371</v>
      </c>
      <c r="N50">
        <v>1013</v>
      </c>
      <c r="O50" t="s">
        <v>222</v>
      </c>
      <c r="P50" t="s">
        <v>222</v>
      </c>
      <c r="Q50">
        <v>1</v>
      </c>
      <c r="X50">
        <v>0.24</v>
      </c>
      <c r="Y50">
        <v>101.12</v>
      </c>
      <c r="Z50">
        <v>0</v>
      </c>
      <c r="AA50">
        <v>0</v>
      </c>
      <c r="AB50">
        <v>0</v>
      </c>
      <c r="AC50">
        <v>0</v>
      </c>
      <c r="AD50">
        <v>1</v>
      </c>
      <c r="AE50">
        <v>0</v>
      </c>
      <c r="AF50" t="s">
        <v>178</v>
      </c>
      <c r="AG50">
        <v>0</v>
      </c>
      <c r="AH50">
        <v>2</v>
      </c>
      <c r="AI50">
        <v>75605412</v>
      </c>
      <c r="AJ50">
        <v>50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</row>
    <row r="51" spans="1:44" x14ac:dyDescent="0.25">
      <c r="A51">
        <f>ROW(Source!A91)</f>
        <v>91</v>
      </c>
      <c r="B51">
        <v>75605413</v>
      </c>
      <c r="C51">
        <v>75605390</v>
      </c>
      <c r="D51">
        <v>74187969</v>
      </c>
      <c r="E51">
        <v>118</v>
      </c>
      <c r="F51">
        <v>1</v>
      </c>
      <c r="G51">
        <v>1</v>
      </c>
      <c r="H51">
        <v>3</v>
      </c>
      <c r="I51" t="s">
        <v>739</v>
      </c>
      <c r="J51" t="s">
        <v>3</v>
      </c>
      <c r="K51" t="s">
        <v>740</v>
      </c>
      <c r="L51">
        <v>1371</v>
      </c>
      <c r="N51">
        <v>1013</v>
      </c>
      <c r="O51" t="s">
        <v>222</v>
      </c>
      <c r="P51" t="s">
        <v>222</v>
      </c>
      <c r="Q51">
        <v>1</v>
      </c>
      <c r="X51">
        <v>10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 t="s">
        <v>178</v>
      </c>
      <c r="AG51">
        <v>0</v>
      </c>
      <c r="AH51">
        <v>3</v>
      </c>
      <c r="AI51">
        <v>-1</v>
      </c>
      <c r="AJ51" t="s">
        <v>3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</row>
    <row r="52" spans="1:44" x14ac:dyDescent="0.25">
      <c r="A52">
        <f>ROW(Source!A93)</f>
        <v>93</v>
      </c>
      <c r="B52">
        <v>75605172</v>
      </c>
      <c r="C52">
        <v>75605170</v>
      </c>
      <c r="D52">
        <v>74182250</v>
      </c>
      <c r="E52">
        <v>118</v>
      </c>
      <c r="F52">
        <v>1</v>
      </c>
      <c r="G52">
        <v>1</v>
      </c>
      <c r="H52">
        <v>1</v>
      </c>
      <c r="I52" t="s">
        <v>570</v>
      </c>
      <c r="J52" t="s">
        <v>3</v>
      </c>
      <c r="K52" t="s">
        <v>571</v>
      </c>
      <c r="L52">
        <v>1191</v>
      </c>
      <c r="N52">
        <v>1013</v>
      </c>
      <c r="O52" t="s">
        <v>501</v>
      </c>
      <c r="P52" t="s">
        <v>501</v>
      </c>
      <c r="Q52">
        <v>1</v>
      </c>
      <c r="X52">
        <v>13.3</v>
      </c>
      <c r="Y52">
        <v>0</v>
      </c>
      <c r="Z52">
        <v>0</v>
      </c>
      <c r="AA52">
        <v>0</v>
      </c>
      <c r="AB52">
        <v>318.58</v>
      </c>
      <c r="AC52">
        <v>0</v>
      </c>
      <c r="AD52">
        <v>1</v>
      </c>
      <c r="AE52">
        <v>1</v>
      </c>
      <c r="AF52" t="s">
        <v>27</v>
      </c>
      <c r="AG52">
        <v>15.295</v>
      </c>
      <c r="AH52">
        <v>2</v>
      </c>
      <c r="AI52">
        <v>75605172</v>
      </c>
      <c r="AJ52">
        <v>51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</row>
    <row r="53" spans="1:44" x14ac:dyDescent="0.25">
      <c r="A53">
        <f>ROW(Source!A96)</f>
        <v>96</v>
      </c>
      <c r="B53">
        <v>75605357</v>
      </c>
      <c r="C53">
        <v>75605355</v>
      </c>
      <c r="D53">
        <v>37066811</v>
      </c>
      <c r="E53">
        <v>118</v>
      </c>
      <c r="F53">
        <v>1</v>
      </c>
      <c r="G53">
        <v>1</v>
      </c>
      <c r="H53">
        <v>1</v>
      </c>
      <c r="I53" t="s">
        <v>572</v>
      </c>
      <c r="J53" t="s">
        <v>3</v>
      </c>
      <c r="K53" t="s">
        <v>573</v>
      </c>
      <c r="L53">
        <v>1191</v>
      </c>
      <c r="N53">
        <v>1013</v>
      </c>
      <c r="O53" t="s">
        <v>501</v>
      </c>
      <c r="P53" t="s">
        <v>501</v>
      </c>
      <c r="Q53">
        <v>1</v>
      </c>
      <c r="X53">
        <v>4.32</v>
      </c>
      <c r="Y53">
        <v>0</v>
      </c>
      <c r="Z53">
        <v>0</v>
      </c>
      <c r="AA53">
        <v>0</v>
      </c>
      <c r="AB53">
        <v>296.89</v>
      </c>
      <c r="AC53">
        <v>0</v>
      </c>
      <c r="AD53">
        <v>1</v>
      </c>
      <c r="AE53">
        <v>1</v>
      </c>
      <c r="AF53" t="s">
        <v>27</v>
      </c>
      <c r="AG53">
        <v>4.968</v>
      </c>
      <c r="AH53">
        <v>2</v>
      </c>
      <c r="AI53">
        <v>75605356</v>
      </c>
      <c r="AJ53">
        <v>52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</row>
    <row r="54" spans="1:44" x14ac:dyDescent="0.25">
      <c r="A54">
        <f>ROW(Source!A97)</f>
        <v>97</v>
      </c>
      <c r="B54">
        <v>75605360</v>
      </c>
      <c r="C54">
        <v>75605358</v>
      </c>
      <c r="D54">
        <v>37071503</v>
      </c>
      <c r="E54">
        <v>118</v>
      </c>
      <c r="F54">
        <v>1</v>
      </c>
      <c r="G54">
        <v>1</v>
      </c>
      <c r="H54">
        <v>1</v>
      </c>
      <c r="I54" t="s">
        <v>502</v>
      </c>
      <c r="J54" t="s">
        <v>3</v>
      </c>
      <c r="K54" t="s">
        <v>503</v>
      </c>
      <c r="L54">
        <v>1191</v>
      </c>
      <c r="N54">
        <v>1013</v>
      </c>
      <c r="O54" t="s">
        <v>501</v>
      </c>
      <c r="P54" t="s">
        <v>501</v>
      </c>
      <c r="Q54">
        <v>1</v>
      </c>
      <c r="X54">
        <v>53.56</v>
      </c>
      <c r="Y54">
        <v>0</v>
      </c>
      <c r="Z54">
        <v>0</v>
      </c>
      <c r="AA54">
        <v>0</v>
      </c>
      <c r="AB54">
        <v>287</v>
      </c>
      <c r="AC54">
        <v>0</v>
      </c>
      <c r="AD54">
        <v>1</v>
      </c>
      <c r="AE54">
        <v>1</v>
      </c>
      <c r="AF54" t="s">
        <v>27</v>
      </c>
      <c r="AG54">
        <v>61.594000000000001</v>
      </c>
      <c r="AH54">
        <v>2</v>
      </c>
      <c r="AI54">
        <v>75605359</v>
      </c>
      <c r="AJ54">
        <v>53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</row>
    <row r="55" spans="1:44" x14ac:dyDescent="0.25">
      <c r="A55">
        <f>ROW(Source!A100)</f>
        <v>100</v>
      </c>
      <c r="B55">
        <v>75605186</v>
      </c>
      <c r="C55">
        <v>75605178</v>
      </c>
      <c r="D55">
        <v>74182263</v>
      </c>
      <c r="E55">
        <v>118</v>
      </c>
      <c r="F55">
        <v>1</v>
      </c>
      <c r="G55">
        <v>1</v>
      </c>
      <c r="H55">
        <v>1</v>
      </c>
      <c r="I55" t="s">
        <v>514</v>
      </c>
      <c r="J55" t="s">
        <v>3</v>
      </c>
      <c r="K55" t="s">
        <v>515</v>
      </c>
      <c r="L55">
        <v>1191</v>
      </c>
      <c r="N55">
        <v>1013</v>
      </c>
      <c r="O55" t="s">
        <v>501</v>
      </c>
      <c r="P55" t="s">
        <v>501</v>
      </c>
      <c r="Q55">
        <v>1</v>
      </c>
      <c r="X55">
        <v>22.4</v>
      </c>
      <c r="Y55">
        <v>0</v>
      </c>
      <c r="Z55">
        <v>0</v>
      </c>
      <c r="AA55">
        <v>0</v>
      </c>
      <c r="AB55">
        <v>326.82</v>
      </c>
      <c r="AC55">
        <v>0</v>
      </c>
      <c r="AD55">
        <v>1</v>
      </c>
      <c r="AE55">
        <v>1</v>
      </c>
      <c r="AF55" t="s">
        <v>27</v>
      </c>
      <c r="AG55">
        <v>25.759999999999998</v>
      </c>
      <c r="AH55">
        <v>2</v>
      </c>
      <c r="AI55">
        <v>75605186</v>
      </c>
      <c r="AJ55">
        <v>54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</row>
    <row r="56" spans="1:44" x14ac:dyDescent="0.25">
      <c r="A56">
        <f>ROW(Source!A100)</f>
        <v>100</v>
      </c>
      <c r="B56">
        <v>75605187</v>
      </c>
      <c r="C56">
        <v>75605178</v>
      </c>
      <c r="D56">
        <v>74182464</v>
      </c>
      <c r="E56">
        <v>118</v>
      </c>
      <c r="F56">
        <v>1</v>
      </c>
      <c r="G56">
        <v>1</v>
      </c>
      <c r="H56">
        <v>1</v>
      </c>
      <c r="I56" t="s">
        <v>504</v>
      </c>
      <c r="J56" t="s">
        <v>3</v>
      </c>
      <c r="K56" t="s">
        <v>505</v>
      </c>
      <c r="L56">
        <v>1191</v>
      </c>
      <c r="N56">
        <v>1013</v>
      </c>
      <c r="O56" t="s">
        <v>501</v>
      </c>
      <c r="P56" t="s">
        <v>501</v>
      </c>
      <c r="Q56">
        <v>1</v>
      </c>
      <c r="X56">
        <v>1.87</v>
      </c>
      <c r="Y56">
        <v>0</v>
      </c>
      <c r="Z56">
        <v>0</v>
      </c>
      <c r="AA56">
        <v>0</v>
      </c>
      <c r="AB56">
        <v>0</v>
      </c>
      <c r="AC56">
        <v>0</v>
      </c>
      <c r="AD56">
        <v>1</v>
      </c>
      <c r="AE56">
        <v>2</v>
      </c>
      <c r="AF56" t="s">
        <v>27</v>
      </c>
      <c r="AG56">
        <v>2.1505000000000001</v>
      </c>
      <c r="AH56">
        <v>2</v>
      </c>
      <c r="AI56">
        <v>75605187</v>
      </c>
      <c r="AJ56">
        <v>55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</row>
    <row r="57" spans="1:44" x14ac:dyDescent="0.25">
      <c r="A57">
        <f>ROW(Source!A100)</f>
        <v>100</v>
      </c>
      <c r="B57">
        <v>75605188</v>
      </c>
      <c r="C57">
        <v>75605178</v>
      </c>
      <c r="D57">
        <v>74308922</v>
      </c>
      <c r="E57">
        <v>1</v>
      </c>
      <c r="F57">
        <v>1</v>
      </c>
      <c r="G57">
        <v>1</v>
      </c>
      <c r="H57">
        <v>2</v>
      </c>
      <c r="I57" t="s">
        <v>574</v>
      </c>
      <c r="J57" t="s">
        <v>575</v>
      </c>
      <c r="K57" t="s">
        <v>576</v>
      </c>
      <c r="L57">
        <v>1368</v>
      </c>
      <c r="N57">
        <v>1011</v>
      </c>
      <c r="O57" t="s">
        <v>509</v>
      </c>
      <c r="P57" t="s">
        <v>509</v>
      </c>
      <c r="Q57">
        <v>1</v>
      </c>
      <c r="X57">
        <v>1.67</v>
      </c>
      <c r="Y57">
        <v>0</v>
      </c>
      <c r="Z57">
        <v>1598.95</v>
      </c>
      <c r="AA57">
        <v>494.35</v>
      </c>
      <c r="AB57">
        <v>0</v>
      </c>
      <c r="AC57">
        <v>0</v>
      </c>
      <c r="AD57">
        <v>1</v>
      </c>
      <c r="AE57">
        <v>0</v>
      </c>
      <c r="AF57" t="s">
        <v>27</v>
      </c>
      <c r="AG57">
        <v>1.9204999999999999</v>
      </c>
      <c r="AH57">
        <v>2</v>
      </c>
      <c r="AI57">
        <v>75605188</v>
      </c>
      <c r="AJ57">
        <v>56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</row>
    <row r="58" spans="1:44" x14ac:dyDescent="0.25">
      <c r="A58">
        <f>ROW(Source!A100)</f>
        <v>100</v>
      </c>
      <c r="B58">
        <v>75605189</v>
      </c>
      <c r="C58">
        <v>75605178</v>
      </c>
      <c r="D58">
        <v>74309824</v>
      </c>
      <c r="E58">
        <v>1</v>
      </c>
      <c r="F58">
        <v>1</v>
      </c>
      <c r="G58">
        <v>1</v>
      </c>
      <c r="H58">
        <v>2</v>
      </c>
      <c r="I58" t="s">
        <v>527</v>
      </c>
      <c r="J58" t="s">
        <v>528</v>
      </c>
      <c r="K58" t="s">
        <v>529</v>
      </c>
      <c r="L58">
        <v>1368</v>
      </c>
      <c r="N58">
        <v>1011</v>
      </c>
      <c r="O58" t="s">
        <v>509</v>
      </c>
      <c r="P58" t="s">
        <v>509</v>
      </c>
      <c r="Q58">
        <v>1</v>
      </c>
      <c r="X58">
        <v>0.2</v>
      </c>
      <c r="Y58">
        <v>0</v>
      </c>
      <c r="Z58">
        <v>551.45000000000005</v>
      </c>
      <c r="AA58">
        <v>368.02</v>
      </c>
      <c r="AB58">
        <v>0</v>
      </c>
      <c r="AC58">
        <v>0</v>
      </c>
      <c r="AD58">
        <v>1</v>
      </c>
      <c r="AE58">
        <v>0</v>
      </c>
      <c r="AF58" t="s">
        <v>27</v>
      </c>
      <c r="AG58">
        <v>0.22999999999999998</v>
      </c>
      <c r="AH58">
        <v>2</v>
      </c>
      <c r="AI58">
        <v>75605189</v>
      </c>
      <c r="AJ58">
        <v>57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</row>
    <row r="59" spans="1:44" x14ac:dyDescent="0.25">
      <c r="A59">
        <f>ROW(Source!A100)</f>
        <v>100</v>
      </c>
      <c r="B59">
        <v>75605190</v>
      </c>
      <c r="C59">
        <v>75605178</v>
      </c>
      <c r="D59">
        <v>74309983</v>
      </c>
      <c r="E59">
        <v>1</v>
      </c>
      <c r="F59">
        <v>1</v>
      </c>
      <c r="G59">
        <v>1</v>
      </c>
      <c r="H59">
        <v>2</v>
      </c>
      <c r="I59" t="s">
        <v>578</v>
      </c>
      <c r="J59" t="s">
        <v>579</v>
      </c>
      <c r="K59" t="s">
        <v>580</v>
      </c>
      <c r="L59">
        <v>1368</v>
      </c>
      <c r="N59">
        <v>1011</v>
      </c>
      <c r="O59" t="s">
        <v>509</v>
      </c>
      <c r="P59" t="s">
        <v>509</v>
      </c>
      <c r="Q59">
        <v>1</v>
      </c>
      <c r="X59">
        <v>1.53</v>
      </c>
      <c r="Y59">
        <v>0</v>
      </c>
      <c r="Z59">
        <v>4.3499999999999996</v>
      </c>
      <c r="AA59">
        <v>0</v>
      </c>
      <c r="AB59">
        <v>0</v>
      </c>
      <c r="AC59">
        <v>0</v>
      </c>
      <c r="AD59">
        <v>1</v>
      </c>
      <c r="AE59">
        <v>0</v>
      </c>
      <c r="AF59" t="s">
        <v>27</v>
      </c>
      <c r="AG59">
        <v>1.7594999999999998</v>
      </c>
      <c r="AH59">
        <v>2</v>
      </c>
      <c r="AI59">
        <v>75605190</v>
      </c>
      <c r="AJ59">
        <v>58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</row>
    <row r="60" spans="1:44" x14ac:dyDescent="0.25">
      <c r="A60">
        <f>ROW(Source!A100)</f>
        <v>100</v>
      </c>
      <c r="B60">
        <v>75605191</v>
      </c>
      <c r="C60">
        <v>75605178</v>
      </c>
      <c r="D60">
        <v>74257065</v>
      </c>
      <c r="E60">
        <v>1</v>
      </c>
      <c r="F60">
        <v>1</v>
      </c>
      <c r="G60">
        <v>1</v>
      </c>
      <c r="H60">
        <v>3</v>
      </c>
      <c r="I60" t="s">
        <v>581</v>
      </c>
      <c r="J60" t="s">
        <v>582</v>
      </c>
      <c r="K60" t="s">
        <v>583</v>
      </c>
      <c r="L60">
        <v>1339</v>
      </c>
      <c r="N60">
        <v>1007</v>
      </c>
      <c r="O60" t="s">
        <v>205</v>
      </c>
      <c r="P60" t="s">
        <v>205</v>
      </c>
      <c r="Q60">
        <v>1</v>
      </c>
      <c r="X60">
        <v>0.88</v>
      </c>
      <c r="Y60">
        <v>114.64</v>
      </c>
      <c r="Z60">
        <v>0</v>
      </c>
      <c r="AA60">
        <v>0</v>
      </c>
      <c r="AB60">
        <v>0</v>
      </c>
      <c r="AC60">
        <v>0</v>
      </c>
      <c r="AD60">
        <v>1</v>
      </c>
      <c r="AE60">
        <v>0</v>
      </c>
      <c r="AF60" t="s">
        <v>3</v>
      </c>
      <c r="AG60">
        <v>0.88</v>
      </c>
      <c r="AH60">
        <v>2</v>
      </c>
      <c r="AI60">
        <v>75605191</v>
      </c>
      <c r="AJ60">
        <v>59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</row>
    <row r="61" spans="1:44" x14ac:dyDescent="0.25">
      <c r="A61">
        <f>ROW(Source!A100)</f>
        <v>100</v>
      </c>
      <c r="B61">
        <v>75605192</v>
      </c>
      <c r="C61">
        <v>75605178</v>
      </c>
      <c r="D61">
        <v>74257069</v>
      </c>
      <c r="E61">
        <v>1</v>
      </c>
      <c r="F61">
        <v>1</v>
      </c>
      <c r="G61">
        <v>1</v>
      </c>
      <c r="H61">
        <v>3</v>
      </c>
      <c r="I61" t="s">
        <v>584</v>
      </c>
      <c r="J61" t="s">
        <v>585</v>
      </c>
      <c r="K61" t="s">
        <v>586</v>
      </c>
      <c r="L61">
        <v>1346</v>
      </c>
      <c r="N61">
        <v>1009</v>
      </c>
      <c r="O61" t="s">
        <v>240</v>
      </c>
      <c r="P61" t="s">
        <v>240</v>
      </c>
      <c r="Q61">
        <v>1</v>
      </c>
      <c r="X61">
        <v>0.22</v>
      </c>
      <c r="Y61">
        <v>41.38</v>
      </c>
      <c r="Z61">
        <v>0</v>
      </c>
      <c r="AA61">
        <v>0</v>
      </c>
      <c r="AB61">
        <v>0</v>
      </c>
      <c r="AC61">
        <v>0</v>
      </c>
      <c r="AD61">
        <v>1</v>
      </c>
      <c r="AE61">
        <v>0</v>
      </c>
      <c r="AF61" t="s">
        <v>3</v>
      </c>
      <c r="AG61">
        <v>0.22</v>
      </c>
      <c r="AH61">
        <v>2</v>
      </c>
      <c r="AI61">
        <v>75605192</v>
      </c>
      <c r="AJ61">
        <v>60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</row>
    <row r="62" spans="1:44" x14ac:dyDescent="0.25">
      <c r="A62">
        <f>ROW(Source!A101)</f>
        <v>101</v>
      </c>
      <c r="B62">
        <v>75605201</v>
      </c>
      <c r="C62">
        <v>75605193</v>
      </c>
      <c r="D62">
        <v>74182263</v>
      </c>
      <c r="E62">
        <v>118</v>
      </c>
      <c r="F62">
        <v>1</v>
      </c>
      <c r="G62">
        <v>1</v>
      </c>
      <c r="H62">
        <v>1</v>
      </c>
      <c r="I62" t="s">
        <v>514</v>
      </c>
      <c r="J62" t="s">
        <v>3</v>
      </c>
      <c r="K62" t="s">
        <v>515</v>
      </c>
      <c r="L62">
        <v>1191</v>
      </c>
      <c r="N62">
        <v>1013</v>
      </c>
      <c r="O62" t="s">
        <v>501</v>
      </c>
      <c r="P62" t="s">
        <v>501</v>
      </c>
      <c r="Q62">
        <v>1</v>
      </c>
      <c r="X62">
        <v>33.799999999999997</v>
      </c>
      <c r="Y62">
        <v>0</v>
      </c>
      <c r="Z62">
        <v>0</v>
      </c>
      <c r="AA62">
        <v>0</v>
      </c>
      <c r="AB62">
        <v>326.82</v>
      </c>
      <c r="AC62">
        <v>0</v>
      </c>
      <c r="AD62">
        <v>1</v>
      </c>
      <c r="AE62">
        <v>1</v>
      </c>
      <c r="AF62" t="s">
        <v>27</v>
      </c>
      <c r="AG62">
        <v>38.86999999999999</v>
      </c>
      <c r="AH62">
        <v>2</v>
      </c>
      <c r="AI62">
        <v>75605201</v>
      </c>
      <c r="AJ62">
        <v>61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</row>
    <row r="63" spans="1:44" x14ac:dyDescent="0.25">
      <c r="A63">
        <f>ROW(Source!A101)</f>
        <v>101</v>
      </c>
      <c r="B63">
        <v>75605202</v>
      </c>
      <c r="C63">
        <v>75605193</v>
      </c>
      <c r="D63">
        <v>74182464</v>
      </c>
      <c r="E63">
        <v>118</v>
      </c>
      <c r="F63">
        <v>1</v>
      </c>
      <c r="G63">
        <v>1</v>
      </c>
      <c r="H63">
        <v>1</v>
      </c>
      <c r="I63" t="s">
        <v>504</v>
      </c>
      <c r="J63" t="s">
        <v>3</v>
      </c>
      <c r="K63" t="s">
        <v>505</v>
      </c>
      <c r="L63">
        <v>1191</v>
      </c>
      <c r="N63">
        <v>1013</v>
      </c>
      <c r="O63" t="s">
        <v>501</v>
      </c>
      <c r="P63" t="s">
        <v>501</v>
      </c>
      <c r="Q63">
        <v>1</v>
      </c>
      <c r="X63">
        <v>2.14</v>
      </c>
      <c r="Y63">
        <v>0</v>
      </c>
      <c r="Z63">
        <v>0</v>
      </c>
      <c r="AA63">
        <v>0</v>
      </c>
      <c r="AB63">
        <v>0</v>
      </c>
      <c r="AC63">
        <v>0</v>
      </c>
      <c r="AD63">
        <v>1</v>
      </c>
      <c r="AE63">
        <v>2</v>
      </c>
      <c r="AF63" t="s">
        <v>27</v>
      </c>
      <c r="AG63">
        <v>2.4609999999999999</v>
      </c>
      <c r="AH63">
        <v>2</v>
      </c>
      <c r="AI63">
        <v>75605202</v>
      </c>
      <c r="AJ63">
        <v>62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</row>
    <row r="64" spans="1:44" x14ac:dyDescent="0.25">
      <c r="A64">
        <f>ROW(Source!A101)</f>
        <v>101</v>
      </c>
      <c r="B64">
        <v>75605203</v>
      </c>
      <c r="C64">
        <v>75605193</v>
      </c>
      <c r="D64">
        <v>74308922</v>
      </c>
      <c r="E64">
        <v>1</v>
      </c>
      <c r="F64">
        <v>1</v>
      </c>
      <c r="G64">
        <v>1</v>
      </c>
      <c r="H64">
        <v>2</v>
      </c>
      <c r="I64" t="s">
        <v>574</v>
      </c>
      <c r="J64" t="s">
        <v>575</v>
      </c>
      <c r="K64" t="s">
        <v>576</v>
      </c>
      <c r="L64">
        <v>1368</v>
      </c>
      <c r="N64">
        <v>1011</v>
      </c>
      <c r="O64" t="s">
        <v>509</v>
      </c>
      <c r="P64" t="s">
        <v>509</v>
      </c>
      <c r="Q64">
        <v>1</v>
      </c>
      <c r="X64">
        <v>1.94</v>
      </c>
      <c r="Y64">
        <v>0</v>
      </c>
      <c r="Z64">
        <v>1598.95</v>
      </c>
      <c r="AA64">
        <v>494.35</v>
      </c>
      <c r="AB64">
        <v>0</v>
      </c>
      <c r="AC64">
        <v>0</v>
      </c>
      <c r="AD64">
        <v>1</v>
      </c>
      <c r="AE64">
        <v>0</v>
      </c>
      <c r="AF64" t="s">
        <v>27</v>
      </c>
      <c r="AG64">
        <v>2.2309999999999999</v>
      </c>
      <c r="AH64">
        <v>2</v>
      </c>
      <c r="AI64">
        <v>75605203</v>
      </c>
      <c r="AJ64">
        <v>63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</row>
    <row r="65" spans="1:44" x14ac:dyDescent="0.25">
      <c r="A65">
        <f>ROW(Source!A101)</f>
        <v>101</v>
      </c>
      <c r="B65">
        <v>75605204</v>
      </c>
      <c r="C65">
        <v>75605193</v>
      </c>
      <c r="D65">
        <v>74309824</v>
      </c>
      <c r="E65">
        <v>1</v>
      </c>
      <c r="F65">
        <v>1</v>
      </c>
      <c r="G65">
        <v>1</v>
      </c>
      <c r="H65">
        <v>2</v>
      </c>
      <c r="I65" t="s">
        <v>527</v>
      </c>
      <c r="J65" t="s">
        <v>528</v>
      </c>
      <c r="K65" t="s">
        <v>529</v>
      </c>
      <c r="L65">
        <v>1368</v>
      </c>
      <c r="N65">
        <v>1011</v>
      </c>
      <c r="O65" t="s">
        <v>509</v>
      </c>
      <c r="P65" t="s">
        <v>509</v>
      </c>
      <c r="Q65">
        <v>1</v>
      </c>
      <c r="X65">
        <v>0.2</v>
      </c>
      <c r="Y65">
        <v>0</v>
      </c>
      <c r="Z65">
        <v>551.45000000000005</v>
      </c>
      <c r="AA65">
        <v>368.02</v>
      </c>
      <c r="AB65">
        <v>0</v>
      </c>
      <c r="AC65">
        <v>0</v>
      </c>
      <c r="AD65">
        <v>1</v>
      </c>
      <c r="AE65">
        <v>0</v>
      </c>
      <c r="AF65" t="s">
        <v>27</v>
      </c>
      <c r="AG65">
        <v>0.22999999999999998</v>
      </c>
      <c r="AH65">
        <v>2</v>
      </c>
      <c r="AI65">
        <v>75605204</v>
      </c>
      <c r="AJ65">
        <v>64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</row>
    <row r="66" spans="1:44" x14ac:dyDescent="0.25">
      <c r="A66">
        <f>ROW(Source!A101)</f>
        <v>101</v>
      </c>
      <c r="B66">
        <v>75605205</v>
      </c>
      <c r="C66">
        <v>75605193</v>
      </c>
      <c r="D66">
        <v>74309983</v>
      </c>
      <c r="E66">
        <v>1</v>
      </c>
      <c r="F66">
        <v>1</v>
      </c>
      <c r="G66">
        <v>1</v>
      </c>
      <c r="H66">
        <v>2</v>
      </c>
      <c r="I66" t="s">
        <v>578</v>
      </c>
      <c r="J66" t="s">
        <v>579</v>
      </c>
      <c r="K66" t="s">
        <v>580</v>
      </c>
      <c r="L66">
        <v>1368</v>
      </c>
      <c r="N66">
        <v>1011</v>
      </c>
      <c r="O66" t="s">
        <v>509</v>
      </c>
      <c r="P66" t="s">
        <v>509</v>
      </c>
      <c r="Q66">
        <v>1</v>
      </c>
      <c r="X66">
        <v>1.78</v>
      </c>
      <c r="Y66">
        <v>0</v>
      </c>
      <c r="Z66">
        <v>4.3499999999999996</v>
      </c>
      <c r="AA66">
        <v>0</v>
      </c>
      <c r="AB66">
        <v>0</v>
      </c>
      <c r="AC66">
        <v>0</v>
      </c>
      <c r="AD66">
        <v>1</v>
      </c>
      <c r="AE66">
        <v>0</v>
      </c>
      <c r="AF66" t="s">
        <v>27</v>
      </c>
      <c r="AG66">
        <v>2.0469999999999997</v>
      </c>
      <c r="AH66">
        <v>2</v>
      </c>
      <c r="AI66">
        <v>75605205</v>
      </c>
      <c r="AJ66">
        <v>65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</row>
    <row r="67" spans="1:44" x14ac:dyDescent="0.25">
      <c r="A67">
        <f>ROW(Source!A101)</f>
        <v>101</v>
      </c>
      <c r="B67">
        <v>75605206</v>
      </c>
      <c r="C67">
        <v>75605193</v>
      </c>
      <c r="D67">
        <v>74257065</v>
      </c>
      <c r="E67">
        <v>1</v>
      </c>
      <c r="F67">
        <v>1</v>
      </c>
      <c r="G67">
        <v>1</v>
      </c>
      <c r="H67">
        <v>3</v>
      </c>
      <c r="I67" t="s">
        <v>581</v>
      </c>
      <c r="J67" t="s">
        <v>582</v>
      </c>
      <c r="K67" t="s">
        <v>583</v>
      </c>
      <c r="L67">
        <v>1339</v>
      </c>
      <c r="N67">
        <v>1007</v>
      </c>
      <c r="O67" t="s">
        <v>205</v>
      </c>
      <c r="P67" t="s">
        <v>205</v>
      </c>
      <c r="Q67">
        <v>1</v>
      </c>
      <c r="X67">
        <v>1.36</v>
      </c>
      <c r="Y67">
        <v>114.64</v>
      </c>
      <c r="Z67">
        <v>0</v>
      </c>
      <c r="AA67">
        <v>0</v>
      </c>
      <c r="AB67">
        <v>0</v>
      </c>
      <c r="AC67">
        <v>0</v>
      </c>
      <c r="AD67">
        <v>1</v>
      </c>
      <c r="AE67">
        <v>0</v>
      </c>
      <c r="AF67" t="s">
        <v>3</v>
      </c>
      <c r="AG67">
        <v>1.36</v>
      </c>
      <c r="AH67">
        <v>2</v>
      </c>
      <c r="AI67">
        <v>75605206</v>
      </c>
      <c r="AJ67">
        <v>66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</row>
    <row r="68" spans="1:44" x14ac:dyDescent="0.25">
      <c r="A68">
        <f>ROW(Source!A101)</f>
        <v>101</v>
      </c>
      <c r="B68">
        <v>75605207</v>
      </c>
      <c r="C68">
        <v>75605193</v>
      </c>
      <c r="D68">
        <v>74257069</v>
      </c>
      <c r="E68">
        <v>1</v>
      </c>
      <c r="F68">
        <v>1</v>
      </c>
      <c r="G68">
        <v>1</v>
      </c>
      <c r="H68">
        <v>3</v>
      </c>
      <c r="I68" t="s">
        <v>584</v>
      </c>
      <c r="J68" t="s">
        <v>585</v>
      </c>
      <c r="K68" t="s">
        <v>586</v>
      </c>
      <c r="L68">
        <v>1346</v>
      </c>
      <c r="N68">
        <v>1009</v>
      </c>
      <c r="O68" t="s">
        <v>240</v>
      </c>
      <c r="P68" t="s">
        <v>240</v>
      </c>
      <c r="Q68">
        <v>1</v>
      </c>
      <c r="X68">
        <v>0.34</v>
      </c>
      <c r="Y68">
        <v>41.38</v>
      </c>
      <c r="Z68">
        <v>0</v>
      </c>
      <c r="AA68">
        <v>0</v>
      </c>
      <c r="AB68">
        <v>0</v>
      </c>
      <c r="AC68">
        <v>0</v>
      </c>
      <c r="AD68">
        <v>1</v>
      </c>
      <c r="AE68">
        <v>0</v>
      </c>
      <c r="AF68" t="s">
        <v>3</v>
      </c>
      <c r="AG68">
        <v>0.34</v>
      </c>
      <c r="AH68">
        <v>2</v>
      </c>
      <c r="AI68">
        <v>75605207</v>
      </c>
      <c r="AJ68">
        <v>67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</row>
    <row r="69" spans="1:44" x14ac:dyDescent="0.25">
      <c r="A69">
        <f>ROW(Source!A102)</f>
        <v>102</v>
      </c>
      <c r="B69">
        <v>75618543</v>
      </c>
      <c r="C69">
        <v>75618539</v>
      </c>
      <c r="D69">
        <v>37069580</v>
      </c>
      <c r="E69">
        <v>118</v>
      </c>
      <c r="F69">
        <v>1</v>
      </c>
      <c r="G69">
        <v>1</v>
      </c>
      <c r="H69">
        <v>1</v>
      </c>
      <c r="I69" t="s">
        <v>587</v>
      </c>
      <c r="J69" t="s">
        <v>3</v>
      </c>
      <c r="K69" t="s">
        <v>588</v>
      </c>
      <c r="L69">
        <v>1191</v>
      </c>
      <c r="N69">
        <v>1013</v>
      </c>
      <c r="O69" t="s">
        <v>501</v>
      </c>
      <c r="P69" t="s">
        <v>501</v>
      </c>
      <c r="Q69">
        <v>1</v>
      </c>
      <c r="X69">
        <v>0.61</v>
      </c>
      <c r="Y69">
        <v>0</v>
      </c>
      <c r="Z69">
        <v>0</v>
      </c>
      <c r="AA69">
        <v>0</v>
      </c>
      <c r="AB69">
        <v>330.94</v>
      </c>
      <c r="AC69">
        <v>0</v>
      </c>
      <c r="AD69">
        <v>1</v>
      </c>
      <c r="AE69">
        <v>1</v>
      </c>
      <c r="AF69" t="s">
        <v>27</v>
      </c>
      <c r="AG69">
        <v>0.7014999999999999</v>
      </c>
      <c r="AH69">
        <v>2</v>
      </c>
      <c r="AI69">
        <v>75618540</v>
      </c>
      <c r="AJ69">
        <v>68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</row>
    <row r="70" spans="1:44" x14ac:dyDescent="0.25">
      <c r="A70">
        <f>ROW(Source!A102)</f>
        <v>102</v>
      </c>
      <c r="B70">
        <v>75618544</v>
      </c>
      <c r="C70">
        <v>75618539</v>
      </c>
      <c r="D70">
        <v>37064876</v>
      </c>
      <c r="E70">
        <v>118</v>
      </c>
      <c r="F70">
        <v>1</v>
      </c>
      <c r="G70">
        <v>1</v>
      </c>
      <c r="H70">
        <v>1</v>
      </c>
      <c r="I70" t="s">
        <v>504</v>
      </c>
      <c r="J70" t="s">
        <v>3</v>
      </c>
      <c r="K70" t="s">
        <v>505</v>
      </c>
      <c r="L70">
        <v>1191</v>
      </c>
      <c r="N70">
        <v>1013</v>
      </c>
      <c r="O70" t="s">
        <v>501</v>
      </c>
      <c r="P70" t="s">
        <v>501</v>
      </c>
      <c r="Q70">
        <v>1</v>
      </c>
      <c r="X70">
        <v>0.1</v>
      </c>
      <c r="Y70">
        <v>0</v>
      </c>
      <c r="Z70">
        <v>0</v>
      </c>
      <c r="AA70">
        <v>0</v>
      </c>
      <c r="AB70">
        <v>0</v>
      </c>
      <c r="AC70">
        <v>0</v>
      </c>
      <c r="AD70">
        <v>1</v>
      </c>
      <c r="AE70">
        <v>2</v>
      </c>
      <c r="AF70" t="s">
        <v>27</v>
      </c>
      <c r="AG70">
        <v>0.11499999999999999</v>
      </c>
      <c r="AH70">
        <v>2</v>
      </c>
      <c r="AI70">
        <v>75618541</v>
      </c>
      <c r="AJ70">
        <v>69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</row>
    <row r="71" spans="1:44" x14ac:dyDescent="0.25">
      <c r="A71">
        <f>ROW(Source!A102)</f>
        <v>102</v>
      </c>
      <c r="B71">
        <v>75618545</v>
      </c>
      <c r="C71">
        <v>75618539</v>
      </c>
      <c r="D71">
        <v>74309824</v>
      </c>
      <c r="E71">
        <v>1</v>
      </c>
      <c r="F71">
        <v>1</v>
      </c>
      <c r="G71">
        <v>1</v>
      </c>
      <c r="H71">
        <v>2</v>
      </c>
      <c r="I71" t="s">
        <v>527</v>
      </c>
      <c r="J71" t="s">
        <v>528</v>
      </c>
      <c r="K71" t="s">
        <v>529</v>
      </c>
      <c r="L71">
        <v>1368</v>
      </c>
      <c r="N71">
        <v>1011</v>
      </c>
      <c r="O71" t="s">
        <v>509</v>
      </c>
      <c r="P71" t="s">
        <v>509</v>
      </c>
      <c r="Q71">
        <v>1</v>
      </c>
      <c r="X71">
        <v>0.1</v>
      </c>
      <c r="Y71">
        <v>0</v>
      </c>
      <c r="Z71">
        <v>551.45000000000005</v>
      </c>
      <c r="AA71">
        <v>368.02</v>
      </c>
      <c r="AB71">
        <v>0</v>
      </c>
      <c r="AC71">
        <v>0</v>
      </c>
      <c r="AD71">
        <v>1</v>
      </c>
      <c r="AE71">
        <v>0</v>
      </c>
      <c r="AF71" t="s">
        <v>27</v>
      </c>
      <c r="AG71">
        <v>0.11499999999999999</v>
      </c>
      <c r="AH71">
        <v>2</v>
      </c>
      <c r="AI71">
        <v>75618542</v>
      </c>
      <c r="AJ71">
        <v>70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</row>
    <row r="72" spans="1:44" x14ac:dyDescent="0.25">
      <c r="A72">
        <f>ROW(Source!A144)</f>
        <v>144</v>
      </c>
      <c r="B72">
        <v>75605442</v>
      </c>
      <c r="C72">
        <v>75605416</v>
      </c>
      <c r="D72">
        <v>74182291</v>
      </c>
      <c r="E72">
        <v>118</v>
      </c>
      <c r="F72">
        <v>1</v>
      </c>
      <c r="G72">
        <v>1</v>
      </c>
      <c r="H72">
        <v>1</v>
      </c>
      <c r="I72" t="s">
        <v>589</v>
      </c>
      <c r="J72" t="s">
        <v>3</v>
      </c>
      <c r="K72" t="s">
        <v>590</v>
      </c>
      <c r="L72">
        <v>1191</v>
      </c>
      <c r="N72">
        <v>1013</v>
      </c>
      <c r="O72" t="s">
        <v>501</v>
      </c>
      <c r="P72" t="s">
        <v>501</v>
      </c>
      <c r="Q72">
        <v>1</v>
      </c>
      <c r="X72">
        <v>424</v>
      </c>
      <c r="Y72">
        <v>0</v>
      </c>
      <c r="Z72">
        <v>0</v>
      </c>
      <c r="AA72">
        <v>0</v>
      </c>
      <c r="AB72">
        <v>373.51</v>
      </c>
      <c r="AC72">
        <v>0</v>
      </c>
      <c r="AD72">
        <v>1</v>
      </c>
      <c r="AE72">
        <v>1</v>
      </c>
      <c r="AF72" t="s">
        <v>27</v>
      </c>
      <c r="AG72">
        <v>487.59999999999997</v>
      </c>
      <c r="AH72">
        <v>2</v>
      </c>
      <c r="AI72">
        <v>75605442</v>
      </c>
      <c r="AJ72">
        <v>71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</row>
    <row r="73" spans="1:44" x14ac:dyDescent="0.25">
      <c r="A73">
        <f>ROW(Source!A144)</f>
        <v>144</v>
      </c>
      <c r="B73">
        <v>75605443</v>
      </c>
      <c r="C73">
        <v>75605416</v>
      </c>
      <c r="D73">
        <v>74182464</v>
      </c>
      <c r="E73">
        <v>118</v>
      </c>
      <c r="F73">
        <v>1</v>
      </c>
      <c r="G73">
        <v>1</v>
      </c>
      <c r="H73">
        <v>1</v>
      </c>
      <c r="I73" t="s">
        <v>504</v>
      </c>
      <c r="J73" t="s">
        <v>3</v>
      </c>
      <c r="K73" t="s">
        <v>505</v>
      </c>
      <c r="L73">
        <v>1191</v>
      </c>
      <c r="N73">
        <v>1013</v>
      </c>
      <c r="O73" t="s">
        <v>501</v>
      </c>
      <c r="P73" t="s">
        <v>501</v>
      </c>
      <c r="Q73">
        <v>1</v>
      </c>
      <c r="X73">
        <v>62.38</v>
      </c>
      <c r="Y73">
        <v>0</v>
      </c>
      <c r="Z73">
        <v>0</v>
      </c>
      <c r="AA73">
        <v>0</v>
      </c>
      <c r="AB73">
        <v>0</v>
      </c>
      <c r="AC73">
        <v>0</v>
      </c>
      <c r="AD73">
        <v>1</v>
      </c>
      <c r="AE73">
        <v>2</v>
      </c>
      <c r="AF73" t="s">
        <v>27</v>
      </c>
      <c r="AG73">
        <v>71.736999999999995</v>
      </c>
      <c r="AH73">
        <v>2</v>
      </c>
      <c r="AI73">
        <v>75605443</v>
      </c>
      <c r="AJ73">
        <v>72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</row>
    <row r="74" spans="1:44" x14ac:dyDescent="0.25">
      <c r="A74">
        <f>ROW(Source!A144)</f>
        <v>144</v>
      </c>
      <c r="B74">
        <v>75605444</v>
      </c>
      <c r="C74">
        <v>75605416</v>
      </c>
      <c r="D74">
        <v>74308922</v>
      </c>
      <c r="E74">
        <v>1</v>
      </c>
      <c r="F74">
        <v>1</v>
      </c>
      <c r="G74">
        <v>1</v>
      </c>
      <c r="H74">
        <v>2</v>
      </c>
      <c r="I74" t="s">
        <v>574</v>
      </c>
      <c r="J74" t="s">
        <v>575</v>
      </c>
      <c r="K74" t="s">
        <v>576</v>
      </c>
      <c r="L74">
        <v>1368</v>
      </c>
      <c r="N74">
        <v>1011</v>
      </c>
      <c r="O74" t="s">
        <v>509</v>
      </c>
      <c r="P74" t="s">
        <v>509</v>
      </c>
      <c r="Q74">
        <v>1</v>
      </c>
      <c r="X74">
        <v>7.0000000000000007E-2</v>
      </c>
      <c r="Y74">
        <v>0</v>
      </c>
      <c r="Z74">
        <v>1598.95</v>
      </c>
      <c r="AA74">
        <v>494.35</v>
      </c>
      <c r="AB74">
        <v>0</v>
      </c>
      <c r="AC74">
        <v>0</v>
      </c>
      <c r="AD74">
        <v>1</v>
      </c>
      <c r="AE74">
        <v>0</v>
      </c>
      <c r="AF74" t="s">
        <v>27</v>
      </c>
      <c r="AG74">
        <v>8.0500000000000002E-2</v>
      </c>
      <c r="AH74">
        <v>2</v>
      </c>
      <c r="AI74">
        <v>75605444</v>
      </c>
      <c r="AJ74">
        <v>73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</row>
    <row r="75" spans="1:44" x14ac:dyDescent="0.25">
      <c r="A75">
        <f>ROW(Source!A144)</f>
        <v>144</v>
      </c>
      <c r="B75">
        <v>75605445</v>
      </c>
      <c r="C75">
        <v>75605416</v>
      </c>
      <c r="D75">
        <v>74309532</v>
      </c>
      <c r="E75">
        <v>1</v>
      </c>
      <c r="F75">
        <v>1</v>
      </c>
      <c r="G75">
        <v>1</v>
      </c>
      <c r="H75">
        <v>2</v>
      </c>
      <c r="I75" t="s">
        <v>591</v>
      </c>
      <c r="J75" t="s">
        <v>592</v>
      </c>
      <c r="K75" t="s">
        <v>593</v>
      </c>
      <c r="L75">
        <v>1368</v>
      </c>
      <c r="N75">
        <v>1011</v>
      </c>
      <c r="O75" t="s">
        <v>509</v>
      </c>
      <c r="P75" t="s">
        <v>509</v>
      </c>
      <c r="Q75">
        <v>1</v>
      </c>
      <c r="X75">
        <v>25</v>
      </c>
      <c r="Y75">
        <v>0</v>
      </c>
      <c r="Z75">
        <v>1416.22</v>
      </c>
      <c r="AA75">
        <v>368.02</v>
      </c>
      <c r="AB75">
        <v>0</v>
      </c>
      <c r="AC75">
        <v>0</v>
      </c>
      <c r="AD75">
        <v>1</v>
      </c>
      <c r="AE75">
        <v>0</v>
      </c>
      <c r="AF75" t="s">
        <v>27</v>
      </c>
      <c r="AG75">
        <v>28.749999999999996</v>
      </c>
      <c r="AH75">
        <v>2</v>
      </c>
      <c r="AI75">
        <v>75605445</v>
      </c>
      <c r="AJ75">
        <v>74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</row>
    <row r="76" spans="1:44" x14ac:dyDescent="0.25">
      <c r="A76">
        <f>ROW(Source!A144)</f>
        <v>144</v>
      </c>
      <c r="B76">
        <v>75605446</v>
      </c>
      <c r="C76">
        <v>75605416</v>
      </c>
      <c r="D76">
        <v>74309573</v>
      </c>
      <c r="E76">
        <v>1</v>
      </c>
      <c r="F76">
        <v>1</v>
      </c>
      <c r="G76">
        <v>1</v>
      </c>
      <c r="H76">
        <v>2</v>
      </c>
      <c r="I76" t="s">
        <v>594</v>
      </c>
      <c r="J76" t="s">
        <v>595</v>
      </c>
      <c r="K76" t="s">
        <v>596</v>
      </c>
      <c r="L76">
        <v>1368</v>
      </c>
      <c r="N76">
        <v>1011</v>
      </c>
      <c r="O76" t="s">
        <v>509</v>
      </c>
      <c r="P76" t="s">
        <v>509</v>
      </c>
      <c r="Q76">
        <v>1</v>
      </c>
      <c r="X76">
        <v>24.7</v>
      </c>
      <c r="Y76">
        <v>0</v>
      </c>
      <c r="Z76">
        <v>994.01</v>
      </c>
      <c r="AA76">
        <v>422.95</v>
      </c>
      <c r="AB76">
        <v>0</v>
      </c>
      <c r="AC76">
        <v>0</v>
      </c>
      <c r="AD76">
        <v>1</v>
      </c>
      <c r="AE76">
        <v>0</v>
      </c>
      <c r="AF76" t="s">
        <v>27</v>
      </c>
      <c r="AG76">
        <v>28.404999999999998</v>
      </c>
      <c r="AH76">
        <v>2</v>
      </c>
      <c r="AI76">
        <v>75605446</v>
      </c>
      <c r="AJ76">
        <v>75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</row>
    <row r="77" spans="1:44" x14ac:dyDescent="0.25">
      <c r="A77">
        <f>ROW(Source!A144)</f>
        <v>144</v>
      </c>
      <c r="B77">
        <v>75605447</v>
      </c>
      <c r="C77">
        <v>75605416</v>
      </c>
      <c r="D77">
        <v>74309824</v>
      </c>
      <c r="E77">
        <v>1</v>
      </c>
      <c r="F77">
        <v>1</v>
      </c>
      <c r="G77">
        <v>1</v>
      </c>
      <c r="H77">
        <v>2</v>
      </c>
      <c r="I77" t="s">
        <v>527</v>
      </c>
      <c r="J77" t="s">
        <v>528</v>
      </c>
      <c r="K77" t="s">
        <v>529</v>
      </c>
      <c r="L77">
        <v>1368</v>
      </c>
      <c r="N77">
        <v>1011</v>
      </c>
      <c r="O77" t="s">
        <v>509</v>
      </c>
      <c r="P77" t="s">
        <v>509</v>
      </c>
      <c r="Q77">
        <v>1</v>
      </c>
      <c r="X77">
        <v>0.11</v>
      </c>
      <c r="Y77">
        <v>0</v>
      </c>
      <c r="Z77">
        <v>551.45000000000005</v>
      </c>
      <c r="AA77">
        <v>368.02</v>
      </c>
      <c r="AB77">
        <v>0</v>
      </c>
      <c r="AC77">
        <v>0</v>
      </c>
      <c r="AD77">
        <v>1</v>
      </c>
      <c r="AE77">
        <v>0</v>
      </c>
      <c r="AF77" t="s">
        <v>27</v>
      </c>
      <c r="AG77">
        <v>0.1265</v>
      </c>
      <c r="AH77">
        <v>2</v>
      </c>
      <c r="AI77">
        <v>75605447</v>
      </c>
      <c r="AJ77">
        <v>76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</row>
    <row r="78" spans="1:44" x14ac:dyDescent="0.25">
      <c r="A78">
        <f>ROW(Source!A144)</f>
        <v>144</v>
      </c>
      <c r="B78">
        <v>75605448</v>
      </c>
      <c r="C78">
        <v>75605416</v>
      </c>
      <c r="D78">
        <v>74310021</v>
      </c>
      <c r="E78">
        <v>1</v>
      </c>
      <c r="F78">
        <v>1</v>
      </c>
      <c r="G78">
        <v>1</v>
      </c>
      <c r="H78">
        <v>2</v>
      </c>
      <c r="I78" t="s">
        <v>597</v>
      </c>
      <c r="J78" t="s">
        <v>598</v>
      </c>
      <c r="K78" t="s">
        <v>599</v>
      </c>
      <c r="L78">
        <v>1368</v>
      </c>
      <c r="N78">
        <v>1011</v>
      </c>
      <c r="O78" t="s">
        <v>509</v>
      </c>
      <c r="P78" t="s">
        <v>509</v>
      </c>
      <c r="Q78">
        <v>1</v>
      </c>
      <c r="X78">
        <v>68.7</v>
      </c>
      <c r="Y78">
        <v>0</v>
      </c>
      <c r="Z78">
        <v>41.5</v>
      </c>
      <c r="AA78">
        <v>0</v>
      </c>
      <c r="AB78">
        <v>0</v>
      </c>
      <c r="AC78">
        <v>0</v>
      </c>
      <c r="AD78">
        <v>1</v>
      </c>
      <c r="AE78">
        <v>0</v>
      </c>
      <c r="AF78" t="s">
        <v>27</v>
      </c>
      <c r="AG78">
        <v>79.004999999999995</v>
      </c>
      <c r="AH78">
        <v>2</v>
      </c>
      <c r="AI78">
        <v>75605448</v>
      </c>
      <c r="AJ78">
        <v>77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</row>
    <row r="79" spans="1:44" x14ac:dyDescent="0.25">
      <c r="A79">
        <f>ROW(Source!A144)</f>
        <v>144</v>
      </c>
      <c r="B79">
        <v>75605449</v>
      </c>
      <c r="C79">
        <v>75605416</v>
      </c>
      <c r="D79">
        <v>74310033</v>
      </c>
      <c r="E79">
        <v>1</v>
      </c>
      <c r="F79">
        <v>1</v>
      </c>
      <c r="G79">
        <v>1</v>
      </c>
      <c r="H79">
        <v>2</v>
      </c>
      <c r="I79" t="s">
        <v>519</v>
      </c>
      <c r="J79" t="s">
        <v>520</v>
      </c>
      <c r="K79" t="s">
        <v>521</v>
      </c>
      <c r="L79">
        <v>1368</v>
      </c>
      <c r="N79">
        <v>1011</v>
      </c>
      <c r="O79" t="s">
        <v>509</v>
      </c>
      <c r="P79" t="s">
        <v>509</v>
      </c>
      <c r="Q79">
        <v>1</v>
      </c>
      <c r="X79">
        <v>12.5</v>
      </c>
      <c r="Y79">
        <v>0</v>
      </c>
      <c r="Z79">
        <v>385.61</v>
      </c>
      <c r="AA79">
        <v>368.02</v>
      </c>
      <c r="AB79">
        <v>0</v>
      </c>
      <c r="AC79">
        <v>0</v>
      </c>
      <c r="AD79">
        <v>1</v>
      </c>
      <c r="AE79">
        <v>0</v>
      </c>
      <c r="AF79" t="s">
        <v>27</v>
      </c>
      <c r="AG79">
        <v>14.374999999999998</v>
      </c>
      <c r="AH79">
        <v>2</v>
      </c>
      <c r="AI79">
        <v>75605449</v>
      </c>
      <c r="AJ79">
        <v>78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</row>
    <row r="80" spans="1:44" x14ac:dyDescent="0.25">
      <c r="A80">
        <f>ROW(Source!A144)</f>
        <v>144</v>
      </c>
      <c r="B80">
        <v>75605450</v>
      </c>
      <c r="C80">
        <v>75605416</v>
      </c>
      <c r="D80">
        <v>74259029</v>
      </c>
      <c r="E80">
        <v>1</v>
      </c>
      <c r="F80">
        <v>1</v>
      </c>
      <c r="G80">
        <v>1</v>
      </c>
      <c r="H80">
        <v>3</v>
      </c>
      <c r="I80" t="s">
        <v>600</v>
      </c>
      <c r="J80" t="s">
        <v>601</v>
      </c>
      <c r="K80" t="s">
        <v>602</v>
      </c>
      <c r="L80">
        <v>1339</v>
      </c>
      <c r="N80">
        <v>1007</v>
      </c>
      <c r="O80" t="s">
        <v>205</v>
      </c>
      <c r="P80" t="s">
        <v>205</v>
      </c>
      <c r="Q80">
        <v>1</v>
      </c>
      <c r="X80">
        <v>10</v>
      </c>
      <c r="Y80">
        <v>35.71</v>
      </c>
      <c r="Z80">
        <v>0</v>
      </c>
      <c r="AA80">
        <v>0</v>
      </c>
      <c r="AB80">
        <v>0</v>
      </c>
      <c r="AC80">
        <v>0</v>
      </c>
      <c r="AD80">
        <v>1</v>
      </c>
      <c r="AE80">
        <v>0</v>
      </c>
      <c r="AF80" t="s">
        <v>3</v>
      </c>
      <c r="AG80">
        <v>10</v>
      </c>
      <c r="AH80">
        <v>2</v>
      </c>
      <c r="AI80">
        <v>75605450</v>
      </c>
      <c r="AJ80">
        <v>79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</row>
    <row r="81" spans="1:44" x14ac:dyDescent="0.25">
      <c r="A81">
        <f>ROW(Source!A144)</f>
        <v>144</v>
      </c>
      <c r="B81">
        <v>75605451</v>
      </c>
      <c r="C81">
        <v>75605416</v>
      </c>
      <c r="D81">
        <v>74259041</v>
      </c>
      <c r="E81">
        <v>1</v>
      </c>
      <c r="F81">
        <v>1</v>
      </c>
      <c r="G81">
        <v>1</v>
      </c>
      <c r="H81">
        <v>3</v>
      </c>
      <c r="I81" t="s">
        <v>560</v>
      </c>
      <c r="J81" t="s">
        <v>561</v>
      </c>
      <c r="K81" t="s">
        <v>562</v>
      </c>
      <c r="L81">
        <v>1383</v>
      </c>
      <c r="N81">
        <v>1013</v>
      </c>
      <c r="O81" t="s">
        <v>563</v>
      </c>
      <c r="P81" t="s">
        <v>563</v>
      </c>
      <c r="Q81">
        <v>1</v>
      </c>
      <c r="X81">
        <v>7.4340000000000002</v>
      </c>
      <c r="Y81">
        <v>9.0399999999999991</v>
      </c>
      <c r="Z81">
        <v>0</v>
      </c>
      <c r="AA81">
        <v>0</v>
      </c>
      <c r="AB81">
        <v>0</v>
      </c>
      <c r="AC81">
        <v>0</v>
      </c>
      <c r="AD81">
        <v>1</v>
      </c>
      <c r="AE81">
        <v>0</v>
      </c>
      <c r="AF81" t="s">
        <v>3</v>
      </c>
      <c r="AG81">
        <v>7.4340000000000002</v>
      </c>
      <c r="AH81">
        <v>2</v>
      </c>
      <c r="AI81">
        <v>75605451</v>
      </c>
      <c r="AJ81">
        <v>80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</row>
    <row r="82" spans="1:44" x14ac:dyDescent="0.25">
      <c r="A82">
        <f>ROW(Source!A144)</f>
        <v>144</v>
      </c>
      <c r="B82">
        <v>75605452</v>
      </c>
      <c r="C82">
        <v>75605416</v>
      </c>
      <c r="D82">
        <v>74259783</v>
      </c>
      <c r="E82">
        <v>1</v>
      </c>
      <c r="F82">
        <v>1</v>
      </c>
      <c r="G82">
        <v>1</v>
      </c>
      <c r="H82">
        <v>3</v>
      </c>
      <c r="I82" t="s">
        <v>603</v>
      </c>
      <c r="J82" t="s">
        <v>604</v>
      </c>
      <c r="K82" t="s">
        <v>605</v>
      </c>
      <c r="L82">
        <v>1346</v>
      </c>
      <c r="N82">
        <v>1009</v>
      </c>
      <c r="O82" t="s">
        <v>240</v>
      </c>
      <c r="P82" t="s">
        <v>240</v>
      </c>
      <c r="Q82">
        <v>1</v>
      </c>
      <c r="X82">
        <v>45</v>
      </c>
      <c r="Y82">
        <v>155.63</v>
      </c>
      <c r="Z82">
        <v>0</v>
      </c>
      <c r="AA82">
        <v>0</v>
      </c>
      <c r="AB82">
        <v>0</v>
      </c>
      <c r="AC82">
        <v>0</v>
      </c>
      <c r="AD82">
        <v>1</v>
      </c>
      <c r="AE82">
        <v>0</v>
      </c>
      <c r="AF82" t="s">
        <v>3</v>
      </c>
      <c r="AG82">
        <v>45</v>
      </c>
      <c r="AH82">
        <v>2</v>
      </c>
      <c r="AI82">
        <v>75605452</v>
      </c>
      <c r="AJ82">
        <v>81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</row>
    <row r="83" spans="1:44" x14ac:dyDescent="0.25">
      <c r="A83">
        <f>ROW(Source!A144)</f>
        <v>144</v>
      </c>
      <c r="B83">
        <v>75605453</v>
      </c>
      <c r="C83">
        <v>75605416</v>
      </c>
      <c r="D83">
        <v>74261036</v>
      </c>
      <c r="E83">
        <v>1</v>
      </c>
      <c r="F83">
        <v>1</v>
      </c>
      <c r="G83">
        <v>1</v>
      </c>
      <c r="H83">
        <v>3</v>
      </c>
      <c r="I83" t="s">
        <v>711</v>
      </c>
      <c r="J83" t="s">
        <v>712</v>
      </c>
      <c r="K83" t="s">
        <v>713</v>
      </c>
      <c r="L83">
        <v>1371</v>
      </c>
      <c r="N83">
        <v>1013</v>
      </c>
      <c r="O83" t="s">
        <v>222</v>
      </c>
      <c r="P83" t="s">
        <v>222</v>
      </c>
      <c r="Q83">
        <v>1</v>
      </c>
      <c r="X83">
        <v>0</v>
      </c>
      <c r="Y83">
        <v>104.63</v>
      </c>
      <c r="Z83">
        <v>0</v>
      </c>
      <c r="AA83">
        <v>0</v>
      </c>
      <c r="AB83">
        <v>0</v>
      </c>
      <c r="AC83">
        <v>1</v>
      </c>
      <c r="AD83">
        <v>0</v>
      </c>
      <c r="AE83">
        <v>0</v>
      </c>
      <c r="AF83" t="s">
        <v>3</v>
      </c>
      <c r="AG83">
        <v>0</v>
      </c>
      <c r="AH83">
        <v>3</v>
      </c>
      <c r="AI83">
        <v>-1</v>
      </c>
      <c r="AJ83" t="s">
        <v>3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</row>
    <row r="84" spans="1:44" x14ac:dyDescent="0.25">
      <c r="A84">
        <f>ROW(Source!A144)</f>
        <v>144</v>
      </c>
      <c r="B84">
        <v>75605454</v>
      </c>
      <c r="C84">
        <v>75605416</v>
      </c>
      <c r="D84">
        <v>74262400</v>
      </c>
      <c r="E84">
        <v>1</v>
      </c>
      <c r="F84">
        <v>1</v>
      </c>
      <c r="G84">
        <v>1</v>
      </c>
      <c r="H84">
        <v>3</v>
      </c>
      <c r="I84" t="s">
        <v>606</v>
      </c>
      <c r="J84" t="s">
        <v>607</v>
      </c>
      <c r="K84" t="s">
        <v>608</v>
      </c>
      <c r="L84">
        <v>1348</v>
      </c>
      <c r="N84">
        <v>1009</v>
      </c>
      <c r="O84" t="s">
        <v>174</v>
      </c>
      <c r="P84" t="s">
        <v>174</v>
      </c>
      <c r="Q84">
        <v>1000</v>
      </c>
      <c r="X84">
        <v>5.9999999999999995E-4</v>
      </c>
      <c r="Y84">
        <v>26885</v>
      </c>
      <c r="Z84">
        <v>0</v>
      </c>
      <c r="AA84">
        <v>0</v>
      </c>
      <c r="AB84">
        <v>0</v>
      </c>
      <c r="AC84">
        <v>0</v>
      </c>
      <c r="AD84">
        <v>1</v>
      </c>
      <c r="AE84">
        <v>0</v>
      </c>
      <c r="AF84" t="s">
        <v>3</v>
      </c>
      <c r="AG84">
        <v>5.9999999999999995E-4</v>
      </c>
      <c r="AH84">
        <v>2</v>
      </c>
      <c r="AI84">
        <v>75605454</v>
      </c>
      <c r="AJ84">
        <v>82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</row>
    <row r="85" spans="1:44" x14ac:dyDescent="0.25">
      <c r="A85">
        <f>ROW(Source!A144)</f>
        <v>144</v>
      </c>
      <c r="B85">
        <v>75605455</v>
      </c>
      <c r="C85">
        <v>75605416</v>
      </c>
      <c r="D85">
        <v>74184768</v>
      </c>
      <c r="E85">
        <v>118</v>
      </c>
      <c r="F85">
        <v>1</v>
      </c>
      <c r="G85">
        <v>1</v>
      </c>
      <c r="H85">
        <v>3</v>
      </c>
      <c r="I85" t="s">
        <v>741</v>
      </c>
      <c r="J85" t="s">
        <v>3</v>
      </c>
      <c r="K85" t="s">
        <v>742</v>
      </c>
      <c r="L85">
        <v>1348</v>
      </c>
      <c r="N85">
        <v>1009</v>
      </c>
      <c r="O85" t="s">
        <v>174</v>
      </c>
      <c r="P85" t="s">
        <v>174</v>
      </c>
      <c r="Q85">
        <v>1000</v>
      </c>
      <c r="X85">
        <v>0.28999999999999998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 t="s">
        <v>3</v>
      </c>
      <c r="AG85">
        <v>0.28999999999999998</v>
      </c>
      <c r="AH85">
        <v>3</v>
      </c>
      <c r="AI85">
        <v>-1</v>
      </c>
      <c r="AJ85" t="s">
        <v>3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</row>
    <row r="86" spans="1:44" x14ac:dyDescent="0.25">
      <c r="A86">
        <f>ROW(Source!A144)</f>
        <v>144</v>
      </c>
      <c r="B86">
        <v>75605456</v>
      </c>
      <c r="C86">
        <v>75605416</v>
      </c>
      <c r="D86">
        <v>74265693</v>
      </c>
      <c r="E86">
        <v>1</v>
      </c>
      <c r="F86">
        <v>1</v>
      </c>
      <c r="G86">
        <v>1</v>
      </c>
      <c r="H86">
        <v>3</v>
      </c>
      <c r="I86" t="s">
        <v>609</v>
      </c>
      <c r="J86" t="s">
        <v>610</v>
      </c>
      <c r="K86" t="s">
        <v>611</v>
      </c>
      <c r="L86">
        <v>1348</v>
      </c>
      <c r="N86">
        <v>1009</v>
      </c>
      <c r="O86" t="s">
        <v>174</v>
      </c>
      <c r="P86" t="s">
        <v>174</v>
      </c>
      <c r="Q86">
        <v>1000</v>
      </c>
      <c r="X86">
        <v>0.01</v>
      </c>
      <c r="Y86">
        <v>106957.98</v>
      </c>
      <c r="Z86">
        <v>0</v>
      </c>
      <c r="AA86">
        <v>0</v>
      </c>
      <c r="AB86">
        <v>0</v>
      </c>
      <c r="AC86">
        <v>0</v>
      </c>
      <c r="AD86">
        <v>1</v>
      </c>
      <c r="AE86">
        <v>0</v>
      </c>
      <c r="AF86" t="s">
        <v>3</v>
      </c>
      <c r="AG86">
        <v>0.01</v>
      </c>
      <c r="AH86">
        <v>2</v>
      </c>
      <c r="AI86">
        <v>75605456</v>
      </c>
      <c r="AJ86">
        <v>83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</row>
    <row r="87" spans="1:44" x14ac:dyDescent="0.25">
      <c r="A87">
        <f>ROW(Source!A144)</f>
        <v>144</v>
      </c>
      <c r="B87">
        <v>75605457</v>
      </c>
      <c r="C87">
        <v>75605416</v>
      </c>
      <c r="D87">
        <v>74186853</v>
      </c>
      <c r="E87">
        <v>118</v>
      </c>
      <c r="F87">
        <v>1</v>
      </c>
      <c r="G87">
        <v>1</v>
      </c>
      <c r="H87">
        <v>3</v>
      </c>
      <c r="I87" t="s">
        <v>743</v>
      </c>
      <c r="J87" t="s">
        <v>3</v>
      </c>
      <c r="K87" t="s">
        <v>744</v>
      </c>
      <c r="L87">
        <v>1371</v>
      </c>
      <c r="N87">
        <v>1013</v>
      </c>
      <c r="O87" t="s">
        <v>222</v>
      </c>
      <c r="P87" t="s">
        <v>222</v>
      </c>
      <c r="Q87">
        <v>1</v>
      </c>
      <c r="X87">
        <v>0</v>
      </c>
      <c r="Y87">
        <v>0</v>
      </c>
      <c r="Z87">
        <v>0</v>
      </c>
      <c r="AA87">
        <v>0</v>
      </c>
      <c r="AB87">
        <v>0</v>
      </c>
      <c r="AC87">
        <v>1</v>
      </c>
      <c r="AD87">
        <v>0</v>
      </c>
      <c r="AE87">
        <v>0</v>
      </c>
      <c r="AF87" t="s">
        <v>3</v>
      </c>
      <c r="AG87">
        <v>0</v>
      </c>
      <c r="AH87">
        <v>3</v>
      </c>
      <c r="AI87">
        <v>-1</v>
      </c>
      <c r="AJ87" t="s">
        <v>3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</row>
    <row r="88" spans="1:44" x14ac:dyDescent="0.25">
      <c r="A88">
        <f>ROW(Source!A144)</f>
        <v>144</v>
      </c>
      <c r="B88">
        <v>75605458</v>
      </c>
      <c r="C88">
        <v>75605416</v>
      </c>
      <c r="D88">
        <v>74187740</v>
      </c>
      <c r="E88">
        <v>118</v>
      </c>
      <c r="F88">
        <v>1</v>
      </c>
      <c r="G88">
        <v>1</v>
      </c>
      <c r="H88">
        <v>3</v>
      </c>
      <c r="I88" t="s">
        <v>745</v>
      </c>
      <c r="J88" t="s">
        <v>3</v>
      </c>
      <c r="K88" t="s">
        <v>746</v>
      </c>
      <c r="L88">
        <v>1301</v>
      </c>
      <c r="N88">
        <v>1003</v>
      </c>
      <c r="O88" t="s">
        <v>98</v>
      </c>
      <c r="P88" t="s">
        <v>98</v>
      </c>
      <c r="Q88">
        <v>1</v>
      </c>
      <c r="X88">
        <v>1010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 t="s">
        <v>3</v>
      </c>
      <c r="AG88">
        <v>1010</v>
      </c>
      <c r="AH88">
        <v>3</v>
      </c>
      <c r="AI88">
        <v>-1</v>
      </c>
      <c r="AJ88" t="s">
        <v>3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</row>
    <row r="89" spans="1:44" x14ac:dyDescent="0.25">
      <c r="A89">
        <f>ROW(Source!A144)</f>
        <v>144</v>
      </c>
      <c r="B89">
        <v>75605459</v>
      </c>
      <c r="C89">
        <v>75605416</v>
      </c>
      <c r="D89">
        <v>74187942</v>
      </c>
      <c r="E89">
        <v>118</v>
      </c>
      <c r="F89">
        <v>1</v>
      </c>
      <c r="G89">
        <v>1</v>
      </c>
      <c r="H89">
        <v>3</v>
      </c>
      <c r="I89" t="s">
        <v>747</v>
      </c>
      <c r="J89" t="s">
        <v>3</v>
      </c>
      <c r="K89" t="s">
        <v>748</v>
      </c>
      <c r="L89">
        <v>1377</v>
      </c>
      <c r="N89">
        <v>1013</v>
      </c>
      <c r="O89" t="s">
        <v>749</v>
      </c>
      <c r="P89" t="s">
        <v>749</v>
      </c>
      <c r="Q89">
        <v>1</v>
      </c>
      <c r="X89">
        <v>0</v>
      </c>
      <c r="Y89">
        <v>0</v>
      </c>
      <c r="Z89">
        <v>0</v>
      </c>
      <c r="AA89">
        <v>0</v>
      </c>
      <c r="AB89">
        <v>0</v>
      </c>
      <c r="AC89">
        <v>1</v>
      </c>
      <c r="AD89">
        <v>0</v>
      </c>
      <c r="AE89">
        <v>0</v>
      </c>
      <c r="AF89" t="s">
        <v>3</v>
      </c>
      <c r="AG89">
        <v>0</v>
      </c>
      <c r="AH89">
        <v>3</v>
      </c>
      <c r="AI89">
        <v>-1</v>
      </c>
      <c r="AJ89" t="s">
        <v>3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</row>
    <row r="90" spans="1:44" x14ac:dyDescent="0.25">
      <c r="A90">
        <f>ROW(Source!A144)</f>
        <v>144</v>
      </c>
      <c r="B90">
        <v>75605460</v>
      </c>
      <c r="C90">
        <v>75605416</v>
      </c>
      <c r="D90">
        <v>74187953</v>
      </c>
      <c r="E90">
        <v>118</v>
      </c>
      <c r="F90">
        <v>1</v>
      </c>
      <c r="G90">
        <v>1</v>
      </c>
      <c r="H90">
        <v>3</v>
      </c>
      <c r="I90" t="s">
        <v>750</v>
      </c>
      <c r="J90" t="s">
        <v>3</v>
      </c>
      <c r="K90" t="s">
        <v>751</v>
      </c>
      <c r="L90">
        <v>1371</v>
      </c>
      <c r="N90">
        <v>1013</v>
      </c>
      <c r="O90" t="s">
        <v>222</v>
      </c>
      <c r="P90" t="s">
        <v>222</v>
      </c>
      <c r="Q90">
        <v>1</v>
      </c>
      <c r="X90">
        <v>0</v>
      </c>
      <c r="Y90">
        <v>0</v>
      </c>
      <c r="Z90">
        <v>0</v>
      </c>
      <c r="AA90">
        <v>0</v>
      </c>
      <c r="AB90">
        <v>0</v>
      </c>
      <c r="AC90">
        <v>1</v>
      </c>
      <c r="AD90">
        <v>0</v>
      </c>
      <c r="AE90">
        <v>0</v>
      </c>
      <c r="AF90" t="s">
        <v>3</v>
      </c>
      <c r="AG90">
        <v>0</v>
      </c>
      <c r="AH90">
        <v>3</v>
      </c>
      <c r="AI90">
        <v>-1</v>
      </c>
      <c r="AJ90" t="s">
        <v>3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</row>
    <row r="91" spans="1:44" x14ac:dyDescent="0.25">
      <c r="A91">
        <f>ROW(Source!A149)</f>
        <v>149</v>
      </c>
      <c r="B91">
        <v>75605836</v>
      </c>
      <c r="C91">
        <v>75605813</v>
      </c>
      <c r="D91">
        <v>74182275</v>
      </c>
      <c r="E91">
        <v>118</v>
      </c>
      <c r="F91">
        <v>1</v>
      </c>
      <c r="G91">
        <v>1</v>
      </c>
      <c r="H91">
        <v>1</v>
      </c>
      <c r="I91" t="s">
        <v>612</v>
      </c>
      <c r="J91" t="s">
        <v>3</v>
      </c>
      <c r="K91" t="s">
        <v>613</v>
      </c>
      <c r="L91">
        <v>1191</v>
      </c>
      <c r="N91">
        <v>1013</v>
      </c>
      <c r="O91" t="s">
        <v>501</v>
      </c>
      <c r="P91" t="s">
        <v>501</v>
      </c>
      <c r="Q91">
        <v>1</v>
      </c>
      <c r="X91">
        <v>73.599999999999994</v>
      </c>
      <c r="Y91">
        <v>0</v>
      </c>
      <c r="Z91">
        <v>0</v>
      </c>
      <c r="AA91">
        <v>0</v>
      </c>
      <c r="AB91">
        <v>347.42</v>
      </c>
      <c r="AC91">
        <v>0</v>
      </c>
      <c r="AD91">
        <v>1</v>
      </c>
      <c r="AE91">
        <v>1</v>
      </c>
      <c r="AF91" t="s">
        <v>27</v>
      </c>
      <c r="AG91">
        <v>84.639999999999986</v>
      </c>
      <c r="AH91">
        <v>2</v>
      </c>
      <c r="AI91">
        <v>75605836</v>
      </c>
      <c r="AJ91">
        <v>87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</row>
    <row r="92" spans="1:44" x14ac:dyDescent="0.25">
      <c r="A92">
        <f>ROW(Source!A149)</f>
        <v>149</v>
      </c>
      <c r="B92">
        <v>75605837</v>
      </c>
      <c r="C92">
        <v>75605813</v>
      </c>
      <c r="D92">
        <v>74182464</v>
      </c>
      <c r="E92">
        <v>118</v>
      </c>
      <c r="F92">
        <v>1</v>
      </c>
      <c r="G92">
        <v>1</v>
      </c>
      <c r="H92">
        <v>1</v>
      </c>
      <c r="I92" t="s">
        <v>504</v>
      </c>
      <c r="J92" t="s">
        <v>3</v>
      </c>
      <c r="K92" t="s">
        <v>505</v>
      </c>
      <c r="L92">
        <v>1191</v>
      </c>
      <c r="N92">
        <v>1013</v>
      </c>
      <c r="O92" t="s">
        <v>501</v>
      </c>
      <c r="P92" t="s">
        <v>501</v>
      </c>
      <c r="Q92">
        <v>1</v>
      </c>
      <c r="X92">
        <v>0.27</v>
      </c>
      <c r="Y92">
        <v>0</v>
      </c>
      <c r="Z92">
        <v>0</v>
      </c>
      <c r="AA92">
        <v>0</v>
      </c>
      <c r="AB92">
        <v>0</v>
      </c>
      <c r="AC92">
        <v>0</v>
      </c>
      <c r="AD92">
        <v>1</v>
      </c>
      <c r="AE92">
        <v>2</v>
      </c>
      <c r="AF92" t="s">
        <v>27</v>
      </c>
      <c r="AG92">
        <v>0.3105</v>
      </c>
      <c r="AH92">
        <v>2</v>
      </c>
      <c r="AI92">
        <v>75605837</v>
      </c>
      <c r="AJ92">
        <v>88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</row>
    <row r="93" spans="1:44" x14ac:dyDescent="0.25">
      <c r="A93">
        <f>ROW(Source!A149)</f>
        <v>149</v>
      </c>
      <c r="B93">
        <v>75605838</v>
      </c>
      <c r="C93">
        <v>75605813</v>
      </c>
      <c r="D93">
        <v>74308922</v>
      </c>
      <c r="E93">
        <v>1</v>
      </c>
      <c r="F93">
        <v>1</v>
      </c>
      <c r="G93">
        <v>1</v>
      </c>
      <c r="H93">
        <v>2</v>
      </c>
      <c r="I93" t="s">
        <v>574</v>
      </c>
      <c r="J93" t="s">
        <v>575</v>
      </c>
      <c r="K93" t="s">
        <v>576</v>
      </c>
      <c r="L93">
        <v>1368</v>
      </c>
      <c r="N93">
        <v>1011</v>
      </c>
      <c r="O93" t="s">
        <v>509</v>
      </c>
      <c r="P93" t="s">
        <v>509</v>
      </c>
      <c r="Q93">
        <v>1</v>
      </c>
      <c r="X93">
        <v>0.11</v>
      </c>
      <c r="Y93">
        <v>0</v>
      </c>
      <c r="Z93">
        <v>1598.95</v>
      </c>
      <c r="AA93">
        <v>494.35</v>
      </c>
      <c r="AB93">
        <v>0</v>
      </c>
      <c r="AC93">
        <v>0</v>
      </c>
      <c r="AD93">
        <v>1</v>
      </c>
      <c r="AE93">
        <v>0</v>
      </c>
      <c r="AF93" t="s">
        <v>27</v>
      </c>
      <c r="AG93">
        <v>0.1265</v>
      </c>
      <c r="AH93">
        <v>2</v>
      </c>
      <c r="AI93">
        <v>75605838</v>
      </c>
      <c r="AJ93">
        <v>89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</row>
    <row r="94" spans="1:44" x14ac:dyDescent="0.25">
      <c r="A94">
        <f>ROW(Source!A149)</f>
        <v>149</v>
      </c>
      <c r="B94">
        <v>75605839</v>
      </c>
      <c r="C94">
        <v>75605813</v>
      </c>
      <c r="D94">
        <v>74309063</v>
      </c>
      <c r="E94">
        <v>1</v>
      </c>
      <c r="F94">
        <v>1</v>
      </c>
      <c r="G94">
        <v>1</v>
      </c>
      <c r="H94">
        <v>2</v>
      </c>
      <c r="I94" t="s">
        <v>614</v>
      </c>
      <c r="J94" t="s">
        <v>615</v>
      </c>
      <c r="K94" t="s">
        <v>616</v>
      </c>
      <c r="L94">
        <v>1368</v>
      </c>
      <c r="N94">
        <v>1011</v>
      </c>
      <c r="O94" t="s">
        <v>509</v>
      </c>
      <c r="P94" t="s">
        <v>509</v>
      </c>
      <c r="Q94">
        <v>1</v>
      </c>
      <c r="X94">
        <v>3.7</v>
      </c>
      <c r="Y94">
        <v>0</v>
      </c>
      <c r="Z94">
        <v>13.44</v>
      </c>
      <c r="AA94">
        <v>0</v>
      </c>
      <c r="AB94">
        <v>0</v>
      </c>
      <c r="AC94">
        <v>0</v>
      </c>
      <c r="AD94">
        <v>1</v>
      </c>
      <c r="AE94">
        <v>0</v>
      </c>
      <c r="AF94" t="s">
        <v>27</v>
      </c>
      <c r="AG94">
        <v>4.2549999999999999</v>
      </c>
      <c r="AH94">
        <v>2</v>
      </c>
      <c r="AI94">
        <v>75605839</v>
      </c>
      <c r="AJ94">
        <v>90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</row>
    <row r="95" spans="1:44" x14ac:dyDescent="0.25">
      <c r="A95">
        <f>ROW(Source!A149)</f>
        <v>149</v>
      </c>
      <c r="B95">
        <v>75605840</v>
      </c>
      <c r="C95">
        <v>75605813</v>
      </c>
      <c r="D95">
        <v>74309824</v>
      </c>
      <c r="E95">
        <v>1</v>
      </c>
      <c r="F95">
        <v>1</v>
      </c>
      <c r="G95">
        <v>1</v>
      </c>
      <c r="H95">
        <v>2</v>
      </c>
      <c r="I95" t="s">
        <v>527</v>
      </c>
      <c r="J95" t="s">
        <v>528</v>
      </c>
      <c r="K95" t="s">
        <v>529</v>
      </c>
      <c r="L95">
        <v>1368</v>
      </c>
      <c r="N95">
        <v>1011</v>
      </c>
      <c r="O95" t="s">
        <v>509</v>
      </c>
      <c r="P95" t="s">
        <v>509</v>
      </c>
      <c r="Q95">
        <v>1</v>
      </c>
      <c r="X95">
        <v>0.16</v>
      </c>
      <c r="Y95">
        <v>0</v>
      </c>
      <c r="Z95">
        <v>551.45000000000005</v>
      </c>
      <c r="AA95">
        <v>368.02</v>
      </c>
      <c r="AB95">
        <v>0</v>
      </c>
      <c r="AC95">
        <v>0</v>
      </c>
      <c r="AD95">
        <v>1</v>
      </c>
      <c r="AE95">
        <v>0</v>
      </c>
      <c r="AF95" t="s">
        <v>27</v>
      </c>
      <c r="AG95">
        <v>0.184</v>
      </c>
      <c r="AH95">
        <v>2</v>
      </c>
      <c r="AI95">
        <v>75605840</v>
      </c>
      <c r="AJ95">
        <v>91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</row>
    <row r="96" spans="1:44" x14ac:dyDescent="0.25">
      <c r="A96">
        <f>ROW(Source!A149)</f>
        <v>149</v>
      </c>
      <c r="B96">
        <v>75605841</v>
      </c>
      <c r="C96">
        <v>75605813</v>
      </c>
      <c r="D96">
        <v>74309983</v>
      </c>
      <c r="E96">
        <v>1</v>
      </c>
      <c r="F96">
        <v>1</v>
      </c>
      <c r="G96">
        <v>1</v>
      </c>
      <c r="H96">
        <v>2</v>
      </c>
      <c r="I96" t="s">
        <v>578</v>
      </c>
      <c r="J96" t="s">
        <v>579</v>
      </c>
      <c r="K96" t="s">
        <v>580</v>
      </c>
      <c r="L96">
        <v>1368</v>
      </c>
      <c r="N96">
        <v>1011</v>
      </c>
      <c r="O96" t="s">
        <v>509</v>
      </c>
      <c r="P96" t="s">
        <v>509</v>
      </c>
      <c r="Q96">
        <v>1</v>
      </c>
      <c r="X96">
        <v>2.3199999999999998</v>
      </c>
      <c r="Y96">
        <v>0</v>
      </c>
      <c r="Z96">
        <v>4.3499999999999996</v>
      </c>
      <c r="AA96">
        <v>0</v>
      </c>
      <c r="AB96">
        <v>0</v>
      </c>
      <c r="AC96">
        <v>0</v>
      </c>
      <c r="AD96">
        <v>1</v>
      </c>
      <c r="AE96">
        <v>0</v>
      </c>
      <c r="AF96" t="s">
        <v>27</v>
      </c>
      <c r="AG96">
        <v>2.6679999999999997</v>
      </c>
      <c r="AH96">
        <v>2</v>
      </c>
      <c r="AI96">
        <v>75605841</v>
      </c>
      <c r="AJ96">
        <v>92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</row>
    <row r="97" spans="1:44" x14ac:dyDescent="0.25">
      <c r="A97">
        <f>ROW(Source!A149)</f>
        <v>149</v>
      </c>
      <c r="B97">
        <v>75605842</v>
      </c>
      <c r="C97">
        <v>75605813</v>
      </c>
      <c r="D97">
        <v>74310010</v>
      </c>
      <c r="E97">
        <v>1</v>
      </c>
      <c r="F97">
        <v>1</v>
      </c>
      <c r="G97">
        <v>1</v>
      </c>
      <c r="H97">
        <v>2</v>
      </c>
      <c r="I97" t="s">
        <v>617</v>
      </c>
      <c r="J97" t="s">
        <v>618</v>
      </c>
      <c r="K97" t="s">
        <v>619</v>
      </c>
      <c r="L97">
        <v>1368</v>
      </c>
      <c r="N97">
        <v>1011</v>
      </c>
      <c r="O97" t="s">
        <v>509</v>
      </c>
      <c r="P97" t="s">
        <v>509</v>
      </c>
      <c r="Q97">
        <v>1</v>
      </c>
      <c r="X97">
        <v>16.3</v>
      </c>
      <c r="Y97">
        <v>0</v>
      </c>
      <c r="Z97">
        <v>90.36</v>
      </c>
      <c r="AA97">
        <v>0</v>
      </c>
      <c r="AB97">
        <v>0</v>
      </c>
      <c r="AC97">
        <v>0</v>
      </c>
      <c r="AD97">
        <v>1</v>
      </c>
      <c r="AE97">
        <v>0</v>
      </c>
      <c r="AF97" t="s">
        <v>27</v>
      </c>
      <c r="AG97">
        <v>18.745000000000001</v>
      </c>
      <c r="AH97">
        <v>2</v>
      </c>
      <c r="AI97">
        <v>75605842</v>
      </c>
      <c r="AJ97">
        <v>93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</row>
    <row r="98" spans="1:44" x14ac:dyDescent="0.25">
      <c r="A98">
        <f>ROW(Source!A149)</f>
        <v>149</v>
      </c>
      <c r="B98">
        <v>75605843</v>
      </c>
      <c r="C98">
        <v>75605813</v>
      </c>
      <c r="D98">
        <v>74257065</v>
      </c>
      <c r="E98">
        <v>1</v>
      </c>
      <c r="F98">
        <v>1</v>
      </c>
      <c r="G98">
        <v>1</v>
      </c>
      <c r="H98">
        <v>3</v>
      </c>
      <c r="I98" t="s">
        <v>581</v>
      </c>
      <c r="J98" t="s">
        <v>582</v>
      </c>
      <c r="K98" t="s">
        <v>583</v>
      </c>
      <c r="L98">
        <v>1339</v>
      </c>
      <c r="N98">
        <v>1007</v>
      </c>
      <c r="O98" t="s">
        <v>205</v>
      </c>
      <c r="P98" t="s">
        <v>205</v>
      </c>
      <c r="Q98">
        <v>1</v>
      </c>
      <c r="X98">
        <v>1.95</v>
      </c>
      <c r="Y98">
        <v>114.64</v>
      </c>
      <c r="Z98">
        <v>0</v>
      </c>
      <c r="AA98">
        <v>0</v>
      </c>
      <c r="AB98">
        <v>0</v>
      </c>
      <c r="AC98">
        <v>0</v>
      </c>
      <c r="AD98">
        <v>1</v>
      </c>
      <c r="AE98">
        <v>0</v>
      </c>
      <c r="AF98" t="s">
        <v>3</v>
      </c>
      <c r="AG98">
        <v>1.95</v>
      </c>
      <c r="AH98">
        <v>2</v>
      </c>
      <c r="AI98">
        <v>75605843</v>
      </c>
      <c r="AJ98">
        <v>94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</row>
    <row r="99" spans="1:44" x14ac:dyDescent="0.25">
      <c r="A99">
        <f>ROW(Source!A149)</f>
        <v>149</v>
      </c>
      <c r="B99">
        <v>75605844</v>
      </c>
      <c r="C99">
        <v>75605813</v>
      </c>
      <c r="D99">
        <v>74257069</v>
      </c>
      <c r="E99">
        <v>1</v>
      </c>
      <c r="F99">
        <v>1</v>
      </c>
      <c r="G99">
        <v>1</v>
      </c>
      <c r="H99">
        <v>3</v>
      </c>
      <c r="I99" t="s">
        <v>584</v>
      </c>
      <c r="J99" t="s">
        <v>585</v>
      </c>
      <c r="K99" t="s">
        <v>586</v>
      </c>
      <c r="L99">
        <v>1346</v>
      </c>
      <c r="N99">
        <v>1009</v>
      </c>
      <c r="O99" t="s">
        <v>240</v>
      </c>
      <c r="P99" t="s">
        <v>240</v>
      </c>
      <c r="Q99">
        <v>1</v>
      </c>
      <c r="X99">
        <v>0.59</v>
      </c>
      <c r="Y99">
        <v>41.38</v>
      </c>
      <c r="Z99">
        <v>0</v>
      </c>
      <c r="AA99">
        <v>0</v>
      </c>
      <c r="AB99">
        <v>0</v>
      </c>
      <c r="AC99">
        <v>0</v>
      </c>
      <c r="AD99">
        <v>1</v>
      </c>
      <c r="AE99">
        <v>0</v>
      </c>
      <c r="AF99" t="s">
        <v>3</v>
      </c>
      <c r="AG99">
        <v>0.59</v>
      </c>
      <c r="AH99">
        <v>2</v>
      </c>
      <c r="AI99">
        <v>75605844</v>
      </c>
      <c r="AJ99">
        <v>95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</row>
    <row r="100" spans="1:44" x14ac:dyDescent="0.25">
      <c r="A100">
        <f>ROW(Source!A149)</f>
        <v>149</v>
      </c>
      <c r="B100">
        <v>75605845</v>
      </c>
      <c r="C100">
        <v>75605813</v>
      </c>
      <c r="D100">
        <v>74259041</v>
      </c>
      <c r="E100">
        <v>1</v>
      </c>
      <c r="F100">
        <v>1</v>
      </c>
      <c r="G100">
        <v>1</v>
      </c>
      <c r="H100">
        <v>3</v>
      </c>
      <c r="I100" t="s">
        <v>560</v>
      </c>
      <c r="J100" t="s">
        <v>561</v>
      </c>
      <c r="K100" t="s">
        <v>562</v>
      </c>
      <c r="L100">
        <v>1383</v>
      </c>
      <c r="N100">
        <v>1013</v>
      </c>
      <c r="O100" t="s">
        <v>563</v>
      </c>
      <c r="P100" t="s">
        <v>563</v>
      </c>
      <c r="Q100">
        <v>1</v>
      </c>
      <c r="X100">
        <v>10.353</v>
      </c>
      <c r="Y100">
        <v>9.0399999999999991</v>
      </c>
      <c r="Z100">
        <v>0</v>
      </c>
      <c r="AA100">
        <v>0</v>
      </c>
      <c r="AB100">
        <v>0</v>
      </c>
      <c r="AC100">
        <v>0</v>
      </c>
      <c r="AD100">
        <v>1</v>
      </c>
      <c r="AE100">
        <v>0</v>
      </c>
      <c r="AF100" t="s">
        <v>3</v>
      </c>
      <c r="AG100">
        <v>10.353</v>
      </c>
      <c r="AH100">
        <v>2</v>
      </c>
      <c r="AI100">
        <v>75605845</v>
      </c>
      <c r="AJ100">
        <v>96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</row>
    <row r="101" spans="1:44" x14ac:dyDescent="0.25">
      <c r="A101">
        <f>ROW(Source!A149)</f>
        <v>149</v>
      </c>
      <c r="B101">
        <v>75605846</v>
      </c>
      <c r="C101">
        <v>75605813</v>
      </c>
      <c r="D101">
        <v>74259722</v>
      </c>
      <c r="E101">
        <v>1</v>
      </c>
      <c r="F101">
        <v>1</v>
      </c>
      <c r="G101">
        <v>1</v>
      </c>
      <c r="H101">
        <v>3</v>
      </c>
      <c r="I101" t="s">
        <v>620</v>
      </c>
      <c r="J101" t="s">
        <v>621</v>
      </c>
      <c r="K101" t="s">
        <v>622</v>
      </c>
      <c r="L101">
        <v>1346</v>
      </c>
      <c r="N101">
        <v>1009</v>
      </c>
      <c r="O101" t="s">
        <v>240</v>
      </c>
      <c r="P101" t="s">
        <v>240</v>
      </c>
      <c r="Q101">
        <v>1</v>
      </c>
      <c r="X101">
        <v>14</v>
      </c>
      <c r="Y101">
        <v>142.68</v>
      </c>
      <c r="Z101">
        <v>0</v>
      </c>
      <c r="AA101">
        <v>0</v>
      </c>
      <c r="AB101">
        <v>0</v>
      </c>
      <c r="AC101">
        <v>0</v>
      </c>
      <c r="AD101">
        <v>1</v>
      </c>
      <c r="AE101">
        <v>0</v>
      </c>
      <c r="AF101" t="s">
        <v>3</v>
      </c>
      <c r="AG101">
        <v>14</v>
      </c>
      <c r="AH101">
        <v>2</v>
      </c>
      <c r="AI101">
        <v>75605846</v>
      </c>
      <c r="AJ101">
        <v>97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</row>
    <row r="102" spans="1:44" x14ac:dyDescent="0.25">
      <c r="A102">
        <f>ROW(Source!A149)</f>
        <v>149</v>
      </c>
      <c r="B102">
        <v>75605847</v>
      </c>
      <c r="C102">
        <v>75605813</v>
      </c>
      <c r="D102">
        <v>74260536</v>
      </c>
      <c r="E102">
        <v>1</v>
      </c>
      <c r="F102">
        <v>1</v>
      </c>
      <c r="G102">
        <v>1</v>
      </c>
      <c r="H102">
        <v>3</v>
      </c>
      <c r="I102" t="s">
        <v>623</v>
      </c>
      <c r="J102" t="s">
        <v>624</v>
      </c>
      <c r="K102" t="s">
        <v>625</v>
      </c>
      <c r="L102">
        <v>1346</v>
      </c>
      <c r="N102">
        <v>1009</v>
      </c>
      <c r="O102" t="s">
        <v>240</v>
      </c>
      <c r="P102" t="s">
        <v>240</v>
      </c>
      <c r="Q102">
        <v>1</v>
      </c>
      <c r="X102">
        <v>5</v>
      </c>
      <c r="Y102">
        <v>174.93</v>
      </c>
      <c r="Z102">
        <v>0</v>
      </c>
      <c r="AA102">
        <v>0</v>
      </c>
      <c r="AB102">
        <v>0</v>
      </c>
      <c r="AC102">
        <v>0</v>
      </c>
      <c r="AD102">
        <v>1</v>
      </c>
      <c r="AE102">
        <v>0</v>
      </c>
      <c r="AF102" t="s">
        <v>3</v>
      </c>
      <c r="AG102">
        <v>5</v>
      </c>
      <c r="AH102">
        <v>2</v>
      </c>
      <c r="AI102">
        <v>75605847</v>
      </c>
      <c r="AJ102">
        <v>98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</row>
    <row r="103" spans="1:44" x14ac:dyDescent="0.25">
      <c r="A103">
        <f>ROW(Source!A149)</f>
        <v>149</v>
      </c>
      <c r="B103">
        <v>75605848</v>
      </c>
      <c r="C103">
        <v>75605813</v>
      </c>
      <c r="D103">
        <v>74260587</v>
      </c>
      <c r="E103">
        <v>1</v>
      </c>
      <c r="F103">
        <v>1</v>
      </c>
      <c r="G103">
        <v>1</v>
      </c>
      <c r="H103">
        <v>3</v>
      </c>
      <c r="I103" t="s">
        <v>530</v>
      </c>
      <c r="J103" t="s">
        <v>531</v>
      </c>
      <c r="K103" t="s">
        <v>532</v>
      </c>
      <c r="L103">
        <v>1348</v>
      </c>
      <c r="N103">
        <v>1009</v>
      </c>
      <c r="O103" t="s">
        <v>174</v>
      </c>
      <c r="P103" t="s">
        <v>174</v>
      </c>
      <c r="Q103">
        <v>1000</v>
      </c>
      <c r="X103">
        <v>1.0000000000000001E-5</v>
      </c>
      <c r="Y103">
        <v>70296.2</v>
      </c>
      <c r="Z103">
        <v>0</v>
      </c>
      <c r="AA103">
        <v>0</v>
      </c>
      <c r="AB103">
        <v>0</v>
      </c>
      <c r="AC103">
        <v>0</v>
      </c>
      <c r="AD103">
        <v>1</v>
      </c>
      <c r="AE103">
        <v>0</v>
      </c>
      <c r="AF103" t="s">
        <v>3</v>
      </c>
      <c r="AG103">
        <v>1.0000000000000001E-5</v>
      </c>
      <c r="AH103">
        <v>2</v>
      </c>
      <c r="AI103">
        <v>75605848</v>
      </c>
      <c r="AJ103">
        <v>99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</row>
    <row r="104" spans="1:44" x14ac:dyDescent="0.25">
      <c r="A104">
        <f>ROW(Source!A149)</f>
        <v>149</v>
      </c>
      <c r="B104">
        <v>75605849</v>
      </c>
      <c r="C104">
        <v>75605813</v>
      </c>
      <c r="D104">
        <v>74261679</v>
      </c>
      <c r="E104">
        <v>1</v>
      </c>
      <c r="F104">
        <v>1</v>
      </c>
      <c r="G104">
        <v>1</v>
      </c>
      <c r="H104">
        <v>3</v>
      </c>
      <c r="I104" t="s">
        <v>626</v>
      </c>
      <c r="J104" t="s">
        <v>627</v>
      </c>
      <c r="K104" t="s">
        <v>628</v>
      </c>
      <c r="L104">
        <v>1348</v>
      </c>
      <c r="N104">
        <v>1009</v>
      </c>
      <c r="O104" t="s">
        <v>174</v>
      </c>
      <c r="P104" t="s">
        <v>174</v>
      </c>
      <c r="Q104">
        <v>1000</v>
      </c>
      <c r="X104">
        <v>1E-4</v>
      </c>
      <c r="Y104">
        <v>231787.35</v>
      </c>
      <c r="Z104">
        <v>0</v>
      </c>
      <c r="AA104">
        <v>0</v>
      </c>
      <c r="AB104">
        <v>0</v>
      </c>
      <c r="AC104">
        <v>0</v>
      </c>
      <c r="AD104">
        <v>1</v>
      </c>
      <c r="AE104">
        <v>0</v>
      </c>
      <c r="AF104" t="s">
        <v>3</v>
      </c>
      <c r="AG104">
        <v>1E-4</v>
      </c>
      <c r="AH104">
        <v>2</v>
      </c>
      <c r="AI104">
        <v>75605849</v>
      </c>
      <c r="AJ104">
        <v>100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</row>
    <row r="105" spans="1:44" x14ac:dyDescent="0.25">
      <c r="A105">
        <f>ROW(Source!A149)</f>
        <v>149</v>
      </c>
      <c r="B105">
        <v>75605850</v>
      </c>
      <c r="C105">
        <v>75605813</v>
      </c>
      <c r="D105">
        <v>74184765</v>
      </c>
      <c r="E105">
        <v>118</v>
      </c>
      <c r="F105">
        <v>1</v>
      </c>
      <c r="G105">
        <v>1</v>
      </c>
      <c r="H105">
        <v>3</v>
      </c>
      <c r="I105" t="s">
        <v>741</v>
      </c>
      <c r="J105" t="s">
        <v>3</v>
      </c>
      <c r="K105" t="s">
        <v>752</v>
      </c>
      <c r="L105">
        <v>1348</v>
      </c>
      <c r="N105">
        <v>1009</v>
      </c>
      <c r="O105" t="s">
        <v>174</v>
      </c>
      <c r="P105" t="s">
        <v>174</v>
      </c>
      <c r="Q105">
        <v>1000</v>
      </c>
      <c r="X105">
        <v>1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 t="s">
        <v>3</v>
      </c>
      <c r="AG105">
        <v>1</v>
      </c>
      <c r="AH105">
        <v>3</v>
      </c>
      <c r="AI105">
        <v>-1</v>
      </c>
      <c r="AJ105" t="s">
        <v>3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</row>
    <row r="106" spans="1:44" x14ac:dyDescent="0.25">
      <c r="A106">
        <f>ROW(Source!A149)</f>
        <v>149</v>
      </c>
      <c r="B106">
        <v>75605851</v>
      </c>
      <c r="C106">
        <v>75605813</v>
      </c>
      <c r="D106">
        <v>74267598</v>
      </c>
      <c r="E106">
        <v>1</v>
      </c>
      <c r="F106">
        <v>1</v>
      </c>
      <c r="G106">
        <v>1</v>
      </c>
      <c r="H106">
        <v>3</v>
      </c>
      <c r="I106" t="s">
        <v>629</v>
      </c>
      <c r="J106" t="s">
        <v>630</v>
      </c>
      <c r="K106" t="s">
        <v>631</v>
      </c>
      <c r="L106">
        <v>1302</v>
      </c>
      <c r="N106">
        <v>1003</v>
      </c>
      <c r="O106" t="s">
        <v>632</v>
      </c>
      <c r="P106" t="s">
        <v>632</v>
      </c>
      <c r="Q106">
        <v>10</v>
      </c>
      <c r="X106">
        <v>1.8700000000000001E-2</v>
      </c>
      <c r="Y106">
        <v>307.83999999999997</v>
      </c>
      <c r="Z106">
        <v>0</v>
      </c>
      <c r="AA106">
        <v>0</v>
      </c>
      <c r="AB106">
        <v>0</v>
      </c>
      <c r="AC106">
        <v>0</v>
      </c>
      <c r="AD106">
        <v>1</v>
      </c>
      <c r="AE106">
        <v>0</v>
      </c>
      <c r="AF106" t="s">
        <v>3</v>
      </c>
      <c r="AG106">
        <v>1.8700000000000001E-2</v>
      </c>
      <c r="AH106">
        <v>2</v>
      </c>
      <c r="AI106">
        <v>75605851</v>
      </c>
      <c r="AJ106">
        <v>102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</row>
    <row r="107" spans="1:44" x14ac:dyDescent="0.25">
      <c r="A107">
        <f>ROW(Source!A149)</f>
        <v>149</v>
      </c>
      <c r="B107">
        <v>75605852</v>
      </c>
      <c r="C107">
        <v>75605813</v>
      </c>
      <c r="D107">
        <v>74267758</v>
      </c>
      <c r="E107">
        <v>1</v>
      </c>
      <c r="F107">
        <v>1</v>
      </c>
      <c r="G107">
        <v>1</v>
      </c>
      <c r="H107">
        <v>3</v>
      </c>
      <c r="I107" t="s">
        <v>533</v>
      </c>
      <c r="J107" t="s">
        <v>534</v>
      </c>
      <c r="K107" t="s">
        <v>535</v>
      </c>
      <c r="L107">
        <v>1348</v>
      </c>
      <c r="N107">
        <v>1009</v>
      </c>
      <c r="O107" t="s">
        <v>174</v>
      </c>
      <c r="P107" t="s">
        <v>174</v>
      </c>
      <c r="Q107">
        <v>1000</v>
      </c>
      <c r="X107">
        <v>3.0000000000000001E-5</v>
      </c>
      <c r="Y107">
        <v>60258.2</v>
      </c>
      <c r="Z107">
        <v>0</v>
      </c>
      <c r="AA107">
        <v>0</v>
      </c>
      <c r="AB107">
        <v>0</v>
      </c>
      <c r="AC107">
        <v>0</v>
      </c>
      <c r="AD107">
        <v>1</v>
      </c>
      <c r="AE107">
        <v>0</v>
      </c>
      <c r="AF107" t="s">
        <v>3</v>
      </c>
      <c r="AG107">
        <v>3.0000000000000001E-5</v>
      </c>
      <c r="AH107">
        <v>2</v>
      </c>
      <c r="AI107">
        <v>75605852</v>
      </c>
      <c r="AJ107">
        <v>103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</row>
    <row r="108" spans="1:44" x14ac:dyDescent="0.25">
      <c r="A108">
        <f>ROW(Source!A149)</f>
        <v>149</v>
      </c>
      <c r="B108">
        <v>75605853</v>
      </c>
      <c r="C108">
        <v>75605813</v>
      </c>
      <c r="D108">
        <v>74268214</v>
      </c>
      <c r="E108">
        <v>1</v>
      </c>
      <c r="F108">
        <v>1</v>
      </c>
      <c r="G108">
        <v>1</v>
      </c>
      <c r="H108">
        <v>3</v>
      </c>
      <c r="I108" t="s">
        <v>633</v>
      </c>
      <c r="J108" t="s">
        <v>634</v>
      </c>
      <c r="K108" t="s">
        <v>635</v>
      </c>
      <c r="L108">
        <v>1348</v>
      </c>
      <c r="N108">
        <v>1009</v>
      </c>
      <c r="O108" t="s">
        <v>174</v>
      </c>
      <c r="P108" t="s">
        <v>174</v>
      </c>
      <c r="Q108">
        <v>1000</v>
      </c>
      <c r="X108">
        <v>1.9400000000000001E-3</v>
      </c>
      <c r="Y108">
        <v>136760</v>
      </c>
      <c r="Z108">
        <v>0</v>
      </c>
      <c r="AA108">
        <v>0</v>
      </c>
      <c r="AB108">
        <v>0</v>
      </c>
      <c r="AC108">
        <v>0</v>
      </c>
      <c r="AD108">
        <v>1</v>
      </c>
      <c r="AE108">
        <v>0</v>
      </c>
      <c r="AF108" t="s">
        <v>3</v>
      </c>
      <c r="AG108">
        <v>1.9400000000000001E-3</v>
      </c>
      <c r="AH108">
        <v>2</v>
      </c>
      <c r="AI108">
        <v>75605853</v>
      </c>
      <c r="AJ108">
        <v>104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</row>
    <row r="109" spans="1:44" x14ac:dyDescent="0.25">
      <c r="A109">
        <f>ROW(Source!A149)</f>
        <v>149</v>
      </c>
      <c r="B109">
        <v>75605854</v>
      </c>
      <c r="C109">
        <v>75605813</v>
      </c>
      <c r="D109">
        <v>74269923</v>
      </c>
      <c r="E109">
        <v>1</v>
      </c>
      <c r="F109">
        <v>1</v>
      </c>
      <c r="G109">
        <v>1</v>
      </c>
      <c r="H109">
        <v>3</v>
      </c>
      <c r="I109" t="s">
        <v>636</v>
      </c>
      <c r="J109" t="s">
        <v>637</v>
      </c>
      <c r="K109" t="s">
        <v>638</v>
      </c>
      <c r="L109">
        <v>1339</v>
      </c>
      <c r="N109">
        <v>1007</v>
      </c>
      <c r="O109" t="s">
        <v>205</v>
      </c>
      <c r="P109" t="s">
        <v>205</v>
      </c>
      <c r="Q109">
        <v>1</v>
      </c>
      <c r="X109">
        <v>1.0300000000000001E-3</v>
      </c>
      <c r="Y109">
        <v>16496.03</v>
      </c>
      <c r="Z109">
        <v>0</v>
      </c>
      <c r="AA109">
        <v>0</v>
      </c>
      <c r="AB109">
        <v>0</v>
      </c>
      <c r="AC109">
        <v>0</v>
      </c>
      <c r="AD109">
        <v>1</v>
      </c>
      <c r="AE109">
        <v>0</v>
      </c>
      <c r="AF109" t="s">
        <v>3</v>
      </c>
      <c r="AG109">
        <v>1.0300000000000001E-3</v>
      </c>
      <c r="AH109">
        <v>2</v>
      </c>
      <c r="AI109">
        <v>75605854</v>
      </c>
      <c r="AJ109">
        <v>105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</row>
    <row r="110" spans="1:44" x14ac:dyDescent="0.25">
      <c r="A110">
        <f>ROW(Source!A149)</f>
        <v>149</v>
      </c>
      <c r="B110">
        <v>75605855</v>
      </c>
      <c r="C110">
        <v>75605813</v>
      </c>
      <c r="D110">
        <v>74277951</v>
      </c>
      <c r="E110">
        <v>1</v>
      </c>
      <c r="F110">
        <v>1</v>
      </c>
      <c r="G110">
        <v>1</v>
      </c>
      <c r="H110">
        <v>3</v>
      </c>
      <c r="I110" t="s">
        <v>639</v>
      </c>
      <c r="J110" t="s">
        <v>640</v>
      </c>
      <c r="K110" t="s">
        <v>641</v>
      </c>
      <c r="L110">
        <v>1348</v>
      </c>
      <c r="N110">
        <v>1009</v>
      </c>
      <c r="O110" t="s">
        <v>174</v>
      </c>
      <c r="P110" t="s">
        <v>174</v>
      </c>
      <c r="Q110">
        <v>1000</v>
      </c>
      <c r="X110">
        <v>3.1E-4</v>
      </c>
      <c r="Y110">
        <v>51280.15</v>
      </c>
      <c r="Z110">
        <v>0</v>
      </c>
      <c r="AA110">
        <v>0</v>
      </c>
      <c r="AB110">
        <v>0</v>
      </c>
      <c r="AC110">
        <v>0</v>
      </c>
      <c r="AD110">
        <v>1</v>
      </c>
      <c r="AE110">
        <v>0</v>
      </c>
      <c r="AF110" t="s">
        <v>3</v>
      </c>
      <c r="AG110">
        <v>3.1E-4</v>
      </c>
      <c r="AH110">
        <v>2</v>
      </c>
      <c r="AI110">
        <v>75605855</v>
      </c>
      <c r="AJ110">
        <v>106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</row>
    <row r="111" spans="1:44" x14ac:dyDescent="0.25">
      <c r="A111">
        <f>ROW(Source!A149)</f>
        <v>149</v>
      </c>
      <c r="B111">
        <v>75605856</v>
      </c>
      <c r="C111">
        <v>75605813</v>
      </c>
      <c r="D111">
        <v>74278428</v>
      </c>
      <c r="E111">
        <v>1</v>
      </c>
      <c r="F111">
        <v>1</v>
      </c>
      <c r="G111">
        <v>1</v>
      </c>
      <c r="H111">
        <v>3</v>
      </c>
      <c r="I111" t="s">
        <v>642</v>
      </c>
      <c r="J111" t="s">
        <v>643</v>
      </c>
      <c r="K111" t="s">
        <v>644</v>
      </c>
      <c r="L111">
        <v>1348</v>
      </c>
      <c r="N111">
        <v>1009</v>
      </c>
      <c r="O111" t="s">
        <v>174</v>
      </c>
      <c r="P111" t="s">
        <v>174</v>
      </c>
      <c r="Q111">
        <v>1000</v>
      </c>
      <c r="X111">
        <v>5.9999999999999995E-4</v>
      </c>
      <c r="Y111">
        <v>98526.45</v>
      </c>
      <c r="Z111">
        <v>0</v>
      </c>
      <c r="AA111">
        <v>0</v>
      </c>
      <c r="AB111">
        <v>0</v>
      </c>
      <c r="AC111">
        <v>0</v>
      </c>
      <c r="AD111">
        <v>1</v>
      </c>
      <c r="AE111">
        <v>0</v>
      </c>
      <c r="AF111" t="s">
        <v>3</v>
      </c>
      <c r="AG111">
        <v>5.9999999999999995E-4</v>
      </c>
      <c r="AH111">
        <v>2</v>
      </c>
      <c r="AI111">
        <v>75605856</v>
      </c>
      <c r="AJ111">
        <v>107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</row>
    <row r="112" spans="1:44" x14ac:dyDescent="0.25">
      <c r="A112">
        <f>ROW(Source!A152)</f>
        <v>152</v>
      </c>
      <c r="B112">
        <v>75605537</v>
      </c>
      <c r="C112">
        <v>75605475</v>
      </c>
      <c r="D112">
        <v>74182291</v>
      </c>
      <c r="E112">
        <v>118</v>
      </c>
      <c r="F112">
        <v>1</v>
      </c>
      <c r="G112">
        <v>1</v>
      </c>
      <c r="H112">
        <v>1</v>
      </c>
      <c r="I112" t="s">
        <v>589</v>
      </c>
      <c r="J112" t="s">
        <v>3</v>
      </c>
      <c r="K112" t="s">
        <v>590</v>
      </c>
      <c r="L112">
        <v>1191</v>
      </c>
      <c r="N112">
        <v>1013</v>
      </c>
      <c r="O112" t="s">
        <v>501</v>
      </c>
      <c r="P112" t="s">
        <v>501</v>
      </c>
      <c r="Q112">
        <v>1</v>
      </c>
      <c r="X112">
        <v>428</v>
      </c>
      <c r="Y112">
        <v>0</v>
      </c>
      <c r="Z112">
        <v>0</v>
      </c>
      <c r="AA112">
        <v>0</v>
      </c>
      <c r="AB112">
        <v>373.51</v>
      </c>
      <c r="AC112">
        <v>0</v>
      </c>
      <c r="AD112">
        <v>1</v>
      </c>
      <c r="AE112">
        <v>1</v>
      </c>
      <c r="AF112" t="s">
        <v>27</v>
      </c>
      <c r="AG112">
        <v>492.2</v>
      </c>
      <c r="AH112">
        <v>2</v>
      </c>
      <c r="AI112">
        <v>75605537</v>
      </c>
      <c r="AJ112">
        <v>108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</row>
    <row r="113" spans="1:44" x14ac:dyDescent="0.25">
      <c r="A113">
        <f>ROW(Source!A152)</f>
        <v>152</v>
      </c>
      <c r="B113">
        <v>75605538</v>
      </c>
      <c r="C113">
        <v>75605475</v>
      </c>
      <c r="D113">
        <v>74182464</v>
      </c>
      <c r="E113">
        <v>118</v>
      </c>
      <c r="F113">
        <v>1</v>
      </c>
      <c r="G113">
        <v>1</v>
      </c>
      <c r="H113">
        <v>1</v>
      </c>
      <c r="I113" t="s">
        <v>504</v>
      </c>
      <c r="J113" t="s">
        <v>3</v>
      </c>
      <c r="K113" t="s">
        <v>505</v>
      </c>
      <c r="L113">
        <v>1191</v>
      </c>
      <c r="N113">
        <v>1013</v>
      </c>
      <c r="O113" t="s">
        <v>501</v>
      </c>
      <c r="P113" t="s">
        <v>501</v>
      </c>
      <c r="Q113">
        <v>1</v>
      </c>
      <c r="X113">
        <v>62.28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1</v>
      </c>
      <c r="AE113">
        <v>2</v>
      </c>
      <c r="AF113" t="s">
        <v>27</v>
      </c>
      <c r="AG113">
        <v>71.622</v>
      </c>
      <c r="AH113">
        <v>2</v>
      </c>
      <c r="AI113">
        <v>75605538</v>
      </c>
      <c r="AJ113">
        <v>109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</row>
    <row r="114" spans="1:44" x14ac:dyDescent="0.25">
      <c r="A114">
        <f>ROW(Source!A152)</f>
        <v>152</v>
      </c>
      <c r="B114">
        <v>75605539</v>
      </c>
      <c r="C114">
        <v>75605475</v>
      </c>
      <c r="D114">
        <v>74308922</v>
      </c>
      <c r="E114">
        <v>1</v>
      </c>
      <c r="F114">
        <v>1</v>
      </c>
      <c r="G114">
        <v>1</v>
      </c>
      <c r="H114">
        <v>2</v>
      </c>
      <c r="I114" t="s">
        <v>574</v>
      </c>
      <c r="J114" t="s">
        <v>575</v>
      </c>
      <c r="K114" t="s">
        <v>576</v>
      </c>
      <c r="L114">
        <v>1368</v>
      </c>
      <c r="N114">
        <v>1011</v>
      </c>
      <c r="O114" t="s">
        <v>509</v>
      </c>
      <c r="P114" t="s">
        <v>509</v>
      </c>
      <c r="Q114">
        <v>1</v>
      </c>
      <c r="X114">
        <v>7.0000000000000007E-2</v>
      </c>
      <c r="Y114">
        <v>0</v>
      </c>
      <c r="Z114">
        <v>1598.95</v>
      </c>
      <c r="AA114">
        <v>494.35</v>
      </c>
      <c r="AB114">
        <v>0</v>
      </c>
      <c r="AC114">
        <v>0</v>
      </c>
      <c r="AD114">
        <v>1</v>
      </c>
      <c r="AE114">
        <v>0</v>
      </c>
      <c r="AF114" t="s">
        <v>27</v>
      </c>
      <c r="AG114">
        <v>8.0500000000000002E-2</v>
      </c>
      <c r="AH114">
        <v>2</v>
      </c>
      <c r="AI114">
        <v>75605539</v>
      </c>
      <c r="AJ114">
        <v>110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</row>
    <row r="115" spans="1:44" x14ac:dyDescent="0.25">
      <c r="A115">
        <f>ROW(Source!A152)</f>
        <v>152</v>
      </c>
      <c r="B115">
        <v>75605540</v>
      </c>
      <c r="C115">
        <v>75605475</v>
      </c>
      <c r="D115">
        <v>74309532</v>
      </c>
      <c r="E115">
        <v>1</v>
      </c>
      <c r="F115">
        <v>1</v>
      </c>
      <c r="G115">
        <v>1</v>
      </c>
      <c r="H115">
        <v>2</v>
      </c>
      <c r="I115" t="s">
        <v>591</v>
      </c>
      <c r="J115" t="s">
        <v>592</v>
      </c>
      <c r="K115" t="s">
        <v>593</v>
      </c>
      <c r="L115">
        <v>1368</v>
      </c>
      <c r="N115">
        <v>1011</v>
      </c>
      <c r="O115" t="s">
        <v>509</v>
      </c>
      <c r="P115" t="s">
        <v>509</v>
      </c>
      <c r="Q115">
        <v>1</v>
      </c>
      <c r="X115">
        <v>25</v>
      </c>
      <c r="Y115">
        <v>0</v>
      </c>
      <c r="Z115">
        <v>1416.22</v>
      </c>
      <c r="AA115">
        <v>368.02</v>
      </c>
      <c r="AB115">
        <v>0</v>
      </c>
      <c r="AC115">
        <v>0</v>
      </c>
      <c r="AD115">
        <v>1</v>
      </c>
      <c r="AE115">
        <v>0</v>
      </c>
      <c r="AF115" t="s">
        <v>27</v>
      </c>
      <c r="AG115">
        <v>28.749999999999996</v>
      </c>
      <c r="AH115">
        <v>2</v>
      </c>
      <c r="AI115">
        <v>75605540</v>
      </c>
      <c r="AJ115">
        <v>111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</row>
    <row r="116" spans="1:44" x14ac:dyDescent="0.25">
      <c r="A116">
        <f>ROW(Source!A152)</f>
        <v>152</v>
      </c>
      <c r="B116">
        <v>75605541</v>
      </c>
      <c r="C116">
        <v>75605475</v>
      </c>
      <c r="D116">
        <v>74309573</v>
      </c>
      <c r="E116">
        <v>1</v>
      </c>
      <c r="F116">
        <v>1</v>
      </c>
      <c r="G116">
        <v>1</v>
      </c>
      <c r="H116">
        <v>2</v>
      </c>
      <c r="I116" t="s">
        <v>594</v>
      </c>
      <c r="J116" t="s">
        <v>595</v>
      </c>
      <c r="K116" t="s">
        <v>596</v>
      </c>
      <c r="L116">
        <v>1368</v>
      </c>
      <c r="N116">
        <v>1011</v>
      </c>
      <c r="O116" t="s">
        <v>509</v>
      </c>
      <c r="P116" t="s">
        <v>509</v>
      </c>
      <c r="Q116">
        <v>1</v>
      </c>
      <c r="X116">
        <v>24.6</v>
      </c>
      <c r="Y116">
        <v>0</v>
      </c>
      <c r="Z116">
        <v>994.01</v>
      </c>
      <c r="AA116">
        <v>422.95</v>
      </c>
      <c r="AB116">
        <v>0</v>
      </c>
      <c r="AC116">
        <v>0</v>
      </c>
      <c r="AD116">
        <v>1</v>
      </c>
      <c r="AE116">
        <v>0</v>
      </c>
      <c r="AF116" t="s">
        <v>27</v>
      </c>
      <c r="AG116">
        <v>28.29</v>
      </c>
      <c r="AH116">
        <v>2</v>
      </c>
      <c r="AI116">
        <v>75605541</v>
      </c>
      <c r="AJ116">
        <v>112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</row>
    <row r="117" spans="1:44" x14ac:dyDescent="0.25">
      <c r="A117">
        <f>ROW(Source!A152)</f>
        <v>152</v>
      </c>
      <c r="B117">
        <v>75605542</v>
      </c>
      <c r="C117">
        <v>75605475</v>
      </c>
      <c r="D117">
        <v>74309824</v>
      </c>
      <c r="E117">
        <v>1</v>
      </c>
      <c r="F117">
        <v>1</v>
      </c>
      <c r="G117">
        <v>1</v>
      </c>
      <c r="H117">
        <v>2</v>
      </c>
      <c r="I117" t="s">
        <v>527</v>
      </c>
      <c r="J117" t="s">
        <v>528</v>
      </c>
      <c r="K117" t="s">
        <v>529</v>
      </c>
      <c r="L117">
        <v>1368</v>
      </c>
      <c r="N117">
        <v>1011</v>
      </c>
      <c r="O117" t="s">
        <v>509</v>
      </c>
      <c r="P117" t="s">
        <v>509</v>
      </c>
      <c r="Q117">
        <v>1</v>
      </c>
      <c r="X117">
        <v>0.11</v>
      </c>
      <c r="Y117">
        <v>0</v>
      </c>
      <c r="Z117">
        <v>551.45000000000005</v>
      </c>
      <c r="AA117">
        <v>368.02</v>
      </c>
      <c r="AB117">
        <v>0</v>
      </c>
      <c r="AC117">
        <v>0</v>
      </c>
      <c r="AD117">
        <v>1</v>
      </c>
      <c r="AE117">
        <v>0</v>
      </c>
      <c r="AF117" t="s">
        <v>27</v>
      </c>
      <c r="AG117">
        <v>0.1265</v>
      </c>
      <c r="AH117">
        <v>2</v>
      </c>
      <c r="AI117">
        <v>75605542</v>
      </c>
      <c r="AJ117">
        <v>113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</row>
    <row r="118" spans="1:44" x14ac:dyDescent="0.25">
      <c r="A118">
        <f>ROW(Source!A152)</f>
        <v>152</v>
      </c>
      <c r="B118">
        <v>75605543</v>
      </c>
      <c r="C118">
        <v>75605475</v>
      </c>
      <c r="D118">
        <v>74310021</v>
      </c>
      <c r="E118">
        <v>1</v>
      </c>
      <c r="F118">
        <v>1</v>
      </c>
      <c r="G118">
        <v>1</v>
      </c>
      <c r="H118">
        <v>2</v>
      </c>
      <c r="I118" t="s">
        <v>597</v>
      </c>
      <c r="J118" t="s">
        <v>598</v>
      </c>
      <c r="K118" t="s">
        <v>599</v>
      </c>
      <c r="L118">
        <v>1368</v>
      </c>
      <c r="N118">
        <v>1011</v>
      </c>
      <c r="O118" t="s">
        <v>509</v>
      </c>
      <c r="P118" t="s">
        <v>509</v>
      </c>
      <c r="Q118">
        <v>1</v>
      </c>
      <c r="X118">
        <v>72.5</v>
      </c>
      <c r="Y118">
        <v>0</v>
      </c>
      <c r="Z118">
        <v>41.5</v>
      </c>
      <c r="AA118">
        <v>0</v>
      </c>
      <c r="AB118">
        <v>0</v>
      </c>
      <c r="AC118">
        <v>0</v>
      </c>
      <c r="AD118">
        <v>1</v>
      </c>
      <c r="AE118">
        <v>0</v>
      </c>
      <c r="AF118" t="s">
        <v>27</v>
      </c>
      <c r="AG118">
        <v>83.375</v>
      </c>
      <c r="AH118">
        <v>2</v>
      </c>
      <c r="AI118">
        <v>75605543</v>
      </c>
      <c r="AJ118">
        <v>114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</row>
    <row r="119" spans="1:44" x14ac:dyDescent="0.25">
      <c r="A119">
        <f>ROW(Source!A152)</f>
        <v>152</v>
      </c>
      <c r="B119">
        <v>75605544</v>
      </c>
      <c r="C119">
        <v>75605475</v>
      </c>
      <c r="D119">
        <v>74310033</v>
      </c>
      <c r="E119">
        <v>1</v>
      </c>
      <c r="F119">
        <v>1</v>
      </c>
      <c r="G119">
        <v>1</v>
      </c>
      <c r="H119">
        <v>2</v>
      </c>
      <c r="I119" t="s">
        <v>519</v>
      </c>
      <c r="J119" t="s">
        <v>520</v>
      </c>
      <c r="K119" t="s">
        <v>521</v>
      </c>
      <c r="L119">
        <v>1368</v>
      </c>
      <c r="N119">
        <v>1011</v>
      </c>
      <c r="O119" t="s">
        <v>509</v>
      </c>
      <c r="P119" t="s">
        <v>509</v>
      </c>
      <c r="Q119">
        <v>1</v>
      </c>
      <c r="X119">
        <v>12.5</v>
      </c>
      <c r="Y119">
        <v>0</v>
      </c>
      <c r="Z119">
        <v>385.61</v>
      </c>
      <c r="AA119">
        <v>368.02</v>
      </c>
      <c r="AB119">
        <v>0</v>
      </c>
      <c r="AC119">
        <v>0</v>
      </c>
      <c r="AD119">
        <v>1</v>
      </c>
      <c r="AE119">
        <v>0</v>
      </c>
      <c r="AF119" t="s">
        <v>27</v>
      </c>
      <c r="AG119">
        <v>14.374999999999998</v>
      </c>
      <c r="AH119">
        <v>2</v>
      </c>
      <c r="AI119">
        <v>75605544</v>
      </c>
      <c r="AJ119">
        <v>115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</row>
    <row r="120" spans="1:44" x14ac:dyDescent="0.25">
      <c r="A120">
        <f>ROW(Source!A152)</f>
        <v>152</v>
      </c>
      <c r="B120">
        <v>75605545</v>
      </c>
      <c r="C120">
        <v>75605475</v>
      </c>
      <c r="D120">
        <v>74259029</v>
      </c>
      <c r="E120">
        <v>1</v>
      </c>
      <c r="F120">
        <v>1</v>
      </c>
      <c r="G120">
        <v>1</v>
      </c>
      <c r="H120">
        <v>3</v>
      </c>
      <c r="I120" t="s">
        <v>600</v>
      </c>
      <c r="J120" t="s">
        <v>601</v>
      </c>
      <c r="K120" t="s">
        <v>602</v>
      </c>
      <c r="L120">
        <v>1339</v>
      </c>
      <c r="N120">
        <v>1007</v>
      </c>
      <c r="O120" t="s">
        <v>205</v>
      </c>
      <c r="P120" t="s">
        <v>205</v>
      </c>
      <c r="Q120">
        <v>1</v>
      </c>
      <c r="X120">
        <v>19</v>
      </c>
      <c r="Y120">
        <v>35.71</v>
      </c>
      <c r="Z120">
        <v>0</v>
      </c>
      <c r="AA120">
        <v>0</v>
      </c>
      <c r="AB120">
        <v>0</v>
      </c>
      <c r="AC120">
        <v>0</v>
      </c>
      <c r="AD120">
        <v>1</v>
      </c>
      <c r="AE120">
        <v>0</v>
      </c>
      <c r="AF120" t="s">
        <v>3</v>
      </c>
      <c r="AG120">
        <v>19</v>
      </c>
      <c r="AH120">
        <v>2</v>
      </c>
      <c r="AI120">
        <v>75605545</v>
      </c>
      <c r="AJ120">
        <v>116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</row>
    <row r="121" spans="1:44" x14ac:dyDescent="0.25">
      <c r="A121">
        <f>ROW(Source!A152)</f>
        <v>152</v>
      </c>
      <c r="B121">
        <v>75605546</v>
      </c>
      <c r="C121">
        <v>75605475</v>
      </c>
      <c r="D121">
        <v>74259041</v>
      </c>
      <c r="E121">
        <v>1</v>
      </c>
      <c r="F121">
        <v>1</v>
      </c>
      <c r="G121">
        <v>1</v>
      </c>
      <c r="H121">
        <v>3</v>
      </c>
      <c r="I121" t="s">
        <v>560</v>
      </c>
      <c r="J121" t="s">
        <v>561</v>
      </c>
      <c r="K121" t="s">
        <v>562</v>
      </c>
      <c r="L121">
        <v>1383</v>
      </c>
      <c r="N121">
        <v>1013</v>
      </c>
      <c r="O121" t="s">
        <v>563</v>
      </c>
      <c r="P121" t="s">
        <v>563</v>
      </c>
      <c r="Q121">
        <v>1</v>
      </c>
      <c r="X121">
        <v>10.395</v>
      </c>
      <c r="Y121">
        <v>9.0399999999999991</v>
      </c>
      <c r="Z121">
        <v>0</v>
      </c>
      <c r="AA121">
        <v>0</v>
      </c>
      <c r="AB121">
        <v>0</v>
      </c>
      <c r="AC121">
        <v>0</v>
      </c>
      <c r="AD121">
        <v>1</v>
      </c>
      <c r="AE121">
        <v>0</v>
      </c>
      <c r="AF121" t="s">
        <v>3</v>
      </c>
      <c r="AG121">
        <v>10.395</v>
      </c>
      <c r="AH121">
        <v>2</v>
      </c>
      <c r="AI121">
        <v>75605546</v>
      </c>
      <c r="AJ121">
        <v>117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</row>
    <row r="122" spans="1:44" x14ac:dyDescent="0.25">
      <c r="A122">
        <f>ROW(Source!A152)</f>
        <v>152</v>
      </c>
      <c r="B122">
        <v>75605547</v>
      </c>
      <c r="C122">
        <v>75605475</v>
      </c>
      <c r="D122">
        <v>74259783</v>
      </c>
      <c r="E122">
        <v>1</v>
      </c>
      <c r="F122">
        <v>1</v>
      </c>
      <c r="G122">
        <v>1</v>
      </c>
      <c r="H122">
        <v>3</v>
      </c>
      <c r="I122" t="s">
        <v>603</v>
      </c>
      <c r="J122" t="s">
        <v>604</v>
      </c>
      <c r="K122" t="s">
        <v>605</v>
      </c>
      <c r="L122">
        <v>1346</v>
      </c>
      <c r="N122">
        <v>1009</v>
      </c>
      <c r="O122" t="s">
        <v>240</v>
      </c>
      <c r="P122" t="s">
        <v>240</v>
      </c>
      <c r="Q122">
        <v>1</v>
      </c>
      <c r="X122">
        <v>50</v>
      </c>
      <c r="Y122">
        <v>155.63</v>
      </c>
      <c r="Z122">
        <v>0</v>
      </c>
      <c r="AA122">
        <v>0</v>
      </c>
      <c r="AB122">
        <v>0</v>
      </c>
      <c r="AC122">
        <v>0</v>
      </c>
      <c r="AD122">
        <v>1</v>
      </c>
      <c r="AE122">
        <v>0</v>
      </c>
      <c r="AF122" t="s">
        <v>3</v>
      </c>
      <c r="AG122">
        <v>50</v>
      </c>
      <c r="AH122">
        <v>2</v>
      </c>
      <c r="AI122">
        <v>75605547</v>
      </c>
      <c r="AJ122">
        <v>118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</row>
    <row r="123" spans="1:44" x14ac:dyDescent="0.25">
      <c r="A123">
        <f>ROW(Source!A152)</f>
        <v>152</v>
      </c>
      <c r="B123">
        <v>75605548</v>
      </c>
      <c r="C123">
        <v>75605475</v>
      </c>
      <c r="D123">
        <v>74261036</v>
      </c>
      <c r="E123">
        <v>1</v>
      </c>
      <c r="F123">
        <v>1</v>
      </c>
      <c r="G123">
        <v>1</v>
      </c>
      <c r="H123">
        <v>3</v>
      </c>
      <c r="I123" t="s">
        <v>711</v>
      </c>
      <c r="J123" t="s">
        <v>712</v>
      </c>
      <c r="K123" t="s">
        <v>713</v>
      </c>
      <c r="L123">
        <v>1371</v>
      </c>
      <c r="N123">
        <v>1013</v>
      </c>
      <c r="O123" t="s">
        <v>222</v>
      </c>
      <c r="P123" t="s">
        <v>222</v>
      </c>
      <c r="Q123">
        <v>1</v>
      </c>
      <c r="X123">
        <v>0</v>
      </c>
      <c r="Y123">
        <v>104.63</v>
      </c>
      <c r="Z123">
        <v>0</v>
      </c>
      <c r="AA123">
        <v>0</v>
      </c>
      <c r="AB123">
        <v>0</v>
      </c>
      <c r="AC123">
        <v>1</v>
      </c>
      <c r="AD123">
        <v>0</v>
      </c>
      <c r="AE123">
        <v>0</v>
      </c>
      <c r="AF123" t="s">
        <v>3</v>
      </c>
      <c r="AG123">
        <v>0</v>
      </c>
      <c r="AH123">
        <v>3</v>
      </c>
      <c r="AI123">
        <v>-1</v>
      </c>
      <c r="AJ123" t="s">
        <v>3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</row>
    <row r="124" spans="1:44" x14ac:dyDescent="0.25">
      <c r="A124">
        <f>ROW(Source!A152)</f>
        <v>152</v>
      </c>
      <c r="B124">
        <v>75605549</v>
      </c>
      <c r="C124">
        <v>75605475</v>
      </c>
      <c r="D124">
        <v>74262400</v>
      </c>
      <c r="E124">
        <v>1</v>
      </c>
      <c r="F124">
        <v>1</v>
      </c>
      <c r="G124">
        <v>1</v>
      </c>
      <c r="H124">
        <v>3</v>
      </c>
      <c r="I124" t="s">
        <v>606</v>
      </c>
      <c r="J124" t="s">
        <v>607</v>
      </c>
      <c r="K124" t="s">
        <v>608</v>
      </c>
      <c r="L124">
        <v>1348</v>
      </c>
      <c r="N124">
        <v>1009</v>
      </c>
      <c r="O124" t="s">
        <v>174</v>
      </c>
      <c r="P124" t="s">
        <v>174</v>
      </c>
      <c r="Q124">
        <v>1000</v>
      </c>
      <c r="X124">
        <v>1.1999999999999999E-3</v>
      </c>
      <c r="Y124">
        <v>26885</v>
      </c>
      <c r="Z124">
        <v>0</v>
      </c>
      <c r="AA124">
        <v>0</v>
      </c>
      <c r="AB124">
        <v>0</v>
      </c>
      <c r="AC124">
        <v>0</v>
      </c>
      <c r="AD124">
        <v>1</v>
      </c>
      <c r="AE124">
        <v>0</v>
      </c>
      <c r="AF124" t="s">
        <v>3</v>
      </c>
      <c r="AG124">
        <v>1.1999999999999999E-3</v>
      </c>
      <c r="AH124">
        <v>2</v>
      </c>
      <c r="AI124">
        <v>75605549</v>
      </c>
      <c r="AJ124">
        <v>119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</row>
    <row r="125" spans="1:44" x14ac:dyDescent="0.25">
      <c r="A125">
        <f>ROW(Source!A152)</f>
        <v>152</v>
      </c>
      <c r="B125">
        <v>75605550</v>
      </c>
      <c r="C125">
        <v>75605475</v>
      </c>
      <c r="D125">
        <v>74184768</v>
      </c>
      <c r="E125">
        <v>118</v>
      </c>
      <c r="F125">
        <v>1</v>
      </c>
      <c r="G125">
        <v>1</v>
      </c>
      <c r="H125">
        <v>3</v>
      </c>
      <c r="I125" t="s">
        <v>741</v>
      </c>
      <c r="J125" t="s">
        <v>3</v>
      </c>
      <c r="K125" t="s">
        <v>742</v>
      </c>
      <c r="L125">
        <v>1348</v>
      </c>
      <c r="N125">
        <v>1009</v>
      </c>
      <c r="O125" t="s">
        <v>174</v>
      </c>
      <c r="P125" t="s">
        <v>174</v>
      </c>
      <c r="Q125">
        <v>1000</v>
      </c>
      <c r="X125">
        <v>0.28999999999999998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 t="s">
        <v>3</v>
      </c>
      <c r="AG125">
        <v>0.28999999999999998</v>
      </c>
      <c r="AH125">
        <v>3</v>
      </c>
      <c r="AI125">
        <v>-1</v>
      </c>
      <c r="AJ125" t="s">
        <v>3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</row>
    <row r="126" spans="1:44" x14ac:dyDescent="0.25">
      <c r="A126">
        <f>ROW(Source!A152)</f>
        <v>152</v>
      </c>
      <c r="B126">
        <v>75605551</v>
      </c>
      <c r="C126">
        <v>75605475</v>
      </c>
      <c r="D126">
        <v>74265693</v>
      </c>
      <c r="E126">
        <v>1</v>
      </c>
      <c r="F126">
        <v>1</v>
      </c>
      <c r="G126">
        <v>1</v>
      </c>
      <c r="H126">
        <v>3</v>
      </c>
      <c r="I126" t="s">
        <v>609</v>
      </c>
      <c r="J126" t="s">
        <v>610</v>
      </c>
      <c r="K126" t="s">
        <v>611</v>
      </c>
      <c r="L126">
        <v>1348</v>
      </c>
      <c r="N126">
        <v>1009</v>
      </c>
      <c r="O126" t="s">
        <v>174</v>
      </c>
      <c r="P126" t="s">
        <v>174</v>
      </c>
      <c r="Q126">
        <v>1000</v>
      </c>
      <c r="X126">
        <v>0.01</v>
      </c>
      <c r="Y126">
        <v>106957.98</v>
      </c>
      <c r="Z126">
        <v>0</v>
      </c>
      <c r="AA126">
        <v>0</v>
      </c>
      <c r="AB126">
        <v>0</v>
      </c>
      <c r="AC126">
        <v>0</v>
      </c>
      <c r="AD126">
        <v>1</v>
      </c>
      <c r="AE126">
        <v>0</v>
      </c>
      <c r="AF126" t="s">
        <v>3</v>
      </c>
      <c r="AG126">
        <v>0.01</v>
      </c>
      <c r="AH126">
        <v>2</v>
      </c>
      <c r="AI126">
        <v>75605551</v>
      </c>
      <c r="AJ126">
        <v>120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</row>
    <row r="127" spans="1:44" x14ac:dyDescent="0.25">
      <c r="A127">
        <f>ROW(Source!A152)</f>
        <v>152</v>
      </c>
      <c r="B127">
        <v>75605552</v>
      </c>
      <c r="C127">
        <v>75605475</v>
      </c>
      <c r="D127">
        <v>74186853</v>
      </c>
      <c r="E127">
        <v>118</v>
      </c>
      <c r="F127">
        <v>1</v>
      </c>
      <c r="G127">
        <v>1</v>
      </c>
      <c r="H127">
        <v>3</v>
      </c>
      <c r="I127" t="s">
        <v>743</v>
      </c>
      <c r="J127" t="s">
        <v>3</v>
      </c>
      <c r="K127" t="s">
        <v>744</v>
      </c>
      <c r="L127">
        <v>1371</v>
      </c>
      <c r="N127">
        <v>1013</v>
      </c>
      <c r="O127" t="s">
        <v>222</v>
      </c>
      <c r="P127" t="s">
        <v>222</v>
      </c>
      <c r="Q127">
        <v>1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1</v>
      </c>
      <c r="AD127">
        <v>0</v>
      </c>
      <c r="AE127">
        <v>0</v>
      </c>
      <c r="AF127" t="s">
        <v>3</v>
      </c>
      <c r="AG127">
        <v>0</v>
      </c>
      <c r="AH127">
        <v>3</v>
      </c>
      <c r="AI127">
        <v>-1</v>
      </c>
      <c r="AJ127" t="s">
        <v>3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</row>
    <row r="128" spans="1:44" x14ac:dyDescent="0.25">
      <c r="A128">
        <f>ROW(Source!A152)</f>
        <v>152</v>
      </c>
      <c r="B128">
        <v>75605553</v>
      </c>
      <c r="C128">
        <v>75605475</v>
      </c>
      <c r="D128">
        <v>74187740</v>
      </c>
      <c r="E128">
        <v>118</v>
      </c>
      <c r="F128">
        <v>1</v>
      </c>
      <c r="G128">
        <v>1</v>
      </c>
      <c r="H128">
        <v>3</v>
      </c>
      <c r="I128" t="s">
        <v>745</v>
      </c>
      <c r="J128" t="s">
        <v>3</v>
      </c>
      <c r="K128" t="s">
        <v>746</v>
      </c>
      <c r="L128">
        <v>1301</v>
      </c>
      <c r="N128">
        <v>1003</v>
      </c>
      <c r="O128" t="s">
        <v>98</v>
      </c>
      <c r="P128" t="s">
        <v>98</v>
      </c>
      <c r="Q128">
        <v>1</v>
      </c>
      <c r="X128">
        <v>1010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 t="s">
        <v>3</v>
      </c>
      <c r="AG128">
        <v>1010</v>
      </c>
      <c r="AH128">
        <v>3</v>
      </c>
      <c r="AI128">
        <v>-1</v>
      </c>
      <c r="AJ128" t="s">
        <v>3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</row>
    <row r="129" spans="1:44" x14ac:dyDescent="0.25">
      <c r="A129">
        <f>ROW(Source!A152)</f>
        <v>152</v>
      </c>
      <c r="B129">
        <v>75605554</v>
      </c>
      <c r="C129">
        <v>75605475</v>
      </c>
      <c r="D129">
        <v>74187942</v>
      </c>
      <c r="E129">
        <v>118</v>
      </c>
      <c r="F129">
        <v>1</v>
      </c>
      <c r="G129">
        <v>1</v>
      </c>
      <c r="H129">
        <v>3</v>
      </c>
      <c r="I129" t="s">
        <v>747</v>
      </c>
      <c r="J129" t="s">
        <v>3</v>
      </c>
      <c r="K129" t="s">
        <v>748</v>
      </c>
      <c r="L129">
        <v>1377</v>
      </c>
      <c r="N129">
        <v>1013</v>
      </c>
      <c r="O129" t="s">
        <v>749</v>
      </c>
      <c r="P129" t="s">
        <v>749</v>
      </c>
      <c r="Q129">
        <v>1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1</v>
      </c>
      <c r="AD129">
        <v>0</v>
      </c>
      <c r="AE129">
        <v>0</v>
      </c>
      <c r="AF129" t="s">
        <v>3</v>
      </c>
      <c r="AG129">
        <v>0</v>
      </c>
      <c r="AH129">
        <v>3</v>
      </c>
      <c r="AI129">
        <v>-1</v>
      </c>
      <c r="AJ129" t="s">
        <v>3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</row>
    <row r="130" spans="1:44" x14ac:dyDescent="0.25">
      <c r="A130">
        <f>ROW(Source!A152)</f>
        <v>152</v>
      </c>
      <c r="B130">
        <v>75605555</v>
      </c>
      <c r="C130">
        <v>75605475</v>
      </c>
      <c r="D130">
        <v>74187953</v>
      </c>
      <c r="E130">
        <v>118</v>
      </c>
      <c r="F130">
        <v>1</v>
      </c>
      <c r="G130">
        <v>1</v>
      </c>
      <c r="H130">
        <v>3</v>
      </c>
      <c r="I130" t="s">
        <v>750</v>
      </c>
      <c r="J130" t="s">
        <v>3</v>
      </c>
      <c r="K130" t="s">
        <v>751</v>
      </c>
      <c r="L130">
        <v>1371</v>
      </c>
      <c r="N130">
        <v>1013</v>
      </c>
      <c r="O130" t="s">
        <v>222</v>
      </c>
      <c r="P130" t="s">
        <v>222</v>
      </c>
      <c r="Q130">
        <v>1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1</v>
      </c>
      <c r="AD130">
        <v>0</v>
      </c>
      <c r="AE130">
        <v>0</v>
      </c>
      <c r="AF130" t="s">
        <v>3</v>
      </c>
      <c r="AG130">
        <v>0</v>
      </c>
      <c r="AH130">
        <v>3</v>
      </c>
      <c r="AI130">
        <v>-1</v>
      </c>
      <c r="AJ130" t="s">
        <v>3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</row>
    <row r="131" spans="1:44" x14ac:dyDescent="0.25">
      <c r="A131">
        <f>ROW(Source!A157)</f>
        <v>157</v>
      </c>
      <c r="B131">
        <v>75605891</v>
      </c>
      <c r="C131">
        <v>75605869</v>
      </c>
      <c r="D131">
        <v>37064928</v>
      </c>
      <c r="E131">
        <v>118</v>
      </c>
      <c r="F131">
        <v>1</v>
      </c>
      <c r="G131">
        <v>1</v>
      </c>
      <c r="H131">
        <v>1</v>
      </c>
      <c r="I131" t="s">
        <v>612</v>
      </c>
      <c r="J131" t="s">
        <v>3</v>
      </c>
      <c r="K131" t="s">
        <v>613</v>
      </c>
      <c r="L131">
        <v>1191</v>
      </c>
      <c r="N131">
        <v>1013</v>
      </c>
      <c r="O131" t="s">
        <v>501</v>
      </c>
      <c r="P131" t="s">
        <v>501</v>
      </c>
      <c r="Q131">
        <v>1</v>
      </c>
      <c r="X131">
        <v>73.599999999999994</v>
      </c>
      <c r="Y131">
        <v>0</v>
      </c>
      <c r="Z131">
        <v>0</v>
      </c>
      <c r="AA131">
        <v>0</v>
      </c>
      <c r="AB131">
        <v>347.42</v>
      </c>
      <c r="AC131">
        <v>0</v>
      </c>
      <c r="AD131">
        <v>1</v>
      </c>
      <c r="AE131">
        <v>1</v>
      </c>
      <c r="AF131" t="s">
        <v>27</v>
      </c>
      <c r="AG131">
        <v>84.639999999999986</v>
      </c>
      <c r="AH131">
        <v>2</v>
      </c>
      <c r="AI131">
        <v>75605870</v>
      </c>
      <c r="AJ131">
        <v>124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</row>
    <row r="132" spans="1:44" x14ac:dyDescent="0.25">
      <c r="A132">
        <f>ROW(Source!A157)</f>
        <v>157</v>
      </c>
      <c r="B132">
        <v>75605892</v>
      </c>
      <c r="C132">
        <v>75605869</v>
      </c>
      <c r="D132">
        <v>37064876</v>
      </c>
      <c r="E132">
        <v>118</v>
      </c>
      <c r="F132">
        <v>1</v>
      </c>
      <c r="G132">
        <v>1</v>
      </c>
      <c r="H132">
        <v>1</v>
      </c>
      <c r="I132" t="s">
        <v>504</v>
      </c>
      <c r="J132" t="s">
        <v>3</v>
      </c>
      <c r="K132" t="s">
        <v>505</v>
      </c>
      <c r="L132">
        <v>1191</v>
      </c>
      <c r="N132">
        <v>1013</v>
      </c>
      <c r="O132" t="s">
        <v>501</v>
      </c>
      <c r="P132" t="s">
        <v>501</v>
      </c>
      <c r="Q132">
        <v>1</v>
      </c>
      <c r="X132">
        <v>0.27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1</v>
      </c>
      <c r="AE132">
        <v>2</v>
      </c>
      <c r="AF132" t="s">
        <v>27</v>
      </c>
      <c r="AG132">
        <v>0.3105</v>
      </c>
      <c r="AH132">
        <v>2</v>
      </c>
      <c r="AI132">
        <v>75605871</v>
      </c>
      <c r="AJ132">
        <v>125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</row>
    <row r="133" spans="1:44" x14ac:dyDescent="0.25">
      <c r="A133">
        <f>ROW(Source!A157)</f>
        <v>157</v>
      </c>
      <c r="B133">
        <v>75605893</v>
      </c>
      <c r="C133">
        <v>75605869</v>
      </c>
      <c r="D133">
        <v>74308922</v>
      </c>
      <c r="E133">
        <v>1</v>
      </c>
      <c r="F133">
        <v>1</v>
      </c>
      <c r="G133">
        <v>1</v>
      </c>
      <c r="H133">
        <v>2</v>
      </c>
      <c r="I133" t="s">
        <v>574</v>
      </c>
      <c r="J133" t="s">
        <v>575</v>
      </c>
      <c r="K133" t="s">
        <v>576</v>
      </c>
      <c r="L133">
        <v>1368</v>
      </c>
      <c r="N133">
        <v>1011</v>
      </c>
      <c r="O133" t="s">
        <v>509</v>
      </c>
      <c r="P133" t="s">
        <v>509</v>
      </c>
      <c r="Q133">
        <v>1</v>
      </c>
      <c r="X133">
        <v>0.11</v>
      </c>
      <c r="Y133">
        <v>0</v>
      </c>
      <c r="Z133">
        <v>1598.95</v>
      </c>
      <c r="AA133">
        <v>494.35</v>
      </c>
      <c r="AB133">
        <v>0</v>
      </c>
      <c r="AC133">
        <v>0</v>
      </c>
      <c r="AD133">
        <v>1</v>
      </c>
      <c r="AE133">
        <v>0</v>
      </c>
      <c r="AF133" t="s">
        <v>27</v>
      </c>
      <c r="AG133">
        <v>0.1265</v>
      </c>
      <c r="AH133">
        <v>2</v>
      </c>
      <c r="AI133">
        <v>75605872</v>
      </c>
      <c r="AJ133">
        <v>126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</row>
    <row r="134" spans="1:44" x14ac:dyDescent="0.25">
      <c r="A134">
        <f>ROW(Source!A157)</f>
        <v>157</v>
      </c>
      <c r="B134">
        <v>75605894</v>
      </c>
      <c r="C134">
        <v>75605869</v>
      </c>
      <c r="D134">
        <v>74309063</v>
      </c>
      <c r="E134">
        <v>1</v>
      </c>
      <c r="F134">
        <v>1</v>
      </c>
      <c r="G134">
        <v>1</v>
      </c>
      <c r="H134">
        <v>2</v>
      </c>
      <c r="I134" t="s">
        <v>614</v>
      </c>
      <c r="J134" t="s">
        <v>615</v>
      </c>
      <c r="K134" t="s">
        <v>616</v>
      </c>
      <c r="L134">
        <v>1368</v>
      </c>
      <c r="N134">
        <v>1011</v>
      </c>
      <c r="O134" t="s">
        <v>509</v>
      </c>
      <c r="P134" t="s">
        <v>509</v>
      </c>
      <c r="Q134">
        <v>1</v>
      </c>
      <c r="X134">
        <v>3.7</v>
      </c>
      <c r="Y134">
        <v>0</v>
      </c>
      <c r="Z134">
        <v>13.44</v>
      </c>
      <c r="AA134">
        <v>0</v>
      </c>
      <c r="AB134">
        <v>0</v>
      </c>
      <c r="AC134">
        <v>0</v>
      </c>
      <c r="AD134">
        <v>1</v>
      </c>
      <c r="AE134">
        <v>0</v>
      </c>
      <c r="AF134" t="s">
        <v>27</v>
      </c>
      <c r="AG134">
        <v>4.2549999999999999</v>
      </c>
      <c r="AH134">
        <v>2</v>
      </c>
      <c r="AI134">
        <v>75605873</v>
      </c>
      <c r="AJ134">
        <v>127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</row>
    <row r="135" spans="1:44" x14ac:dyDescent="0.25">
      <c r="A135">
        <f>ROW(Source!A157)</f>
        <v>157</v>
      </c>
      <c r="B135">
        <v>75605895</v>
      </c>
      <c r="C135">
        <v>75605869</v>
      </c>
      <c r="D135">
        <v>74309824</v>
      </c>
      <c r="E135">
        <v>1</v>
      </c>
      <c r="F135">
        <v>1</v>
      </c>
      <c r="G135">
        <v>1</v>
      </c>
      <c r="H135">
        <v>2</v>
      </c>
      <c r="I135" t="s">
        <v>527</v>
      </c>
      <c r="J135" t="s">
        <v>528</v>
      </c>
      <c r="K135" t="s">
        <v>529</v>
      </c>
      <c r="L135">
        <v>1368</v>
      </c>
      <c r="N135">
        <v>1011</v>
      </c>
      <c r="O135" t="s">
        <v>509</v>
      </c>
      <c r="P135" t="s">
        <v>509</v>
      </c>
      <c r="Q135">
        <v>1</v>
      </c>
      <c r="X135">
        <v>0.16</v>
      </c>
      <c r="Y135">
        <v>0</v>
      </c>
      <c r="Z135">
        <v>551.45000000000005</v>
      </c>
      <c r="AA135">
        <v>368.02</v>
      </c>
      <c r="AB135">
        <v>0</v>
      </c>
      <c r="AC135">
        <v>0</v>
      </c>
      <c r="AD135">
        <v>1</v>
      </c>
      <c r="AE135">
        <v>0</v>
      </c>
      <c r="AF135" t="s">
        <v>27</v>
      </c>
      <c r="AG135">
        <v>0.184</v>
      </c>
      <c r="AH135">
        <v>2</v>
      </c>
      <c r="AI135">
        <v>75605874</v>
      </c>
      <c r="AJ135">
        <v>128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</row>
    <row r="136" spans="1:44" x14ac:dyDescent="0.25">
      <c r="A136">
        <f>ROW(Source!A157)</f>
        <v>157</v>
      </c>
      <c r="B136">
        <v>75605896</v>
      </c>
      <c r="C136">
        <v>75605869</v>
      </c>
      <c r="D136">
        <v>74309983</v>
      </c>
      <c r="E136">
        <v>1</v>
      </c>
      <c r="F136">
        <v>1</v>
      </c>
      <c r="G136">
        <v>1</v>
      </c>
      <c r="H136">
        <v>2</v>
      </c>
      <c r="I136" t="s">
        <v>578</v>
      </c>
      <c r="J136" t="s">
        <v>579</v>
      </c>
      <c r="K136" t="s">
        <v>580</v>
      </c>
      <c r="L136">
        <v>1368</v>
      </c>
      <c r="N136">
        <v>1011</v>
      </c>
      <c r="O136" t="s">
        <v>509</v>
      </c>
      <c r="P136" t="s">
        <v>509</v>
      </c>
      <c r="Q136">
        <v>1</v>
      </c>
      <c r="X136">
        <v>2.3199999999999998</v>
      </c>
      <c r="Y136">
        <v>0</v>
      </c>
      <c r="Z136">
        <v>4.3499999999999996</v>
      </c>
      <c r="AA136">
        <v>0</v>
      </c>
      <c r="AB136">
        <v>0</v>
      </c>
      <c r="AC136">
        <v>0</v>
      </c>
      <c r="AD136">
        <v>1</v>
      </c>
      <c r="AE136">
        <v>0</v>
      </c>
      <c r="AF136" t="s">
        <v>27</v>
      </c>
      <c r="AG136">
        <v>2.6679999999999997</v>
      </c>
      <c r="AH136">
        <v>2</v>
      </c>
      <c r="AI136">
        <v>75605875</v>
      </c>
      <c r="AJ136">
        <v>129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</row>
    <row r="137" spans="1:44" x14ac:dyDescent="0.25">
      <c r="A137">
        <f>ROW(Source!A157)</f>
        <v>157</v>
      </c>
      <c r="B137">
        <v>75605897</v>
      </c>
      <c r="C137">
        <v>75605869</v>
      </c>
      <c r="D137">
        <v>74310010</v>
      </c>
      <c r="E137">
        <v>1</v>
      </c>
      <c r="F137">
        <v>1</v>
      </c>
      <c r="G137">
        <v>1</v>
      </c>
      <c r="H137">
        <v>2</v>
      </c>
      <c r="I137" t="s">
        <v>617</v>
      </c>
      <c r="J137" t="s">
        <v>618</v>
      </c>
      <c r="K137" t="s">
        <v>619</v>
      </c>
      <c r="L137">
        <v>1368</v>
      </c>
      <c r="N137">
        <v>1011</v>
      </c>
      <c r="O137" t="s">
        <v>509</v>
      </c>
      <c r="P137" t="s">
        <v>509</v>
      </c>
      <c r="Q137">
        <v>1</v>
      </c>
      <c r="X137">
        <v>16.3</v>
      </c>
      <c r="Y137">
        <v>0</v>
      </c>
      <c r="Z137">
        <v>90.36</v>
      </c>
      <c r="AA137">
        <v>0</v>
      </c>
      <c r="AB137">
        <v>0</v>
      </c>
      <c r="AC137">
        <v>0</v>
      </c>
      <c r="AD137">
        <v>1</v>
      </c>
      <c r="AE137">
        <v>0</v>
      </c>
      <c r="AF137" t="s">
        <v>27</v>
      </c>
      <c r="AG137">
        <v>18.745000000000001</v>
      </c>
      <c r="AH137">
        <v>2</v>
      </c>
      <c r="AI137">
        <v>75605876</v>
      </c>
      <c r="AJ137">
        <v>130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</row>
    <row r="138" spans="1:44" x14ac:dyDescent="0.25">
      <c r="A138">
        <f>ROW(Source!A157)</f>
        <v>157</v>
      </c>
      <c r="B138">
        <v>75605898</v>
      </c>
      <c r="C138">
        <v>75605869</v>
      </c>
      <c r="D138">
        <v>74257065</v>
      </c>
      <c r="E138">
        <v>1</v>
      </c>
      <c r="F138">
        <v>1</v>
      </c>
      <c r="G138">
        <v>1</v>
      </c>
      <c r="H138">
        <v>3</v>
      </c>
      <c r="I138" t="s">
        <v>581</v>
      </c>
      <c r="J138" t="s">
        <v>582</v>
      </c>
      <c r="K138" t="s">
        <v>583</v>
      </c>
      <c r="L138">
        <v>1339</v>
      </c>
      <c r="N138">
        <v>1007</v>
      </c>
      <c r="O138" t="s">
        <v>205</v>
      </c>
      <c r="P138" t="s">
        <v>205</v>
      </c>
      <c r="Q138">
        <v>1</v>
      </c>
      <c r="X138">
        <v>1.95</v>
      </c>
      <c r="Y138">
        <v>114.64</v>
      </c>
      <c r="Z138">
        <v>0</v>
      </c>
      <c r="AA138">
        <v>0</v>
      </c>
      <c r="AB138">
        <v>0</v>
      </c>
      <c r="AC138">
        <v>0</v>
      </c>
      <c r="AD138">
        <v>1</v>
      </c>
      <c r="AE138">
        <v>0</v>
      </c>
      <c r="AF138" t="s">
        <v>3</v>
      </c>
      <c r="AG138">
        <v>1.95</v>
      </c>
      <c r="AH138">
        <v>2</v>
      </c>
      <c r="AI138">
        <v>75605877</v>
      </c>
      <c r="AJ138">
        <v>131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</row>
    <row r="139" spans="1:44" x14ac:dyDescent="0.25">
      <c r="A139">
        <f>ROW(Source!A157)</f>
        <v>157</v>
      </c>
      <c r="B139">
        <v>75605899</v>
      </c>
      <c r="C139">
        <v>75605869</v>
      </c>
      <c r="D139">
        <v>74257069</v>
      </c>
      <c r="E139">
        <v>1</v>
      </c>
      <c r="F139">
        <v>1</v>
      </c>
      <c r="G139">
        <v>1</v>
      </c>
      <c r="H139">
        <v>3</v>
      </c>
      <c r="I139" t="s">
        <v>584</v>
      </c>
      <c r="J139" t="s">
        <v>585</v>
      </c>
      <c r="K139" t="s">
        <v>586</v>
      </c>
      <c r="L139">
        <v>1346</v>
      </c>
      <c r="N139">
        <v>1009</v>
      </c>
      <c r="O139" t="s">
        <v>240</v>
      </c>
      <c r="P139" t="s">
        <v>240</v>
      </c>
      <c r="Q139">
        <v>1</v>
      </c>
      <c r="X139">
        <v>0.59</v>
      </c>
      <c r="Y139">
        <v>41.38</v>
      </c>
      <c r="Z139">
        <v>0</v>
      </c>
      <c r="AA139">
        <v>0</v>
      </c>
      <c r="AB139">
        <v>0</v>
      </c>
      <c r="AC139">
        <v>0</v>
      </c>
      <c r="AD139">
        <v>1</v>
      </c>
      <c r="AE139">
        <v>0</v>
      </c>
      <c r="AF139" t="s">
        <v>3</v>
      </c>
      <c r="AG139">
        <v>0.59</v>
      </c>
      <c r="AH139">
        <v>2</v>
      </c>
      <c r="AI139">
        <v>75605878</v>
      </c>
      <c r="AJ139">
        <v>132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</row>
    <row r="140" spans="1:44" x14ac:dyDescent="0.25">
      <c r="A140">
        <f>ROW(Source!A157)</f>
        <v>157</v>
      </c>
      <c r="B140">
        <v>75605900</v>
      </c>
      <c r="C140">
        <v>75605869</v>
      </c>
      <c r="D140">
        <v>74259041</v>
      </c>
      <c r="E140">
        <v>1</v>
      </c>
      <c r="F140">
        <v>1</v>
      </c>
      <c r="G140">
        <v>1</v>
      </c>
      <c r="H140">
        <v>3</v>
      </c>
      <c r="I140" t="s">
        <v>560</v>
      </c>
      <c r="J140" t="s">
        <v>561</v>
      </c>
      <c r="K140" t="s">
        <v>562</v>
      </c>
      <c r="L140">
        <v>1383</v>
      </c>
      <c r="N140">
        <v>1013</v>
      </c>
      <c r="O140" t="s">
        <v>563</v>
      </c>
      <c r="P140" t="s">
        <v>563</v>
      </c>
      <c r="Q140">
        <v>1</v>
      </c>
      <c r="X140">
        <v>10.353</v>
      </c>
      <c r="Y140">
        <v>9.0399999999999991</v>
      </c>
      <c r="Z140">
        <v>0</v>
      </c>
      <c r="AA140">
        <v>0</v>
      </c>
      <c r="AB140">
        <v>0</v>
      </c>
      <c r="AC140">
        <v>0</v>
      </c>
      <c r="AD140">
        <v>1</v>
      </c>
      <c r="AE140">
        <v>0</v>
      </c>
      <c r="AF140" t="s">
        <v>3</v>
      </c>
      <c r="AG140">
        <v>10.353</v>
      </c>
      <c r="AH140">
        <v>2</v>
      </c>
      <c r="AI140">
        <v>75605879</v>
      </c>
      <c r="AJ140">
        <v>133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</row>
    <row r="141" spans="1:44" x14ac:dyDescent="0.25">
      <c r="A141">
        <f>ROW(Source!A157)</f>
        <v>157</v>
      </c>
      <c r="B141">
        <v>75605901</v>
      </c>
      <c r="C141">
        <v>75605869</v>
      </c>
      <c r="D141">
        <v>74259722</v>
      </c>
      <c r="E141">
        <v>1</v>
      </c>
      <c r="F141">
        <v>1</v>
      </c>
      <c r="G141">
        <v>1</v>
      </c>
      <c r="H141">
        <v>3</v>
      </c>
      <c r="I141" t="s">
        <v>620</v>
      </c>
      <c r="J141" t="s">
        <v>621</v>
      </c>
      <c r="K141" t="s">
        <v>622</v>
      </c>
      <c r="L141">
        <v>1346</v>
      </c>
      <c r="N141">
        <v>1009</v>
      </c>
      <c r="O141" t="s">
        <v>240</v>
      </c>
      <c r="P141" t="s">
        <v>240</v>
      </c>
      <c r="Q141">
        <v>1</v>
      </c>
      <c r="X141">
        <v>14</v>
      </c>
      <c r="Y141">
        <v>142.68</v>
      </c>
      <c r="Z141">
        <v>0</v>
      </c>
      <c r="AA141">
        <v>0</v>
      </c>
      <c r="AB141">
        <v>0</v>
      </c>
      <c r="AC141">
        <v>0</v>
      </c>
      <c r="AD141">
        <v>1</v>
      </c>
      <c r="AE141">
        <v>0</v>
      </c>
      <c r="AF141" t="s">
        <v>3</v>
      </c>
      <c r="AG141">
        <v>14</v>
      </c>
      <c r="AH141">
        <v>2</v>
      </c>
      <c r="AI141">
        <v>75605880</v>
      </c>
      <c r="AJ141">
        <v>134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</row>
    <row r="142" spans="1:44" x14ac:dyDescent="0.25">
      <c r="A142">
        <f>ROW(Source!A157)</f>
        <v>157</v>
      </c>
      <c r="B142">
        <v>75605902</v>
      </c>
      <c r="C142">
        <v>75605869</v>
      </c>
      <c r="D142">
        <v>74260536</v>
      </c>
      <c r="E142">
        <v>1</v>
      </c>
      <c r="F142">
        <v>1</v>
      </c>
      <c r="G142">
        <v>1</v>
      </c>
      <c r="H142">
        <v>3</v>
      </c>
      <c r="I142" t="s">
        <v>623</v>
      </c>
      <c r="J142" t="s">
        <v>624</v>
      </c>
      <c r="K142" t="s">
        <v>625</v>
      </c>
      <c r="L142">
        <v>1346</v>
      </c>
      <c r="N142">
        <v>1009</v>
      </c>
      <c r="O142" t="s">
        <v>240</v>
      </c>
      <c r="P142" t="s">
        <v>240</v>
      </c>
      <c r="Q142">
        <v>1</v>
      </c>
      <c r="X142">
        <v>5</v>
      </c>
      <c r="Y142">
        <v>174.93</v>
      </c>
      <c r="Z142">
        <v>0</v>
      </c>
      <c r="AA142">
        <v>0</v>
      </c>
      <c r="AB142">
        <v>0</v>
      </c>
      <c r="AC142">
        <v>0</v>
      </c>
      <c r="AD142">
        <v>1</v>
      </c>
      <c r="AE142">
        <v>0</v>
      </c>
      <c r="AF142" t="s">
        <v>3</v>
      </c>
      <c r="AG142">
        <v>5</v>
      </c>
      <c r="AH142">
        <v>2</v>
      </c>
      <c r="AI142">
        <v>75605881</v>
      </c>
      <c r="AJ142">
        <v>135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</row>
    <row r="143" spans="1:44" x14ac:dyDescent="0.25">
      <c r="A143">
        <f>ROW(Source!A157)</f>
        <v>157</v>
      </c>
      <c r="B143">
        <v>75605903</v>
      </c>
      <c r="C143">
        <v>75605869</v>
      </c>
      <c r="D143">
        <v>74260587</v>
      </c>
      <c r="E143">
        <v>1</v>
      </c>
      <c r="F143">
        <v>1</v>
      </c>
      <c r="G143">
        <v>1</v>
      </c>
      <c r="H143">
        <v>3</v>
      </c>
      <c r="I143" t="s">
        <v>530</v>
      </c>
      <c r="J143" t="s">
        <v>531</v>
      </c>
      <c r="K143" t="s">
        <v>532</v>
      </c>
      <c r="L143">
        <v>1348</v>
      </c>
      <c r="N143">
        <v>1009</v>
      </c>
      <c r="O143" t="s">
        <v>174</v>
      </c>
      <c r="P143" t="s">
        <v>174</v>
      </c>
      <c r="Q143">
        <v>1000</v>
      </c>
      <c r="X143">
        <v>1.0000000000000001E-5</v>
      </c>
      <c r="Y143">
        <v>70296.2</v>
      </c>
      <c r="Z143">
        <v>0</v>
      </c>
      <c r="AA143">
        <v>0</v>
      </c>
      <c r="AB143">
        <v>0</v>
      </c>
      <c r="AC143">
        <v>0</v>
      </c>
      <c r="AD143">
        <v>1</v>
      </c>
      <c r="AE143">
        <v>0</v>
      </c>
      <c r="AF143" t="s">
        <v>3</v>
      </c>
      <c r="AG143">
        <v>1.0000000000000001E-5</v>
      </c>
      <c r="AH143">
        <v>2</v>
      </c>
      <c r="AI143">
        <v>75605882</v>
      </c>
      <c r="AJ143">
        <v>136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</row>
    <row r="144" spans="1:44" x14ac:dyDescent="0.25">
      <c r="A144">
        <f>ROW(Source!A157)</f>
        <v>157</v>
      </c>
      <c r="B144">
        <v>75605904</v>
      </c>
      <c r="C144">
        <v>75605869</v>
      </c>
      <c r="D144">
        <v>74261679</v>
      </c>
      <c r="E144">
        <v>1</v>
      </c>
      <c r="F144">
        <v>1</v>
      </c>
      <c r="G144">
        <v>1</v>
      </c>
      <c r="H144">
        <v>3</v>
      </c>
      <c r="I144" t="s">
        <v>626</v>
      </c>
      <c r="J144" t="s">
        <v>627</v>
      </c>
      <c r="K144" t="s">
        <v>628</v>
      </c>
      <c r="L144">
        <v>1348</v>
      </c>
      <c r="N144">
        <v>1009</v>
      </c>
      <c r="O144" t="s">
        <v>174</v>
      </c>
      <c r="P144" t="s">
        <v>174</v>
      </c>
      <c r="Q144">
        <v>1000</v>
      </c>
      <c r="X144">
        <v>1E-4</v>
      </c>
      <c r="Y144">
        <v>231787.35</v>
      </c>
      <c r="Z144">
        <v>0</v>
      </c>
      <c r="AA144">
        <v>0</v>
      </c>
      <c r="AB144">
        <v>0</v>
      </c>
      <c r="AC144">
        <v>0</v>
      </c>
      <c r="AD144">
        <v>1</v>
      </c>
      <c r="AE144">
        <v>0</v>
      </c>
      <c r="AF144" t="s">
        <v>3</v>
      </c>
      <c r="AG144">
        <v>1E-4</v>
      </c>
      <c r="AH144">
        <v>2</v>
      </c>
      <c r="AI144">
        <v>75605883</v>
      </c>
      <c r="AJ144">
        <v>137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</row>
    <row r="145" spans="1:44" x14ac:dyDescent="0.25">
      <c r="A145">
        <f>ROW(Source!A157)</f>
        <v>157</v>
      </c>
      <c r="B145">
        <v>75605905</v>
      </c>
      <c r="C145">
        <v>75605869</v>
      </c>
      <c r="D145">
        <v>74184765</v>
      </c>
      <c r="E145">
        <v>118</v>
      </c>
      <c r="F145">
        <v>1</v>
      </c>
      <c r="G145">
        <v>1</v>
      </c>
      <c r="H145">
        <v>3</v>
      </c>
      <c r="I145" t="s">
        <v>741</v>
      </c>
      <c r="J145" t="s">
        <v>3</v>
      </c>
      <c r="K145" t="s">
        <v>752</v>
      </c>
      <c r="L145">
        <v>1348</v>
      </c>
      <c r="N145">
        <v>1009</v>
      </c>
      <c r="O145" t="s">
        <v>174</v>
      </c>
      <c r="P145" t="s">
        <v>174</v>
      </c>
      <c r="Q145">
        <v>1000</v>
      </c>
      <c r="X145">
        <v>1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 t="s">
        <v>3</v>
      </c>
      <c r="AG145">
        <v>1</v>
      </c>
      <c r="AH145">
        <v>3</v>
      </c>
      <c r="AI145">
        <v>-1</v>
      </c>
      <c r="AJ145" t="s">
        <v>3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</row>
    <row r="146" spans="1:44" x14ac:dyDescent="0.25">
      <c r="A146">
        <f>ROW(Source!A157)</f>
        <v>157</v>
      </c>
      <c r="B146">
        <v>75605906</v>
      </c>
      <c r="C146">
        <v>75605869</v>
      </c>
      <c r="D146">
        <v>74267598</v>
      </c>
      <c r="E146">
        <v>1</v>
      </c>
      <c r="F146">
        <v>1</v>
      </c>
      <c r="G146">
        <v>1</v>
      </c>
      <c r="H146">
        <v>3</v>
      </c>
      <c r="I146" t="s">
        <v>629</v>
      </c>
      <c r="J146" t="s">
        <v>630</v>
      </c>
      <c r="K146" t="s">
        <v>631</v>
      </c>
      <c r="L146">
        <v>1302</v>
      </c>
      <c r="N146">
        <v>1003</v>
      </c>
      <c r="O146" t="s">
        <v>632</v>
      </c>
      <c r="P146" t="s">
        <v>632</v>
      </c>
      <c r="Q146">
        <v>10</v>
      </c>
      <c r="X146">
        <v>1.8700000000000001E-2</v>
      </c>
      <c r="Y146">
        <v>307.83999999999997</v>
      </c>
      <c r="Z146">
        <v>0</v>
      </c>
      <c r="AA146">
        <v>0</v>
      </c>
      <c r="AB146">
        <v>0</v>
      </c>
      <c r="AC146">
        <v>0</v>
      </c>
      <c r="AD146">
        <v>1</v>
      </c>
      <c r="AE146">
        <v>0</v>
      </c>
      <c r="AF146" t="s">
        <v>3</v>
      </c>
      <c r="AG146">
        <v>1.8700000000000001E-2</v>
      </c>
      <c r="AH146">
        <v>2</v>
      </c>
      <c r="AI146">
        <v>75605885</v>
      </c>
      <c r="AJ146">
        <v>139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</row>
    <row r="147" spans="1:44" x14ac:dyDescent="0.25">
      <c r="A147">
        <f>ROW(Source!A157)</f>
        <v>157</v>
      </c>
      <c r="B147">
        <v>75605907</v>
      </c>
      <c r="C147">
        <v>75605869</v>
      </c>
      <c r="D147">
        <v>74267758</v>
      </c>
      <c r="E147">
        <v>1</v>
      </c>
      <c r="F147">
        <v>1</v>
      </c>
      <c r="G147">
        <v>1</v>
      </c>
      <c r="H147">
        <v>3</v>
      </c>
      <c r="I147" t="s">
        <v>533</v>
      </c>
      <c r="J147" t="s">
        <v>534</v>
      </c>
      <c r="K147" t="s">
        <v>535</v>
      </c>
      <c r="L147">
        <v>1348</v>
      </c>
      <c r="N147">
        <v>1009</v>
      </c>
      <c r="O147" t="s">
        <v>174</v>
      </c>
      <c r="P147" t="s">
        <v>174</v>
      </c>
      <c r="Q147">
        <v>1000</v>
      </c>
      <c r="X147">
        <v>3.0000000000000001E-5</v>
      </c>
      <c r="Y147">
        <v>60258.2</v>
      </c>
      <c r="Z147">
        <v>0</v>
      </c>
      <c r="AA147">
        <v>0</v>
      </c>
      <c r="AB147">
        <v>0</v>
      </c>
      <c r="AC147">
        <v>0</v>
      </c>
      <c r="AD147">
        <v>1</v>
      </c>
      <c r="AE147">
        <v>0</v>
      </c>
      <c r="AF147" t="s">
        <v>3</v>
      </c>
      <c r="AG147">
        <v>3.0000000000000001E-5</v>
      </c>
      <c r="AH147">
        <v>2</v>
      </c>
      <c r="AI147">
        <v>75605886</v>
      </c>
      <c r="AJ147">
        <v>140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</row>
    <row r="148" spans="1:44" x14ac:dyDescent="0.25">
      <c r="A148">
        <f>ROW(Source!A157)</f>
        <v>157</v>
      </c>
      <c r="B148">
        <v>75605908</v>
      </c>
      <c r="C148">
        <v>75605869</v>
      </c>
      <c r="D148">
        <v>74268214</v>
      </c>
      <c r="E148">
        <v>1</v>
      </c>
      <c r="F148">
        <v>1</v>
      </c>
      <c r="G148">
        <v>1</v>
      </c>
      <c r="H148">
        <v>3</v>
      </c>
      <c r="I148" t="s">
        <v>633</v>
      </c>
      <c r="J148" t="s">
        <v>634</v>
      </c>
      <c r="K148" t="s">
        <v>635</v>
      </c>
      <c r="L148">
        <v>1348</v>
      </c>
      <c r="N148">
        <v>1009</v>
      </c>
      <c r="O148" t="s">
        <v>174</v>
      </c>
      <c r="P148" t="s">
        <v>174</v>
      </c>
      <c r="Q148">
        <v>1000</v>
      </c>
      <c r="X148">
        <v>1.9400000000000001E-3</v>
      </c>
      <c r="Y148">
        <v>136760</v>
      </c>
      <c r="Z148">
        <v>0</v>
      </c>
      <c r="AA148">
        <v>0</v>
      </c>
      <c r="AB148">
        <v>0</v>
      </c>
      <c r="AC148">
        <v>0</v>
      </c>
      <c r="AD148">
        <v>1</v>
      </c>
      <c r="AE148">
        <v>0</v>
      </c>
      <c r="AF148" t="s">
        <v>3</v>
      </c>
      <c r="AG148">
        <v>1.9400000000000001E-3</v>
      </c>
      <c r="AH148">
        <v>2</v>
      </c>
      <c r="AI148">
        <v>75605887</v>
      </c>
      <c r="AJ148">
        <v>141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</row>
    <row r="149" spans="1:44" x14ac:dyDescent="0.25">
      <c r="A149">
        <f>ROW(Source!A157)</f>
        <v>157</v>
      </c>
      <c r="B149">
        <v>75605909</v>
      </c>
      <c r="C149">
        <v>75605869</v>
      </c>
      <c r="D149">
        <v>74269923</v>
      </c>
      <c r="E149">
        <v>1</v>
      </c>
      <c r="F149">
        <v>1</v>
      </c>
      <c r="G149">
        <v>1</v>
      </c>
      <c r="H149">
        <v>3</v>
      </c>
      <c r="I149" t="s">
        <v>636</v>
      </c>
      <c r="J149" t="s">
        <v>637</v>
      </c>
      <c r="K149" t="s">
        <v>638</v>
      </c>
      <c r="L149">
        <v>1339</v>
      </c>
      <c r="N149">
        <v>1007</v>
      </c>
      <c r="O149" t="s">
        <v>205</v>
      </c>
      <c r="P149" t="s">
        <v>205</v>
      </c>
      <c r="Q149">
        <v>1</v>
      </c>
      <c r="X149">
        <v>1.0300000000000001E-3</v>
      </c>
      <c r="Y149">
        <v>16496.03</v>
      </c>
      <c r="Z149">
        <v>0</v>
      </c>
      <c r="AA149">
        <v>0</v>
      </c>
      <c r="AB149">
        <v>0</v>
      </c>
      <c r="AC149">
        <v>0</v>
      </c>
      <c r="AD149">
        <v>1</v>
      </c>
      <c r="AE149">
        <v>0</v>
      </c>
      <c r="AF149" t="s">
        <v>3</v>
      </c>
      <c r="AG149">
        <v>1.0300000000000001E-3</v>
      </c>
      <c r="AH149">
        <v>2</v>
      </c>
      <c r="AI149">
        <v>75605888</v>
      </c>
      <c r="AJ149">
        <v>142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</row>
    <row r="150" spans="1:44" x14ac:dyDescent="0.25">
      <c r="A150">
        <f>ROW(Source!A157)</f>
        <v>157</v>
      </c>
      <c r="B150">
        <v>75605910</v>
      </c>
      <c r="C150">
        <v>75605869</v>
      </c>
      <c r="D150">
        <v>74277951</v>
      </c>
      <c r="E150">
        <v>1</v>
      </c>
      <c r="F150">
        <v>1</v>
      </c>
      <c r="G150">
        <v>1</v>
      </c>
      <c r="H150">
        <v>3</v>
      </c>
      <c r="I150" t="s">
        <v>639</v>
      </c>
      <c r="J150" t="s">
        <v>640</v>
      </c>
      <c r="K150" t="s">
        <v>641</v>
      </c>
      <c r="L150">
        <v>1348</v>
      </c>
      <c r="N150">
        <v>1009</v>
      </c>
      <c r="O150" t="s">
        <v>174</v>
      </c>
      <c r="P150" t="s">
        <v>174</v>
      </c>
      <c r="Q150">
        <v>1000</v>
      </c>
      <c r="X150">
        <v>3.1E-4</v>
      </c>
      <c r="Y150">
        <v>51280.15</v>
      </c>
      <c r="Z150">
        <v>0</v>
      </c>
      <c r="AA150">
        <v>0</v>
      </c>
      <c r="AB150">
        <v>0</v>
      </c>
      <c r="AC150">
        <v>0</v>
      </c>
      <c r="AD150">
        <v>1</v>
      </c>
      <c r="AE150">
        <v>0</v>
      </c>
      <c r="AF150" t="s">
        <v>3</v>
      </c>
      <c r="AG150">
        <v>3.1E-4</v>
      </c>
      <c r="AH150">
        <v>2</v>
      </c>
      <c r="AI150">
        <v>75605889</v>
      </c>
      <c r="AJ150">
        <v>143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</row>
    <row r="151" spans="1:44" x14ac:dyDescent="0.25">
      <c r="A151">
        <f>ROW(Source!A157)</f>
        <v>157</v>
      </c>
      <c r="B151">
        <v>75605911</v>
      </c>
      <c r="C151">
        <v>75605869</v>
      </c>
      <c r="D151">
        <v>74278428</v>
      </c>
      <c r="E151">
        <v>1</v>
      </c>
      <c r="F151">
        <v>1</v>
      </c>
      <c r="G151">
        <v>1</v>
      </c>
      <c r="H151">
        <v>3</v>
      </c>
      <c r="I151" t="s">
        <v>642</v>
      </c>
      <c r="J151" t="s">
        <v>643</v>
      </c>
      <c r="K151" t="s">
        <v>644</v>
      </c>
      <c r="L151">
        <v>1348</v>
      </c>
      <c r="N151">
        <v>1009</v>
      </c>
      <c r="O151" t="s">
        <v>174</v>
      </c>
      <c r="P151" t="s">
        <v>174</v>
      </c>
      <c r="Q151">
        <v>1000</v>
      </c>
      <c r="X151">
        <v>5.9999999999999995E-4</v>
      </c>
      <c r="Y151">
        <v>98526.45</v>
      </c>
      <c r="Z151">
        <v>0</v>
      </c>
      <c r="AA151">
        <v>0</v>
      </c>
      <c r="AB151">
        <v>0</v>
      </c>
      <c r="AC151">
        <v>0</v>
      </c>
      <c r="AD151">
        <v>1</v>
      </c>
      <c r="AE151">
        <v>0</v>
      </c>
      <c r="AF151" t="s">
        <v>3</v>
      </c>
      <c r="AG151">
        <v>5.9999999999999995E-4</v>
      </c>
      <c r="AH151">
        <v>2</v>
      </c>
      <c r="AI151">
        <v>75605890</v>
      </c>
      <c r="AJ151">
        <v>144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</row>
    <row r="152" spans="1:44" x14ac:dyDescent="0.25">
      <c r="A152">
        <f>ROW(Source!A160)</f>
        <v>160</v>
      </c>
      <c r="B152">
        <v>75605617</v>
      </c>
      <c r="C152">
        <v>75605616</v>
      </c>
      <c r="D152">
        <v>74182287</v>
      </c>
      <c r="E152">
        <v>118</v>
      </c>
      <c r="F152">
        <v>1</v>
      </c>
      <c r="G152">
        <v>1</v>
      </c>
      <c r="H152">
        <v>1</v>
      </c>
      <c r="I152" t="s">
        <v>645</v>
      </c>
      <c r="J152" t="s">
        <v>3</v>
      </c>
      <c r="K152" t="s">
        <v>646</v>
      </c>
      <c r="L152">
        <v>1191</v>
      </c>
      <c r="N152">
        <v>1013</v>
      </c>
      <c r="O152" t="s">
        <v>501</v>
      </c>
      <c r="P152" t="s">
        <v>501</v>
      </c>
      <c r="Q152">
        <v>1</v>
      </c>
      <c r="X152">
        <v>84.4</v>
      </c>
      <c r="Y152">
        <v>0</v>
      </c>
      <c r="Z152">
        <v>0</v>
      </c>
      <c r="AA152">
        <v>0</v>
      </c>
      <c r="AB152">
        <v>368.02</v>
      </c>
      <c r="AC152">
        <v>0</v>
      </c>
      <c r="AD152">
        <v>1</v>
      </c>
      <c r="AE152">
        <v>1</v>
      </c>
      <c r="AF152" t="s">
        <v>27</v>
      </c>
      <c r="AG152">
        <v>97.06</v>
      </c>
      <c r="AH152">
        <v>2</v>
      </c>
      <c r="AI152">
        <v>75605617</v>
      </c>
      <c r="AJ152">
        <v>145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</row>
    <row r="153" spans="1:44" x14ac:dyDescent="0.25">
      <c r="A153">
        <f>ROW(Source!A160)</f>
        <v>160</v>
      </c>
      <c r="B153">
        <v>75605618</v>
      </c>
      <c r="C153">
        <v>75605616</v>
      </c>
      <c r="D153">
        <v>74182464</v>
      </c>
      <c r="E153">
        <v>118</v>
      </c>
      <c r="F153">
        <v>1</v>
      </c>
      <c r="G153">
        <v>1</v>
      </c>
      <c r="H153">
        <v>1</v>
      </c>
      <c r="I153" t="s">
        <v>504</v>
      </c>
      <c r="J153" t="s">
        <v>3</v>
      </c>
      <c r="K153" t="s">
        <v>505</v>
      </c>
      <c r="L153">
        <v>1191</v>
      </c>
      <c r="N153">
        <v>1013</v>
      </c>
      <c r="O153" t="s">
        <v>501</v>
      </c>
      <c r="P153" t="s">
        <v>501</v>
      </c>
      <c r="Q153">
        <v>1</v>
      </c>
      <c r="X153">
        <v>0.17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1</v>
      </c>
      <c r="AE153">
        <v>2</v>
      </c>
      <c r="AF153" t="s">
        <v>27</v>
      </c>
      <c r="AG153">
        <v>0.19550000000000001</v>
      </c>
      <c r="AH153">
        <v>2</v>
      </c>
      <c r="AI153">
        <v>75605618</v>
      </c>
      <c r="AJ153">
        <v>146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</row>
    <row r="154" spans="1:44" x14ac:dyDescent="0.25">
      <c r="A154">
        <f>ROW(Source!A160)</f>
        <v>160</v>
      </c>
      <c r="B154">
        <v>75605619</v>
      </c>
      <c r="C154">
        <v>75605616</v>
      </c>
      <c r="D154">
        <v>74309047</v>
      </c>
      <c r="E154">
        <v>1</v>
      </c>
      <c r="F154">
        <v>1</v>
      </c>
      <c r="G154">
        <v>1</v>
      </c>
      <c r="H154">
        <v>2</v>
      </c>
      <c r="I154" t="s">
        <v>647</v>
      </c>
      <c r="J154" t="s">
        <v>648</v>
      </c>
      <c r="K154" t="s">
        <v>649</v>
      </c>
      <c r="L154">
        <v>1368</v>
      </c>
      <c r="N154">
        <v>1011</v>
      </c>
      <c r="O154" t="s">
        <v>509</v>
      </c>
      <c r="P154" t="s">
        <v>509</v>
      </c>
      <c r="Q154">
        <v>1</v>
      </c>
      <c r="X154">
        <v>26.08</v>
      </c>
      <c r="Y154">
        <v>0</v>
      </c>
      <c r="Z154">
        <v>1.4</v>
      </c>
      <c r="AA154">
        <v>0</v>
      </c>
      <c r="AB154">
        <v>0</v>
      </c>
      <c r="AC154">
        <v>0</v>
      </c>
      <c r="AD154">
        <v>1</v>
      </c>
      <c r="AE154">
        <v>0</v>
      </c>
      <c r="AF154" t="s">
        <v>27</v>
      </c>
      <c r="AG154">
        <v>29.991999999999997</v>
      </c>
      <c r="AH154">
        <v>2</v>
      </c>
      <c r="AI154">
        <v>75605619</v>
      </c>
      <c r="AJ154">
        <v>147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</row>
    <row r="155" spans="1:44" x14ac:dyDescent="0.25">
      <c r="A155">
        <f>ROW(Source!A160)</f>
        <v>160</v>
      </c>
      <c r="B155">
        <v>75605620</v>
      </c>
      <c r="C155">
        <v>75605616</v>
      </c>
      <c r="D155">
        <v>74309824</v>
      </c>
      <c r="E155">
        <v>1</v>
      </c>
      <c r="F155">
        <v>1</v>
      </c>
      <c r="G155">
        <v>1</v>
      </c>
      <c r="H155">
        <v>2</v>
      </c>
      <c r="I155" t="s">
        <v>527</v>
      </c>
      <c r="J155" t="s">
        <v>528</v>
      </c>
      <c r="K155" t="s">
        <v>529</v>
      </c>
      <c r="L155">
        <v>1368</v>
      </c>
      <c r="N155">
        <v>1011</v>
      </c>
      <c r="O155" t="s">
        <v>509</v>
      </c>
      <c r="P155" t="s">
        <v>509</v>
      </c>
      <c r="Q155">
        <v>1</v>
      </c>
      <c r="X155">
        <v>0.17</v>
      </c>
      <c r="Y155">
        <v>0</v>
      </c>
      <c r="Z155">
        <v>551.45000000000005</v>
      </c>
      <c r="AA155">
        <v>368.02</v>
      </c>
      <c r="AB155">
        <v>0</v>
      </c>
      <c r="AC155">
        <v>0</v>
      </c>
      <c r="AD155">
        <v>1</v>
      </c>
      <c r="AE155">
        <v>0</v>
      </c>
      <c r="AF155" t="s">
        <v>27</v>
      </c>
      <c r="AG155">
        <v>0.19550000000000001</v>
      </c>
      <c r="AH155">
        <v>2</v>
      </c>
      <c r="AI155">
        <v>75605620</v>
      </c>
      <c r="AJ155">
        <v>148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</row>
    <row r="156" spans="1:44" x14ac:dyDescent="0.25">
      <c r="A156">
        <f>ROW(Source!A160)</f>
        <v>160</v>
      </c>
      <c r="B156">
        <v>75605621</v>
      </c>
      <c r="C156">
        <v>75605616</v>
      </c>
      <c r="D156">
        <v>74257021</v>
      </c>
      <c r="E156">
        <v>1</v>
      </c>
      <c r="F156">
        <v>1</v>
      </c>
      <c r="G156">
        <v>1</v>
      </c>
      <c r="H156">
        <v>3</v>
      </c>
      <c r="I156" t="s">
        <v>650</v>
      </c>
      <c r="J156" t="s">
        <v>651</v>
      </c>
      <c r="K156" t="s">
        <v>652</v>
      </c>
      <c r="L156">
        <v>1346</v>
      </c>
      <c r="N156">
        <v>1009</v>
      </c>
      <c r="O156" t="s">
        <v>240</v>
      </c>
      <c r="P156" t="s">
        <v>240</v>
      </c>
      <c r="Q156">
        <v>1</v>
      </c>
      <c r="X156">
        <v>3.7</v>
      </c>
      <c r="Y156">
        <v>58.53</v>
      </c>
      <c r="Z156">
        <v>0</v>
      </c>
      <c r="AA156">
        <v>0</v>
      </c>
      <c r="AB156">
        <v>0</v>
      </c>
      <c r="AC156">
        <v>0</v>
      </c>
      <c r="AD156">
        <v>1</v>
      </c>
      <c r="AE156">
        <v>0</v>
      </c>
      <c r="AF156" t="s">
        <v>178</v>
      </c>
      <c r="AG156">
        <v>0</v>
      </c>
      <c r="AH156">
        <v>2</v>
      </c>
      <c r="AI156">
        <v>75605621</v>
      </c>
      <c r="AJ156">
        <v>149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</row>
    <row r="157" spans="1:44" x14ac:dyDescent="0.25">
      <c r="A157">
        <f>ROW(Source!A160)</f>
        <v>160</v>
      </c>
      <c r="B157">
        <v>75605622</v>
      </c>
      <c r="C157">
        <v>75605616</v>
      </c>
      <c r="D157">
        <v>74261529</v>
      </c>
      <c r="E157">
        <v>1</v>
      </c>
      <c r="F157">
        <v>1</v>
      </c>
      <c r="G157">
        <v>1</v>
      </c>
      <c r="H157">
        <v>3</v>
      </c>
      <c r="I157" t="s">
        <v>653</v>
      </c>
      <c r="J157" t="s">
        <v>654</v>
      </c>
      <c r="K157" t="s">
        <v>655</v>
      </c>
      <c r="L157">
        <v>1346</v>
      </c>
      <c r="N157">
        <v>1009</v>
      </c>
      <c r="O157" t="s">
        <v>240</v>
      </c>
      <c r="P157" t="s">
        <v>240</v>
      </c>
      <c r="Q157">
        <v>1</v>
      </c>
      <c r="X157">
        <v>22.6</v>
      </c>
      <c r="Y157">
        <v>89.75</v>
      </c>
      <c r="Z157">
        <v>0</v>
      </c>
      <c r="AA157">
        <v>0</v>
      </c>
      <c r="AB157">
        <v>0</v>
      </c>
      <c r="AC157">
        <v>0</v>
      </c>
      <c r="AD157">
        <v>1</v>
      </c>
      <c r="AE157">
        <v>0</v>
      </c>
      <c r="AF157" t="s">
        <v>178</v>
      </c>
      <c r="AG157">
        <v>0</v>
      </c>
      <c r="AH157">
        <v>2</v>
      </c>
      <c r="AI157">
        <v>75605622</v>
      </c>
      <c r="AJ157">
        <v>150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</row>
    <row r="158" spans="1:44" x14ac:dyDescent="0.25">
      <c r="A158">
        <f>ROW(Source!A160)</f>
        <v>160</v>
      </c>
      <c r="B158">
        <v>75605623</v>
      </c>
      <c r="C158">
        <v>75605616</v>
      </c>
      <c r="D158">
        <v>74266474</v>
      </c>
      <c r="E158">
        <v>1</v>
      </c>
      <c r="F158">
        <v>1</v>
      </c>
      <c r="G158">
        <v>1</v>
      </c>
      <c r="H158">
        <v>3</v>
      </c>
      <c r="I158" t="s">
        <v>656</v>
      </c>
      <c r="J158" t="s">
        <v>657</v>
      </c>
      <c r="K158" t="s">
        <v>658</v>
      </c>
      <c r="L158">
        <v>1348</v>
      </c>
      <c r="N158">
        <v>1009</v>
      </c>
      <c r="O158" t="s">
        <v>174</v>
      </c>
      <c r="P158" t="s">
        <v>174</v>
      </c>
      <c r="Q158">
        <v>1000</v>
      </c>
      <c r="X158">
        <v>5.3800000000000001E-2</v>
      </c>
      <c r="Y158">
        <v>55898.18</v>
      </c>
      <c r="Z158">
        <v>0</v>
      </c>
      <c r="AA158">
        <v>0</v>
      </c>
      <c r="AB158">
        <v>0</v>
      </c>
      <c r="AC158">
        <v>0</v>
      </c>
      <c r="AD158">
        <v>1</v>
      </c>
      <c r="AE158">
        <v>0</v>
      </c>
      <c r="AF158" t="s">
        <v>178</v>
      </c>
      <c r="AG158">
        <v>0</v>
      </c>
      <c r="AH158">
        <v>2</v>
      </c>
      <c r="AI158">
        <v>75605623</v>
      </c>
      <c r="AJ158">
        <v>151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</row>
    <row r="159" spans="1:44" x14ac:dyDescent="0.25">
      <c r="A159">
        <f>ROW(Source!A162)</f>
        <v>162</v>
      </c>
      <c r="B159">
        <v>75605297</v>
      </c>
      <c r="C159">
        <v>75605288</v>
      </c>
      <c r="D159">
        <v>37064928</v>
      </c>
      <c r="E159">
        <v>114</v>
      </c>
      <c r="F159">
        <v>1</v>
      </c>
      <c r="G159">
        <v>1</v>
      </c>
      <c r="H159">
        <v>1</v>
      </c>
      <c r="I159" t="s">
        <v>612</v>
      </c>
      <c r="J159" t="s">
        <v>3</v>
      </c>
      <c r="K159" t="s">
        <v>613</v>
      </c>
      <c r="L159">
        <v>1191</v>
      </c>
      <c r="N159">
        <v>1013</v>
      </c>
      <c r="O159" t="s">
        <v>501</v>
      </c>
      <c r="P159" t="s">
        <v>501</v>
      </c>
      <c r="Q159">
        <v>1</v>
      </c>
      <c r="X159">
        <v>2.54</v>
      </c>
      <c r="Y159">
        <v>0</v>
      </c>
      <c r="Z159">
        <v>0</v>
      </c>
      <c r="AA159">
        <v>0</v>
      </c>
      <c r="AB159">
        <v>347.42</v>
      </c>
      <c r="AC159">
        <v>0</v>
      </c>
      <c r="AD159">
        <v>1</v>
      </c>
      <c r="AE159">
        <v>1</v>
      </c>
      <c r="AF159" t="s">
        <v>289</v>
      </c>
      <c r="AG159">
        <v>5.8419999999999996</v>
      </c>
      <c r="AH159">
        <v>2</v>
      </c>
      <c r="AI159">
        <v>75605289</v>
      </c>
      <c r="AJ159">
        <v>152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</row>
    <row r="160" spans="1:44" x14ac:dyDescent="0.25">
      <c r="A160">
        <f>ROW(Source!A162)</f>
        <v>162</v>
      </c>
      <c r="B160">
        <v>75605298</v>
      </c>
      <c r="C160">
        <v>75605288</v>
      </c>
      <c r="D160">
        <v>37064876</v>
      </c>
      <c r="E160">
        <v>114</v>
      </c>
      <c r="F160">
        <v>1</v>
      </c>
      <c r="G160">
        <v>1</v>
      </c>
      <c r="H160">
        <v>1</v>
      </c>
      <c r="I160" t="s">
        <v>504</v>
      </c>
      <c r="J160" t="s">
        <v>3</v>
      </c>
      <c r="K160" t="s">
        <v>505</v>
      </c>
      <c r="L160">
        <v>1191</v>
      </c>
      <c r="N160">
        <v>1013</v>
      </c>
      <c r="O160" t="s">
        <v>501</v>
      </c>
      <c r="P160" t="s">
        <v>501</v>
      </c>
      <c r="Q160">
        <v>1</v>
      </c>
      <c r="X160">
        <v>0.04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1</v>
      </c>
      <c r="AE160">
        <v>2</v>
      </c>
      <c r="AF160" t="s">
        <v>289</v>
      </c>
      <c r="AG160">
        <v>9.1999999999999998E-2</v>
      </c>
      <c r="AH160">
        <v>2</v>
      </c>
      <c r="AI160">
        <v>75605290</v>
      </c>
      <c r="AJ160">
        <v>153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</row>
    <row r="161" spans="1:44" x14ac:dyDescent="0.25">
      <c r="A161">
        <f>ROW(Source!A162)</f>
        <v>162</v>
      </c>
      <c r="B161">
        <v>75605299</v>
      </c>
      <c r="C161">
        <v>75605288</v>
      </c>
      <c r="D161">
        <v>69432788</v>
      </c>
      <c r="E161">
        <v>1</v>
      </c>
      <c r="F161">
        <v>1</v>
      </c>
      <c r="G161">
        <v>1</v>
      </c>
      <c r="H161">
        <v>2</v>
      </c>
      <c r="I161" t="s">
        <v>659</v>
      </c>
      <c r="J161" t="s">
        <v>660</v>
      </c>
      <c r="K161" t="s">
        <v>661</v>
      </c>
      <c r="L161">
        <v>1368</v>
      </c>
      <c r="N161">
        <v>1011</v>
      </c>
      <c r="O161" t="s">
        <v>509</v>
      </c>
      <c r="P161" t="s">
        <v>509</v>
      </c>
      <c r="Q161">
        <v>1</v>
      </c>
      <c r="X161">
        <v>0.01</v>
      </c>
      <c r="Y161">
        <v>0</v>
      </c>
      <c r="Z161">
        <v>6.62</v>
      </c>
      <c r="AA161">
        <v>0</v>
      </c>
      <c r="AB161">
        <v>0</v>
      </c>
      <c r="AC161">
        <v>0</v>
      </c>
      <c r="AD161">
        <v>1</v>
      </c>
      <c r="AE161">
        <v>0</v>
      </c>
      <c r="AF161" t="s">
        <v>289</v>
      </c>
      <c r="AG161">
        <v>2.3E-2</v>
      </c>
      <c r="AH161">
        <v>2</v>
      </c>
      <c r="AI161">
        <v>75605291</v>
      </c>
      <c r="AJ161">
        <v>154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</row>
    <row r="162" spans="1:44" x14ac:dyDescent="0.25">
      <c r="A162">
        <f>ROW(Source!A162)</f>
        <v>162</v>
      </c>
      <c r="B162">
        <v>75605300</v>
      </c>
      <c r="C162">
        <v>75605288</v>
      </c>
      <c r="D162">
        <v>69432805</v>
      </c>
      <c r="E162">
        <v>1</v>
      </c>
      <c r="F162">
        <v>1</v>
      </c>
      <c r="G162">
        <v>1</v>
      </c>
      <c r="H162">
        <v>2</v>
      </c>
      <c r="I162" t="s">
        <v>662</v>
      </c>
      <c r="J162" t="s">
        <v>663</v>
      </c>
      <c r="K162" t="s">
        <v>664</v>
      </c>
      <c r="L162">
        <v>1368</v>
      </c>
      <c r="N162">
        <v>1011</v>
      </c>
      <c r="O162" t="s">
        <v>509</v>
      </c>
      <c r="P162" t="s">
        <v>509</v>
      </c>
      <c r="Q162">
        <v>1</v>
      </c>
      <c r="X162">
        <v>0.01</v>
      </c>
      <c r="Y162">
        <v>0</v>
      </c>
      <c r="Z162">
        <v>1569.2</v>
      </c>
      <c r="AA162">
        <v>422.95</v>
      </c>
      <c r="AB162">
        <v>0</v>
      </c>
      <c r="AC162">
        <v>0</v>
      </c>
      <c r="AD162">
        <v>1</v>
      </c>
      <c r="AE162">
        <v>0</v>
      </c>
      <c r="AF162" t="s">
        <v>289</v>
      </c>
      <c r="AG162">
        <v>2.3E-2</v>
      </c>
      <c r="AH162">
        <v>2</v>
      </c>
      <c r="AI162">
        <v>75605292</v>
      </c>
      <c r="AJ162">
        <v>155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</row>
    <row r="163" spans="1:44" x14ac:dyDescent="0.25">
      <c r="A163">
        <f>ROW(Source!A162)</f>
        <v>162</v>
      </c>
      <c r="B163">
        <v>75605301</v>
      </c>
      <c r="C163">
        <v>75605288</v>
      </c>
      <c r="D163">
        <v>69433540</v>
      </c>
      <c r="E163">
        <v>1</v>
      </c>
      <c r="F163">
        <v>1</v>
      </c>
      <c r="G163">
        <v>1</v>
      </c>
      <c r="H163">
        <v>2</v>
      </c>
      <c r="I163" t="s">
        <v>527</v>
      </c>
      <c r="J163" t="s">
        <v>528</v>
      </c>
      <c r="K163" t="s">
        <v>529</v>
      </c>
      <c r="L163">
        <v>1368</v>
      </c>
      <c r="N163">
        <v>1011</v>
      </c>
      <c r="O163" t="s">
        <v>509</v>
      </c>
      <c r="P163" t="s">
        <v>509</v>
      </c>
      <c r="Q163">
        <v>1</v>
      </c>
      <c r="X163">
        <v>0.03</v>
      </c>
      <c r="Y163">
        <v>0</v>
      </c>
      <c r="Z163">
        <v>551.45000000000005</v>
      </c>
      <c r="AA163">
        <v>368.02</v>
      </c>
      <c r="AB163">
        <v>0</v>
      </c>
      <c r="AC163">
        <v>0</v>
      </c>
      <c r="AD163">
        <v>1</v>
      </c>
      <c r="AE163">
        <v>0</v>
      </c>
      <c r="AF163" t="s">
        <v>289</v>
      </c>
      <c r="AG163">
        <v>6.8999999999999992E-2</v>
      </c>
      <c r="AH163">
        <v>2</v>
      </c>
      <c r="AI163">
        <v>75605293</v>
      </c>
      <c r="AJ163">
        <v>156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</row>
    <row r="164" spans="1:44" x14ac:dyDescent="0.25">
      <c r="A164">
        <f>ROW(Source!A162)</f>
        <v>162</v>
      </c>
      <c r="B164">
        <v>75605302</v>
      </c>
      <c r="C164">
        <v>75605288</v>
      </c>
      <c r="D164">
        <v>69434096</v>
      </c>
      <c r="E164">
        <v>1</v>
      </c>
      <c r="F164">
        <v>1</v>
      </c>
      <c r="G164">
        <v>1</v>
      </c>
      <c r="H164">
        <v>2</v>
      </c>
      <c r="I164" t="s">
        <v>665</v>
      </c>
      <c r="J164" t="s">
        <v>666</v>
      </c>
      <c r="K164" t="s">
        <v>667</v>
      </c>
      <c r="L164">
        <v>1368</v>
      </c>
      <c r="N164">
        <v>1011</v>
      </c>
      <c r="O164" t="s">
        <v>509</v>
      </c>
      <c r="P164" t="s">
        <v>509</v>
      </c>
      <c r="Q164">
        <v>1</v>
      </c>
      <c r="X164">
        <v>1.1200000000000001</v>
      </c>
      <c r="Y164">
        <v>0</v>
      </c>
      <c r="Z164">
        <v>4.5199999999999996</v>
      </c>
      <c r="AA164">
        <v>0</v>
      </c>
      <c r="AB164">
        <v>0</v>
      </c>
      <c r="AC164">
        <v>0</v>
      </c>
      <c r="AD164">
        <v>1</v>
      </c>
      <c r="AE164">
        <v>0</v>
      </c>
      <c r="AF164" t="s">
        <v>289</v>
      </c>
      <c r="AG164">
        <v>2.5760000000000001</v>
      </c>
      <c r="AH164">
        <v>2</v>
      </c>
      <c r="AI164">
        <v>75605294</v>
      </c>
      <c r="AJ164">
        <v>157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</row>
    <row r="165" spans="1:44" x14ac:dyDescent="0.25">
      <c r="A165">
        <f>ROW(Source!A162)</f>
        <v>162</v>
      </c>
      <c r="B165">
        <v>75605303</v>
      </c>
      <c r="C165">
        <v>75605288</v>
      </c>
      <c r="D165">
        <v>69398506</v>
      </c>
      <c r="E165">
        <v>1</v>
      </c>
      <c r="F165">
        <v>1</v>
      </c>
      <c r="G165">
        <v>1</v>
      </c>
      <c r="H165">
        <v>3</v>
      </c>
      <c r="I165" t="s">
        <v>372</v>
      </c>
      <c r="J165" t="s">
        <v>374</v>
      </c>
      <c r="K165" t="s">
        <v>373</v>
      </c>
      <c r="L165">
        <v>1348</v>
      </c>
      <c r="N165">
        <v>1009</v>
      </c>
      <c r="O165" t="s">
        <v>174</v>
      </c>
      <c r="P165" t="s">
        <v>174</v>
      </c>
      <c r="Q165">
        <v>1000</v>
      </c>
      <c r="X165">
        <v>1.7999999999999999E-2</v>
      </c>
      <c r="Y165">
        <v>130472.1</v>
      </c>
      <c r="Z165">
        <v>0</v>
      </c>
      <c r="AA165">
        <v>0</v>
      </c>
      <c r="AB165">
        <v>0</v>
      </c>
      <c r="AC165">
        <v>0</v>
      </c>
      <c r="AD165">
        <v>1</v>
      </c>
      <c r="AE165">
        <v>0</v>
      </c>
      <c r="AF165" t="s">
        <v>288</v>
      </c>
      <c r="AG165">
        <v>3.5999999999999997E-2</v>
      </c>
      <c r="AH165">
        <v>2</v>
      </c>
      <c r="AI165">
        <v>75605295</v>
      </c>
      <c r="AJ165">
        <v>158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</row>
    <row r="166" spans="1:44" x14ac:dyDescent="0.25">
      <c r="A166">
        <f>ROW(Source!A162)</f>
        <v>162</v>
      </c>
      <c r="B166">
        <v>75605304</v>
      </c>
      <c r="C166">
        <v>75605288</v>
      </c>
      <c r="D166">
        <v>69399308</v>
      </c>
      <c r="E166">
        <v>1</v>
      </c>
      <c r="F166">
        <v>1</v>
      </c>
      <c r="G166">
        <v>1</v>
      </c>
      <c r="H166">
        <v>3</v>
      </c>
      <c r="I166" t="s">
        <v>376</v>
      </c>
      <c r="J166" t="s">
        <v>378</v>
      </c>
      <c r="K166" t="s">
        <v>377</v>
      </c>
      <c r="L166">
        <v>1348</v>
      </c>
      <c r="N166">
        <v>1009</v>
      </c>
      <c r="O166" t="s">
        <v>174</v>
      </c>
      <c r="P166" t="s">
        <v>174</v>
      </c>
      <c r="Q166">
        <v>1000</v>
      </c>
      <c r="X166">
        <v>2E-3</v>
      </c>
      <c r="Y166">
        <v>74165.73</v>
      </c>
      <c r="Z166">
        <v>0</v>
      </c>
      <c r="AA166">
        <v>0</v>
      </c>
      <c r="AB166">
        <v>0</v>
      </c>
      <c r="AC166">
        <v>0</v>
      </c>
      <c r="AD166">
        <v>1</v>
      </c>
      <c r="AE166">
        <v>0</v>
      </c>
      <c r="AF166" t="s">
        <v>288</v>
      </c>
      <c r="AG166">
        <v>4.0000000000000001E-3</v>
      </c>
      <c r="AH166">
        <v>2</v>
      </c>
      <c r="AI166">
        <v>75605296</v>
      </c>
      <c r="AJ166">
        <v>159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</row>
    <row r="167" spans="1:44" x14ac:dyDescent="0.25">
      <c r="A167">
        <f>ROW(Source!A163)</f>
        <v>163</v>
      </c>
      <c r="B167">
        <v>75605317</v>
      </c>
      <c r="C167">
        <v>75605305</v>
      </c>
      <c r="D167">
        <v>37082223</v>
      </c>
      <c r="E167">
        <v>114</v>
      </c>
      <c r="F167">
        <v>1</v>
      </c>
      <c r="G167">
        <v>1</v>
      </c>
      <c r="H167">
        <v>1</v>
      </c>
      <c r="I167" t="s">
        <v>589</v>
      </c>
      <c r="J167" t="s">
        <v>3</v>
      </c>
      <c r="K167" t="s">
        <v>590</v>
      </c>
      <c r="L167">
        <v>1191</v>
      </c>
      <c r="N167">
        <v>1013</v>
      </c>
      <c r="O167" t="s">
        <v>501</v>
      </c>
      <c r="P167" t="s">
        <v>501</v>
      </c>
      <c r="Q167">
        <v>1</v>
      </c>
      <c r="X167">
        <v>14</v>
      </c>
      <c r="Y167">
        <v>0</v>
      </c>
      <c r="Z167">
        <v>0</v>
      </c>
      <c r="AA167">
        <v>0</v>
      </c>
      <c r="AB167">
        <v>373.51</v>
      </c>
      <c r="AC167">
        <v>0</v>
      </c>
      <c r="AD167">
        <v>1</v>
      </c>
      <c r="AE167">
        <v>1</v>
      </c>
      <c r="AF167" t="s">
        <v>27</v>
      </c>
      <c r="AG167">
        <v>16.099999999999998</v>
      </c>
      <c r="AH167">
        <v>2</v>
      </c>
      <c r="AI167">
        <v>75605306</v>
      </c>
      <c r="AJ167">
        <v>160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</row>
    <row r="168" spans="1:44" x14ac:dyDescent="0.25">
      <c r="A168">
        <f>ROW(Source!A163)</f>
        <v>163</v>
      </c>
      <c r="B168">
        <v>75605318</v>
      </c>
      <c r="C168">
        <v>75605305</v>
      </c>
      <c r="D168">
        <v>37064876</v>
      </c>
      <c r="E168">
        <v>114</v>
      </c>
      <c r="F168">
        <v>1</v>
      </c>
      <c r="G168">
        <v>1</v>
      </c>
      <c r="H168">
        <v>1</v>
      </c>
      <c r="I168" t="s">
        <v>504</v>
      </c>
      <c r="J168" t="s">
        <v>3</v>
      </c>
      <c r="K168" t="s">
        <v>505</v>
      </c>
      <c r="L168">
        <v>1191</v>
      </c>
      <c r="N168">
        <v>1013</v>
      </c>
      <c r="O168" t="s">
        <v>501</v>
      </c>
      <c r="P168" t="s">
        <v>501</v>
      </c>
      <c r="Q168">
        <v>1</v>
      </c>
      <c r="X168">
        <v>0.59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1</v>
      </c>
      <c r="AE168">
        <v>2</v>
      </c>
      <c r="AF168" t="s">
        <v>27</v>
      </c>
      <c r="AG168">
        <v>0.67849999999999988</v>
      </c>
      <c r="AH168">
        <v>2</v>
      </c>
      <c r="AI168">
        <v>75605307</v>
      </c>
      <c r="AJ168">
        <v>161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</row>
    <row r="169" spans="1:44" x14ac:dyDescent="0.25">
      <c r="A169">
        <f>ROW(Source!A163)</f>
        <v>163</v>
      </c>
      <c r="B169">
        <v>75605319</v>
      </c>
      <c r="C169">
        <v>75605305</v>
      </c>
      <c r="D169">
        <v>69433540</v>
      </c>
      <c r="E169">
        <v>1</v>
      </c>
      <c r="F169">
        <v>1</v>
      </c>
      <c r="G169">
        <v>1</v>
      </c>
      <c r="H169">
        <v>2</v>
      </c>
      <c r="I169" t="s">
        <v>527</v>
      </c>
      <c r="J169" t="s">
        <v>528</v>
      </c>
      <c r="K169" t="s">
        <v>529</v>
      </c>
      <c r="L169">
        <v>1368</v>
      </c>
      <c r="N169">
        <v>1011</v>
      </c>
      <c r="O169" t="s">
        <v>509</v>
      </c>
      <c r="P169" t="s">
        <v>509</v>
      </c>
      <c r="Q169">
        <v>1</v>
      </c>
      <c r="X169">
        <v>0.59</v>
      </c>
      <c r="Y169">
        <v>0</v>
      </c>
      <c r="Z169">
        <v>551.45000000000005</v>
      </c>
      <c r="AA169">
        <v>368.02</v>
      </c>
      <c r="AB169">
        <v>0</v>
      </c>
      <c r="AC169">
        <v>0</v>
      </c>
      <c r="AD169">
        <v>1</v>
      </c>
      <c r="AE169">
        <v>0</v>
      </c>
      <c r="AF169" t="s">
        <v>27</v>
      </c>
      <c r="AG169">
        <v>0.67849999999999988</v>
      </c>
      <c r="AH169">
        <v>2</v>
      </c>
      <c r="AI169">
        <v>75605308</v>
      </c>
      <c r="AJ169">
        <v>162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</row>
    <row r="170" spans="1:44" x14ac:dyDescent="0.25">
      <c r="A170">
        <f>ROW(Source!A163)</f>
        <v>163</v>
      </c>
      <c r="B170">
        <v>75605320</v>
      </c>
      <c r="C170">
        <v>75605305</v>
      </c>
      <c r="D170">
        <v>69434289</v>
      </c>
      <c r="E170">
        <v>1</v>
      </c>
      <c r="F170">
        <v>1</v>
      </c>
      <c r="G170">
        <v>1</v>
      </c>
      <c r="H170">
        <v>2</v>
      </c>
      <c r="I170" t="s">
        <v>668</v>
      </c>
      <c r="J170" t="s">
        <v>669</v>
      </c>
      <c r="K170" t="s">
        <v>670</v>
      </c>
      <c r="L170">
        <v>1368</v>
      </c>
      <c r="N170">
        <v>1011</v>
      </c>
      <c r="O170" t="s">
        <v>509</v>
      </c>
      <c r="P170" t="s">
        <v>509</v>
      </c>
      <c r="Q170">
        <v>1</v>
      </c>
      <c r="X170">
        <v>0.63</v>
      </c>
      <c r="Y170">
        <v>0</v>
      </c>
      <c r="Z170">
        <v>21.39</v>
      </c>
      <c r="AA170">
        <v>0</v>
      </c>
      <c r="AB170">
        <v>0</v>
      </c>
      <c r="AC170">
        <v>0</v>
      </c>
      <c r="AD170">
        <v>1</v>
      </c>
      <c r="AE170">
        <v>0</v>
      </c>
      <c r="AF170" t="s">
        <v>27</v>
      </c>
      <c r="AG170">
        <v>0.72449999999999992</v>
      </c>
      <c r="AH170">
        <v>2</v>
      </c>
      <c r="AI170">
        <v>75605309</v>
      </c>
      <c r="AJ170">
        <v>163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</row>
    <row r="171" spans="1:44" x14ac:dyDescent="0.25">
      <c r="A171">
        <f>ROW(Source!A163)</f>
        <v>163</v>
      </c>
      <c r="B171">
        <v>75605321</v>
      </c>
      <c r="C171">
        <v>75605305</v>
      </c>
      <c r="D171">
        <v>69381589</v>
      </c>
      <c r="E171">
        <v>1</v>
      </c>
      <c r="F171">
        <v>1</v>
      </c>
      <c r="G171">
        <v>1</v>
      </c>
      <c r="H171">
        <v>3</v>
      </c>
      <c r="I171" t="s">
        <v>671</v>
      </c>
      <c r="J171" t="s">
        <v>672</v>
      </c>
      <c r="K171" t="s">
        <v>673</v>
      </c>
      <c r="L171">
        <v>1348</v>
      </c>
      <c r="N171">
        <v>1009</v>
      </c>
      <c r="O171" t="s">
        <v>174</v>
      </c>
      <c r="P171" t="s">
        <v>174</v>
      </c>
      <c r="Q171">
        <v>1000</v>
      </c>
      <c r="X171">
        <v>4.0000000000000003E-5</v>
      </c>
      <c r="Y171">
        <v>263215.45</v>
      </c>
      <c r="Z171">
        <v>0</v>
      </c>
      <c r="AA171">
        <v>0</v>
      </c>
      <c r="AB171">
        <v>0</v>
      </c>
      <c r="AC171">
        <v>0</v>
      </c>
      <c r="AD171">
        <v>1</v>
      </c>
      <c r="AE171">
        <v>0</v>
      </c>
      <c r="AF171" t="s">
        <v>3</v>
      </c>
      <c r="AG171">
        <v>4.0000000000000003E-5</v>
      </c>
      <c r="AH171">
        <v>2</v>
      </c>
      <c r="AI171">
        <v>75605310</v>
      </c>
      <c r="AJ171">
        <v>164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</row>
    <row r="172" spans="1:44" x14ac:dyDescent="0.25">
      <c r="A172">
        <f>ROW(Source!A163)</f>
        <v>163</v>
      </c>
      <c r="B172">
        <v>75605322</v>
      </c>
      <c r="C172">
        <v>75605305</v>
      </c>
      <c r="D172">
        <v>69388840</v>
      </c>
      <c r="E172">
        <v>1</v>
      </c>
      <c r="F172">
        <v>1</v>
      </c>
      <c r="G172">
        <v>1</v>
      </c>
      <c r="H172">
        <v>3</v>
      </c>
      <c r="I172" t="s">
        <v>674</v>
      </c>
      <c r="J172" t="s">
        <v>675</v>
      </c>
      <c r="K172" t="s">
        <v>676</v>
      </c>
      <c r="L172">
        <v>1348</v>
      </c>
      <c r="N172">
        <v>1009</v>
      </c>
      <c r="O172" t="s">
        <v>174</v>
      </c>
      <c r="P172" t="s">
        <v>174</v>
      </c>
      <c r="Q172">
        <v>1000</v>
      </c>
      <c r="X172">
        <v>1.06E-2</v>
      </c>
      <c r="Y172">
        <v>89073.2</v>
      </c>
      <c r="Z172">
        <v>0</v>
      </c>
      <c r="AA172">
        <v>0</v>
      </c>
      <c r="AB172">
        <v>0</v>
      </c>
      <c r="AC172">
        <v>0</v>
      </c>
      <c r="AD172">
        <v>1</v>
      </c>
      <c r="AE172">
        <v>0</v>
      </c>
      <c r="AF172" t="s">
        <v>3</v>
      </c>
      <c r="AG172">
        <v>1.06E-2</v>
      </c>
      <c r="AH172">
        <v>2</v>
      </c>
      <c r="AI172">
        <v>75605311</v>
      </c>
      <c r="AJ172">
        <v>165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</row>
    <row r="173" spans="1:44" x14ac:dyDescent="0.25">
      <c r="A173">
        <f>ROW(Source!A163)</f>
        <v>163</v>
      </c>
      <c r="B173">
        <v>75605323</v>
      </c>
      <c r="C173">
        <v>75605305</v>
      </c>
      <c r="D173">
        <v>69388892</v>
      </c>
      <c r="E173">
        <v>1</v>
      </c>
      <c r="F173">
        <v>1</v>
      </c>
      <c r="G173">
        <v>1</v>
      </c>
      <c r="H173">
        <v>3</v>
      </c>
      <c r="I173" t="s">
        <v>677</v>
      </c>
      <c r="J173" t="s">
        <v>678</v>
      </c>
      <c r="K173" t="s">
        <v>679</v>
      </c>
      <c r="L173">
        <v>1348</v>
      </c>
      <c r="N173">
        <v>1009</v>
      </c>
      <c r="O173" t="s">
        <v>174</v>
      </c>
      <c r="P173" t="s">
        <v>174</v>
      </c>
      <c r="Q173">
        <v>1000</v>
      </c>
      <c r="X173">
        <v>5.2999999999999998E-4</v>
      </c>
      <c r="Y173">
        <v>129575.7</v>
      </c>
      <c r="Z173">
        <v>0</v>
      </c>
      <c r="AA173">
        <v>0</v>
      </c>
      <c r="AB173">
        <v>0</v>
      </c>
      <c r="AC173">
        <v>0</v>
      </c>
      <c r="AD173">
        <v>1</v>
      </c>
      <c r="AE173">
        <v>0</v>
      </c>
      <c r="AF173" t="s">
        <v>3</v>
      </c>
      <c r="AG173">
        <v>5.2999999999999998E-4</v>
      </c>
      <c r="AH173">
        <v>2</v>
      </c>
      <c r="AI173">
        <v>75605312</v>
      </c>
      <c r="AJ173">
        <v>166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0</v>
      </c>
      <c r="AR173">
        <v>0</v>
      </c>
    </row>
    <row r="174" spans="1:44" x14ac:dyDescent="0.25">
      <c r="A174">
        <f>ROW(Source!A163)</f>
        <v>163</v>
      </c>
      <c r="B174">
        <v>75605324</v>
      </c>
      <c r="C174">
        <v>75605305</v>
      </c>
      <c r="D174">
        <v>69388893</v>
      </c>
      <c r="E174">
        <v>1</v>
      </c>
      <c r="F174">
        <v>1</v>
      </c>
      <c r="G174">
        <v>1</v>
      </c>
      <c r="H174">
        <v>3</v>
      </c>
      <c r="I174" t="s">
        <v>680</v>
      </c>
      <c r="J174" t="s">
        <v>681</v>
      </c>
      <c r="K174" t="s">
        <v>682</v>
      </c>
      <c r="L174">
        <v>1348</v>
      </c>
      <c r="N174">
        <v>1009</v>
      </c>
      <c r="O174" t="s">
        <v>174</v>
      </c>
      <c r="P174" t="s">
        <v>174</v>
      </c>
      <c r="Q174">
        <v>1000</v>
      </c>
      <c r="X174">
        <v>1.01E-3</v>
      </c>
      <c r="Y174">
        <v>87245.7</v>
      </c>
      <c r="Z174">
        <v>0</v>
      </c>
      <c r="AA174">
        <v>0</v>
      </c>
      <c r="AB174">
        <v>0</v>
      </c>
      <c r="AC174">
        <v>0</v>
      </c>
      <c r="AD174">
        <v>1</v>
      </c>
      <c r="AE174">
        <v>0</v>
      </c>
      <c r="AF174" t="s">
        <v>3</v>
      </c>
      <c r="AG174">
        <v>1.01E-3</v>
      </c>
      <c r="AH174">
        <v>2</v>
      </c>
      <c r="AI174">
        <v>75605313</v>
      </c>
      <c r="AJ174">
        <v>167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0</v>
      </c>
      <c r="AR174">
        <v>0</v>
      </c>
    </row>
    <row r="175" spans="1:44" x14ac:dyDescent="0.25">
      <c r="A175">
        <f>ROW(Source!A163)</f>
        <v>163</v>
      </c>
      <c r="B175">
        <v>75605325</v>
      </c>
      <c r="C175">
        <v>75605305</v>
      </c>
      <c r="D175">
        <v>69389050</v>
      </c>
      <c r="E175">
        <v>1</v>
      </c>
      <c r="F175">
        <v>1</v>
      </c>
      <c r="G175">
        <v>1</v>
      </c>
      <c r="H175">
        <v>3</v>
      </c>
      <c r="I175" t="s">
        <v>683</v>
      </c>
      <c r="J175" t="s">
        <v>684</v>
      </c>
      <c r="K175" t="s">
        <v>685</v>
      </c>
      <c r="L175">
        <v>1348</v>
      </c>
      <c r="N175">
        <v>1009</v>
      </c>
      <c r="O175" t="s">
        <v>174</v>
      </c>
      <c r="P175" t="s">
        <v>174</v>
      </c>
      <c r="Q175">
        <v>1000</v>
      </c>
      <c r="X175">
        <v>1.35E-2</v>
      </c>
      <c r="Y175">
        <v>70048.22</v>
      </c>
      <c r="Z175">
        <v>0</v>
      </c>
      <c r="AA175">
        <v>0</v>
      </c>
      <c r="AB175">
        <v>0</v>
      </c>
      <c r="AC175">
        <v>0</v>
      </c>
      <c r="AD175">
        <v>1</v>
      </c>
      <c r="AE175">
        <v>0</v>
      </c>
      <c r="AF175" t="s">
        <v>3</v>
      </c>
      <c r="AG175">
        <v>1.35E-2</v>
      </c>
      <c r="AH175">
        <v>2</v>
      </c>
      <c r="AI175">
        <v>75605314</v>
      </c>
      <c r="AJ175">
        <v>168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0</v>
      </c>
      <c r="AR175">
        <v>0</v>
      </c>
    </row>
    <row r="176" spans="1:44" x14ac:dyDescent="0.25">
      <c r="A176">
        <f>ROW(Source!A163)</f>
        <v>163</v>
      </c>
      <c r="B176">
        <v>75605326</v>
      </c>
      <c r="C176">
        <v>75605305</v>
      </c>
      <c r="D176">
        <v>69310973</v>
      </c>
      <c r="E176">
        <v>114</v>
      </c>
      <c r="F176">
        <v>1</v>
      </c>
      <c r="G176">
        <v>1</v>
      </c>
      <c r="H176">
        <v>3</v>
      </c>
      <c r="I176" t="s">
        <v>753</v>
      </c>
      <c r="J176" t="s">
        <v>3</v>
      </c>
      <c r="K176" t="s">
        <v>754</v>
      </c>
      <c r="L176">
        <v>1346</v>
      </c>
      <c r="N176">
        <v>1009</v>
      </c>
      <c r="O176" t="s">
        <v>240</v>
      </c>
      <c r="P176" t="s">
        <v>240</v>
      </c>
      <c r="Q176">
        <v>1</v>
      </c>
      <c r="X176">
        <v>0.78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 t="s">
        <v>3</v>
      </c>
      <c r="AG176">
        <v>0.78</v>
      </c>
      <c r="AH176">
        <v>3</v>
      </c>
      <c r="AI176">
        <v>-1</v>
      </c>
      <c r="AJ176" t="s">
        <v>3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0</v>
      </c>
      <c r="AR176">
        <v>0</v>
      </c>
    </row>
    <row r="177" spans="1:44" x14ac:dyDescent="0.25">
      <c r="A177">
        <f>ROW(Source!A163)</f>
        <v>163</v>
      </c>
      <c r="B177">
        <v>75605327</v>
      </c>
      <c r="C177">
        <v>75605305</v>
      </c>
      <c r="D177">
        <v>69392834</v>
      </c>
      <c r="E177">
        <v>1</v>
      </c>
      <c r="F177">
        <v>1</v>
      </c>
      <c r="G177">
        <v>1</v>
      </c>
      <c r="H177">
        <v>3</v>
      </c>
      <c r="I177" t="s">
        <v>686</v>
      </c>
      <c r="J177" t="s">
        <v>687</v>
      </c>
      <c r="K177" t="s">
        <v>688</v>
      </c>
      <c r="L177">
        <v>1327</v>
      </c>
      <c r="N177">
        <v>1005</v>
      </c>
      <c r="O177" t="s">
        <v>314</v>
      </c>
      <c r="P177" t="s">
        <v>314</v>
      </c>
      <c r="Q177">
        <v>1</v>
      </c>
      <c r="X177">
        <v>0.5</v>
      </c>
      <c r="Y177">
        <v>36.200000000000003</v>
      </c>
      <c r="Z177">
        <v>0</v>
      </c>
      <c r="AA177">
        <v>0</v>
      </c>
      <c r="AB177">
        <v>0</v>
      </c>
      <c r="AC177">
        <v>0</v>
      </c>
      <c r="AD177">
        <v>1</v>
      </c>
      <c r="AE177">
        <v>0</v>
      </c>
      <c r="AF177" t="s">
        <v>3</v>
      </c>
      <c r="AG177">
        <v>0.5</v>
      </c>
      <c r="AH177">
        <v>2</v>
      </c>
      <c r="AI177">
        <v>75605315</v>
      </c>
      <c r="AJ177">
        <v>169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</v>
      </c>
    </row>
    <row r="178" spans="1:44" x14ac:dyDescent="0.25">
      <c r="A178">
        <f>ROW(Source!A163)</f>
        <v>163</v>
      </c>
      <c r="B178">
        <v>75605328</v>
      </c>
      <c r="C178">
        <v>75605305</v>
      </c>
      <c r="D178">
        <v>69311511</v>
      </c>
      <c r="E178">
        <v>114</v>
      </c>
      <c r="F178">
        <v>1</v>
      </c>
      <c r="G178">
        <v>1</v>
      </c>
      <c r="H178">
        <v>3</v>
      </c>
      <c r="I178" t="s">
        <v>755</v>
      </c>
      <c r="J178" t="s">
        <v>3</v>
      </c>
      <c r="K178" t="s">
        <v>756</v>
      </c>
      <c r="L178">
        <v>1339</v>
      </c>
      <c r="N178">
        <v>1007</v>
      </c>
      <c r="O178" t="s">
        <v>205</v>
      </c>
      <c r="P178" t="s">
        <v>205</v>
      </c>
      <c r="Q178">
        <v>1</v>
      </c>
      <c r="X178">
        <v>1.08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 t="s">
        <v>3</v>
      </c>
      <c r="AG178">
        <v>1.08</v>
      </c>
      <c r="AH178">
        <v>3</v>
      </c>
      <c r="AI178">
        <v>-1</v>
      </c>
      <c r="AJ178" t="s">
        <v>3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0</v>
      </c>
    </row>
    <row r="179" spans="1:44" x14ac:dyDescent="0.25">
      <c r="A179">
        <f>ROW(Source!A165)</f>
        <v>165</v>
      </c>
      <c r="B179">
        <v>75605341</v>
      </c>
      <c r="C179">
        <v>75605330</v>
      </c>
      <c r="D179">
        <v>37069580</v>
      </c>
      <c r="E179">
        <v>114</v>
      </c>
      <c r="F179">
        <v>1</v>
      </c>
      <c r="G179">
        <v>1</v>
      </c>
      <c r="H179">
        <v>1</v>
      </c>
      <c r="I179" t="s">
        <v>587</v>
      </c>
      <c r="J179" t="s">
        <v>3</v>
      </c>
      <c r="K179" t="s">
        <v>588</v>
      </c>
      <c r="L179">
        <v>1191</v>
      </c>
      <c r="N179">
        <v>1013</v>
      </c>
      <c r="O179" t="s">
        <v>501</v>
      </c>
      <c r="P179" t="s">
        <v>501</v>
      </c>
      <c r="Q179">
        <v>1</v>
      </c>
      <c r="X179">
        <v>30</v>
      </c>
      <c r="Y179">
        <v>0</v>
      </c>
      <c r="Z179">
        <v>0</v>
      </c>
      <c r="AA179">
        <v>0</v>
      </c>
      <c r="AB179">
        <v>330.94</v>
      </c>
      <c r="AC179">
        <v>0</v>
      </c>
      <c r="AD179">
        <v>1</v>
      </c>
      <c r="AE179">
        <v>1</v>
      </c>
      <c r="AF179" t="s">
        <v>27</v>
      </c>
      <c r="AG179">
        <v>34.5</v>
      </c>
      <c r="AH179">
        <v>2</v>
      </c>
      <c r="AI179">
        <v>75605331</v>
      </c>
      <c r="AJ179">
        <v>171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0</v>
      </c>
      <c r="AR179">
        <v>0</v>
      </c>
    </row>
    <row r="180" spans="1:44" x14ac:dyDescent="0.25">
      <c r="A180">
        <f>ROW(Source!A165)</f>
        <v>165</v>
      </c>
      <c r="B180">
        <v>75605342</v>
      </c>
      <c r="C180">
        <v>75605330</v>
      </c>
      <c r="D180">
        <v>37064876</v>
      </c>
      <c r="E180">
        <v>114</v>
      </c>
      <c r="F180">
        <v>1</v>
      </c>
      <c r="G180">
        <v>1</v>
      </c>
      <c r="H180">
        <v>1</v>
      </c>
      <c r="I180" t="s">
        <v>504</v>
      </c>
      <c r="J180" t="s">
        <v>3</v>
      </c>
      <c r="K180" t="s">
        <v>505</v>
      </c>
      <c r="L180">
        <v>1191</v>
      </c>
      <c r="N180">
        <v>1013</v>
      </c>
      <c r="O180" t="s">
        <v>501</v>
      </c>
      <c r="P180" t="s">
        <v>501</v>
      </c>
      <c r="Q180">
        <v>1</v>
      </c>
      <c r="X180">
        <v>0.43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1</v>
      </c>
      <c r="AE180">
        <v>2</v>
      </c>
      <c r="AF180" t="s">
        <v>27</v>
      </c>
      <c r="AG180">
        <v>0.49449999999999994</v>
      </c>
      <c r="AH180">
        <v>2</v>
      </c>
      <c r="AI180">
        <v>75605332</v>
      </c>
      <c r="AJ180">
        <v>172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0</v>
      </c>
      <c r="AR180">
        <v>0</v>
      </c>
    </row>
    <row r="181" spans="1:44" x14ac:dyDescent="0.25">
      <c r="A181">
        <f>ROW(Source!A165)</f>
        <v>165</v>
      </c>
      <c r="B181">
        <v>75605343</v>
      </c>
      <c r="C181">
        <v>75605330</v>
      </c>
      <c r="D181">
        <v>69433017</v>
      </c>
      <c r="E181">
        <v>1</v>
      </c>
      <c r="F181">
        <v>1</v>
      </c>
      <c r="G181">
        <v>1</v>
      </c>
      <c r="H181">
        <v>2</v>
      </c>
      <c r="I181" t="s">
        <v>689</v>
      </c>
      <c r="J181" t="s">
        <v>690</v>
      </c>
      <c r="K181" t="s">
        <v>691</v>
      </c>
      <c r="L181">
        <v>1368</v>
      </c>
      <c r="N181">
        <v>1011</v>
      </c>
      <c r="O181" t="s">
        <v>509</v>
      </c>
      <c r="P181" t="s">
        <v>509</v>
      </c>
      <c r="Q181">
        <v>1</v>
      </c>
      <c r="X181">
        <v>0.23</v>
      </c>
      <c r="Y181">
        <v>0</v>
      </c>
      <c r="Z181">
        <v>95.25</v>
      </c>
      <c r="AA181">
        <v>0</v>
      </c>
      <c r="AB181">
        <v>0</v>
      </c>
      <c r="AC181">
        <v>0</v>
      </c>
      <c r="AD181">
        <v>1</v>
      </c>
      <c r="AE181">
        <v>0</v>
      </c>
      <c r="AF181" t="s">
        <v>27</v>
      </c>
      <c r="AG181">
        <v>0.26450000000000001</v>
      </c>
      <c r="AH181">
        <v>2</v>
      </c>
      <c r="AI181">
        <v>75605333</v>
      </c>
      <c r="AJ181">
        <v>173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0</v>
      </c>
    </row>
    <row r="182" spans="1:44" x14ac:dyDescent="0.25">
      <c r="A182">
        <f>ROW(Source!A165)</f>
        <v>165</v>
      </c>
      <c r="B182">
        <v>75605344</v>
      </c>
      <c r="C182">
        <v>75605330</v>
      </c>
      <c r="D182">
        <v>69433540</v>
      </c>
      <c r="E182">
        <v>1</v>
      </c>
      <c r="F182">
        <v>1</v>
      </c>
      <c r="G182">
        <v>1</v>
      </c>
      <c r="H182">
        <v>2</v>
      </c>
      <c r="I182" t="s">
        <v>527</v>
      </c>
      <c r="J182" t="s">
        <v>528</v>
      </c>
      <c r="K182" t="s">
        <v>529</v>
      </c>
      <c r="L182">
        <v>1368</v>
      </c>
      <c r="N182">
        <v>1011</v>
      </c>
      <c r="O182" t="s">
        <v>509</v>
      </c>
      <c r="P182" t="s">
        <v>509</v>
      </c>
      <c r="Q182">
        <v>1</v>
      </c>
      <c r="X182">
        <v>0.43</v>
      </c>
      <c r="Y182">
        <v>0</v>
      </c>
      <c r="Z182">
        <v>551.45000000000005</v>
      </c>
      <c r="AA182">
        <v>368.02</v>
      </c>
      <c r="AB182">
        <v>0</v>
      </c>
      <c r="AC182">
        <v>0</v>
      </c>
      <c r="AD182">
        <v>1</v>
      </c>
      <c r="AE182">
        <v>0</v>
      </c>
      <c r="AF182" t="s">
        <v>27</v>
      </c>
      <c r="AG182">
        <v>0.49449999999999994</v>
      </c>
      <c r="AH182">
        <v>2</v>
      </c>
      <c r="AI182">
        <v>75605334</v>
      </c>
      <c r="AJ182">
        <v>174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0</v>
      </c>
      <c r="AR182">
        <v>0</v>
      </c>
    </row>
    <row r="183" spans="1:44" x14ac:dyDescent="0.25">
      <c r="A183">
        <f>ROW(Source!A165)</f>
        <v>165</v>
      </c>
      <c r="B183">
        <v>75605345</v>
      </c>
      <c r="C183">
        <v>75605330</v>
      </c>
      <c r="D183">
        <v>69434289</v>
      </c>
      <c r="E183">
        <v>1</v>
      </c>
      <c r="F183">
        <v>1</v>
      </c>
      <c r="G183">
        <v>1</v>
      </c>
      <c r="H183">
        <v>2</v>
      </c>
      <c r="I183" t="s">
        <v>668</v>
      </c>
      <c r="J183" t="s">
        <v>669</v>
      </c>
      <c r="K183" t="s">
        <v>670</v>
      </c>
      <c r="L183">
        <v>1368</v>
      </c>
      <c r="N183">
        <v>1011</v>
      </c>
      <c r="O183" t="s">
        <v>509</v>
      </c>
      <c r="P183" t="s">
        <v>509</v>
      </c>
      <c r="Q183">
        <v>1</v>
      </c>
      <c r="X183">
        <v>1.26</v>
      </c>
      <c r="Y183">
        <v>0</v>
      </c>
      <c r="Z183">
        <v>21.39</v>
      </c>
      <c r="AA183">
        <v>0</v>
      </c>
      <c r="AB183">
        <v>0</v>
      </c>
      <c r="AC183">
        <v>0</v>
      </c>
      <c r="AD183">
        <v>1</v>
      </c>
      <c r="AE183">
        <v>0</v>
      </c>
      <c r="AF183" t="s">
        <v>27</v>
      </c>
      <c r="AG183">
        <v>1.4489999999999998</v>
      </c>
      <c r="AH183">
        <v>2</v>
      </c>
      <c r="AI183">
        <v>75605335</v>
      </c>
      <c r="AJ183">
        <v>175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0</v>
      </c>
      <c r="AR183">
        <v>0</v>
      </c>
    </row>
    <row r="184" spans="1:44" x14ac:dyDescent="0.25">
      <c r="A184">
        <f>ROW(Source!A165)</f>
        <v>165</v>
      </c>
      <c r="B184">
        <v>75605346</v>
      </c>
      <c r="C184">
        <v>75605330</v>
      </c>
      <c r="D184">
        <v>69377458</v>
      </c>
      <c r="E184">
        <v>1</v>
      </c>
      <c r="F184">
        <v>1</v>
      </c>
      <c r="G184">
        <v>1</v>
      </c>
      <c r="H184">
        <v>3</v>
      </c>
      <c r="I184" t="s">
        <v>692</v>
      </c>
      <c r="J184" t="s">
        <v>693</v>
      </c>
      <c r="K184" t="s">
        <v>694</v>
      </c>
      <c r="L184">
        <v>1348</v>
      </c>
      <c r="N184">
        <v>1009</v>
      </c>
      <c r="O184" t="s">
        <v>174</v>
      </c>
      <c r="P184" t="s">
        <v>174</v>
      </c>
      <c r="Q184">
        <v>1000</v>
      </c>
      <c r="X184">
        <v>1.26E-2</v>
      </c>
      <c r="Y184">
        <v>23335.8</v>
      </c>
      <c r="Z184">
        <v>0</v>
      </c>
      <c r="AA184">
        <v>0</v>
      </c>
      <c r="AB184">
        <v>0</v>
      </c>
      <c r="AC184">
        <v>0</v>
      </c>
      <c r="AD184">
        <v>1</v>
      </c>
      <c r="AE184">
        <v>0</v>
      </c>
      <c r="AF184" t="s">
        <v>3</v>
      </c>
      <c r="AG184">
        <v>1.26E-2</v>
      </c>
      <c r="AH184">
        <v>2</v>
      </c>
      <c r="AI184">
        <v>75605336</v>
      </c>
      <c r="AJ184">
        <v>176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0</v>
      </c>
      <c r="AR184">
        <v>0</v>
      </c>
    </row>
    <row r="185" spans="1:44" x14ac:dyDescent="0.25">
      <c r="A185">
        <f>ROW(Source!A165)</f>
        <v>165</v>
      </c>
      <c r="B185">
        <v>75605347</v>
      </c>
      <c r="C185">
        <v>75605330</v>
      </c>
      <c r="D185">
        <v>69377485</v>
      </c>
      <c r="E185">
        <v>1</v>
      </c>
      <c r="F185">
        <v>1</v>
      </c>
      <c r="G185">
        <v>1</v>
      </c>
      <c r="H185">
        <v>3</v>
      </c>
      <c r="I185" t="s">
        <v>695</v>
      </c>
      <c r="J185" t="s">
        <v>696</v>
      </c>
      <c r="K185" t="s">
        <v>697</v>
      </c>
      <c r="L185">
        <v>1348</v>
      </c>
      <c r="N185">
        <v>1009</v>
      </c>
      <c r="O185" t="s">
        <v>174</v>
      </c>
      <c r="P185" t="s">
        <v>174</v>
      </c>
      <c r="Q185">
        <v>1000</v>
      </c>
      <c r="X185">
        <v>0.03</v>
      </c>
      <c r="Y185">
        <v>30195.360000000001</v>
      </c>
      <c r="Z185">
        <v>0</v>
      </c>
      <c r="AA185">
        <v>0</v>
      </c>
      <c r="AB185">
        <v>0</v>
      </c>
      <c r="AC185">
        <v>0</v>
      </c>
      <c r="AD185">
        <v>1</v>
      </c>
      <c r="AE185">
        <v>0</v>
      </c>
      <c r="AF185" t="s">
        <v>3</v>
      </c>
      <c r="AG185">
        <v>0.03</v>
      </c>
      <c r="AH185">
        <v>2</v>
      </c>
      <c r="AI185">
        <v>75605337</v>
      </c>
      <c r="AJ185">
        <v>177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0</v>
      </c>
      <c r="AR185">
        <v>0</v>
      </c>
    </row>
    <row r="186" spans="1:44" x14ac:dyDescent="0.25">
      <c r="A186">
        <f>ROW(Source!A165)</f>
        <v>165</v>
      </c>
      <c r="B186">
        <v>75605348</v>
      </c>
      <c r="C186">
        <v>75605330</v>
      </c>
      <c r="D186">
        <v>69388840</v>
      </c>
      <c r="E186">
        <v>1</v>
      </c>
      <c r="F186">
        <v>1</v>
      </c>
      <c r="G186">
        <v>1</v>
      </c>
      <c r="H186">
        <v>3</v>
      </c>
      <c r="I186" t="s">
        <v>674</v>
      </c>
      <c r="J186" t="s">
        <v>675</v>
      </c>
      <c r="K186" t="s">
        <v>676</v>
      </c>
      <c r="L186">
        <v>1348</v>
      </c>
      <c r="N186">
        <v>1009</v>
      </c>
      <c r="O186" t="s">
        <v>174</v>
      </c>
      <c r="P186" t="s">
        <v>174</v>
      </c>
      <c r="Q186">
        <v>1000</v>
      </c>
      <c r="X186">
        <v>4.7E-2</v>
      </c>
      <c r="Y186">
        <v>89073.2</v>
      </c>
      <c r="Z186">
        <v>0</v>
      </c>
      <c r="AA186">
        <v>0</v>
      </c>
      <c r="AB186">
        <v>0</v>
      </c>
      <c r="AC186">
        <v>0</v>
      </c>
      <c r="AD186">
        <v>1</v>
      </c>
      <c r="AE186">
        <v>0</v>
      </c>
      <c r="AF186" t="s">
        <v>3</v>
      </c>
      <c r="AG186">
        <v>4.7E-2</v>
      </c>
      <c r="AH186">
        <v>2</v>
      </c>
      <c r="AI186">
        <v>75605338</v>
      </c>
      <c r="AJ186">
        <v>178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0</v>
      </c>
    </row>
    <row r="187" spans="1:44" x14ac:dyDescent="0.25">
      <c r="A187">
        <f>ROW(Source!A165)</f>
        <v>165</v>
      </c>
      <c r="B187">
        <v>75605349</v>
      </c>
      <c r="C187">
        <v>75605330</v>
      </c>
      <c r="D187">
        <v>69311405</v>
      </c>
      <c r="E187">
        <v>114</v>
      </c>
      <c r="F187">
        <v>1</v>
      </c>
      <c r="G187">
        <v>1</v>
      </c>
      <c r="H187">
        <v>3</v>
      </c>
      <c r="I187" t="s">
        <v>757</v>
      </c>
      <c r="J187" t="s">
        <v>3</v>
      </c>
      <c r="K187" t="s">
        <v>758</v>
      </c>
      <c r="L187">
        <v>1327</v>
      </c>
      <c r="N187">
        <v>1005</v>
      </c>
      <c r="O187" t="s">
        <v>314</v>
      </c>
      <c r="P187" t="s">
        <v>314</v>
      </c>
      <c r="Q187">
        <v>1</v>
      </c>
      <c r="X187">
        <v>115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 t="s">
        <v>3</v>
      </c>
      <c r="AG187">
        <v>115</v>
      </c>
      <c r="AH187">
        <v>3</v>
      </c>
      <c r="AI187">
        <v>-1</v>
      </c>
      <c r="AJ187" t="s">
        <v>3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0</v>
      </c>
      <c r="AR187">
        <v>0</v>
      </c>
    </row>
    <row r="188" spans="1:44" x14ac:dyDescent="0.25">
      <c r="A188">
        <f>ROW(Source!A165)</f>
        <v>165</v>
      </c>
      <c r="B188">
        <v>75605350</v>
      </c>
      <c r="C188">
        <v>75605330</v>
      </c>
      <c r="D188">
        <v>69398919</v>
      </c>
      <c r="E188">
        <v>1</v>
      </c>
      <c r="F188">
        <v>1</v>
      </c>
      <c r="G188">
        <v>1</v>
      </c>
      <c r="H188">
        <v>3</v>
      </c>
      <c r="I188" t="s">
        <v>698</v>
      </c>
      <c r="J188" t="s">
        <v>699</v>
      </c>
      <c r="K188" t="s">
        <v>700</v>
      </c>
      <c r="L188">
        <v>1348</v>
      </c>
      <c r="N188">
        <v>1009</v>
      </c>
      <c r="O188" t="s">
        <v>174</v>
      </c>
      <c r="P188" t="s">
        <v>174</v>
      </c>
      <c r="Q188">
        <v>1000</v>
      </c>
      <c r="X188">
        <v>1.2600000000000001E-3</v>
      </c>
      <c r="Y188">
        <v>80020.98</v>
      </c>
      <c r="Z188">
        <v>0</v>
      </c>
      <c r="AA188">
        <v>0</v>
      </c>
      <c r="AB188">
        <v>0</v>
      </c>
      <c r="AC188">
        <v>0</v>
      </c>
      <c r="AD188">
        <v>1</v>
      </c>
      <c r="AE188">
        <v>0</v>
      </c>
      <c r="AF188" t="s">
        <v>3</v>
      </c>
      <c r="AG188">
        <v>1.2600000000000001E-3</v>
      </c>
      <c r="AH188">
        <v>2</v>
      </c>
      <c r="AI188">
        <v>75605340</v>
      </c>
      <c r="AJ188">
        <v>180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</row>
    <row r="189" spans="1:44" x14ac:dyDescent="0.25">
      <c r="A189">
        <f>ROW(Source!A168)</f>
        <v>168</v>
      </c>
      <c r="B189">
        <v>75605572</v>
      </c>
      <c r="C189">
        <v>75605563</v>
      </c>
      <c r="D189">
        <v>74182299</v>
      </c>
      <c r="E189">
        <v>118</v>
      </c>
      <c r="F189">
        <v>1</v>
      </c>
      <c r="G189">
        <v>1</v>
      </c>
      <c r="H189">
        <v>1</v>
      </c>
      <c r="I189" t="s">
        <v>701</v>
      </c>
      <c r="J189" t="s">
        <v>3</v>
      </c>
      <c r="K189" t="s">
        <v>702</v>
      </c>
      <c r="L189">
        <v>1191</v>
      </c>
      <c r="N189">
        <v>1013</v>
      </c>
      <c r="O189" t="s">
        <v>501</v>
      </c>
      <c r="P189" t="s">
        <v>501</v>
      </c>
      <c r="Q189">
        <v>1</v>
      </c>
      <c r="X189">
        <v>8</v>
      </c>
      <c r="Y189">
        <v>0</v>
      </c>
      <c r="Z189">
        <v>0</v>
      </c>
      <c r="AA189">
        <v>0</v>
      </c>
      <c r="AB189">
        <v>389.99</v>
      </c>
      <c r="AC189">
        <v>0</v>
      </c>
      <c r="AD189">
        <v>1</v>
      </c>
      <c r="AE189">
        <v>1</v>
      </c>
      <c r="AF189" t="s">
        <v>27</v>
      </c>
      <c r="AG189">
        <v>9.1999999999999993</v>
      </c>
      <c r="AH189">
        <v>2</v>
      </c>
      <c r="AI189">
        <v>75605572</v>
      </c>
      <c r="AJ189">
        <v>181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0</v>
      </c>
      <c r="AR189">
        <v>0</v>
      </c>
    </row>
    <row r="190" spans="1:44" x14ac:dyDescent="0.25">
      <c r="A190">
        <f>ROW(Source!A168)</f>
        <v>168</v>
      </c>
      <c r="B190">
        <v>75605573</v>
      </c>
      <c r="C190">
        <v>75605563</v>
      </c>
      <c r="D190">
        <v>74310021</v>
      </c>
      <c r="E190">
        <v>1</v>
      </c>
      <c r="F190">
        <v>1</v>
      </c>
      <c r="G190">
        <v>1</v>
      </c>
      <c r="H190">
        <v>2</v>
      </c>
      <c r="I190" t="s">
        <v>597</v>
      </c>
      <c r="J190" t="s">
        <v>598</v>
      </c>
      <c r="K190" t="s">
        <v>599</v>
      </c>
      <c r="L190">
        <v>1368</v>
      </c>
      <c r="N190">
        <v>1011</v>
      </c>
      <c r="O190" t="s">
        <v>509</v>
      </c>
      <c r="P190" t="s">
        <v>509</v>
      </c>
      <c r="Q190">
        <v>1</v>
      </c>
      <c r="X190">
        <v>0.34</v>
      </c>
      <c r="Y190">
        <v>0</v>
      </c>
      <c r="Z190">
        <v>41.5</v>
      </c>
      <c r="AA190">
        <v>0</v>
      </c>
      <c r="AB190">
        <v>0</v>
      </c>
      <c r="AC190">
        <v>0</v>
      </c>
      <c r="AD190">
        <v>1</v>
      </c>
      <c r="AE190">
        <v>0</v>
      </c>
      <c r="AF190" t="s">
        <v>27</v>
      </c>
      <c r="AG190">
        <v>0.39100000000000001</v>
      </c>
      <c r="AH190">
        <v>2</v>
      </c>
      <c r="AI190">
        <v>75605573</v>
      </c>
      <c r="AJ190">
        <v>182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</row>
    <row r="191" spans="1:44" x14ac:dyDescent="0.25">
      <c r="A191">
        <f>ROW(Source!A168)</f>
        <v>168</v>
      </c>
      <c r="B191">
        <v>75605574</v>
      </c>
      <c r="C191">
        <v>75605563</v>
      </c>
      <c r="D191">
        <v>74257065</v>
      </c>
      <c r="E191">
        <v>1</v>
      </c>
      <c r="F191">
        <v>1</v>
      </c>
      <c r="G191">
        <v>1</v>
      </c>
      <c r="H191">
        <v>3</v>
      </c>
      <c r="I191" t="s">
        <v>581</v>
      </c>
      <c r="J191" t="s">
        <v>582</v>
      </c>
      <c r="K191" t="s">
        <v>583</v>
      </c>
      <c r="L191">
        <v>1339</v>
      </c>
      <c r="N191">
        <v>1007</v>
      </c>
      <c r="O191" t="s">
        <v>205</v>
      </c>
      <c r="P191" t="s">
        <v>205</v>
      </c>
      <c r="Q191">
        <v>1</v>
      </c>
      <c r="X191">
        <v>0.76</v>
      </c>
      <c r="Y191">
        <v>114.64</v>
      </c>
      <c r="Z191">
        <v>0</v>
      </c>
      <c r="AA191">
        <v>0</v>
      </c>
      <c r="AB191">
        <v>0</v>
      </c>
      <c r="AC191">
        <v>0</v>
      </c>
      <c r="AD191">
        <v>1</v>
      </c>
      <c r="AE191">
        <v>0</v>
      </c>
      <c r="AF191" t="s">
        <v>3</v>
      </c>
      <c r="AG191">
        <v>0.76</v>
      </c>
      <c r="AH191">
        <v>2</v>
      </c>
      <c r="AI191">
        <v>75605574</v>
      </c>
      <c r="AJ191">
        <v>183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0</v>
      </c>
      <c r="AR191">
        <v>0</v>
      </c>
    </row>
    <row r="192" spans="1:44" x14ac:dyDescent="0.25">
      <c r="A192">
        <f>ROW(Source!A168)</f>
        <v>168</v>
      </c>
      <c r="B192">
        <v>75605575</v>
      </c>
      <c r="C192">
        <v>75605563</v>
      </c>
      <c r="D192">
        <v>74257069</v>
      </c>
      <c r="E192">
        <v>1</v>
      </c>
      <c r="F192">
        <v>1</v>
      </c>
      <c r="G192">
        <v>1</v>
      </c>
      <c r="H192">
        <v>3</v>
      </c>
      <c r="I192" t="s">
        <v>584</v>
      </c>
      <c r="J192" t="s">
        <v>585</v>
      </c>
      <c r="K192" t="s">
        <v>586</v>
      </c>
      <c r="L192">
        <v>1346</v>
      </c>
      <c r="N192">
        <v>1009</v>
      </c>
      <c r="O192" t="s">
        <v>240</v>
      </c>
      <c r="P192" t="s">
        <v>240</v>
      </c>
      <c r="Q192">
        <v>1</v>
      </c>
      <c r="X192">
        <v>0.22</v>
      </c>
      <c r="Y192">
        <v>41.38</v>
      </c>
      <c r="Z192">
        <v>0</v>
      </c>
      <c r="AA192">
        <v>0</v>
      </c>
      <c r="AB192">
        <v>0</v>
      </c>
      <c r="AC192">
        <v>0</v>
      </c>
      <c r="AD192">
        <v>1</v>
      </c>
      <c r="AE192">
        <v>0</v>
      </c>
      <c r="AF192" t="s">
        <v>3</v>
      </c>
      <c r="AG192">
        <v>0.22</v>
      </c>
      <c r="AH192">
        <v>2</v>
      </c>
      <c r="AI192">
        <v>75605575</v>
      </c>
      <c r="AJ192">
        <v>184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</row>
    <row r="193" spans="1:44" x14ac:dyDescent="0.25">
      <c r="A193">
        <f>ROW(Source!A168)</f>
        <v>168</v>
      </c>
      <c r="B193">
        <v>75605576</v>
      </c>
      <c r="C193">
        <v>75605563</v>
      </c>
      <c r="D193">
        <v>74259041</v>
      </c>
      <c r="E193">
        <v>1</v>
      </c>
      <c r="F193">
        <v>1</v>
      </c>
      <c r="G193">
        <v>1</v>
      </c>
      <c r="H193">
        <v>3</v>
      </c>
      <c r="I193" t="s">
        <v>560</v>
      </c>
      <c r="J193" t="s">
        <v>561</v>
      </c>
      <c r="K193" t="s">
        <v>562</v>
      </c>
      <c r="L193">
        <v>1383</v>
      </c>
      <c r="N193">
        <v>1013</v>
      </c>
      <c r="O193" t="s">
        <v>563</v>
      </c>
      <c r="P193" t="s">
        <v>563</v>
      </c>
      <c r="Q193">
        <v>1</v>
      </c>
      <c r="X193">
        <v>0.86399999999999999</v>
      </c>
      <c r="Y193">
        <v>9.0399999999999991</v>
      </c>
      <c r="Z193">
        <v>0</v>
      </c>
      <c r="AA193">
        <v>0</v>
      </c>
      <c r="AB193">
        <v>0</v>
      </c>
      <c r="AC193">
        <v>0</v>
      </c>
      <c r="AD193">
        <v>1</v>
      </c>
      <c r="AE193">
        <v>0</v>
      </c>
      <c r="AF193" t="s">
        <v>3</v>
      </c>
      <c r="AG193">
        <v>0.86399999999999999</v>
      </c>
      <c r="AH193">
        <v>2</v>
      </c>
      <c r="AI193">
        <v>75605576</v>
      </c>
      <c r="AJ193">
        <v>185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0</v>
      </c>
      <c r="AR193">
        <v>0</v>
      </c>
    </row>
    <row r="194" spans="1:44" x14ac:dyDescent="0.25">
      <c r="A194">
        <f>ROW(Source!A168)</f>
        <v>168</v>
      </c>
      <c r="B194">
        <v>75605577</v>
      </c>
      <c r="C194">
        <v>75605563</v>
      </c>
      <c r="D194">
        <v>74259784</v>
      </c>
      <c r="E194">
        <v>1</v>
      </c>
      <c r="F194">
        <v>1</v>
      </c>
      <c r="G194">
        <v>1</v>
      </c>
      <c r="H194">
        <v>3</v>
      </c>
      <c r="I194" t="s">
        <v>703</v>
      </c>
      <c r="J194" t="s">
        <v>704</v>
      </c>
      <c r="K194" t="s">
        <v>705</v>
      </c>
      <c r="L194">
        <v>1346</v>
      </c>
      <c r="N194">
        <v>1009</v>
      </c>
      <c r="O194" t="s">
        <v>240</v>
      </c>
      <c r="P194" t="s">
        <v>240</v>
      </c>
      <c r="Q194">
        <v>1</v>
      </c>
      <c r="X194">
        <v>6.2E-2</v>
      </c>
      <c r="Y194">
        <v>148.86000000000001</v>
      </c>
      <c r="Z194">
        <v>0</v>
      </c>
      <c r="AA194">
        <v>0</v>
      </c>
      <c r="AB194">
        <v>0</v>
      </c>
      <c r="AC194">
        <v>0</v>
      </c>
      <c r="AD194">
        <v>1</v>
      </c>
      <c r="AE194">
        <v>0</v>
      </c>
      <c r="AF194" t="s">
        <v>3</v>
      </c>
      <c r="AG194">
        <v>6.2E-2</v>
      </c>
      <c r="AH194">
        <v>2</v>
      </c>
      <c r="AI194">
        <v>75605577</v>
      </c>
      <c r="AJ194">
        <v>186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0</v>
      </c>
    </row>
    <row r="195" spans="1:44" x14ac:dyDescent="0.25">
      <c r="A195">
        <f>ROW(Source!A168)</f>
        <v>168</v>
      </c>
      <c r="B195">
        <v>75605578</v>
      </c>
      <c r="C195">
        <v>75605563</v>
      </c>
      <c r="D195">
        <v>74188519</v>
      </c>
      <c r="E195">
        <v>118</v>
      </c>
      <c r="F195">
        <v>1</v>
      </c>
      <c r="G195">
        <v>1</v>
      </c>
      <c r="H195">
        <v>3</v>
      </c>
      <c r="I195" t="s">
        <v>759</v>
      </c>
      <c r="J195" t="s">
        <v>3</v>
      </c>
      <c r="K195" t="s">
        <v>760</v>
      </c>
      <c r="L195">
        <v>3277935</v>
      </c>
      <c r="N195">
        <v>1013</v>
      </c>
      <c r="O195" t="s">
        <v>761</v>
      </c>
      <c r="P195" t="s">
        <v>761</v>
      </c>
      <c r="Q195">
        <v>1</v>
      </c>
      <c r="X195">
        <v>2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 t="s">
        <v>3</v>
      </c>
      <c r="AG195">
        <v>2</v>
      </c>
      <c r="AH195">
        <v>3</v>
      </c>
      <c r="AI195">
        <v>-1</v>
      </c>
      <c r="AJ195" t="s">
        <v>3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0</v>
      </c>
      <c r="AR195">
        <v>0</v>
      </c>
    </row>
    <row r="196" spans="1:44" x14ac:dyDescent="0.25">
      <c r="A196">
        <f>ROW(Source!A169)</f>
        <v>169</v>
      </c>
      <c r="B196">
        <v>75605604</v>
      </c>
      <c r="C196">
        <v>75605580</v>
      </c>
      <c r="D196">
        <v>74182299</v>
      </c>
      <c r="E196">
        <v>118</v>
      </c>
      <c r="F196">
        <v>1</v>
      </c>
      <c r="G196">
        <v>1</v>
      </c>
      <c r="H196">
        <v>1</v>
      </c>
      <c r="I196" t="s">
        <v>701</v>
      </c>
      <c r="J196" t="s">
        <v>3</v>
      </c>
      <c r="K196" t="s">
        <v>702</v>
      </c>
      <c r="L196">
        <v>1191</v>
      </c>
      <c r="N196">
        <v>1013</v>
      </c>
      <c r="O196" t="s">
        <v>501</v>
      </c>
      <c r="P196" t="s">
        <v>501</v>
      </c>
      <c r="Q196">
        <v>1</v>
      </c>
      <c r="X196">
        <v>9</v>
      </c>
      <c r="Y196">
        <v>0</v>
      </c>
      <c r="Z196">
        <v>0</v>
      </c>
      <c r="AA196">
        <v>0</v>
      </c>
      <c r="AB196">
        <v>389.99</v>
      </c>
      <c r="AC196">
        <v>0</v>
      </c>
      <c r="AD196">
        <v>1</v>
      </c>
      <c r="AE196">
        <v>1</v>
      </c>
      <c r="AF196" t="s">
        <v>27</v>
      </c>
      <c r="AG196">
        <v>10.35</v>
      </c>
      <c r="AH196">
        <v>2</v>
      </c>
      <c r="AI196">
        <v>75605604</v>
      </c>
      <c r="AJ196">
        <v>187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0</v>
      </c>
      <c r="AR196">
        <v>0</v>
      </c>
    </row>
    <row r="197" spans="1:44" x14ac:dyDescent="0.25">
      <c r="A197">
        <f>ROW(Source!A169)</f>
        <v>169</v>
      </c>
      <c r="B197">
        <v>75605605</v>
      </c>
      <c r="C197">
        <v>75605580</v>
      </c>
      <c r="D197">
        <v>74310021</v>
      </c>
      <c r="E197">
        <v>1</v>
      </c>
      <c r="F197">
        <v>1</v>
      </c>
      <c r="G197">
        <v>1</v>
      </c>
      <c r="H197">
        <v>2</v>
      </c>
      <c r="I197" t="s">
        <v>597</v>
      </c>
      <c r="J197" t="s">
        <v>598</v>
      </c>
      <c r="K197" t="s">
        <v>599</v>
      </c>
      <c r="L197">
        <v>1368</v>
      </c>
      <c r="N197">
        <v>1011</v>
      </c>
      <c r="O197" t="s">
        <v>509</v>
      </c>
      <c r="P197" t="s">
        <v>509</v>
      </c>
      <c r="Q197">
        <v>1</v>
      </c>
      <c r="X197">
        <v>0.43</v>
      </c>
      <c r="Y197">
        <v>0</v>
      </c>
      <c r="Z197">
        <v>41.5</v>
      </c>
      <c r="AA197">
        <v>0</v>
      </c>
      <c r="AB197">
        <v>0</v>
      </c>
      <c r="AC197">
        <v>0</v>
      </c>
      <c r="AD197">
        <v>1</v>
      </c>
      <c r="AE197">
        <v>0</v>
      </c>
      <c r="AF197" t="s">
        <v>27</v>
      </c>
      <c r="AG197">
        <v>0.49449999999999994</v>
      </c>
      <c r="AH197">
        <v>2</v>
      </c>
      <c r="AI197">
        <v>75605605</v>
      </c>
      <c r="AJ197">
        <v>188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0</v>
      </c>
      <c r="AR197">
        <v>0</v>
      </c>
    </row>
    <row r="198" spans="1:44" x14ac:dyDescent="0.25">
      <c r="A198">
        <f>ROW(Source!A169)</f>
        <v>169</v>
      </c>
      <c r="B198">
        <v>75605606</v>
      </c>
      <c r="C198">
        <v>75605580</v>
      </c>
      <c r="D198">
        <v>74257065</v>
      </c>
      <c r="E198">
        <v>1</v>
      </c>
      <c r="F198">
        <v>1</v>
      </c>
      <c r="G198">
        <v>1</v>
      </c>
      <c r="H198">
        <v>3</v>
      </c>
      <c r="I198" t="s">
        <v>581</v>
      </c>
      <c r="J198" t="s">
        <v>582</v>
      </c>
      <c r="K198" t="s">
        <v>583</v>
      </c>
      <c r="L198">
        <v>1339</v>
      </c>
      <c r="N198">
        <v>1007</v>
      </c>
      <c r="O198" t="s">
        <v>205</v>
      </c>
      <c r="P198" t="s">
        <v>205</v>
      </c>
      <c r="Q198">
        <v>1</v>
      </c>
      <c r="X198">
        <v>0.88</v>
      </c>
      <c r="Y198">
        <v>114.64</v>
      </c>
      <c r="Z198">
        <v>0</v>
      </c>
      <c r="AA198">
        <v>0</v>
      </c>
      <c r="AB198">
        <v>0</v>
      </c>
      <c r="AC198">
        <v>0</v>
      </c>
      <c r="AD198">
        <v>1</v>
      </c>
      <c r="AE198">
        <v>0</v>
      </c>
      <c r="AF198" t="s">
        <v>3</v>
      </c>
      <c r="AG198">
        <v>0.88</v>
      </c>
      <c r="AH198">
        <v>2</v>
      </c>
      <c r="AI198">
        <v>75605606</v>
      </c>
      <c r="AJ198">
        <v>189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0</v>
      </c>
      <c r="AR198">
        <v>0</v>
      </c>
    </row>
    <row r="199" spans="1:44" x14ac:dyDescent="0.25">
      <c r="A199">
        <f>ROW(Source!A169)</f>
        <v>169</v>
      </c>
      <c r="B199">
        <v>75605607</v>
      </c>
      <c r="C199">
        <v>75605580</v>
      </c>
      <c r="D199">
        <v>74257069</v>
      </c>
      <c r="E199">
        <v>1</v>
      </c>
      <c r="F199">
        <v>1</v>
      </c>
      <c r="G199">
        <v>1</v>
      </c>
      <c r="H199">
        <v>3</v>
      </c>
      <c r="I199" t="s">
        <v>584</v>
      </c>
      <c r="J199" t="s">
        <v>585</v>
      </c>
      <c r="K199" t="s">
        <v>586</v>
      </c>
      <c r="L199">
        <v>1346</v>
      </c>
      <c r="N199">
        <v>1009</v>
      </c>
      <c r="O199" t="s">
        <v>240</v>
      </c>
      <c r="P199" t="s">
        <v>240</v>
      </c>
      <c r="Q199">
        <v>1</v>
      </c>
      <c r="X199">
        <v>0.25</v>
      </c>
      <c r="Y199">
        <v>41.38</v>
      </c>
      <c r="Z199">
        <v>0</v>
      </c>
      <c r="AA199">
        <v>0</v>
      </c>
      <c r="AB199">
        <v>0</v>
      </c>
      <c r="AC199">
        <v>0</v>
      </c>
      <c r="AD199">
        <v>1</v>
      </c>
      <c r="AE199">
        <v>0</v>
      </c>
      <c r="AF199" t="s">
        <v>3</v>
      </c>
      <c r="AG199">
        <v>0.25</v>
      </c>
      <c r="AH199">
        <v>2</v>
      </c>
      <c r="AI199">
        <v>75605607</v>
      </c>
      <c r="AJ199">
        <v>190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0</v>
      </c>
      <c r="AR199">
        <v>0</v>
      </c>
    </row>
    <row r="200" spans="1:44" x14ac:dyDescent="0.25">
      <c r="A200">
        <f>ROW(Source!A169)</f>
        <v>169</v>
      </c>
      <c r="B200">
        <v>75605608</v>
      </c>
      <c r="C200">
        <v>75605580</v>
      </c>
      <c r="D200">
        <v>74259041</v>
      </c>
      <c r="E200">
        <v>1</v>
      </c>
      <c r="F200">
        <v>1</v>
      </c>
      <c r="G200">
        <v>1</v>
      </c>
      <c r="H200">
        <v>3</v>
      </c>
      <c r="I200" t="s">
        <v>560</v>
      </c>
      <c r="J200" t="s">
        <v>561</v>
      </c>
      <c r="K200" t="s">
        <v>562</v>
      </c>
      <c r="L200">
        <v>1383</v>
      </c>
      <c r="N200">
        <v>1013</v>
      </c>
      <c r="O200" t="s">
        <v>563</v>
      </c>
      <c r="P200" t="s">
        <v>563</v>
      </c>
      <c r="Q200">
        <v>1</v>
      </c>
      <c r="X200">
        <v>0.86399999999999999</v>
      </c>
      <c r="Y200">
        <v>9.0399999999999991</v>
      </c>
      <c r="Z200">
        <v>0</v>
      </c>
      <c r="AA200">
        <v>0</v>
      </c>
      <c r="AB200">
        <v>0</v>
      </c>
      <c r="AC200">
        <v>0</v>
      </c>
      <c r="AD200">
        <v>1</v>
      </c>
      <c r="AE200">
        <v>0</v>
      </c>
      <c r="AF200" t="s">
        <v>3</v>
      </c>
      <c r="AG200">
        <v>0.86399999999999999</v>
      </c>
      <c r="AH200">
        <v>2</v>
      </c>
      <c r="AI200">
        <v>75605608</v>
      </c>
      <c r="AJ200">
        <v>191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0</v>
      </c>
      <c r="AR200">
        <v>0</v>
      </c>
    </row>
    <row r="201" spans="1:44" x14ac:dyDescent="0.25">
      <c r="A201">
        <f>ROW(Source!A169)</f>
        <v>169</v>
      </c>
      <c r="B201">
        <v>75605609</v>
      </c>
      <c r="C201">
        <v>75605580</v>
      </c>
      <c r="D201">
        <v>74259784</v>
      </c>
      <c r="E201">
        <v>1</v>
      </c>
      <c r="F201">
        <v>1</v>
      </c>
      <c r="G201">
        <v>1</v>
      </c>
      <c r="H201">
        <v>3</v>
      </c>
      <c r="I201" t="s">
        <v>703</v>
      </c>
      <c r="J201" t="s">
        <v>704</v>
      </c>
      <c r="K201" t="s">
        <v>705</v>
      </c>
      <c r="L201">
        <v>1346</v>
      </c>
      <c r="N201">
        <v>1009</v>
      </c>
      <c r="O201" t="s">
        <v>240</v>
      </c>
      <c r="P201" t="s">
        <v>240</v>
      </c>
      <c r="Q201">
        <v>1</v>
      </c>
      <c r="X201">
        <v>9.2999999999999999E-2</v>
      </c>
      <c r="Y201">
        <v>148.86000000000001</v>
      </c>
      <c r="Z201">
        <v>0</v>
      </c>
      <c r="AA201">
        <v>0</v>
      </c>
      <c r="AB201">
        <v>0</v>
      </c>
      <c r="AC201">
        <v>0</v>
      </c>
      <c r="AD201">
        <v>1</v>
      </c>
      <c r="AE201">
        <v>0</v>
      </c>
      <c r="AF201" t="s">
        <v>3</v>
      </c>
      <c r="AG201">
        <v>9.2999999999999999E-2</v>
      </c>
      <c r="AH201">
        <v>2</v>
      </c>
      <c r="AI201">
        <v>75605609</v>
      </c>
      <c r="AJ201">
        <v>192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0</v>
      </c>
      <c r="AR201">
        <v>0</v>
      </c>
    </row>
    <row r="202" spans="1:44" x14ac:dyDescent="0.25">
      <c r="A202">
        <f>ROW(Source!A169)</f>
        <v>169</v>
      </c>
      <c r="B202">
        <v>75605610</v>
      </c>
      <c r="C202">
        <v>75605580</v>
      </c>
      <c r="D202">
        <v>74188519</v>
      </c>
      <c r="E202">
        <v>118</v>
      </c>
      <c r="F202">
        <v>1</v>
      </c>
      <c r="G202">
        <v>1</v>
      </c>
      <c r="H202">
        <v>3</v>
      </c>
      <c r="I202" t="s">
        <v>759</v>
      </c>
      <c r="J202" t="s">
        <v>3</v>
      </c>
      <c r="K202" t="s">
        <v>760</v>
      </c>
      <c r="L202">
        <v>3277935</v>
      </c>
      <c r="N202">
        <v>1013</v>
      </c>
      <c r="O202" t="s">
        <v>761</v>
      </c>
      <c r="P202" t="s">
        <v>761</v>
      </c>
      <c r="Q202">
        <v>1</v>
      </c>
      <c r="X202">
        <v>2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 t="s">
        <v>3</v>
      </c>
      <c r="AG202">
        <v>2</v>
      </c>
      <c r="AH202">
        <v>3</v>
      </c>
      <c r="AI202">
        <v>-1</v>
      </c>
      <c r="AJ202" t="s">
        <v>3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</row>
    <row r="203" spans="1:44" x14ac:dyDescent="0.25">
      <c r="A203">
        <f>ROW(Source!A171)</f>
        <v>171</v>
      </c>
      <c r="B203">
        <v>75605749</v>
      </c>
      <c r="C203">
        <v>75605733</v>
      </c>
      <c r="D203">
        <v>74182419</v>
      </c>
      <c r="E203">
        <v>118</v>
      </c>
      <c r="F203">
        <v>1</v>
      </c>
      <c r="G203">
        <v>1</v>
      </c>
      <c r="H203">
        <v>1</v>
      </c>
      <c r="I203" t="s">
        <v>706</v>
      </c>
      <c r="J203" t="s">
        <v>3</v>
      </c>
      <c r="K203" t="s">
        <v>707</v>
      </c>
      <c r="L203">
        <v>1369</v>
      </c>
      <c r="N203">
        <v>1013</v>
      </c>
      <c r="O203" t="s">
        <v>550</v>
      </c>
      <c r="P203" t="s">
        <v>550</v>
      </c>
      <c r="Q203">
        <v>1</v>
      </c>
      <c r="X203">
        <v>0.81</v>
      </c>
      <c r="Y203">
        <v>0</v>
      </c>
      <c r="Z203">
        <v>0</v>
      </c>
      <c r="AA203">
        <v>0</v>
      </c>
      <c r="AB203">
        <v>299.36</v>
      </c>
      <c r="AC203">
        <v>0</v>
      </c>
      <c r="AD203">
        <v>1</v>
      </c>
      <c r="AE203">
        <v>1</v>
      </c>
      <c r="AF203" t="s">
        <v>27</v>
      </c>
      <c r="AG203">
        <v>0.93149999999999999</v>
      </c>
      <c r="AH203">
        <v>2</v>
      </c>
      <c r="AI203">
        <v>75605734</v>
      </c>
      <c r="AJ203">
        <v>193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</row>
    <row r="204" spans="1:44" x14ac:dyDescent="0.25">
      <c r="A204">
        <f>ROW(Source!A171)</f>
        <v>171</v>
      </c>
      <c r="B204">
        <v>75605750</v>
      </c>
      <c r="C204">
        <v>75605733</v>
      </c>
      <c r="D204">
        <v>74182421</v>
      </c>
      <c r="E204">
        <v>118</v>
      </c>
      <c r="F204">
        <v>1</v>
      </c>
      <c r="G204">
        <v>1</v>
      </c>
      <c r="H204">
        <v>1</v>
      </c>
      <c r="I204" t="s">
        <v>551</v>
      </c>
      <c r="J204" t="s">
        <v>3</v>
      </c>
      <c r="K204" t="s">
        <v>552</v>
      </c>
      <c r="L204">
        <v>1369</v>
      </c>
      <c r="N204">
        <v>1013</v>
      </c>
      <c r="O204" t="s">
        <v>550</v>
      </c>
      <c r="P204" t="s">
        <v>550</v>
      </c>
      <c r="Q204">
        <v>1</v>
      </c>
      <c r="X204">
        <v>3.91</v>
      </c>
      <c r="Y204">
        <v>0</v>
      </c>
      <c r="Z204">
        <v>0</v>
      </c>
      <c r="AA204">
        <v>0</v>
      </c>
      <c r="AB204">
        <v>326.82</v>
      </c>
      <c r="AC204">
        <v>0</v>
      </c>
      <c r="AD204">
        <v>1</v>
      </c>
      <c r="AE204">
        <v>1</v>
      </c>
      <c r="AF204" t="s">
        <v>27</v>
      </c>
      <c r="AG204">
        <v>4.4965000000000002</v>
      </c>
      <c r="AH204">
        <v>2</v>
      </c>
      <c r="AI204">
        <v>75605735</v>
      </c>
      <c r="AJ204">
        <v>194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0</v>
      </c>
      <c r="AR204">
        <v>0</v>
      </c>
    </row>
    <row r="205" spans="1:44" x14ac:dyDescent="0.25">
      <c r="A205">
        <f>ROW(Source!A171)</f>
        <v>171</v>
      </c>
      <c r="B205">
        <v>75605751</v>
      </c>
      <c r="C205">
        <v>75605733</v>
      </c>
      <c r="D205">
        <v>74182423</v>
      </c>
      <c r="E205">
        <v>118</v>
      </c>
      <c r="F205">
        <v>1</v>
      </c>
      <c r="G205">
        <v>1</v>
      </c>
      <c r="H205">
        <v>1</v>
      </c>
      <c r="I205" t="s">
        <v>553</v>
      </c>
      <c r="J205" t="s">
        <v>3</v>
      </c>
      <c r="K205" t="s">
        <v>554</v>
      </c>
      <c r="L205">
        <v>1369</v>
      </c>
      <c r="N205">
        <v>1013</v>
      </c>
      <c r="O205" t="s">
        <v>550</v>
      </c>
      <c r="P205" t="s">
        <v>550</v>
      </c>
      <c r="Q205">
        <v>1</v>
      </c>
      <c r="X205">
        <v>16.48</v>
      </c>
      <c r="Y205">
        <v>0</v>
      </c>
      <c r="Z205">
        <v>0</v>
      </c>
      <c r="AA205">
        <v>0</v>
      </c>
      <c r="AB205">
        <v>368.02</v>
      </c>
      <c r="AC205">
        <v>0</v>
      </c>
      <c r="AD205">
        <v>1</v>
      </c>
      <c r="AE205">
        <v>1</v>
      </c>
      <c r="AF205" t="s">
        <v>27</v>
      </c>
      <c r="AG205">
        <v>18.951999999999998</v>
      </c>
      <c r="AH205">
        <v>2</v>
      </c>
      <c r="AI205">
        <v>75605736</v>
      </c>
      <c r="AJ205">
        <v>195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0</v>
      </c>
      <c r="AR205">
        <v>0</v>
      </c>
    </row>
    <row r="206" spans="1:44" x14ac:dyDescent="0.25">
      <c r="A206">
        <f>ROW(Source!A171)</f>
        <v>171</v>
      </c>
      <c r="B206">
        <v>75605752</v>
      </c>
      <c r="C206">
        <v>75605733</v>
      </c>
      <c r="D206">
        <v>74182425</v>
      </c>
      <c r="E206">
        <v>118</v>
      </c>
      <c r="F206">
        <v>1</v>
      </c>
      <c r="G206">
        <v>1</v>
      </c>
      <c r="H206">
        <v>1</v>
      </c>
      <c r="I206" t="s">
        <v>555</v>
      </c>
      <c r="J206" t="s">
        <v>3</v>
      </c>
      <c r="K206" t="s">
        <v>556</v>
      </c>
      <c r="L206">
        <v>1369</v>
      </c>
      <c r="N206">
        <v>1013</v>
      </c>
      <c r="O206" t="s">
        <v>550</v>
      </c>
      <c r="P206" t="s">
        <v>550</v>
      </c>
      <c r="Q206">
        <v>1</v>
      </c>
      <c r="X206">
        <v>7.83</v>
      </c>
      <c r="Y206">
        <v>0</v>
      </c>
      <c r="Z206">
        <v>0</v>
      </c>
      <c r="AA206">
        <v>0</v>
      </c>
      <c r="AB206">
        <v>422.95</v>
      </c>
      <c r="AC206">
        <v>0</v>
      </c>
      <c r="AD206">
        <v>1</v>
      </c>
      <c r="AE206">
        <v>1</v>
      </c>
      <c r="AF206" t="s">
        <v>27</v>
      </c>
      <c r="AG206">
        <v>9.0045000000000002</v>
      </c>
      <c r="AH206">
        <v>2</v>
      </c>
      <c r="AI206">
        <v>75605737</v>
      </c>
      <c r="AJ206">
        <v>196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0</v>
      </c>
      <c r="AR206">
        <v>0</v>
      </c>
    </row>
    <row r="207" spans="1:44" x14ac:dyDescent="0.25">
      <c r="A207">
        <f>ROW(Source!A171)</f>
        <v>171</v>
      </c>
      <c r="B207">
        <v>75605753</v>
      </c>
      <c r="C207">
        <v>75605733</v>
      </c>
      <c r="D207">
        <v>37064876</v>
      </c>
      <c r="E207">
        <v>118</v>
      </c>
      <c r="F207">
        <v>1</v>
      </c>
      <c r="G207">
        <v>1</v>
      </c>
      <c r="H207">
        <v>1</v>
      </c>
      <c r="I207" t="s">
        <v>504</v>
      </c>
      <c r="J207" t="s">
        <v>3</v>
      </c>
      <c r="K207" t="s">
        <v>505</v>
      </c>
      <c r="L207">
        <v>1191</v>
      </c>
      <c r="N207">
        <v>1013</v>
      </c>
      <c r="O207" t="s">
        <v>501</v>
      </c>
      <c r="P207" t="s">
        <v>501</v>
      </c>
      <c r="Q207">
        <v>1</v>
      </c>
      <c r="X207">
        <v>0.35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1</v>
      </c>
      <c r="AE207">
        <v>2</v>
      </c>
      <c r="AF207" t="s">
        <v>27</v>
      </c>
      <c r="AG207">
        <v>0.40249999999999997</v>
      </c>
      <c r="AH207">
        <v>2</v>
      </c>
      <c r="AI207">
        <v>75605738</v>
      </c>
      <c r="AJ207">
        <v>197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0</v>
      </c>
      <c r="AR207">
        <v>0</v>
      </c>
    </row>
    <row r="208" spans="1:44" x14ac:dyDescent="0.25">
      <c r="A208">
        <f>ROW(Source!A171)</f>
        <v>171</v>
      </c>
      <c r="B208">
        <v>75605754</v>
      </c>
      <c r="C208">
        <v>75605733</v>
      </c>
      <c r="D208">
        <v>74309824</v>
      </c>
      <c r="E208">
        <v>1</v>
      </c>
      <c r="F208">
        <v>1</v>
      </c>
      <c r="G208">
        <v>1</v>
      </c>
      <c r="H208">
        <v>2</v>
      </c>
      <c r="I208" t="s">
        <v>527</v>
      </c>
      <c r="J208" t="s">
        <v>528</v>
      </c>
      <c r="K208" t="s">
        <v>529</v>
      </c>
      <c r="L208">
        <v>1368</v>
      </c>
      <c r="N208">
        <v>1011</v>
      </c>
      <c r="O208" t="s">
        <v>509</v>
      </c>
      <c r="P208" t="s">
        <v>509</v>
      </c>
      <c r="Q208">
        <v>1</v>
      </c>
      <c r="X208">
        <v>0.35</v>
      </c>
      <c r="Y208">
        <v>0</v>
      </c>
      <c r="Z208">
        <v>551.45000000000005</v>
      </c>
      <c r="AA208">
        <v>368.02</v>
      </c>
      <c r="AB208">
        <v>0</v>
      </c>
      <c r="AC208">
        <v>0</v>
      </c>
      <c r="AD208">
        <v>1</v>
      </c>
      <c r="AE208">
        <v>0</v>
      </c>
      <c r="AF208" t="s">
        <v>27</v>
      </c>
      <c r="AG208">
        <v>0.40249999999999997</v>
      </c>
      <c r="AH208">
        <v>2</v>
      </c>
      <c r="AI208">
        <v>75605739</v>
      </c>
      <c r="AJ208">
        <v>198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0</v>
      </c>
      <c r="AR208">
        <v>0</v>
      </c>
    </row>
    <row r="209" spans="1:44" x14ac:dyDescent="0.25">
      <c r="A209">
        <f>ROW(Source!A171)</f>
        <v>171</v>
      </c>
      <c r="B209">
        <v>75605755</v>
      </c>
      <c r="C209">
        <v>75605733</v>
      </c>
      <c r="D209">
        <v>74309983</v>
      </c>
      <c r="E209">
        <v>1</v>
      </c>
      <c r="F209">
        <v>1</v>
      </c>
      <c r="G209">
        <v>1</v>
      </c>
      <c r="H209">
        <v>2</v>
      </c>
      <c r="I209" t="s">
        <v>578</v>
      </c>
      <c r="J209" t="s">
        <v>579</v>
      </c>
      <c r="K209" t="s">
        <v>580</v>
      </c>
      <c r="L209">
        <v>1368</v>
      </c>
      <c r="N209">
        <v>1011</v>
      </c>
      <c r="O209" t="s">
        <v>509</v>
      </c>
      <c r="P209" t="s">
        <v>509</v>
      </c>
      <c r="Q209">
        <v>1</v>
      </c>
      <c r="X209">
        <v>1.8</v>
      </c>
      <c r="Y209">
        <v>0</v>
      </c>
      <c r="Z209">
        <v>4.3499999999999996</v>
      </c>
      <c r="AA209">
        <v>0</v>
      </c>
      <c r="AB209">
        <v>0</v>
      </c>
      <c r="AC209">
        <v>0</v>
      </c>
      <c r="AD209">
        <v>1</v>
      </c>
      <c r="AE209">
        <v>0</v>
      </c>
      <c r="AF209" t="s">
        <v>27</v>
      </c>
      <c r="AG209">
        <v>2.0699999999999998</v>
      </c>
      <c r="AH209">
        <v>2</v>
      </c>
      <c r="AI209">
        <v>75605740</v>
      </c>
      <c r="AJ209">
        <v>199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0</v>
      </c>
      <c r="AR209">
        <v>0</v>
      </c>
    </row>
    <row r="210" spans="1:44" x14ac:dyDescent="0.25">
      <c r="A210">
        <f>ROW(Source!A171)</f>
        <v>171</v>
      </c>
      <c r="B210">
        <v>75605756</v>
      </c>
      <c r="C210">
        <v>75605733</v>
      </c>
      <c r="D210">
        <v>74310021</v>
      </c>
      <c r="E210">
        <v>1</v>
      </c>
      <c r="F210">
        <v>1</v>
      </c>
      <c r="G210">
        <v>1</v>
      </c>
      <c r="H210">
        <v>2</v>
      </c>
      <c r="I210" t="s">
        <v>597</v>
      </c>
      <c r="J210" t="s">
        <v>598</v>
      </c>
      <c r="K210" t="s">
        <v>599</v>
      </c>
      <c r="L210">
        <v>1368</v>
      </c>
      <c r="N210">
        <v>1011</v>
      </c>
      <c r="O210" t="s">
        <v>509</v>
      </c>
      <c r="P210" t="s">
        <v>509</v>
      </c>
      <c r="Q210">
        <v>1</v>
      </c>
      <c r="X210">
        <v>7</v>
      </c>
      <c r="Y210">
        <v>0</v>
      </c>
      <c r="Z210">
        <v>41.5</v>
      </c>
      <c r="AA210">
        <v>0</v>
      </c>
      <c r="AB210">
        <v>0</v>
      </c>
      <c r="AC210">
        <v>0</v>
      </c>
      <c r="AD210">
        <v>1</v>
      </c>
      <c r="AE210">
        <v>0</v>
      </c>
      <c r="AF210" t="s">
        <v>27</v>
      </c>
      <c r="AG210">
        <v>8.0499999999999989</v>
      </c>
      <c r="AH210">
        <v>2</v>
      </c>
      <c r="AI210">
        <v>75605741</v>
      </c>
      <c r="AJ210">
        <v>200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0</v>
      </c>
      <c r="AR210">
        <v>0</v>
      </c>
    </row>
    <row r="211" spans="1:44" x14ac:dyDescent="0.25">
      <c r="A211">
        <f>ROW(Source!A171)</f>
        <v>171</v>
      </c>
      <c r="B211">
        <v>75605757</v>
      </c>
      <c r="C211">
        <v>75605733</v>
      </c>
      <c r="D211">
        <v>74257049</v>
      </c>
      <c r="E211">
        <v>1</v>
      </c>
      <c r="F211">
        <v>1</v>
      </c>
      <c r="G211">
        <v>1</v>
      </c>
      <c r="H211">
        <v>3</v>
      </c>
      <c r="I211" t="s">
        <v>708</v>
      </c>
      <c r="J211" t="s">
        <v>709</v>
      </c>
      <c r="K211" t="s">
        <v>710</v>
      </c>
      <c r="L211">
        <v>1339</v>
      </c>
      <c r="N211">
        <v>1007</v>
      </c>
      <c r="O211" t="s">
        <v>205</v>
      </c>
      <c r="P211" t="s">
        <v>205</v>
      </c>
      <c r="Q211">
        <v>1</v>
      </c>
      <c r="X211">
        <v>5.7000000000000002E-2</v>
      </c>
      <c r="Y211">
        <v>340.41</v>
      </c>
      <c r="Z211">
        <v>0</v>
      </c>
      <c r="AA211">
        <v>0</v>
      </c>
      <c r="AB211">
        <v>0</v>
      </c>
      <c r="AC211">
        <v>0</v>
      </c>
      <c r="AD211">
        <v>1</v>
      </c>
      <c r="AE211">
        <v>0</v>
      </c>
      <c r="AF211" t="s">
        <v>3</v>
      </c>
      <c r="AG211">
        <v>5.7000000000000002E-2</v>
      </c>
      <c r="AH211">
        <v>2</v>
      </c>
      <c r="AI211">
        <v>75605742</v>
      </c>
      <c r="AJ211">
        <v>201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0</v>
      </c>
      <c r="AQ211">
        <v>0</v>
      </c>
      <c r="AR211">
        <v>0</v>
      </c>
    </row>
    <row r="212" spans="1:44" x14ac:dyDescent="0.25">
      <c r="A212">
        <f>ROW(Source!A171)</f>
        <v>171</v>
      </c>
      <c r="B212">
        <v>75605758</v>
      </c>
      <c r="C212">
        <v>75605733</v>
      </c>
      <c r="D212">
        <v>74257065</v>
      </c>
      <c r="E212">
        <v>1</v>
      </c>
      <c r="F212">
        <v>1</v>
      </c>
      <c r="G212">
        <v>1</v>
      </c>
      <c r="H212">
        <v>3</v>
      </c>
      <c r="I212" t="s">
        <v>581</v>
      </c>
      <c r="J212" t="s">
        <v>582</v>
      </c>
      <c r="K212" t="s">
        <v>583</v>
      </c>
      <c r="L212">
        <v>1339</v>
      </c>
      <c r="N212">
        <v>1007</v>
      </c>
      <c r="O212" t="s">
        <v>205</v>
      </c>
      <c r="P212" t="s">
        <v>205</v>
      </c>
      <c r="Q212">
        <v>1</v>
      </c>
      <c r="X212">
        <v>0.26</v>
      </c>
      <c r="Y212">
        <v>114.64</v>
      </c>
      <c r="Z212">
        <v>0</v>
      </c>
      <c r="AA212">
        <v>0</v>
      </c>
      <c r="AB212">
        <v>0</v>
      </c>
      <c r="AC212">
        <v>0</v>
      </c>
      <c r="AD212">
        <v>1</v>
      </c>
      <c r="AE212">
        <v>0</v>
      </c>
      <c r="AF212" t="s">
        <v>3</v>
      </c>
      <c r="AG212">
        <v>0.26</v>
      </c>
      <c r="AH212">
        <v>2</v>
      </c>
      <c r="AI212">
        <v>75605743</v>
      </c>
      <c r="AJ212">
        <v>202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0</v>
      </c>
      <c r="AR212">
        <v>0</v>
      </c>
    </row>
    <row r="213" spans="1:44" x14ac:dyDescent="0.25">
      <c r="A213">
        <f>ROW(Source!A171)</f>
        <v>171</v>
      </c>
      <c r="B213">
        <v>75605759</v>
      </c>
      <c r="C213">
        <v>75605733</v>
      </c>
      <c r="D213">
        <v>74259041</v>
      </c>
      <c r="E213">
        <v>1</v>
      </c>
      <c r="F213">
        <v>1</v>
      </c>
      <c r="G213">
        <v>1</v>
      </c>
      <c r="H213">
        <v>3</v>
      </c>
      <c r="I213" t="s">
        <v>560</v>
      </c>
      <c r="J213" t="s">
        <v>561</v>
      </c>
      <c r="K213" t="s">
        <v>562</v>
      </c>
      <c r="L213">
        <v>1383</v>
      </c>
      <c r="N213">
        <v>1013</v>
      </c>
      <c r="O213" t="s">
        <v>563</v>
      </c>
      <c r="P213" t="s">
        <v>563</v>
      </c>
      <c r="Q213">
        <v>1</v>
      </c>
      <c r="X213">
        <v>5.21</v>
      </c>
      <c r="Y213">
        <v>9.0399999999999991</v>
      </c>
      <c r="Z213">
        <v>0</v>
      </c>
      <c r="AA213">
        <v>0</v>
      </c>
      <c r="AB213">
        <v>0</v>
      </c>
      <c r="AC213">
        <v>0</v>
      </c>
      <c r="AD213">
        <v>1</v>
      </c>
      <c r="AE213">
        <v>0</v>
      </c>
      <c r="AF213" t="s">
        <v>3</v>
      </c>
      <c r="AG213">
        <v>5.21</v>
      </c>
      <c r="AH213">
        <v>2</v>
      </c>
      <c r="AI213">
        <v>75605744</v>
      </c>
      <c r="AJ213">
        <v>203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0</v>
      </c>
      <c r="AR213">
        <v>0</v>
      </c>
    </row>
    <row r="214" spans="1:44" x14ac:dyDescent="0.25">
      <c r="A214">
        <f>ROW(Source!A171)</f>
        <v>171</v>
      </c>
      <c r="B214">
        <v>75605760</v>
      </c>
      <c r="C214">
        <v>75605733</v>
      </c>
      <c r="D214">
        <v>74259783</v>
      </c>
      <c r="E214">
        <v>1</v>
      </c>
      <c r="F214">
        <v>1</v>
      </c>
      <c r="G214">
        <v>1</v>
      </c>
      <c r="H214">
        <v>3</v>
      </c>
      <c r="I214" t="s">
        <v>603</v>
      </c>
      <c r="J214" t="s">
        <v>604</v>
      </c>
      <c r="K214" t="s">
        <v>605</v>
      </c>
      <c r="L214">
        <v>1346</v>
      </c>
      <c r="N214">
        <v>1009</v>
      </c>
      <c r="O214" t="s">
        <v>240</v>
      </c>
      <c r="P214" t="s">
        <v>240</v>
      </c>
      <c r="Q214">
        <v>1</v>
      </c>
      <c r="X214">
        <v>1.22</v>
      </c>
      <c r="Y214">
        <v>155.63</v>
      </c>
      <c r="Z214">
        <v>0</v>
      </c>
      <c r="AA214">
        <v>0</v>
      </c>
      <c r="AB214">
        <v>0</v>
      </c>
      <c r="AC214">
        <v>0</v>
      </c>
      <c r="AD214">
        <v>1</v>
      </c>
      <c r="AE214">
        <v>0</v>
      </c>
      <c r="AF214" t="s">
        <v>3</v>
      </c>
      <c r="AG214">
        <v>1.22</v>
      </c>
      <c r="AH214">
        <v>2</v>
      </c>
      <c r="AI214">
        <v>75605745</v>
      </c>
      <c r="AJ214">
        <v>204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0</v>
      </c>
      <c r="AR214">
        <v>0</v>
      </c>
    </row>
    <row r="215" spans="1:44" x14ac:dyDescent="0.25">
      <c r="A215">
        <f>ROW(Source!A171)</f>
        <v>171</v>
      </c>
      <c r="B215">
        <v>75605761</v>
      </c>
      <c r="C215">
        <v>75605733</v>
      </c>
      <c r="D215">
        <v>74261036</v>
      </c>
      <c r="E215">
        <v>1</v>
      </c>
      <c r="F215">
        <v>1</v>
      </c>
      <c r="G215">
        <v>1</v>
      </c>
      <c r="H215">
        <v>3</v>
      </c>
      <c r="I215" t="s">
        <v>711</v>
      </c>
      <c r="J215" t="s">
        <v>712</v>
      </c>
      <c r="K215" t="s">
        <v>713</v>
      </c>
      <c r="L215">
        <v>1371</v>
      </c>
      <c r="N215">
        <v>1013</v>
      </c>
      <c r="O215" t="s">
        <v>222</v>
      </c>
      <c r="P215" t="s">
        <v>222</v>
      </c>
      <c r="Q215">
        <v>1</v>
      </c>
      <c r="X215">
        <v>0.15</v>
      </c>
      <c r="Y215">
        <v>104.63</v>
      </c>
      <c r="Z215">
        <v>0</v>
      </c>
      <c r="AA215">
        <v>0</v>
      </c>
      <c r="AB215">
        <v>0</v>
      </c>
      <c r="AC215">
        <v>0</v>
      </c>
      <c r="AD215">
        <v>1</v>
      </c>
      <c r="AE215">
        <v>0</v>
      </c>
      <c r="AF215" t="s">
        <v>3</v>
      </c>
      <c r="AG215">
        <v>0.15</v>
      </c>
      <c r="AH215">
        <v>2</v>
      </c>
      <c r="AI215">
        <v>75605746</v>
      </c>
      <c r="AJ215">
        <v>205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</row>
    <row r="216" spans="1:44" x14ac:dyDescent="0.25">
      <c r="A216">
        <f>ROW(Source!A171)</f>
        <v>171</v>
      </c>
      <c r="B216">
        <v>75605762</v>
      </c>
      <c r="C216">
        <v>75605733</v>
      </c>
      <c r="D216">
        <v>74186793</v>
      </c>
      <c r="E216">
        <v>118</v>
      </c>
      <c r="F216">
        <v>1</v>
      </c>
      <c r="G216">
        <v>1</v>
      </c>
      <c r="H216">
        <v>3</v>
      </c>
      <c r="I216" t="s">
        <v>762</v>
      </c>
      <c r="J216" t="s">
        <v>3</v>
      </c>
      <c r="K216" t="s">
        <v>763</v>
      </c>
      <c r="L216">
        <v>1377</v>
      </c>
      <c r="N216">
        <v>1013</v>
      </c>
      <c r="O216" t="s">
        <v>749</v>
      </c>
      <c r="P216" t="s">
        <v>749</v>
      </c>
      <c r="Q216">
        <v>1</v>
      </c>
      <c r="X216">
        <v>10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 t="s">
        <v>3</v>
      </c>
      <c r="AG216">
        <v>10</v>
      </c>
      <c r="AH216">
        <v>3</v>
      </c>
      <c r="AI216">
        <v>-1</v>
      </c>
      <c r="AJ216" t="s">
        <v>3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0</v>
      </c>
      <c r="AR216">
        <v>0</v>
      </c>
    </row>
    <row r="217" spans="1:44" x14ac:dyDescent="0.25">
      <c r="A217">
        <f>ROW(Source!A173)</f>
        <v>173</v>
      </c>
      <c r="B217">
        <v>75618316</v>
      </c>
      <c r="C217">
        <v>75618306</v>
      </c>
      <c r="D217">
        <v>74182250</v>
      </c>
      <c r="E217">
        <v>118</v>
      </c>
      <c r="F217">
        <v>1</v>
      </c>
      <c r="G217">
        <v>1</v>
      </c>
      <c r="H217">
        <v>1</v>
      </c>
      <c r="I217" t="s">
        <v>570</v>
      </c>
      <c r="J217" t="s">
        <v>3</v>
      </c>
      <c r="K217" t="s">
        <v>571</v>
      </c>
      <c r="L217">
        <v>1191</v>
      </c>
      <c r="N217">
        <v>1013</v>
      </c>
      <c r="O217" t="s">
        <v>501</v>
      </c>
      <c r="P217" t="s">
        <v>501</v>
      </c>
      <c r="Q217">
        <v>1</v>
      </c>
      <c r="X217">
        <v>5.95</v>
      </c>
      <c r="Y217">
        <v>0</v>
      </c>
      <c r="Z217">
        <v>0</v>
      </c>
      <c r="AA217">
        <v>0</v>
      </c>
      <c r="AB217">
        <v>318.58</v>
      </c>
      <c r="AC217">
        <v>0</v>
      </c>
      <c r="AD217">
        <v>1</v>
      </c>
      <c r="AE217">
        <v>1</v>
      </c>
      <c r="AF217" t="s">
        <v>27</v>
      </c>
      <c r="AG217">
        <v>6.8424999999999994</v>
      </c>
      <c r="AH217">
        <v>2</v>
      </c>
      <c r="AI217">
        <v>75618316</v>
      </c>
      <c r="AJ217">
        <v>206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0</v>
      </c>
      <c r="AR217">
        <v>0</v>
      </c>
    </row>
    <row r="218" spans="1:44" x14ac:dyDescent="0.25">
      <c r="A218">
        <f>ROW(Source!A173)</f>
        <v>173</v>
      </c>
      <c r="B218">
        <v>75618317</v>
      </c>
      <c r="C218">
        <v>75618306</v>
      </c>
      <c r="D218">
        <v>74182464</v>
      </c>
      <c r="E218">
        <v>118</v>
      </c>
      <c r="F218">
        <v>1</v>
      </c>
      <c r="G218">
        <v>1</v>
      </c>
      <c r="H218">
        <v>1</v>
      </c>
      <c r="I218" t="s">
        <v>504</v>
      </c>
      <c r="J218" t="s">
        <v>3</v>
      </c>
      <c r="K218" t="s">
        <v>505</v>
      </c>
      <c r="L218">
        <v>1191</v>
      </c>
      <c r="N218">
        <v>1013</v>
      </c>
      <c r="O218" t="s">
        <v>501</v>
      </c>
      <c r="P218" t="s">
        <v>501</v>
      </c>
      <c r="Q218">
        <v>1</v>
      </c>
      <c r="X218">
        <v>0.36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1</v>
      </c>
      <c r="AE218">
        <v>2</v>
      </c>
      <c r="AF218" t="s">
        <v>27</v>
      </c>
      <c r="AG218">
        <v>0.41399999999999998</v>
      </c>
      <c r="AH218">
        <v>2</v>
      </c>
      <c r="AI218">
        <v>75618317</v>
      </c>
      <c r="AJ218">
        <v>207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0</v>
      </c>
      <c r="AR218">
        <v>0</v>
      </c>
    </row>
    <row r="219" spans="1:44" x14ac:dyDescent="0.25">
      <c r="A219">
        <f>ROW(Source!A173)</f>
        <v>173</v>
      </c>
      <c r="B219">
        <v>75618318</v>
      </c>
      <c r="C219">
        <v>75618306</v>
      </c>
      <c r="D219">
        <v>74308868</v>
      </c>
      <c r="E219">
        <v>1</v>
      </c>
      <c r="F219">
        <v>1</v>
      </c>
      <c r="G219">
        <v>1</v>
      </c>
      <c r="H219">
        <v>2</v>
      </c>
      <c r="I219" t="s">
        <v>714</v>
      </c>
      <c r="J219" t="s">
        <v>715</v>
      </c>
      <c r="K219" t="s">
        <v>716</v>
      </c>
      <c r="L219">
        <v>1368</v>
      </c>
      <c r="N219">
        <v>1011</v>
      </c>
      <c r="O219" t="s">
        <v>509</v>
      </c>
      <c r="P219" t="s">
        <v>509</v>
      </c>
      <c r="Q219">
        <v>1</v>
      </c>
      <c r="X219">
        <v>0.36</v>
      </c>
      <c r="Y219">
        <v>0</v>
      </c>
      <c r="Z219">
        <v>1051.72</v>
      </c>
      <c r="AA219">
        <v>494.35</v>
      </c>
      <c r="AB219">
        <v>0</v>
      </c>
      <c r="AC219">
        <v>0</v>
      </c>
      <c r="AD219">
        <v>1</v>
      </c>
      <c r="AE219">
        <v>0</v>
      </c>
      <c r="AF219" t="s">
        <v>27</v>
      </c>
      <c r="AG219">
        <v>0.41399999999999998</v>
      </c>
      <c r="AH219">
        <v>2</v>
      </c>
      <c r="AI219">
        <v>75618318</v>
      </c>
      <c r="AJ219">
        <v>208</v>
      </c>
      <c r="AK219">
        <v>0</v>
      </c>
      <c r="AL219">
        <v>0</v>
      </c>
      <c r="AM219">
        <v>0</v>
      </c>
      <c r="AN219">
        <v>0</v>
      </c>
      <c r="AO219">
        <v>0</v>
      </c>
      <c r="AP219">
        <v>0</v>
      </c>
      <c r="AQ219">
        <v>0</v>
      </c>
      <c r="AR219">
        <v>0</v>
      </c>
    </row>
    <row r="220" spans="1:44" x14ac:dyDescent="0.25">
      <c r="A220">
        <f>ROW(Source!A173)</f>
        <v>173</v>
      </c>
      <c r="B220">
        <v>75618319</v>
      </c>
      <c r="C220">
        <v>75618306</v>
      </c>
      <c r="D220">
        <v>74259029</v>
      </c>
      <c r="E220">
        <v>1</v>
      </c>
      <c r="F220">
        <v>1</v>
      </c>
      <c r="G220">
        <v>1</v>
      </c>
      <c r="H220">
        <v>3</v>
      </c>
      <c r="I220" t="s">
        <v>600</v>
      </c>
      <c r="J220" t="s">
        <v>601</v>
      </c>
      <c r="K220" t="s">
        <v>602</v>
      </c>
      <c r="L220">
        <v>1339</v>
      </c>
      <c r="N220">
        <v>1007</v>
      </c>
      <c r="O220" t="s">
        <v>205</v>
      </c>
      <c r="P220" t="s">
        <v>205</v>
      </c>
      <c r="Q220">
        <v>1</v>
      </c>
      <c r="X220">
        <v>0.46</v>
      </c>
      <c r="Y220">
        <v>35.71</v>
      </c>
      <c r="Z220">
        <v>0</v>
      </c>
      <c r="AA220">
        <v>0</v>
      </c>
      <c r="AB220">
        <v>0</v>
      </c>
      <c r="AC220">
        <v>0</v>
      </c>
      <c r="AD220">
        <v>1</v>
      </c>
      <c r="AE220">
        <v>0</v>
      </c>
      <c r="AF220" t="s">
        <v>3</v>
      </c>
      <c r="AG220">
        <v>0.46</v>
      </c>
      <c r="AH220">
        <v>2</v>
      </c>
      <c r="AI220">
        <v>75618319</v>
      </c>
      <c r="AJ220">
        <v>209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0</v>
      </c>
      <c r="AR220">
        <v>0</v>
      </c>
    </row>
    <row r="221" spans="1:44" x14ac:dyDescent="0.25">
      <c r="A221">
        <f>ROW(Source!A173)</f>
        <v>173</v>
      </c>
      <c r="B221">
        <v>75618320</v>
      </c>
      <c r="C221">
        <v>75618306</v>
      </c>
      <c r="D221">
        <v>74183767</v>
      </c>
      <c r="E221">
        <v>118</v>
      </c>
      <c r="F221">
        <v>1</v>
      </c>
      <c r="G221">
        <v>1</v>
      </c>
      <c r="H221">
        <v>3</v>
      </c>
      <c r="I221" t="s">
        <v>764</v>
      </c>
      <c r="J221" t="s">
        <v>3</v>
      </c>
      <c r="K221" t="s">
        <v>765</v>
      </c>
      <c r="L221">
        <v>1339</v>
      </c>
      <c r="N221">
        <v>1007</v>
      </c>
      <c r="O221" t="s">
        <v>205</v>
      </c>
      <c r="P221" t="s">
        <v>205</v>
      </c>
      <c r="Q221">
        <v>1</v>
      </c>
      <c r="X221">
        <v>0.221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 t="s">
        <v>3</v>
      </c>
      <c r="AG221">
        <v>0.221</v>
      </c>
      <c r="AH221">
        <v>3</v>
      </c>
      <c r="AI221">
        <v>-1</v>
      </c>
      <c r="AJ221" t="s">
        <v>3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0</v>
      </c>
      <c r="AR221">
        <v>0</v>
      </c>
    </row>
    <row r="222" spans="1:44" x14ac:dyDescent="0.25">
      <c r="A222">
        <f>ROW(Source!A173)</f>
        <v>173</v>
      </c>
      <c r="B222">
        <v>75618321</v>
      </c>
      <c r="C222">
        <v>75618306</v>
      </c>
      <c r="D222">
        <v>74184513</v>
      </c>
      <c r="E222">
        <v>118</v>
      </c>
      <c r="F222">
        <v>1</v>
      </c>
      <c r="G222">
        <v>1</v>
      </c>
      <c r="H222">
        <v>3</v>
      </c>
      <c r="I222" t="s">
        <v>766</v>
      </c>
      <c r="J222" t="s">
        <v>3</v>
      </c>
      <c r="K222" t="s">
        <v>767</v>
      </c>
      <c r="L222">
        <v>1407</v>
      </c>
      <c r="N222">
        <v>1013</v>
      </c>
      <c r="O222" t="s">
        <v>353</v>
      </c>
      <c r="P222" t="s">
        <v>353</v>
      </c>
      <c r="Q222">
        <v>1000</v>
      </c>
      <c r="X222">
        <v>0.4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 t="s">
        <v>3</v>
      </c>
      <c r="AG222">
        <v>0.4</v>
      </c>
      <c r="AH222">
        <v>3</v>
      </c>
      <c r="AI222">
        <v>-1</v>
      </c>
      <c r="AJ222" t="s">
        <v>3</v>
      </c>
      <c r="AK222">
        <v>0</v>
      </c>
      <c r="AL222">
        <v>0</v>
      </c>
      <c r="AM222">
        <v>0</v>
      </c>
      <c r="AN222">
        <v>0</v>
      </c>
      <c r="AO222">
        <v>0</v>
      </c>
      <c r="AP222">
        <v>0</v>
      </c>
      <c r="AQ222">
        <v>0</v>
      </c>
      <c r="AR222">
        <v>0</v>
      </c>
    </row>
    <row r="223" spans="1:44" x14ac:dyDescent="0.25">
      <c r="A223">
        <f>ROW(Source!A173)</f>
        <v>173</v>
      </c>
      <c r="B223">
        <v>75618322</v>
      </c>
      <c r="C223">
        <v>75618306</v>
      </c>
      <c r="D223">
        <v>74266474</v>
      </c>
      <c r="E223">
        <v>1</v>
      </c>
      <c r="F223">
        <v>1</v>
      </c>
      <c r="G223">
        <v>1</v>
      </c>
      <c r="H223">
        <v>3</v>
      </c>
      <c r="I223" t="s">
        <v>656</v>
      </c>
      <c r="J223" t="s">
        <v>657</v>
      </c>
      <c r="K223" t="s">
        <v>658</v>
      </c>
      <c r="L223">
        <v>1348</v>
      </c>
      <c r="N223">
        <v>1009</v>
      </c>
      <c r="O223" t="s">
        <v>174</v>
      </c>
      <c r="P223" t="s">
        <v>174</v>
      </c>
      <c r="Q223">
        <v>1000</v>
      </c>
      <c r="X223">
        <v>2.3E-3</v>
      </c>
      <c r="Y223">
        <v>55898.18</v>
      </c>
      <c r="Z223">
        <v>0</v>
      </c>
      <c r="AA223">
        <v>0</v>
      </c>
      <c r="AB223">
        <v>0</v>
      </c>
      <c r="AC223">
        <v>0</v>
      </c>
      <c r="AD223">
        <v>1</v>
      </c>
      <c r="AE223">
        <v>0</v>
      </c>
      <c r="AF223" t="s">
        <v>3</v>
      </c>
      <c r="AG223">
        <v>2.3E-3</v>
      </c>
      <c r="AH223">
        <v>2</v>
      </c>
      <c r="AI223">
        <v>75618322</v>
      </c>
      <c r="AJ223">
        <v>212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0</v>
      </c>
      <c r="AQ223">
        <v>0</v>
      </c>
      <c r="AR223">
        <v>0</v>
      </c>
    </row>
    <row r="224" spans="1:44" x14ac:dyDescent="0.25">
      <c r="A224">
        <f>ROW(Source!A176)</f>
        <v>176</v>
      </c>
      <c r="B224">
        <v>75618347</v>
      </c>
      <c r="C224">
        <v>75618325</v>
      </c>
      <c r="D224">
        <v>74182263</v>
      </c>
      <c r="E224">
        <v>118</v>
      </c>
      <c r="F224">
        <v>1</v>
      </c>
      <c r="G224">
        <v>1</v>
      </c>
      <c r="H224">
        <v>1</v>
      </c>
      <c r="I224" t="s">
        <v>514</v>
      </c>
      <c r="J224" t="s">
        <v>3</v>
      </c>
      <c r="K224" t="s">
        <v>515</v>
      </c>
      <c r="L224">
        <v>1191</v>
      </c>
      <c r="N224">
        <v>1013</v>
      </c>
      <c r="O224" t="s">
        <v>501</v>
      </c>
      <c r="P224" t="s">
        <v>501</v>
      </c>
      <c r="Q224">
        <v>1</v>
      </c>
      <c r="X224">
        <v>46.6</v>
      </c>
      <c r="Y224">
        <v>0</v>
      </c>
      <c r="Z224">
        <v>0</v>
      </c>
      <c r="AA224">
        <v>0</v>
      </c>
      <c r="AB224">
        <v>326.82</v>
      </c>
      <c r="AC224">
        <v>0</v>
      </c>
      <c r="AD224">
        <v>1</v>
      </c>
      <c r="AE224">
        <v>1</v>
      </c>
      <c r="AF224" t="s">
        <v>27</v>
      </c>
      <c r="AG224">
        <v>53.589999999999996</v>
      </c>
      <c r="AH224">
        <v>2</v>
      </c>
      <c r="AI224">
        <v>75618347</v>
      </c>
      <c r="AJ224">
        <v>213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0</v>
      </c>
      <c r="AQ224">
        <v>0</v>
      </c>
      <c r="AR224">
        <v>0</v>
      </c>
    </row>
    <row r="225" spans="1:44" x14ac:dyDescent="0.25">
      <c r="A225">
        <f>ROW(Source!A176)</f>
        <v>176</v>
      </c>
      <c r="B225">
        <v>75618348</v>
      </c>
      <c r="C225">
        <v>75618325</v>
      </c>
      <c r="D225">
        <v>74182464</v>
      </c>
      <c r="E225">
        <v>118</v>
      </c>
      <c r="F225">
        <v>1</v>
      </c>
      <c r="G225">
        <v>1</v>
      </c>
      <c r="H225">
        <v>1</v>
      </c>
      <c r="I225" t="s">
        <v>504</v>
      </c>
      <c r="J225" t="s">
        <v>3</v>
      </c>
      <c r="K225" t="s">
        <v>505</v>
      </c>
      <c r="L225">
        <v>1191</v>
      </c>
      <c r="N225">
        <v>1013</v>
      </c>
      <c r="O225" t="s">
        <v>501</v>
      </c>
      <c r="P225" t="s">
        <v>501</v>
      </c>
      <c r="Q225">
        <v>1</v>
      </c>
      <c r="X225">
        <v>0.31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1</v>
      </c>
      <c r="AE225">
        <v>2</v>
      </c>
      <c r="AF225" t="s">
        <v>27</v>
      </c>
      <c r="AG225">
        <v>0.35649999999999998</v>
      </c>
      <c r="AH225">
        <v>2</v>
      </c>
      <c r="AI225">
        <v>75618348</v>
      </c>
      <c r="AJ225">
        <v>214</v>
      </c>
      <c r="AK225">
        <v>0</v>
      </c>
      <c r="AL225">
        <v>0</v>
      </c>
      <c r="AM225">
        <v>0</v>
      </c>
      <c r="AN225">
        <v>0</v>
      </c>
      <c r="AO225">
        <v>0</v>
      </c>
      <c r="AP225">
        <v>0</v>
      </c>
      <c r="AQ225">
        <v>0</v>
      </c>
      <c r="AR225">
        <v>0</v>
      </c>
    </row>
    <row r="226" spans="1:44" x14ac:dyDescent="0.25">
      <c r="A226">
        <f>ROW(Source!A176)</f>
        <v>176</v>
      </c>
      <c r="B226">
        <v>75618349</v>
      </c>
      <c r="C226">
        <v>75618325</v>
      </c>
      <c r="D226">
        <v>74308922</v>
      </c>
      <c r="E226">
        <v>1</v>
      </c>
      <c r="F226">
        <v>1</v>
      </c>
      <c r="G226">
        <v>1</v>
      </c>
      <c r="H226">
        <v>2</v>
      </c>
      <c r="I226" t="s">
        <v>574</v>
      </c>
      <c r="J226" t="s">
        <v>575</v>
      </c>
      <c r="K226" t="s">
        <v>576</v>
      </c>
      <c r="L226">
        <v>1368</v>
      </c>
      <c r="N226">
        <v>1011</v>
      </c>
      <c r="O226" t="s">
        <v>509</v>
      </c>
      <c r="P226" t="s">
        <v>509</v>
      </c>
      <c r="Q226">
        <v>1</v>
      </c>
      <c r="X226">
        <v>0.12</v>
      </c>
      <c r="Y226">
        <v>0</v>
      </c>
      <c r="Z226">
        <v>1598.95</v>
      </c>
      <c r="AA226">
        <v>494.35</v>
      </c>
      <c r="AB226">
        <v>0</v>
      </c>
      <c r="AC226">
        <v>0</v>
      </c>
      <c r="AD226">
        <v>1</v>
      </c>
      <c r="AE226">
        <v>0</v>
      </c>
      <c r="AF226" t="s">
        <v>27</v>
      </c>
      <c r="AG226">
        <v>0.13799999999999998</v>
      </c>
      <c r="AH226">
        <v>2</v>
      </c>
      <c r="AI226">
        <v>75618349</v>
      </c>
      <c r="AJ226">
        <v>215</v>
      </c>
      <c r="AK226">
        <v>0</v>
      </c>
      <c r="AL226">
        <v>0</v>
      </c>
      <c r="AM226">
        <v>0</v>
      </c>
      <c r="AN226">
        <v>0</v>
      </c>
      <c r="AO226">
        <v>0</v>
      </c>
      <c r="AP226">
        <v>0</v>
      </c>
      <c r="AQ226">
        <v>0</v>
      </c>
      <c r="AR226">
        <v>0</v>
      </c>
    </row>
    <row r="227" spans="1:44" x14ac:dyDescent="0.25">
      <c r="A227">
        <f>ROW(Source!A176)</f>
        <v>176</v>
      </c>
      <c r="B227">
        <v>75618350</v>
      </c>
      <c r="C227">
        <v>75618325</v>
      </c>
      <c r="D227">
        <v>74309063</v>
      </c>
      <c r="E227">
        <v>1</v>
      </c>
      <c r="F227">
        <v>1</v>
      </c>
      <c r="G227">
        <v>1</v>
      </c>
      <c r="H227">
        <v>2</v>
      </c>
      <c r="I227" t="s">
        <v>614</v>
      </c>
      <c r="J227" t="s">
        <v>615</v>
      </c>
      <c r="K227" t="s">
        <v>616</v>
      </c>
      <c r="L227">
        <v>1368</v>
      </c>
      <c r="N227">
        <v>1011</v>
      </c>
      <c r="O227" t="s">
        <v>509</v>
      </c>
      <c r="P227" t="s">
        <v>509</v>
      </c>
      <c r="Q227">
        <v>1</v>
      </c>
      <c r="X227">
        <v>9.08</v>
      </c>
      <c r="Y227">
        <v>0</v>
      </c>
      <c r="Z227">
        <v>13.44</v>
      </c>
      <c r="AA227">
        <v>0</v>
      </c>
      <c r="AB227">
        <v>0</v>
      </c>
      <c r="AC227">
        <v>0</v>
      </c>
      <c r="AD227">
        <v>1</v>
      </c>
      <c r="AE227">
        <v>0</v>
      </c>
      <c r="AF227" t="s">
        <v>27</v>
      </c>
      <c r="AG227">
        <v>10.441999999999998</v>
      </c>
      <c r="AH227">
        <v>2</v>
      </c>
      <c r="AI227">
        <v>75618350</v>
      </c>
      <c r="AJ227">
        <v>216</v>
      </c>
      <c r="AK227">
        <v>0</v>
      </c>
      <c r="AL227">
        <v>0</v>
      </c>
      <c r="AM227">
        <v>0</v>
      </c>
      <c r="AN227">
        <v>0</v>
      </c>
      <c r="AO227">
        <v>0</v>
      </c>
      <c r="AP227">
        <v>0</v>
      </c>
      <c r="AQ227">
        <v>0</v>
      </c>
      <c r="AR227">
        <v>0</v>
      </c>
    </row>
    <row r="228" spans="1:44" x14ac:dyDescent="0.25">
      <c r="A228">
        <f>ROW(Source!A176)</f>
        <v>176</v>
      </c>
      <c r="B228">
        <v>75618351</v>
      </c>
      <c r="C228">
        <v>75618325</v>
      </c>
      <c r="D228">
        <v>74309824</v>
      </c>
      <c r="E228">
        <v>1</v>
      </c>
      <c r="F228">
        <v>1</v>
      </c>
      <c r="G228">
        <v>1</v>
      </c>
      <c r="H228">
        <v>2</v>
      </c>
      <c r="I228" t="s">
        <v>527</v>
      </c>
      <c r="J228" t="s">
        <v>528</v>
      </c>
      <c r="K228" t="s">
        <v>529</v>
      </c>
      <c r="L228">
        <v>1368</v>
      </c>
      <c r="N228">
        <v>1011</v>
      </c>
      <c r="O228" t="s">
        <v>509</v>
      </c>
      <c r="P228" t="s">
        <v>509</v>
      </c>
      <c r="Q228">
        <v>1</v>
      </c>
      <c r="X228">
        <v>0.19</v>
      </c>
      <c r="Y228">
        <v>0</v>
      </c>
      <c r="Z228">
        <v>551.45000000000005</v>
      </c>
      <c r="AA228">
        <v>368.02</v>
      </c>
      <c r="AB228">
        <v>0</v>
      </c>
      <c r="AC228">
        <v>0</v>
      </c>
      <c r="AD228">
        <v>1</v>
      </c>
      <c r="AE228">
        <v>0</v>
      </c>
      <c r="AF228" t="s">
        <v>27</v>
      </c>
      <c r="AG228">
        <v>0.21849999999999997</v>
      </c>
      <c r="AH228">
        <v>2</v>
      </c>
      <c r="AI228">
        <v>75618351</v>
      </c>
      <c r="AJ228">
        <v>217</v>
      </c>
      <c r="AK228">
        <v>0</v>
      </c>
      <c r="AL228">
        <v>0</v>
      </c>
      <c r="AM228">
        <v>0</v>
      </c>
      <c r="AN228">
        <v>0</v>
      </c>
      <c r="AO228">
        <v>0</v>
      </c>
      <c r="AP228">
        <v>0</v>
      </c>
      <c r="AQ228">
        <v>0</v>
      </c>
      <c r="AR228">
        <v>0</v>
      </c>
    </row>
    <row r="229" spans="1:44" x14ac:dyDescent="0.25">
      <c r="A229">
        <f>ROW(Source!A176)</f>
        <v>176</v>
      </c>
      <c r="B229">
        <v>75618352</v>
      </c>
      <c r="C229">
        <v>75618325</v>
      </c>
      <c r="D229">
        <v>74309983</v>
      </c>
      <c r="E229">
        <v>1</v>
      </c>
      <c r="F229">
        <v>1</v>
      </c>
      <c r="G229">
        <v>1</v>
      </c>
      <c r="H229">
        <v>2</v>
      </c>
      <c r="I229" t="s">
        <v>578</v>
      </c>
      <c r="J229" t="s">
        <v>579</v>
      </c>
      <c r="K229" t="s">
        <v>580</v>
      </c>
      <c r="L229">
        <v>1368</v>
      </c>
      <c r="N229">
        <v>1011</v>
      </c>
      <c r="O229" t="s">
        <v>509</v>
      </c>
      <c r="P229" t="s">
        <v>509</v>
      </c>
      <c r="Q229">
        <v>1</v>
      </c>
      <c r="X229">
        <v>1.86</v>
      </c>
      <c r="Y229">
        <v>0</v>
      </c>
      <c r="Z229">
        <v>4.3499999999999996</v>
      </c>
      <c r="AA229">
        <v>0</v>
      </c>
      <c r="AB229">
        <v>0</v>
      </c>
      <c r="AC229">
        <v>0</v>
      </c>
      <c r="AD229">
        <v>1</v>
      </c>
      <c r="AE229">
        <v>0</v>
      </c>
      <c r="AF229" t="s">
        <v>27</v>
      </c>
      <c r="AG229">
        <v>2.1389999999999998</v>
      </c>
      <c r="AH229">
        <v>2</v>
      </c>
      <c r="AI229">
        <v>75618352</v>
      </c>
      <c r="AJ229">
        <v>218</v>
      </c>
      <c r="AK229">
        <v>0</v>
      </c>
      <c r="AL229">
        <v>0</v>
      </c>
      <c r="AM229">
        <v>0</v>
      </c>
      <c r="AN229">
        <v>0</v>
      </c>
      <c r="AO229">
        <v>0</v>
      </c>
      <c r="AP229">
        <v>0</v>
      </c>
      <c r="AQ229">
        <v>0</v>
      </c>
      <c r="AR229">
        <v>0</v>
      </c>
    </row>
    <row r="230" spans="1:44" x14ac:dyDescent="0.25">
      <c r="A230">
        <f>ROW(Source!A176)</f>
        <v>176</v>
      </c>
      <c r="B230">
        <v>75618353</v>
      </c>
      <c r="C230">
        <v>75618325</v>
      </c>
      <c r="D230">
        <v>74310010</v>
      </c>
      <c r="E230">
        <v>1</v>
      </c>
      <c r="F230">
        <v>1</v>
      </c>
      <c r="G230">
        <v>1</v>
      </c>
      <c r="H230">
        <v>2</v>
      </c>
      <c r="I230" t="s">
        <v>617</v>
      </c>
      <c r="J230" t="s">
        <v>618</v>
      </c>
      <c r="K230" t="s">
        <v>619</v>
      </c>
      <c r="L230">
        <v>1368</v>
      </c>
      <c r="N230">
        <v>1011</v>
      </c>
      <c r="O230" t="s">
        <v>509</v>
      </c>
      <c r="P230" t="s">
        <v>509</v>
      </c>
      <c r="Q230">
        <v>1</v>
      </c>
      <c r="X230">
        <v>1.75</v>
      </c>
      <c r="Y230">
        <v>0</v>
      </c>
      <c r="Z230">
        <v>90.36</v>
      </c>
      <c r="AA230">
        <v>0</v>
      </c>
      <c r="AB230">
        <v>0</v>
      </c>
      <c r="AC230">
        <v>0</v>
      </c>
      <c r="AD230">
        <v>1</v>
      </c>
      <c r="AE230">
        <v>0</v>
      </c>
      <c r="AF230" t="s">
        <v>27</v>
      </c>
      <c r="AG230">
        <v>2.0124999999999997</v>
      </c>
      <c r="AH230">
        <v>2</v>
      </c>
      <c r="AI230">
        <v>75618353</v>
      </c>
      <c r="AJ230">
        <v>219</v>
      </c>
      <c r="AK230">
        <v>0</v>
      </c>
      <c r="AL230">
        <v>0</v>
      </c>
      <c r="AM230">
        <v>0</v>
      </c>
      <c r="AN230">
        <v>0</v>
      </c>
      <c r="AO230">
        <v>0</v>
      </c>
      <c r="AP230">
        <v>0</v>
      </c>
      <c r="AQ230">
        <v>0</v>
      </c>
      <c r="AR230">
        <v>0</v>
      </c>
    </row>
    <row r="231" spans="1:44" x14ac:dyDescent="0.25">
      <c r="A231">
        <f>ROW(Source!A176)</f>
        <v>176</v>
      </c>
      <c r="B231">
        <v>75618354</v>
      </c>
      <c r="C231">
        <v>75618325</v>
      </c>
      <c r="D231">
        <v>74257065</v>
      </c>
      <c r="E231">
        <v>1</v>
      </c>
      <c r="F231">
        <v>1</v>
      </c>
      <c r="G231">
        <v>1</v>
      </c>
      <c r="H231">
        <v>3</v>
      </c>
      <c r="I231" t="s">
        <v>581</v>
      </c>
      <c r="J231" t="s">
        <v>582</v>
      </c>
      <c r="K231" t="s">
        <v>583</v>
      </c>
      <c r="L231">
        <v>1339</v>
      </c>
      <c r="N231">
        <v>1007</v>
      </c>
      <c r="O231" t="s">
        <v>205</v>
      </c>
      <c r="P231" t="s">
        <v>205</v>
      </c>
      <c r="Q231">
        <v>1</v>
      </c>
      <c r="X231">
        <v>1.5</v>
      </c>
      <c r="Y231">
        <v>114.64</v>
      </c>
      <c r="Z231">
        <v>0</v>
      </c>
      <c r="AA231">
        <v>0</v>
      </c>
      <c r="AB231">
        <v>0</v>
      </c>
      <c r="AC231">
        <v>0</v>
      </c>
      <c r="AD231">
        <v>1</v>
      </c>
      <c r="AE231">
        <v>0</v>
      </c>
      <c r="AF231" t="s">
        <v>3</v>
      </c>
      <c r="AG231">
        <v>1.5</v>
      </c>
      <c r="AH231">
        <v>2</v>
      </c>
      <c r="AI231">
        <v>75618354</v>
      </c>
      <c r="AJ231">
        <v>220</v>
      </c>
      <c r="AK231">
        <v>0</v>
      </c>
      <c r="AL231">
        <v>0</v>
      </c>
      <c r="AM231">
        <v>0</v>
      </c>
      <c r="AN231">
        <v>0</v>
      </c>
      <c r="AO231">
        <v>0</v>
      </c>
      <c r="AP231">
        <v>0</v>
      </c>
      <c r="AQ231">
        <v>0</v>
      </c>
      <c r="AR231">
        <v>0</v>
      </c>
    </row>
    <row r="232" spans="1:44" x14ac:dyDescent="0.25">
      <c r="A232">
        <f>ROW(Source!A176)</f>
        <v>176</v>
      </c>
      <c r="B232">
        <v>75618355</v>
      </c>
      <c r="C232">
        <v>75618325</v>
      </c>
      <c r="D232">
        <v>74257069</v>
      </c>
      <c r="E232">
        <v>1</v>
      </c>
      <c r="F232">
        <v>1</v>
      </c>
      <c r="G232">
        <v>1</v>
      </c>
      <c r="H232">
        <v>3</v>
      </c>
      <c r="I232" t="s">
        <v>584</v>
      </c>
      <c r="J232" t="s">
        <v>585</v>
      </c>
      <c r="K232" t="s">
        <v>586</v>
      </c>
      <c r="L232">
        <v>1346</v>
      </c>
      <c r="N232">
        <v>1009</v>
      </c>
      <c r="O232" t="s">
        <v>240</v>
      </c>
      <c r="P232" t="s">
        <v>240</v>
      </c>
      <c r="Q232">
        <v>1</v>
      </c>
      <c r="X232">
        <v>0.45</v>
      </c>
      <c r="Y232">
        <v>41.38</v>
      </c>
      <c r="Z232">
        <v>0</v>
      </c>
      <c r="AA232">
        <v>0</v>
      </c>
      <c r="AB232">
        <v>0</v>
      </c>
      <c r="AC232">
        <v>0</v>
      </c>
      <c r="AD232">
        <v>1</v>
      </c>
      <c r="AE232">
        <v>0</v>
      </c>
      <c r="AF232" t="s">
        <v>3</v>
      </c>
      <c r="AG232">
        <v>0.45</v>
      </c>
      <c r="AH232">
        <v>2</v>
      </c>
      <c r="AI232">
        <v>75618355</v>
      </c>
      <c r="AJ232">
        <v>221</v>
      </c>
      <c r="AK232">
        <v>0</v>
      </c>
      <c r="AL232">
        <v>0</v>
      </c>
      <c r="AM232">
        <v>0</v>
      </c>
      <c r="AN232">
        <v>0</v>
      </c>
      <c r="AO232">
        <v>0</v>
      </c>
      <c r="AP232">
        <v>0</v>
      </c>
      <c r="AQ232">
        <v>0</v>
      </c>
      <c r="AR232">
        <v>0</v>
      </c>
    </row>
    <row r="233" spans="1:44" x14ac:dyDescent="0.25">
      <c r="A233">
        <f>ROW(Source!A176)</f>
        <v>176</v>
      </c>
      <c r="B233">
        <v>75618356</v>
      </c>
      <c r="C233">
        <v>75618325</v>
      </c>
      <c r="D233">
        <v>74259041</v>
      </c>
      <c r="E233">
        <v>1</v>
      </c>
      <c r="F233">
        <v>1</v>
      </c>
      <c r="G233">
        <v>1</v>
      </c>
      <c r="H233">
        <v>3</v>
      </c>
      <c r="I233" t="s">
        <v>560</v>
      </c>
      <c r="J233" t="s">
        <v>561</v>
      </c>
      <c r="K233" t="s">
        <v>562</v>
      </c>
      <c r="L233">
        <v>1383</v>
      </c>
      <c r="N233">
        <v>1013</v>
      </c>
      <c r="O233" t="s">
        <v>563</v>
      </c>
      <c r="P233" t="s">
        <v>563</v>
      </c>
      <c r="Q233">
        <v>1</v>
      </c>
      <c r="X233">
        <v>1.587</v>
      </c>
      <c r="Y233">
        <v>9.0399999999999991</v>
      </c>
      <c r="Z233">
        <v>0</v>
      </c>
      <c r="AA233">
        <v>0</v>
      </c>
      <c r="AB233">
        <v>0</v>
      </c>
      <c r="AC233">
        <v>0</v>
      </c>
      <c r="AD233">
        <v>1</v>
      </c>
      <c r="AE233">
        <v>0</v>
      </c>
      <c r="AF233" t="s">
        <v>3</v>
      </c>
      <c r="AG233">
        <v>1.587</v>
      </c>
      <c r="AH233">
        <v>2</v>
      </c>
      <c r="AI233">
        <v>75618356</v>
      </c>
      <c r="AJ233">
        <v>222</v>
      </c>
      <c r="AK233">
        <v>0</v>
      </c>
      <c r="AL233">
        <v>0</v>
      </c>
      <c r="AM233">
        <v>0</v>
      </c>
      <c r="AN233">
        <v>0</v>
      </c>
      <c r="AO233">
        <v>0</v>
      </c>
      <c r="AP233">
        <v>0</v>
      </c>
      <c r="AQ233">
        <v>0</v>
      </c>
      <c r="AR233">
        <v>0</v>
      </c>
    </row>
    <row r="234" spans="1:44" x14ac:dyDescent="0.25">
      <c r="A234">
        <f>ROW(Source!A176)</f>
        <v>176</v>
      </c>
      <c r="B234">
        <v>75618357</v>
      </c>
      <c r="C234">
        <v>75618325</v>
      </c>
      <c r="D234">
        <v>74259722</v>
      </c>
      <c r="E234">
        <v>1</v>
      </c>
      <c r="F234">
        <v>1</v>
      </c>
      <c r="G234">
        <v>1</v>
      </c>
      <c r="H234">
        <v>3</v>
      </c>
      <c r="I234" t="s">
        <v>620</v>
      </c>
      <c r="J234" t="s">
        <v>621</v>
      </c>
      <c r="K234" t="s">
        <v>622</v>
      </c>
      <c r="L234">
        <v>1346</v>
      </c>
      <c r="N234">
        <v>1009</v>
      </c>
      <c r="O234" t="s">
        <v>240</v>
      </c>
      <c r="P234" t="s">
        <v>240</v>
      </c>
      <c r="Q234">
        <v>1</v>
      </c>
      <c r="X234">
        <v>1.4</v>
      </c>
      <c r="Y234">
        <v>142.68</v>
      </c>
      <c r="Z234">
        <v>0</v>
      </c>
      <c r="AA234">
        <v>0</v>
      </c>
      <c r="AB234">
        <v>0</v>
      </c>
      <c r="AC234">
        <v>0</v>
      </c>
      <c r="AD234">
        <v>1</v>
      </c>
      <c r="AE234">
        <v>0</v>
      </c>
      <c r="AF234" t="s">
        <v>3</v>
      </c>
      <c r="AG234">
        <v>1.4</v>
      </c>
      <c r="AH234">
        <v>2</v>
      </c>
      <c r="AI234">
        <v>75618357</v>
      </c>
      <c r="AJ234">
        <v>223</v>
      </c>
      <c r="AK234">
        <v>0</v>
      </c>
      <c r="AL234">
        <v>0</v>
      </c>
      <c r="AM234">
        <v>0</v>
      </c>
      <c r="AN234">
        <v>0</v>
      </c>
      <c r="AO234">
        <v>0</v>
      </c>
      <c r="AP234">
        <v>0</v>
      </c>
      <c r="AQ234">
        <v>0</v>
      </c>
      <c r="AR234">
        <v>0</v>
      </c>
    </row>
    <row r="235" spans="1:44" x14ac:dyDescent="0.25">
      <c r="A235">
        <f>ROW(Source!A176)</f>
        <v>176</v>
      </c>
      <c r="B235">
        <v>75618358</v>
      </c>
      <c r="C235">
        <v>75618325</v>
      </c>
      <c r="D235">
        <v>74260536</v>
      </c>
      <c r="E235">
        <v>1</v>
      </c>
      <c r="F235">
        <v>1</v>
      </c>
      <c r="G235">
        <v>1</v>
      </c>
      <c r="H235">
        <v>3</v>
      </c>
      <c r="I235" t="s">
        <v>623</v>
      </c>
      <c r="J235" t="s">
        <v>624</v>
      </c>
      <c r="K235" t="s">
        <v>625</v>
      </c>
      <c r="L235">
        <v>1346</v>
      </c>
      <c r="N235">
        <v>1009</v>
      </c>
      <c r="O235" t="s">
        <v>240</v>
      </c>
      <c r="P235" t="s">
        <v>240</v>
      </c>
      <c r="Q235">
        <v>1</v>
      </c>
      <c r="X235">
        <v>3.3</v>
      </c>
      <c r="Y235">
        <v>174.93</v>
      </c>
      <c r="Z235">
        <v>0</v>
      </c>
      <c r="AA235">
        <v>0</v>
      </c>
      <c r="AB235">
        <v>0</v>
      </c>
      <c r="AC235">
        <v>0</v>
      </c>
      <c r="AD235">
        <v>1</v>
      </c>
      <c r="AE235">
        <v>0</v>
      </c>
      <c r="AF235" t="s">
        <v>3</v>
      </c>
      <c r="AG235">
        <v>3.3</v>
      </c>
      <c r="AH235">
        <v>2</v>
      </c>
      <c r="AI235">
        <v>75618358</v>
      </c>
      <c r="AJ235">
        <v>224</v>
      </c>
      <c r="AK235">
        <v>0</v>
      </c>
      <c r="AL235">
        <v>0</v>
      </c>
      <c r="AM235">
        <v>0</v>
      </c>
      <c r="AN235">
        <v>0</v>
      </c>
      <c r="AO235">
        <v>0</v>
      </c>
      <c r="AP235">
        <v>0</v>
      </c>
      <c r="AQ235">
        <v>0</v>
      </c>
      <c r="AR235">
        <v>0</v>
      </c>
    </row>
    <row r="236" spans="1:44" x14ac:dyDescent="0.25">
      <c r="A236">
        <f>ROW(Source!A176)</f>
        <v>176</v>
      </c>
      <c r="B236">
        <v>75618359</v>
      </c>
      <c r="C236">
        <v>75618325</v>
      </c>
      <c r="D236">
        <v>74260587</v>
      </c>
      <c r="E236">
        <v>1</v>
      </c>
      <c r="F236">
        <v>1</v>
      </c>
      <c r="G236">
        <v>1</v>
      </c>
      <c r="H236">
        <v>3</v>
      </c>
      <c r="I236" t="s">
        <v>530</v>
      </c>
      <c r="J236" t="s">
        <v>531</v>
      </c>
      <c r="K236" t="s">
        <v>532</v>
      </c>
      <c r="L236">
        <v>1348</v>
      </c>
      <c r="N236">
        <v>1009</v>
      </c>
      <c r="O236" t="s">
        <v>174</v>
      </c>
      <c r="P236" t="s">
        <v>174</v>
      </c>
      <c r="Q236">
        <v>1000</v>
      </c>
      <c r="X236">
        <v>1.0000000000000001E-5</v>
      </c>
      <c r="Y236">
        <v>70296.2</v>
      </c>
      <c r="Z236">
        <v>0</v>
      </c>
      <c r="AA236">
        <v>0</v>
      </c>
      <c r="AB236">
        <v>0</v>
      </c>
      <c r="AC236">
        <v>0</v>
      </c>
      <c r="AD236">
        <v>1</v>
      </c>
      <c r="AE236">
        <v>0</v>
      </c>
      <c r="AF236" t="s">
        <v>3</v>
      </c>
      <c r="AG236">
        <v>1.0000000000000001E-5</v>
      </c>
      <c r="AH236">
        <v>2</v>
      </c>
      <c r="AI236">
        <v>75618359</v>
      </c>
      <c r="AJ236">
        <v>225</v>
      </c>
      <c r="AK236">
        <v>0</v>
      </c>
      <c r="AL236">
        <v>0</v>
      </c>
      <c r="AM236">
        <v>0</v>
      </c>
      <c r="AN236">
        <v>0</v>
      </c>
      <c r="AO236">
        <v>0</v>
      </c>
      <c r="AP236">
        <v>0</v>
      </c>
      <c r="AQ236">
        <v>0</v>
      </c>
      <c r="AR236">
        <v>0</v>
      </c>
    </row>
    <row r="237" spans="1:44" x14ac:dyDescent="0.25">
      <c r="A237">
        <f>ROW(Source!A176)</f>
        <v>176</v>
      </c>
      <c r="B237">
        <v>75618360</v>
      </c>
      <c r="C237">
        <v>75618325</v>
      </c>
      <c r="D237">
        <v>74261679</v>
      </c>
      <c r="E237">
        <v>1</v>
      </c>
      <c r="F237">
        <v>1</v>
      </c>
      <c r="G237">
        <v>1</v>
      </c>
      <c r="H237">
        <v>3</v>
      </c>
      <c r="I237" t="s">
        <v>626</v>
      </c>
      <c r="J237" t="s">
        <v>627</v>
      </c>
      <c r="K237" t="s">
        <v>628</v>
      </c>
      <c r="L237">
        <v>1348</v>
      </c>
      <c r="N237">
        <v>1009</v>
      </c>
      <c r="O237" t="s">
        <v>174</v>
      </c>
      <c r="P237" t="s">
        <v>174</v>
      </c>
      <c r="Q237">
        <v>1000</v>
      </c>
      <c r="X237">
        <v>1E-4</v>
      </c>
      <c r="Y237">
        <v>231787.35</v>
      </c>
      <c r="Z237">
        <v>0</v>
      </c>
      <c r="AA237">
        <v>0</v>
      </c>
      <c r="AB237">
        <v>0</v>
      </c>
      <c r="AC237">
        <v>0</v>
      </c>
      <c r="AD237">
        <v>1</v>
      </c>
      <c r="AE237">
        <v>0</v>
      </c>
      <c r="AF237" t="s">
        <v>3</v>
      </c>
      <c r="AG237">
        <v>1E-4</v>
      </c>
      <c r="AH237">
        <v>2</v>
      </c>
      <c r="AI237">
        <v>75618360</v>
      </c>
      <c r="AJ237">
        <v>226</v>
      </c>
      <c r="AK237">
        <v>0</v>
      </c>
      <c r="AL237">
        <v>0</v>
      </c>
      <c r="AM237">
        <v>0</v>
      </c>
      <c r="AN237">
        <v>0</v>
      </c>
      <c r="AO237">
        <v>0</v>
      </c>
      <c r="AP237">
        <v>0</v>
      </c>
      <c r="AQ237">
        <v>0</v>
      </c>
      <c r="AR237">
        <v>0</v>
      </c>
    </row>
    <row r="238" spans="1:44" x14ac:dyDescent="0.25">
      <c r="A238">
        <f>ROW(Source!A176)</f>
        <v>176</v>
      </c>
      <c r="B238">
        <v>75618361</v>
      </c>
      <c r="C238">
        <v>75618325</v>
      </c>
      <c r="D238">
        <v>74184793</v>
      </c>
      <c r="E238">
        <v>118</v>
      </c>
      <c r="F238">
        <v>1</v>
      </c>
      <c r="G238">
        <v>1</v>
      </c>
      <c r="H238">
        <v>3</v>
      </c>
      <c r="I238" t="s">
        <v>768</v>
      </c>
      <c r="J238" t="s">
        <v>3</v>
      </c>
      <c r="K238" t="s">
        <v>752</v>
      </c>
      <c r="L238">
        <v>1348</v>
      </c>
      <c r="N238">
        <v>1009</v>
      </c>
      <c r="O238" t="s">
        <v>174</v>
      </c>
      <c r="P238" t="s">
        <v>174</v>
      </c>
      <c r="Q238">
        <v>1000</v>
      </c>
      <c r="X238">
        <v>1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 t="s">
        <v>3</v>
      </c>
      <c r="AG238">
        <v>1</v>
      </c>
      <c r="AH238">
        <v>3</v>
      </c>
      <c r="AI238">
        <v>-1</v>
      </c>
      <c r="AJ238" t="s">
        <v>3</v>
      </c>
      <c r="AK238">
        <v>0</v>
      </c>
      <c r="AL238">
        <v>0</v>
      </c>
      <c r="AM238">
        <v>0</v>
      </c>
      <c r="AN238">
        <v>0</v>
      </c>
      <c r="AO238">
        <v>0</v>
      </c>
      <c r="AP238">
        <v>0</v>
      </c>
      <c r="AQ238">
        <v>0</v>
      </c>
      <c r="AR238">
        <v>0</v>
      </c>
    </row>
    <row r="239" spans="1:44" x14ac:dyDescent="0.25">
      <c r="A239">
        <f>ROW(Source!A176)</f>
        <v>176</v>
      </c>
      <c r="B239">
        <v>75618362</v>
      </c>
      <c r="C239">
        <v>75618325</v>
      </c>
      <c r="D239">
        <v>74267598</v>
      </c>
      <c r="E239">
        <v>1</v>
      </c>
      <c r="F239">
        <v>1</v>
      </c>
      <c r="G239">
        <v>1</v>
      </c>
      <c r="H239">
        <v>3</v>
      </c>
      <c r="I239" t="s">
        <v>629</v>
      </c>
      <c r="J239" t="s">
        <v>630</v>
      </c>
      <c r="K239" t="s">
        <v>631</v>
      </c>
      <c r="L239">
        <v>1302</v>
      </c>
      <c r="N239">
        <v>1003</v>
      </c>
      <c r="O239" t="s">
        <v>632</v>
      </c>
      <c r="P239" t="s">
        <v>632</v>
      </c>
      <c r="Q239">
        <v>10</v>
      </c>
      <c r="X239">
        <v>1.8700000000000001E-2</v>
      </c>
      <c r="Y239">
        <v>307.83999999999997</v>
      </c>
      <c r="Z239">
        <v>0</v>
      </c>
      <c r="AA239">
        <v>0</v>
      </c>
      <c r="AB239">
        <v>0</v>
      </c>
      <c r="AC239">
        <v>0</v>
      </c>
      <c r="AD239">
        <v>1</v>
      </c>
      <c r="AE239">
        <v>0</v>
      </c>
      <c r="AF239" t="s">
        <v>3</v>
      </c>
      <c r="AG239">
        <v>1.8700000000000001E-2</v>
      </c>
      <c r="AH239">
        <v>2</v>
      </c>
      <c r="AI239">
        <v>75618362</v>
      </c>
      <c r="AJ239">
        <v>227</v>
      </c>
      <c r="AK239">
        <v>0</v>
      </c>
      <c r="AL239">
        <v>0</v>
      </c>
      <c r="AM239">
        <v>0</v>
      </c>
      <c r="AN239">
        <v>0</v>
      </c>
      <c r="AO239">
        <v>0</v>
      </c>
      <c r="AP239">
        <v>0</v>
      </c>
      <c r="AQ239">
        <v>0</v>
      </c>
      <c r="AR239">
        <v>0</v>
      </c>
    </row>
    <row r="240" spans="1:44" x14ac:dyDescent="0.25">
      <c r="A240">
        <f>ROW(Source!A176)</f>
        <v>176</v>
      </c>
      <c r="B240">
        <v>75618363</v>
      </c>
      <c r="C240">
        <v>75618325</v>
      </c>
      <c r="D240">
        <v>74267758</v>
      </c>
      <c r="E240">
        <v>1</v>
      </c>
      <c r="F240">
        <v>1</v>
      </c>
      <c r="G240">
        <v>1</v>
      </c>
      <c r="H240">
        <v>3</v>
      </c>
      <c r="I240" t="s">
        <v>533</v>
      </c>
      <c r="J240" t="s">
        <v>534</v>
      </c>
      <c r="K240" t="s">
        <v>535</v>
      </c>
      <c r="L240">
        <v>1348</v>
      </c>
      <c r="N240">
        <v>1009</v>
      </c>
      <c r="O240" t="s">
        <v>174</v>
      </c>
      <c r="P240" t="s">
        <v>174</v>
      </c>
      <c r="Q240">
        <v>1000</v>
      </c>
      <c r="X240">
        <v>3.0000000000000001E-5</v>
      </c>
      <c r="Y240">
        <v>60258.2</v>
      </c>
      <c r="Z240">
        <v>0</v>
      </c>
      <c r="AA240">
        <v>0</v>
      </c>
      <c r="AB240">
        <v>0</v>
      </c>
      <c r="AC240">
        <v>0</v>
      </c>
      <c r="AD240">
        <v>1</v>
      </c>
      <c r="AE240">
        <v>0</v>
      </c>
      <c r="AF240" t="s">
        <v>3</v>
      </c>
      <c r="AG240">
        <v>3.0000000000000001E-5</v>
      </c>
      <c r="AH240">
        <v>2</v>
      </c>
      <c r="AI240">
        <v>75618363</v>
      </c>
      <c r="AJ240">
        <v>228</v>
      </c>
      <c r="AK240">
        <v>0</v>
      </c>
      <c r="AL240">
        <v>0</v>
      </c>
      <c r="AM240">
        <v>0</v>
      </c>
      <c r="AN240">
        <v>0</v>
      </c>
      <c r="AO240">
        <v>0</v>
      </c>
      <c r="AP240">
        <v>0</v>
      </c>
      <c r="AQ240">
        <v>0</v>
      </c>
      <c r="AR240">
        <v>0</v>
      </c>
    </row>
    <row r="241" spans="1:44" x14ac:dyDescent="0.25">
      <c r="A241">
        <f>ROW(Source!A176)</f>
        <v>176</v>
      </c>
      <c r="B241">
        <v>75618364</v>
      </c>
      <c r="C241">
        <v>75618325</v>
      </c>
      <c r="D241">
        <v>74268214</v>
      </c>
      <c r="E241">
        <v>1</v>
      </c>
      <c r="F241">
        <v>1</v>
      </c>
      <c r="G241">
        <v>1</v>
      </c>
      <c r="H241">
        <v>3</v>
      </c>
      <c r="I241" t="s">
        <v>633</v>
      </c>
      <c r="J241" t="s">
        <v>634</v>
      </c>
      <c r="K241" t="s">
        <v>635</v>
      </c>
      <c r="L241">
        <v>1348</v>
      </c>
      <c r="N241">
        <v>1009</v>
      </c>
      <c r="O241" t="s">
        <v>174</v>
      </c>
      <c r="P241" t="s">
        <v>174</v>
      </c>
      <c r="Q241">
        <v>1000</v>
      </c>
      <c r="X241">
        <v>1.9400000000000001E-3</v>
      </c>
      <c r="Y241">
        <v>136760</v>
      </c>
      <c r="Z241">
        <v>0</v>
      </c>
      <c r="AA241">
        <v>0</v>
      </c>
      <c r="AB241">
        <v>0</v>
      </c>
      <c r="AC241">
        <v>0</v>
      </c>
      <c r="AD241">
        <v>1</v>
      </c>
      <c r="AE241">
        <v>0</v>
      </c>
      <c r="AF241" t="s">
        <v>3</v>
      </c>
      <c r="AG241">
        <v>1.9400000000000001E-3</v>
      </c>
      <c r="AH241">
        <v>2</v>
      </c>
      <c r="AI241">
        <v>75618364</v>
      </c>
      <c r="AJ241">
        <v>231</v>
      </c>
      <c r="AK241">
        <v>0</v>
      </c>
      <c r="AL241">
        <v>0</v>
      </c>
      <c r="AM241">
        <v>0</v>
      </c>
      <c r="AN241">
        <v>0</v>
      </c>
      <c r="AO241">
        <v>0</v>
      </c>
      <c r="AP241">
        <v>0</v>
      </c>
      <c r="AQ241">
        <v>0</v>
      </c>
      <c r="AR241">
        <v>0</v>
      </c>
    </row>
    <row r="242" spans="1:44" x14ac:dyDescent="0.25">
      <c r="A242">
        <f>ROW(Source!A176)</f>
        <v>176</v>
      </c>
      <c r="B242">
        <v>75618365</v>
      </c>
      <c r="C242">
        <v>75618325</v>
      </c>
      <c r="D242">
        <v>74277951</v>
      </c>
      <c r="E242">
        <v>1</v>
      </c>
      <c r="F242">
        <v>1</v>
      </c>
      <c r="G242">
        <v>1</v>
      </c>
      <c r="H242">
        <v>3</v>
      </c>
      <c r="I242" t="s">
        <v>639</v>
      </c>
      <c r="J242" t="s">
        <v>640</v>
      </c>
      <c r="K242" t="s">
        <v>641</v>
      </c>
      <c r="L242">
        <v>1348</v>
      </c>
      <c r="N242">
        <v>1009</v>
      </c>
      <c r="O242" t="s">
        <v>174</v>
      </c>
      <c r="P242" t="s">
        <v>174</v>
      </c>
      <c r="Q242">
        <v>1000</v>
      </c>
      <c r="X242">
        <v>3.1E-4</v>
      </c>
      <c r="Y242">
        <v>51280.15</v>
      </c>
      <c r="Z242">
        <v>0</v>
      </c>
      <c r="AA242">
        <v>0</v>
      </c>
      <c r="AB242">
        <v>0</v>
      </c>
      <c r="AC242">
        <v>0</v>
      </c>
      <c r="AD242">
        <v>1</v>
      </c>
      <c r="AE242">
        <v>0</v>
      </c>
      <c r="AF242" t="s">
        <v>3</v>
      </c>
      <c r="AG242">
        <v>3.1E-4</v>
      </c>
      <c r="AH242">
        <v>2</v>
      </c>
      <c r="AI242">
        <v>75618365</v>
      </c>
      <c r="AJ242">
        <v>232</v>
      </c>
      <c r="AK242">
        <v>0</v>
      </c>
      <c r="AL242">
        <v>0</v>
      </c>
      <c r="AM242">
        <v>0</v>
      </c>
      <c r="AN242">
        <v>0</v>
      </c>
      <c r="AO242">
        <v>0</v>
      </c>
      <c r="AP242">
        <v>0</v>
      </c>
      <c r="AQ242">
        <v>0</v>
      </c>
      <c r="AR242">
        <v>0</v>
      </c>
    </row>
    <row r="243" spans="1:44" x14ac:dyDescent="0.25">
      <c r="A243">
        <f>ROW(Source!A176)</f>
        <v>176</v>
      </c>
      <c r="B243">
        <v>75618366</v>
      </c>
      <c r="C243">
        <v>75618325</v>
      </c>
      <c r="D243">
        <v>74278428</v>
      </c>
      <c r="E243">
        <v>1</v>
      </c>
      <c r="F243">
        <v>1</v>
      </c>
      <c r="G243">
        <v>1</v>
      </c>
      <c r="H243">
        <v>3</v>
      </c>
      <c r="I243" t="s">
        <v>642</v>
      </c>
      <c r="J243" t="s">
        <v>643</v>
      </c>
      <c r="K243" t="s">
        <v>644</v>
      </c>
      <c r="L243">
        <v>1348</v>
      </c>
      <c r="N243">
        <v>1009</v>
      </c>
      <c r="O243" t="s">
        <v>174</v>
      </c>
      <c r="P243" t="s">
        <v>174</v>
      </c>
      <c r="Q243">
        <v>1000</v>
      </c>
      <c r="X243">
        <v>5.9999999999999995E-4</v>
      </c>
      <c r="Y243">
        <v>98526.45</v>
      </c>
      <c r="Z243">
        <v>0</v>
      </c>
      <c r="AA243">
        <v>0</v>
      </c>
      <c r="AB243">
        <v>0</v>
      </c>
      <c r="AC243">
        <v>0</v>
      </c>
      <c r="AD243">
        <v>1</v>
      </c>
      <c r="AE243">
        <v>0</v>
      </c>
      <c r="AF243" t="s">
        <v>3</v>
      </c>
      <c r="AG243">
        <v>5.9999999999999995E-4</v>
      </c>
      <c r="AH243">
        <v>2</v>
      </c>
      <c r="AI243">
        <v>75618366</v>
      </c>
      <c r="AJ243">
        <v>233</v>
      </c>
      <c r="AK243">
        <v>0</v>
      </c>
      <c r="AL243">
        <v>0</v>
      </c>
      <c r="AM243">
        <v>0</v>
      </c>
      <c r="AN243">
        <v>0</v>
      </c>
      <c r="AO243">
        <v>0</v>
      </c>
      <c r="AP243">
        <v>0</v>
      </c>
      <c r="AQ243">
        <v>0</v>
      </c>
      <c r="AR243">
        <v>0</v>
      </c>
    </row>
    <row r="244" spans="1:44" x14ac:dyDescent="0.25">
      <c r="A244">
        <f>ROW(Source!A179)</f>
        <v>179</v>
      </c>
      <c r="B244">
        <v>75618415</v>
      </c>
      <c r="C244">
        <v>75618414</v>
      </c>
      <c r="D244">
        <v>74182275</v>
      </c>
      <c r="E244">
        <v>118</v>
      </c>
      <c r="F244">
        <v>1</v>
      </c>
      <c r="G244">
        <v>1</v>
      </c>
      <c r="H244">
        <v>1</v>
      </c>
      <c r="I244" t="s">
        <v>612</v>
      </c>
      <c r="J244" t="s">
        <v>3</v>
      </c>
      <c r="K244" t="s">
        <v>613</v>
      </c>
      <c r="L244">
        <v>1191</v>
      </c>
      <c r="N244">
        <v>1013</v>
      </c>
      <c r="O244" t="s">
        <v>501</v>
      </c>
      <c r="P244" t="s">
        <v>501</v>
      </c>
      <c r="Q244">
        <v>1</v>
      </c>
      <c r="X244">
        <v>2.54</v>
      </c>
      <c r="Y244">
        <v>0</v>
      </c>
      <c r="Z244">
        <v>0</v>
      </c>
      <c r="AA244">
        <v>0</v>
      </c>
      <c r="AB244">
        <v>347.42</v>
      </c>
      <c r="AC244">
        <v>0</v>
      </c>
      <c r="AD244">
        <v>1</v>
      </c>
      <c r="AE244">
        <v>1</v>
      </c>
      <c r="AF244" t="s">
        <v>289</v>
      </c>
      <c r="AG244">
        <v>5.8419999999999996</v>
      </c>
      <c r="AH244">
        <v>2</v>
      </c>
      <c r="AI244">
        <v>75618415</v>
      </c>
      <c r="AJ244">
        <v>234</v>
      </c>
      <c r="AK244">
        <v>0</v>
      </c>
      <c r="AL244">
        <v>0</v>
      </c>
      <c r="AM244">
        <v>0</v>
      </c>
      <c r="AN244">
        <v>0</v>
      </c>
      <c r="AO244">
        <v>0</v>
      </c>
      <c r="AP244">
        <v>0</v>
      </c>
      <c r="AQ244">
        <v>0</v>
      </c>
      <c r="AR244">
        <v>0</v>
      </c>
    </row>
    <row r="245" spans="1:44" x14ac:dyDescent="0.25">
      <c r="A245">
        <f>ROW(Source!A179)</f>
        <v>179</v>
      </c>
      <c r="B245">
        <v>75618416</v>
      </c>
      <c r="C245">
        <v>75618414</v>
      </c>
      <c r="D245">
        <v>74182464</v>
      </c>
      <c r="E245">
        <v>118</v>
      </c>
      <c r="F245">
        <v>1</v>
      </c>
      <c r="G245">
        <v>1</v>
      </c>
      <c r="H245">
        <v>1</v>
      </c>
      <c r="I245" t="s">
        <v>504</v>
      </c>
      <c r="J245" t="s">
        <v>3</v>
      </c>
      <c r="K245" t="s">
        <v>505</v>
      </c>
      <c r="L245">
        <v>1191</v>
      </c>
      <c r="N245">
        <v>1013</v>
      </c>
      <c r="O245" t="s">
        <v>501</v>
      </c>
      <c r="P245" t="s">
        <v>501</v>
      </c>
      <c r="Q245">
        <v>1</v>
      </c>
      <c r="X245">
        <v>0.04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1</v>
      </c>
      <c r="AE245">
        <v>2</v>
      </c>
      <c r="AF245" t="s">
        <v>289</v>
      </c>
      <c r="AG245">
        <v>9.1999999999999998E-2</v>
      </c>
      <c r="AH245">
        <v>2</v>
      </c>
      <c r="AI245">
        <v>75618416</v>
      </c>
      <c r="AJ245">
        <v>235</v>
      </c>
      <c r="AK245">
        <v>0</v>
      </c>
      <c r="AL245">
        <v>0</v>
      </c>
      <c r="AM245">
        <v>0</v>
      </c>
      <c r="AN245">
        <v>0</v>
      </c>
      <c r="AO245">
        <v>0</v>
      </c>
      <c r="AP245">
        <v>0</v>
      </c>
      <c r="AQ245">
        <v>0</v>
      </c>
      <c r="AR245">
        <v>0</v>
      </c>
    </row>
    <row r="246" spans="1:44" x14ac:dyDescent="0.25">
      <c r="A246">
        <f>ROW(Source!A179)</f>
        <v>179</v>
      </c>
      <c r="B246">
        <v>75618417</v>
      </c>
      <c r="C246">
        <v>75618414</v>
      </c>
      <c r="D246">
        <v>74309061</v>
      </c>
      <c r="E246">
        <v>1</v>
      </c>
      <c r="F246">
        <v>1</v>
      </c>
      <c r="G246">
        <v>1</v>
      </c>
      <c r="H246">
        <v>2</v>
      </c>
      <c r="I246" t="s">
        <v>659</v>
      </c>
      <c r="J246" t="s">
        <v>660</v>
      </c>
      <c r="K246" t="s">
        <v>661</v>
      </c>
      <c r="L246">
        <v>1368</v>
      </c>
      <c r="N246">
        <v>1011</v>
      </c>
      <c r="O246" t="s">
        <v>509</v>
      </c>
      <c r="P246" t="s">
        <v>509</v>
      </c>
      <c r="Q246">
        <v>1</v>
      </c>
      <c r="X246">
        <v>0.01</v>
      </c>
      <c r="Y246">
        <v>0</v>
      </c>
      <c r="Z246">
        <v>6.62</v>
      </c>
      <c r="AA246">
        <v>0</v>
      </c>
      <c r="AB246">
        <v>0</v>
      </c>
      <c r="AC246">
        <v>0</v>
      </c>
      <c r="AD246">
        <v>1</v>
      </c>
      <c r="AE246">
        <v>0</v>
      </c>
      <c r="AF246" t="s">
        <v>289</v>
      </c>
      <c r="AG246">
        <v>2.3E-2</v>
      </c>
      <c r="AH246">
        <v>2</v>
      </c>
      <c r="AI246">
        <v>75618417</v>
      </c>
      <c r="AJ246">
        <v>236</v>
      </c>
      <c r="AK246">
        <v>0</v>
      </c>
      <c r="AL246">
        <v>0</v>
      </c>
      <c r="AM246">
        <v>0</v>
      </c>
      <c r="AN246">
        <v>0</v>
      </c>
      <c r="AO246">
        <v>0</v>
      </c>
      <c r="AP246">
        <v>0</v>
      </c>
      <c r="AQ246">
        <v>0</v>
      </c>
      <c r="AR246">
        <v>0</v>
      </c>
    </row>
    <row r="247" spans="1:44" x14ac:dyDescent="0.25">
      <c r="A247">
        <f>ROW(Source!A179)</f>
        <v>179</v>
      </c>
      <c r="B247">
        <v>75618418</v>
      </c>
      <c r="C247">
        <v>75618414</v>
      </c>
      <c r="D247">
        <v>74309079</v>
      </c>
      <c r="E247">
        <v>1</v>
      </c>
      <c r="F247">
        <v>1</v>
      </c>
      <c r="G247">
        <v>1</v>
      </c>
      <c r="H247">
        <v>2</v>
      </c>
      <c r="I247" t="s">
        <v>662</v>
      </c>
      <c r="J247" t="s">
        <v>663</v>
      </c>
      <c r="K247" t="s">
        <v>664</v>
      </c>
      <c r="L247">
        <v>1368</v>
      </c>
      <c r="N247">
        <v>1011</v>
      </c>
      <c r="O247" t="s">
        <v>509</v>
      </c>
      <c r="P247" t="s">
        <v>509</v>
      </c>
      <c r="Q247">
        <v>1</v>
      </c>
      <c r="X247">
        <v>0.01</v>
      </c>
      <c r="Y247">
        <v>0</v>
      </c>
      <c r="Z247">
        <v>1569.2</v>
      </c>
      <c r="AA247">
        <v>422.95</v>
      </c>
      <c r="AB247">
        <v>0</v>
      </c>
      <c r="AC247">
        <v>0</v>
      </c>
      <c r="AD247">
        <v>1</v>
      </c>
      <c r="AE247">
        <v>0</v>
      </c>
      <c r="AF247" t="s">
        <v>289</v>
      </c>
      <c r="AG247">
        <v>2.3E-2</v>
      </c>
      <c r="AH247">
        <v>2</v>
      </c>
      <c r="AI247">
        <v>75618418</v>
      </c>
      <c r="AJ247">
        <v>237</v>
      </c>
      <c r="AK247">
        <v>0</v>
      </c>
      <c r="AL247">
        <v>0</v>
      </c>
      <c r="AM247">
        <v>0</v>
      </c>
      <c r="AN247">
        <v>0</v>
      </c>
      <c r="AO247">
        <v>0</v>
      </c>
      <c r="AP247">
        <v>0</v>
      </c>
      <c r="AQ247">
        <v>0</v>
      </c>
      <c r="AR247">
        <v>0</v>
      </c>
    </row>
    <row r="248" spans="1:44" x14ac:dyDescent="0.25">
      <c r="A248">
        <f>ROW(Source!A179)</f>
        <v>179</v>
      </c>
      <c r="B248">
        <v>75618419</v>
      </c>
      <c r="C248">
        <v>75618414</v>
      </c>
      <c r="D248">
        <v>74309824</v>
      </c>
      <c r="E248">
        <v>1</v>
      </c>
      <c r="F248">
        <v>1</v>
      </c>
      <c r="G248">
        <v>1</v>
      </c>
      <c r="H248">
        <v>2</v>
      </c>
      <c r="I248" t="s">
        <v>527</v>
      </c>
      <c r="J248" t="s">
        <v>528</v>
      </c>
      <c r="K248" t="s">
        <v>529</v>
      </c>
      <c r="L248">
        <v>1368</v>
      </c>
      <c r="N248">
        <v>1011</v>
      </c>
      <c r="O248" t="s">
        <v>509</v>
      </c>
      <c r="P248" t="s">
        <v>509</v>
      </c>
      <c r="Q248">
        <v>1</v>
      </c>
      <c r="X248">
        <v>0.03</v>
      </c>
      <c r="Y248">
        <v>0</v>
      </c>
      <c r="Z248">
        <v>551.45000000000005</v>
      </c>
      <c r="AA248">
        <v>368.02</v>
      </c>
      <c r="AB248">
        <v>0</v>
      </c>
      <c r="AC248">
        <v>0</v>
      </c>
      <c r="AD248">
        <v>1</v>
      </c>
      <c r="AE248">
        <v>0</v>
      </c>
      <c r="AF248" t="s">
        <v>289</v>
      </c>
      <c r="AG248">
        <v>6.8999999999999992E-2</v>
      </c>
      <c r="AH248">
        <v>2</v>
      </c>
      <c r="AI248">
        <v>75618419</v>
      </c>
      <c r="AJ248">
        <v>238</v>
      </c>
      <c r="AK248">
        <v>0</v>
      </c>
      <c r="AL248">
        <v>0</v>
      </c>
      <c r="AM248">
        <v>0</v>
      </c>
      <c r="AN248">
        <v>0</v>
      </c>
      <c r="AO248">
        <v>0</v>
      </c>
      <c r="AP248">
        <v>0</v>
      </c>
      <c r="AQ248">
        <v>0</v>
      </c>
      <c r="AR248">
        <v>0</v>
      </c>
    </row>
    <row r="249" spans="1:44" x14ac:dyDescent="0.25">
      <c r="A249">
        <f>ROW(Source!A179)</f>
        <v>179</v>
      </c>
      <c r="B249">
        <v>75618420</v>
      </c>
      <c r="C249">
        <v>75618414</v>
      </c>
      <c r="D249">
        <v>74310389</v>
      </c>
      <c r="E249">
        <v>1</v>
      </c>
      <c r="F249">
        <v>1</v>
      </c>
      <c r="G249">
        <v>1</v>
      </c>
      <c r="H249">
        <v>2</v>
      </c>
      <c r="I249" t="s">
        <v>665</v>
      </c>
      <c r="J249" t="s">
        <v>666</v>
      </c>
      <c r="K249" t="s">
        <v>667</v>
      </c>
      <c r="L249">
        <v>1368</v>
      </c>
      <c r="N249">
        <v>1011</v>
      </c>
      <c r="O249" t="s">
        <v>509</v>
      </c>
      <c r="P249" t="s">
        <v>509</v>
      </c>
      <c r="Q249">
        <v>1</v>
      </c>
      <c r="X249">
        <v>1.1200000000000001</v>
      </c>
      <c r="Y249">
        <v>0</v>
      </c>
      <c r="Z249">
        <v>4.5199999999999996</v>
      </c>
      <c r="AA249">
        <v>0</v>
      </c>
      <c r="AB249">
        <v>0</v>
      </c>
      <c r="AC249">
        <v>0</v>
      </c>
      <c r="AD249">
        <v>1</v>
      </c>
      <c r="AE249">
        <v>0</v>
      </c>
      <c r="AF249" t="s">
        <v>289</v>
      </c>
      <c r="AG249">
        <v>2.5760000000000001</v>
      </c>
      <c r="AH249">
        <v>2</v>
      </c>
      <c r="AI249">
        <v>75618420</v>
      </c>
      <c r="AJ249">
        <v>239</v>
      </c>
      <c r="AK249">
        <v>0</v>
      </c>
      <c r="AL249">
        <v>0</v>
      </c>
      <c r="AM249">
        <v>0</v>
      </c>
      <c r="AN249">
        <v>0</v>
      </c>
      <c r="AO249">
        <v>0</v>
      </c>
      <c r="AP249">
        <v>0</v>
      </c>
      <c r="AQ249">
        <v>0</v>
      </c>
      <c r="AR249">
        <v>0</v>
      </c>
    </row>
    <row r="250" spans="1:44" x14ac:dyDescent="0.25">
      <c r="A250">
        <f>ROW(Source!A179)</f>
        <v>179</v>
      </c>
      <c r="B250">
        <v>75618421</v>
      </c>
      <c r="C250">
        <v>75618414</v>
      </c>
      <c r="D250">
        <v>74186174</v>
      </c>
      <c r="E250">
        <v>118</v>
      </c>
      <c r="F250">
        <v>1</v>
      </c>
      <c r="G250">
        <v>1</v>
      </c>
      <c r="H250">
        <v>3</v>
      </c>
      <c r="I250" t="s">
        <v>769</v>
      </c>
      <c r="J250" t="s">
        <v>3</v>
      </c>
      <c r="K250" t="s">
        <v>770</v>
      </c>
      <c r="L250">
        <v>1348</v>
      </c>
      <c r="N250">
        <v>1009</v>
      </c>
      <c r="O250" t="s">
        <v>174</v>
      </c>
      <c r="P250" t="s">
        <v>174</v>
      </c>
      <c r="Q250">
        <v>1000</v>
      </c>
      <c r="X250">
        <v>1.7999999999999999E-2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 t="s">
        <v>288</v>
      </c>
      <c r="AG250">
        <v>3.5999999999999997E-2</v>
      </c>
      <c r="AH250">
        <v>3</v>
      </c>
      <c r="AI250">
        <v>-1</v>
      </c>
      <c r="AJ250" t="s">
        <v>3</v>
      </c>
      <c r="AK250">
        <v>0</v>
      </c>
      <c r="AL250">
        <v>0</v>
      </c>
      <c r="AM250">
        <v>0</v>
      </c>
      <c r="AN250">
        <v>0</v>
      </c>
      <c r="AO250">
        <v>0</v>
      </c>
      <c r="AP250">
        <v>0</v>
      </c>
      <c r="AQ250">
        <v>0</v>
      </c>
      <c r="AR250">
        <v>0</v>
      </c>
    </row>
    <row r="251" spans="1:44" x14ac:dyDescent="0.25">
      <c r="A251">
        <f>ROW(Source!A179)</f>
        <v>179</v>
      </c>
      <c r="B251">
        <v>75618422</v>
      </c>
      <c r="C251">
        <v>75618414</v>
      </c>
      <c r="D251">
        <v>74186548</v>
      </c>
      <c r="E251">
        <v>118</v>
      </c>
      <c r="F251">
        <v>1</v>
      </c>
      <c r="G251">
        <v>1</v>
      </c>
      <c r="H251">
        <v>3</v>
      </c>
      <c r="I251" t="s">
        <v>771</v>
      </c>
      <c r="J251" t="s">
        <v>3</v>
      </c>
      <c r="K251" t="s">
        <v>772</v>
      </c>
      <c r="L251">
        <v>1348</v>
      </c>
      <c r="N251">
        <v>1009</v>
      </c>
      <c r="O251" t="s">
        <v>174</v>
      </c>
      <c r="P251" t="s">
        <v>174</v>
      </c>
      <c r="Q251">
        <v>1000</v>
      </c>
      <c r="X251">
        <v>2E-3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 t="s">
        <v>288</v>
      </c>
      <c r="AG251">
        <v>4.0000000000000001E-3</v>
      </c>
      <c r="AH251">
        <v>3</v>
      </c>
      <c r="AI251">
        <v>-1</v>
      </c>
      <c r="AJ251" t="s">
        <v>3</v>
      </c>
      <c r="AK251">
        <v>0</v>
      </c>
      <c r="AL251">
        <v>0</v>
      </c>
      <c r="AM251">
        <v>0</v>
      </c>
      <c r="AN251">
        <v>0</v>
      </c>
      <c r="AO251">
        <v>0</v>
      </c>
      <c r="AP251">
        <v>0</v>
      </c>
      <c r="AQ251">
        <v>0</v>
      </c>
      <c r="AR251">
        <v>0</v>
      </c>
    </row>
    <row r="252" spans="1:44" x14ac:dyDescent="0.25">
      <c r="A252">
        <f>ROW(Source!A182)</f>
        <v>182</v>
      </c>
      <c r="B252">
        <v>75618437</v>
      </c>
      <c r="C252">
        <v>75618430</v>
      </c>
      <c r="D252">
        <v>74182287</v>
      </c>
      <c r="E252">
        <v>118</v>
      </c>
      <c r="F252">
        <v>1</v>
      </c>
      <c r="G252">
        <v>1</v>
      </c>
      <c r="H252">
        <v>1</v>
      </c>
      <c r="I252" t="s">
        <v>645</v>
      </c>
      <c r="J252" t="s">
        <v>3</v>
      </c>
      <c r="K252" t="s">
        <v>646</v>
      </c>
      <c r="L252">
        <v>1191</v>
      </c>
      <c r="N252">
        <v>1013</v>
      </c>
      <c r="O252" t="s">
        <v>501</v>
      </c>
      <c r="P252" t="s">
        <v>501</v>
      </c>
      <c r="Q252">
        <v>1</v>
      </c>
      <c r="X252">
        <v>61.1</v>
      </c>
      <c r="Y252">
        <v>0</v>
      </c>
      <c r="Z252">
        <v>0</v>
      </c>
      <c r="AA252">
        <v>0</v>
      </c>
      <c r="AB252">
        <v>368.02</v>
      </c>
      <c r="AC252">
        <v>0</v>
      </c>
      <c r="AD252">
        <v>1</v>
      </c>
      <c r="AE252">
        <v>1</v>
      </c>
      <c r="AF252" t="s">
        <v>27</v>
      </c>
      <c r="AG252">
        <v>70.265000000000001</v>
      </c>
      <c r="AH252">
        <v>2</v>
      </c>
      <c r="AI252">
        <v>75618437</v>
      </c>
      <c r="AJ252">
        <v>242</v>
      </c>
      <c r="AK252">
        <v>0</v>
      </c>
      <c r="AL252">
        <v>0</v>
      </c>
      <c r="AM252">
        <v>0</v>
      </c>
      <c r="AN252">
        <v>0</v>
      </c>
      <c r="AO252">
        <v>0</v>
      </c>
      <c r="AP252">
        <v>0</v>
      </c>
      <c r="AQ252">
        <v>0</v>
      </c>
      <c r="AR252">
        <v>0</v>
      </c>
    </row>
    <row r="253" spans="1:44" x14ac:dyDescent="0.25">
      <c r="A253">
        <f>ROW(Source!A182)</f>
        <v>182</v>
      </c>
      <c r="B253">
        <v>75618438</v>
      </c>
      <c r="C253">
        <v>75618430</v>
      </c>
      <c r="D253">
        <v>74309062</v>
      </c>
      <c r="E253">
        <v>1</v>
      </c>
      <c r="F253">
        <v>1</v>
      </c>
      <c r="G253">
        <v>1</v>
      </c>
      <c r="H253">
        <v>2</v>
      </c>
      <c r="I253" t="s">
        <v>717</v>
      </c>
      <c r="J253" t="s">
        <v>718</v>
      </c>
      <c r="K253" t="s">
        <v>719</v>
      </c>
      <c r="L253">
        <v>1368</v>
      </c>
      <c r="N253">
        <v>1011</v>
      </c>
      <c r="O253" t="s">
        <v>509</v>
      </c>
      <c r="P253" t="s">
        <v>509</v>
      </c>
      <c r="Q253">
        <v>1</v>
      </c>
      <c r="X253">
        <v>0.9</v>
      </c>
      <c r="Y253">
        <v>0</v>
      </c>
      <c r="Z253">
        <v>8.84</v>
      </c>
      <c r="AA253">
        <v>0</v>
      </c>
      <c r="AB253">
        <v>0</v>
      </c>
      <c r="AC253">
        <v>0</v>
      </c>
      <c r="AD253">
        <v>1</v>
      </c>
      <c r="AE253">
        <v>0</v>
      </c>
      <c r="AF253" t="s">
        <v>27</v>
      </c>
      <c r="AG253">
        <v>1.0349999999999999</v>
      </c>
      <c r="AH253">
        <v>2</v>
      </c>
      <c r="AI253">
        <v>75618438</v>
      </c>
      <c r="AJ253">
        <v>243</v>
      </c>
      <c r="AK253">
        <v>0</v>
      </c>
      <c r="AL253">
        <v>0</v>
      </c>
      <c r="AM253">
        <v>0</v>
      </c>
      <c r="AN253">
        <v>0</v>
      </c>
      <c r="AO253">
        <v>0</v>
      </c>
      <c r="AP253">
        <v>0</v>
      </c>
      <c r="AQ253">
        <v>0</v>
      </c>
      <c r="AR253">
        <v>0</v>
      </c>
    </row>
    <row r="254" spans="1:44" x14ac:dyDescent="0.25">
      <c r="A254">
        <f>ROW(Source!A182)</f>
        <v>182</v>
      </c>
      <c r="B254">
        <v>75618439</v>
      </c>
      <c r="C254">
        <v>75618430</v>
      </c>
      <c r="D254">
        <v>74309204</v>
      </c>
      <c r="E254">
        <v>1</v>
      </c>
      <c r="F254">
        <v>1</v>
      </c>
      <c r="G254">
        <v>1</v>
      </c>
      <c r="H254">
        <v>2</v>
      </c>
      <c r="I254" t="s">
        <v>720</v>
      </c>
      <c r="J254" t="s">
        <v>721</v>
      </c>
      <c r="K254" t="s">
        <v>722</v>
      </c>
      <c r="L254">
        <v>1368</v>
      </c>
      <c r="N254">
        <v>1011</v>
      </c>
      <c r="O254" t="s">
        <v>509</v>
      </c>
      <c r="P254" t="s">
        <v>509</v>
      </c>
      <c r="Q254">
        <v>1</v>
      </c>
      <c r="X254">
        <v>2.4</v>
      </c>
      <c r="Y254">
        <v>0</v>
      </c>
      <c r="Z254">
        <v>24.19</v>
      </c>
      <c r="AA254">
        <v>0</v>
      </c>
      <c r="AB254">
        <v>0</v>
      </c>
      <c r="AC254">
        <v>0</v>
      </c>
      <c r="AD254">
        <v>1</v>
      </c>
      <c r="AE254">
        <v>0</v>
      </c>
      <c r="AF254" t="s">
        <v>27</v>
      </c>
      <c r="AG254">
        <v>2.76</v>
      </c>
      <c r="AH254">
        <v>2</v>
      </c>
      <c r="AI254">
        <v>75618439</v>
      </c>
      <c r="AJ254">
        <v>244</v>
      </c>
      <c r="AK254">
        <v>0</v>
      </c>
      <c r="AL254">
        <v>0</v>
      </c>
      <c r="AM254">
        <v>0</v>
      </c>
      <c r="AN254">
        <v>0</v>
      </c>
      <c r="AO254">
        <v>0</v>
      </c>
      <c r="AP254">
        <v>0</v>
      </c>
      <c r="AQ254">
        <v>0</v>
      </c>
      <c r="AR254">
        <v>0</v>
      </c>
    </row>
    <row r="255" spans="1:44" x14ac:dyDescent="0.25">
      <c r="A255">
        <f>ROW(Source!A182)</f>
        <v>182</v>
      </c>
      <c r="B255">
        <v>75618440</v>
      </c>
      <c r="C255">
        <v>75618430</v>
      </c>
      <c r="D255">
        <v>74259029</v>
      </c>
      <c r="E255">
        <v>1</v>
      </c>
      <c r="F255">
        <v>1</v>
      </c>
      <c r="G255">
        <v>1</v>
      </c>
      <c r="H255">
        <v>3</v>
      </c>
      <c r="I255" t="s">
        <v>600</v>
      </c>
      <c r="J255" t="s">
        <v>601</v>
      </c>
      <c r="K255" t="s">
        <v>602</v>
      </c>
      <c r="L255">
        <v>1339</v>
      </c>
      <c r="N255">
        <v>1007</v>
      </c>
      <c r="O255" t="s">
        <v>205</v>
      </c>
      <c r="P255" t="s">
        <v>205</v>
      </c>
      <c r="Q255">
        <v>1</v>
      </c>
      <c r="X255">
        <v>0.35</v>
      </c>
      <c r="Y255">
        <v>35.71</v>
      </c>
      <c r="Z255">
        <v>0</v>
      </c>
      <c r="AA255">
        <v>0</v>
      </c>
      <c r="AB255">
        <v>0</v>
      </c>
      <c r="AC255">
        <v>0</v>
      </c>
      <c r="AD255">
        <v>1</v>
      </c>
      <c r="AE255">
        <v>0</v>
      </c>
      <c r="AF255" t="s">
        <v>3</v>
      </c>
      <c r="AG255">
        <v>0.35</v>
      </c>
      <c r="AH255">
        <v>2</v>
      </c>
      <c r="AI255">
        <v>75618440</v>
      </c>
      <c r="AJ255">
        <v>245</v>
      </c>
      <c r="AK255">
        <v>0</v>
      </c>
      <c r="AL255">
        <v>0</v>
      </c>
      <c r="AM255">
        <v>0</v>
      </c>
      <c r="AN255">
        <v>0</v>
      </c>
      <c r="AO255">
        <v>0</v>
      </c>
      <c r="AP255">
        <v>0</v>
      </c>
      <c r="AQ255">
        <v>0</v>
      </c>
      <c r="AR255">
        <v>0</v>
      </c>
    </row>
    <row r="256" spans="1:44" x14ac:dyDescent="0.25">
      <c r="A256">
        <f>ROW(Source!A182)</f>
        <v>182</v>
      </c>
      <c r="B256">
        <v>75618441</v>
      </c>
      <c r="C256">
        <v>75618430</v>
      </c>
      <c r="D256">
        <v>74183784</v>
      </c>
      <c r="E256">
        <v>118</v>
      </c>
      <c r="F256">
        <v>1</v>
      </c>
      <c r="G256">
        <v>1</v>
      </c>
      <c r="H256">
        <v>3</v>
      </c>
      <c r="I256" t="s">
        <v>773</v>
      </c>
      <c r="J256" t="s">
        <v>3</v>
      </c>
      <c r="K256" t="s">
        <v>774</v>
      </c>
      <c r="L256">
        <v>1339</v>
      </c>
      <c r="N256">
        <v>1007</v>
      </c>
      <c r="O256" t="s">
        <v>205</v>
      </c>
      <c r="P256" t="s">
        <v>205</v>
      </c>
      <c r="Q256">
        <v>1</v>
      </c>
      <c r="X256">
        <v>1.89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 t="s">
        <v>3</v>
      </c>
      <c r="AG256">
        <v>1.89</v>
      </c>
      <c r="AH256">
        <v>3</v>
      </c>
      <c r="AI256">
        <v>-1</v>
      </c>
      <c r="AJ256" t="s">
        <v>3</v>
      </c>
      <c r="AK256">
        <v>0</v>
      </c>
      <c r="AL256">
        <v>0</v>
      </c>
      <c r="AM256">
        <v>0</v>
      </c>
      <c r="AN256">
        <v>0</v>
      </c>
      <c r="AO256">
        <v>0</v>
      </c>
      <c r="AP256">
        <v>0</v>
      </c>
      <c r="AQ256">
        <v>0</v>
      </c>
      <c r="AR256">
        <v>0</v>
      </c>
    </row>
    <row r="257" spans="1:44" x14ac:dyDescent="0.25">
      <c r="A257">
        <f>ROW(Source!A184)</f>
        <v>184</v>
      </c>
      <c r="B257">
        <v>75618456</v>
      </c>
      <c r="C257">
        <v>75618443</v>
      </c>
      <c r="D257">
        <v>74182283</v>
      </c>
      <c r="E257">
        <v>118</v>
      </c>
      <c r="F257">
        <v>1</v>
      </c>
      <c r="G257">
        <v>1</v>
      </c>
      <c r="H257">
        <v>1</v>
      </c>
      <c r="I257" t="s">
        <v>723</v>
      </c>
      <c r="J257" t="s">
        <v>3</v>
      </c>
      <c r="K257" t="s">
        <v>724</v>
      </c>
      <c r="L257">
        <v>1191</v>
      </c>
      <c r="N257">
        <v>1013</v>
      </c>
      <c r="O257" t="s">
        <v>501</v>
      </c>
      <c r="P257" t="s">
        <v>501</v>
      </c>
      <c r="Q257">
        <v>1</v>
      </c>
      <c r="X257">
        <v>21.2</v>
      </c>
      <c r="Y257">
        <v>0</v>
      </c>
      <c r="Z257">
        <v>0</v>
      </c>
      <c r="AA257">
        <v>0</v>
      </c>
      <c r="AB257">
        <v>363.9</v>
      </c>
      <c r="AC257">
        <v>0</v>
      </c>
      <c r="AD257">
        <v>1</v>
      </c>
      <c r="AE257">
        <v>1</v>
      </c>
      <c r="AF257" t="s">
        <v>27</v>
      </c>
      <c r="AG257">
        <v>24.38</v>
      </c>
      <c r="AH257">
        <v>2</v>
      </c>
      <c r="AI257">
        <v>75618456</v>
      </c>
      <c r="AJ257">
        <v>247</v>
      </c>
      <c r="AK257">
        <v>0</v>
      </c>
      <c r="AL257">
        <v>0</v>
      </c>
      <c r="AM257">
        <v>0</v>
      </c>
      <c r="AN257">
        <v>0</v>
      </c>
      <c r="AO257">
        <v>0</v>
      </c>
      <c r="AP257">
        <v>0</v>
      </c>
      <c r="AQ257">
        <v>0</v>
      </c>
      <c r="AR257">
        <v>0</v>
      </c>
    </row>
    <row r="258" spans="1:44" x14ac:dyDescent="0.25">
      <c r="A258">
        <f>ROW(Source!A184)</f>
        <v>184</v>
      </c>
      <c r="B258">
        <v>75618457</v>
      </c>
      <c r="C258">
        <v>75618443</v>
      </c>
      <c r="D258">
        <v>74182464</v>
      </c>
      <c r="E258">
        <v>118</v>
      </c>
      <c r="F258">
        <v>1</v>
      </c>
      <c r="G258">
        <v>1</v>
      </c>
      <c r="H258">
        <v>1</v>
      </c>
      <c r="I258" t="s">
        <v>504</v>
      </c>
      <c r="J258" t="s">
        <v>3</v>
      </c>
      <c r="K258" t="s">
        <v>505</v>
      </c>
      <c r="L258">
        <v>1191</v>
      </c>
      <c r="N258">
        <v>1013</v>
      </c>
      <c r="O258" t="s">
        <v>501</v>
      </c>
      <c r="P258" t="s">
        <v>501</v>
      </c>
      <c r="Q258">
        <v>1</v>
      </c>
      <c r="X258">
        <v>0.2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1</v>
      </c>
      <c r="AE258">
        <v>2</v>
      </c>
      <c r="AF258" t="s">
        <v>27</v>
      </c>
      <c r="AG258">
        <v>0.22999999999999998</v>
      </c>
      <c r="AH258">
        <v>2</v>
      </c>
      <c r="AI258">
        <v>75618457</v>
      </c>
      <c r="AJ258">
        <v>248</v>
      </c>
      <c r="AK258">
        <v>0</v>
      </c>
      <c r="AL258">
        <v>0</v>
      </c>
      <c r="AM258">
        <v>0</v>
      </c>
      <c r="AN258">
        <v>0</v>
      </c>
      <c r="AO258">
        <v>0</v>
      </c>
      <c r="AP258">
        <v>0</v>
      </c>
      <c r="AQ258">
        <v>0</v>
      </c>
      <c r="AR258">
        <v>0</v>
      </c>
    </row>
    <row r="259" spans="1:44" x14ac:dyDescent="0.25">
      <c r="A259">
        <f>ROW(Source!A184)</f>
        <v>184</v>
      </c>
      <c r="B259">
        <v>75618458</v>
      </c>
      <c r="C259">
        <v>75618443</v>
      </c>
      <c r="D259">
        <v>74309296</v>
      </c>
      <c r="E259">
        <v>1</v>
      </c>
      <c r="F259">
        <v>1</v>
      </c>
      <c r="G259">
        <v>1</v>
      </c>
      <c r="H259">
        <v>2</v>
      </c>
      <c r="I259" t="s">
        <v>689</v>
      </c>
      <c r="J259" t="s">
        <v>690</v>
      </c>
      <c r="K259" t="s">
        <v>691</v>
      </c>
      <c r="L259">
        <v>1368</v>
      </c>
      <c r="N259">
        <v>1011</v>
      </c>
      <c r="O259" t="s">
        <v>509</v>
      </c>
      <c r="P259" t="s">
        <v>509</v>
      </c>
      <c r="Q259">
        <v>1</v>
      </c>
      <c r="X259">
        <v>1.95</v>
      </c>
      <c r="Y259">
        <v>0</v>
      </c>
      <c r="Z259">
        <v>95.25</v>
      </c>
      <c r="AA259">
        <v>0</v>
      </c>
      <c r="AB259">
        <v>0</v>
      </c>
      <c r="AC259">
        <v>0</v>
      </c>
      <c r="AD259">
        <v>1</v>
      </c>
      <c r="AE259">
        <v>0</v>
      </c>
      <c r="AF259" t="s">
        <v>27</v>
      </c>
      <c r="AG259">
        <v>2.2424999999999997</v>
      </c>
      <c r="AH259">
        <v>2</v>
      </c>
      <c r="AI259">
        <v>75618458</v>
      </c>
      <c r="AJ259">
        <v>249</v>
      </c>
      <c r="AK259">
        <v>0</v>
      </c>
      <c r="AL259">
        <v>0</v>
      </c>
      <c r="AM259">
        <v>0</v>
      </c>
      <c r="AN259">
        <v>0</v>
      </c>
      <c r="AO259">
        <v>0</v>
      </c>
      <c r="AP259">
        <v>0</v>
      </c>
      <c r="AQ259">
        <v>0</v>
      </c>
      <c r="AR259">
        <v>0</v>
      </c>
    </row>
    <row r="260" spans="1:44" x14ac:dyDescent="0.25">
      <c r="A260">
        <f>ROW(Source!A184)</f>
        <v>184</v>
      </c>
      <c r="B260">
        <v>75618459</v>
      </c>
      <c r="C260">
        <v>75618443</v>
      </c>
      <c r="D260">
        <v>74309824</v>
      </c>
      <c r="E260">
        <v>1</v>
      </c>
      <c r="F260">
        <v>1</v>
      </c>
      <c r="G260">
        <v>1</v>
      </c>
      <c r="H260">
        <v>2</v>
      </c>
      <c r="I260" t="s">
        <v>527</v>
      </c>
      <c r="J260" t="s">
        <v>528</v>
      </c>
      <c r="K260" t="s">
        <v>529</v>
      </c>
      <c r="L260">
        <v>1368</v>
      </c>
      <c r="N260">
        <v>1011</v>
      </c>
      <c r="O260" t="s">
        <v>509</v>
      </c>
      <c r="P260" t="s">
        <v>509</v>
      </c>
      <c r="Q260">
        <v>1</v>
      </c>
      <c r="X260">
        <v>0.2</v>
      </c>
      <c r="Y260">
        <v>0</v>
      </c>
      <c r="Z260">
        <v>551.45000000000005</v>
      </c>
      <c r="AA260">
        <v>368.02</v>
      </c>
      <c r="AB260">
        <v>0</v>
      </c>
      <c r="AC260">
        <v>0</v>
      </c>
      <c r="AD260">
        <v>1</v>
      </c>
      <c r="AE260">
        <v>0</v>
      </c>
      <c r="AF260" t="s">
        <v>27</v>
      </c>
      <c r="AG260">
        <v>0.22999999999999998</v>
      </c>
      <c r="AH260">
        <v>2</v>
      </c>
      <c r="AI260">
        <v>75618459</v>
      </c>
      <c r="AJ260">
        <v>250</v>
      </c>
      <c r="AK260">
        <v>0</v>
      </c>
      <c r="AL260">
        <v>0</v>
      </c>
      <c r="AM260">
        <v>0</v>
      </c>
      <c r="AN260">
        <v>0</v>
      </c>
      <c r="AO260">
        <v>0</v>
      </c>
      <c r="AP260">
        <v>0</v>
      </c>
      <c r="AQ260">
        <v>0</v>
      </c>
      <c r="AR260">
        <v>0</v>
      </c>
    </row>
    <row r="261" spans="1:44" x14ac:dyDescent="0.25">
      <c r="A261">
        <f>ROW(Source!A184)</f>
        <v>184</v>
      </c>
      <c r="B261">
        <v>75618460</v>
      </c>
      <c r="C261">
        <v>75618443</v>
      </c>
      <c r="D261">
        <v>74182249</v>
      </c>
      <c r="E261">
        <v>118</v>
      </c>
      <c r="F261">
        <v>1</v>
      </c>
      <c r="G261">
        <v>1</v>
      </c>
      <c r="H261">
        <v>3</v>
      </c>
      <c r="I261" t="s">
        <v>775</v>
      </c>
      <c r="J261" t="s">
        <v>3</v>
      </c>
      <c r="K261" t="s">
        <v>776</v>
      </c>
      <c r="L261">
        <v>1348</v>
      </c>
      <c r="N261">
        <v>1009</v>
      </c>
      <c r="O261" t="s">
        <v>174</v>
      </c>
      <c r="P261" t="s">
        <v>174</v>
      </c>
      <c r="Q261">
        <v>1000</v>
      </c>
      <c r="X261">
        <v>1.6E-2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 t="s">
        <v>3</v>
      </c>
      <c r="AG261">
        <v>1.6E-2</v>
      </c>
      <c r="AH261">
        <v>3</v>
      </c>
      <c r="AI261">
        <v>-1</v>
      </c>
      <c r="AJ261" t="s">
        <v>3</v>
      </c>
      <c r="AK261">
        <v>0</v>
      </c>
      <c r="AL261">
        <v>0</v>
      </c>
      <c r="AM261">
        <v>0</v>
      </c>
      <c r="AN261">
        <v>0</v>
      </c>
      <c r="AO261">
        <v>0</v>
      </c>
      <c r="AP261">
        <v>0</v>
      </c>
      <c r="AQ261">
        <v>0</v>
      </c>
      <c r="AR261">
        <v>0</v>
      </c>
    </row>
    <row r="262" spans="1:44" x14ac:dyDescent="0.25">
      <c r="A262">
        <f>ROW(Source!A184)</f>
        <v>184</v>
      </c>
      <c r="B262">
        <v>75618461</v>
      </c>
      <c r="C262">
        <v>75618443</v>
      </c>
      <c r="D262">
        <v>74182282</v>
      </c>
      <c r="E262">
        <v>118</v>
      </c>
      <c r="F262">
        <v>1</v>
      </c>
      <c r="G262">
        <v>1</v>
      </c>
      <c r="H262">
        <v>3</v>
      </c>
      <c r="I262" t="s">
        <v>777</v>
      </c>
      <c r="J262" t="s">
        <v>3</v>
      </c>
      <c r="K262" t="s">
        <v>778</v>
      </c>
      <c r="L262">
        <v>1348</v>
      </c>
      <c r="N262">
        <v>1009</v>
      </c>
      <c r="O262" t="s">
        <v>174</v>
      </c>
      <c r="P262" t="s">
        <v>174</v>
      </c>
      <c r="Q262">
        <v>1000</v>
      </c>
      <c r="X262">
        <v>0.24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 t="s">
        <v>3</v>
      </c>
      <c r="AG262">
        <v>0.24</v>
      </c>
      <c r="AH262">
        <v>3</v>
      </c>
      <c r="AI262">
        <v>-1</v>
      </c>
      <c r="AJ262" t="s">
        <v>3</v>
      </c>
      <c r="AK262">
        <v>0</v>
      </c>
      <c r="AL262">
        <v>0</v>
      </c>
      <c r="AM262">
        <v>0</v>
      </c>
      <c r="AN262">
        <v>0</v>
      </c>
      <c r="AO262">
        <v>0</v>
      </c>
      <c r="AP262">
        <v>0</v>
      </c>
      <c r="AQ262">
        <v>0</v>
      </c>
      <c r="AR262">
        <v>0</v>
      </c>
    </row>
    <row r="263" spans="1:44" x14ac:dyDescent="0.25">
      <c r="A263">
        <f>ROW(Source!A184)</f>
        <v>184</v>
      </c>
      <c r="B263">
        <v>75618462</v>
      </c>
      <c r="C263">
        <v>75618443</v>
      </c>
      <c r="D263">
        <v>74256998</v>
      </c>
      <c r="E263">
        <v>1</v>
      </c>
      <c r="F263">
        <v>1</v>
      </c>
      <c r="G263">
        <v>1</v>
      </c>
      <c r="H263">
        <v>3</v>
      </c>
      <c r="I263" t="s">
        <v>725</v>
      </c>
      <c r="J263" t="s">
        <v>726</v>
      </c>
      <c r="K263" t="s">
        <v>727</v>
      </c>
      <c r="L263">
        <v>1348</v>
      </c>
      <c r="N263">
        <v>1009</v>
      </c>
      <c r="O263" t="s">
        <v>174</v>
      </c>
      <c r="P263" t="s">
        <v>174</v>
      </c>
      <c r="Q263">
        <v>1000</v>
      </c>
      <c r="X263">
        <v>2.4E-2</v>
      </c>
      <c r="Y263">
        <v>62186.75</v>
      </c>
      <c r="Z263">
        <v>0</v>
      </c>
      <c r="AA263">
        <v>0</v>
      </c>
      <c r="AB263">
        <v>0</v>
      </c>
      <c r="AC263">
        <v>0</v>
      </c>
      <c r="AD263">
        <v>1</v>
      </c>
      <c r="AE263">
        <v>0</v>
      </c>
      <c r="AF263" t="s">
        <v>3</v>
      </c>
      <c r="AG263">
        <v>2.4E-2</v>
      </c>
      <c r="AH263">
        <v>2</v>
      </c>
      <c r="AI263">
        <v>75618462</v>
      </c>
      <c r="AJ263">
        <v>253</v>
      </c>
      <c r="AK263">
        <v>0</v>
      </c>
      <c r="AL263">
        <v>0</v>
      </c>
      <c r="AM263">
        <v>0</v>
      </c>
      <c r="AN263">
        <v>0</v>
      </c>
      <c r="AO263">
        <v>0</v>
      </c>
      <c r="AP263">
        <v>0</v>
      </c>
      <c r="AQ263">
        <v>0</v>
      </c>
      <c r="AR263">
        <v>0</v>
      </c>
    </row>
    <row r="264" spans="1:44" x14ac:dyDescent="0.25">
      <c r="A264">
        <f>ROW(Source!A184)</f>
        <v>184</v>
      </c>
      <c r="B264">
        <v>75618463</v>
      </c>
      <c r="C264">
        <v>75618443</v>
      </c>
      <c r="D264">
        <v>74261677</v>
      </c>
      <c r="E264">
        <v>1</v>
      </c>
      <c r="F264">
        <v>1</v>
      </c>
      <c r="G264">
        <v>1</v>
      </c>
      <c r="H264">
        <v>3</v>
      </c>
      <c r="I264" t="s">
        <v>728</v>
      </c>
      <c r="J264" t="s">
        <v>729</v>
      </c>
      <c r="K264" t="s">
        <v>730</v>
      </c>
      <c r="L264">
        <v>1346</v>
      </c>
      <c r="N264">
        <v>1009</v>
      </c>
      <c r="O264" t="s">
        <v>240</v>
      </c>
      <c r="P264" t="s">
        <v>240</v>
      </c>
      <c r="Q264">
        <v>1</v>
      </c>
      <c r="X264">
        <v>0.1</v>
      </c>
      <c r="Y264">
        <v>56.11</v>
      </c>
      <c r="Z264">
        <v>0</v>
      </c>
      <c r="AA264">
        <v>0</v>
      </c>
      <c r="AB264">
        <v>0</v>
      </c>
      <c r="AC264">
        <v>0</v>
      </c>
      <c r="AD264">
        <v>1</v>
      </c>
      <c r="AE264">
        <v>0</v>
      </c>
      <c r="AF264" t="s">
        <v>3</v>
      </c>
      <c r="AG264">
        <v>0.1</v>
      </c>
      <c r="AH264">
        <v>2</v>
      </c>
      <c r="AI264">
        <v>75618463</v>
      </c>
      <c r="AJ264">
        <v>254</v>
      </c>
      <c r="AK264">
        <v>0</v>
      </c>
      <c r="AL264">
        <v>0</v>
      </c>
      <c r="AM264">
        <v>0</v>
      </c>
      <c r="AN264">
        <v>0</v>
      </c>
      <c r="AO264">
        <v>0</v>
      </c>
      <c r="AP264">
        <v>0</v>
      </c>
      <c r="AQ264">
        <v>0</v>
      </c>
      <c r="AR264">
        <v>0</v>
      </c>
    </row>
    <row r="265" spans="1:44" x14ac:dyDescent="0.25">
      <c r="A265">
        <f>ROW(Source!A224)</f>
        <v>224</v>
      </c>
      <c r="B265">
        <v>75604955</v>
      </c>
      <c r="C265">
        <v>75604948</v>
      </c>
      <c r="D265">
        <v>74182232</v>
      </c>
      <c r="E265">
        <v>118</v>
      </c>
      <c r="F265">
        <v>1</v>
      </c>
      <c r="G265">
        <v>1</v>
      </c>
      <c r="H265">
        <v>1</v>
      </c>
      <c r="I265" t="s">
        <v>731</v>
      </c>
      <c r="J265" t="s">
        <v>3</v>
      </c>
      <c r="K265" t="s">
        <v>732</v>
      </c>
      <c r="L265">
        <v>1191</v>
      </c>
      <c r="N265">
        <v>1013</v>
      </c>
      <c r="O265" t="s">
        <v>501</v>
      </c>
      <c r="P265" t="s">
        <v>501</v>
      </c>
      <c r="Q265">
        <v>1</v>
      </c>
      <c r="X265">
        <v>26.78</v>
      </c>
      <c r="Y265">
        <v>0</v>
      </c>
      <c r="Z265">
        <v>0</v>
      </c>
      <c r="AA265">
        <v>0</v>
      </c>
      <c r="AB265">
        <v>304.85000000000002</v>
      </c>
      <c r="AC265">
        <v>0</v>
      </c>
      <c r="AD265">
        <v>1</v>
      </c>
      <c r="AE265">
        <v>1</v>
      </c>
      <c r="AF265" t="s">
        <v>27</v>
      </c>
      <c r="AG265">
        <v>30.797000000000001</v>
      </c>
      <c r="AH265">
        <v>2</v>
      </c>
      <c r="AI265">
        <v>75604955</v>
      </c>
      <c r="AJ265">
        <v>255</v>
      </c>
      <c r="AK265">
        <v>0</v>
      </c>
      <c r="AL265">
        <v>0</v>
      </c>
      <c r="AM265">
        <v>0</v>
      </c>
      <c r="AN265">
        <v>0</v>
      </c>
      <c r="AO265">
        <v>0</v>
      </c>
      <c r="AP265">
        <v>0</v>
      </c>
      <c r="AQ265">
        <v>0</v>
      </c>
      <c r="AR265">
        <v>0</v>
      </c>
    </row>
    <row r="266" spans="1:44" x14ac:dyDescent="0.25">
      <c r="A266">
        <f>ROW(Source!A224)</f>
        <v>224</v>
      </c>
      <c r="B266">
        <v>75604956</v>
      </c>
      <c r="C266">
        <v>75604948</v>
      </c>
      <c r="D266">
        <v>74182464</v>
      </c>
      <c r="E266">
        <v>118</v>
      </c>
      <c r="F266">
        <v>1</v>
      </c>
      <c r="G266">
        <v>1</v>
      </c>
      <c r="H266">
        <v>1</v>
      </c>
      <c r="I266" t="s">
        <v>504</v>
      </c>
      <c r="J266" t="s">
        <v>3</v>
      </c>
      <c r="K266" t="s">
        <v>505</v>
      </c>
      <c r="L266">
        <v>1191</v>
      </c>
      <c r="N266">
        <v>1013</v>
      </c>
      <c r="O266" t="s">
        <v>501</v>
      </c>
      <c r="P266" t="s">
        <v>501</v>
      </c>
      <c r="Q266">
        <v>1</v>
      </c>
      <c r="X266">
        <v>0.05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1</v>
      </c>
      <c r="AE266">
        <v>2</v>
      </c>
      <c r="AF266" t="s">
        <v>27</v>
      </c>
      <c r="AG266">
        <v>5.7499999999999996E-2</v>
      </c>
      <c r="AH266">
        <v>2</v>
      </c>
      <c r="AI266">
        <v>75604956</v>
      </c>
      <c r="AJ266">
        <v>256</v>
      </c>
      <c r="AK266">
        <v>0</v>
      </c>
      <c r="AL266">
        <v>0</v>
      </c>
      <c r="AM266">
        <v>0</v>
      </c>
      <c r="AN266">
        <v>0</v>
      </c>
      <c r="AO266">
        <v>0</v>
      </c>
      <c r="AP266">
        <v>0</v>
      </c>
      <c r="AQ266">
        <v>0</v>
      </c>
      <c r="AR266">
        <v>0</v>
      </c>
    </row>
    <row r="267" spans="1:44" x14ac:dyDescent="0.25">
      <c r="A267">
        <f>ROW(Source!A224)</f>
        <v>224</v>
      </c>
      <c r="B267">
        <v>75604957</v>
      </c>
      <c r="C267">
        <v>75604948</v>
      </c>
      <c r="D267">
        <v>74309738</v>
      </c>
      <c r="E267">
        <v>1</v>
      </c>
      <c r="F267">
        <v>1</v>
      </c>
      <c r="G267">
        <v>1</v>
      </c>
      <c r="H267">
        <v>2</v>
      </c>
      <c r="I267" t="s">
        <v>733</v>
      </c>
      <c r="J267" t="s">
        <v>734</v>
      </c>
      <c r="K267" t="s">
        <v>735</v>
      </c>
      <c r="L267">
        <v>1368</v>
      </c>
      <c r="N267">
        <v>1011</v>
      </c>
      <c r="O267" t="s">
        <v>509</v>
      </c>
      <c r="P267" t="s">
        <v>509</v>
      </c>
      <c r="Q267">
        <v>1</v>
      </c>
      <c r="X267">
        <v>0.14000000000000001</v>
      </c>
      <c r="Y267">
        <v>0</v>
      </c>
      <c r="Z267">
        <v>50.89</v>
      </c>
      <c r="AA267">
        <v>0</v>
      </c>
      <c r="AB267">
        <v>0</v>
      </c>
      <c r="AC267">
        <v>0</v>
      </c>
      <c r="AD267">
        <v>1</v>
      </c>
      <c r="AE267">
        <v>0</v>
      </c>
      <c r="AF267" t="s">
        <v>27</v>
      </c>
      <c r="AG267">
        <v>0.161</v>
      </c>
      <c r="AH267">
        <v>2</v>
      </c>
      <c r="AI267">
        <v>75604957</v>
      </c>
      <c r="AJ267">
        <v>257</v>
      </c>
      <c r="AK267">
        <v>0</v>
      </c>
      <c r="AL267">
        <v>0</v>
      </c>
      <c r="AM267">
        <v>0</v>
      </c>
      <c r="AN267">
        <v>0</v>
      </c>
      <c r="AO267">
        <v>0</v>
      </c>
      <c r="AP267">
        <v>0</v>
      </c>
      <c r="AQ267">
        <v>0</v>
      </c>
      <c r="AR267">
        <v>0</v>
      </c>
    </row>
    <row r="268" spans="1:44" x14ac:dyDescent="0.25">
      <c r="A268">
        <f>ROW(Source!A224)</f>
        <v>224</v>
      </c>
      <c r="B268">
        <v>75604958</v>
      </c>
      <c r="C268">
        <v>75604948</v>
      </c>
      <c r="D268">
        <v>74309909</v>
      </c>
      <c r="E268">
        <v>1</v>
      </c>
      <c r="F268">
        <v>1</v>
      </c>
      <c r="G268">
        <v>1</v>
      </c>
      <c r="H268">
        <v>2</v>
      </c>
      <c r="I268" t="s">
        <v>736</v>
      </c>
      <c r="J268" t="s">
        <v>737</v>
      </c>
      <c r="K268" t="s">
        <v>738</v>
      </c>
      <c r="L268">
        <v>1368</v>
      </c>
      <c r="N268">
        <v>1011</v>
      </c>
      <c r="O268" t="s">
        <v>509</v>
      </c>
      <c r="P268" t="s">
        <v>509</v>
      </c>
      <c r="Q268">
        <v>1</v>
      </c>
      <c r="X268">
        <v>0.05</v>
      </c>
      <c r="Y268">
        <v>0</v>
      </c>
      <c r="Z268">
        <v>650.61</v>
      </c>
      <c r="AA268">
        <v>368.02</v>
      </c>
      <c r="AB268">
        <v>0</v>
      </c>
      <c r="AC268">
        <v>0</v>
      </c>
      <c r="AD268">
        <v>1</v>
      </c>
      <c r="AE268">
        <v>0</v>
      </c>
      <c r="AF268" t="s">
        <v>27</v>
      </c>
      <c r="AG268">
        <v>5.7499999999999996E-2</v>
      </c>
      <c r="AH268">
        <v>2</v>
      </c>
      <c r="AI268">
        <v>75604958</v>
      </c>
      <c r="AJ268">
        <v>258</v>
      </c>
      <c r="AK268">
        <v>0</v>
      </c>
      <c r="AL268">
        <v>0</v>
      </c>
      <c r="AM268">
        <v>0</v>
      </c>
      <c r="AN268">
        <v>0</v>
      </c>
      <c r="AO268">
        <v>0</v>
      </c>
      <c r="AP268">
        <v>0</v>
      </c>
      <c r="AQ268">
        <v>0</v>
      </c>
      <c r="AR268">
        <v>0</v>
      </c>
    </row>
    <row r="269" spans="1:44" x14ac:dyDescent="0.25">
      <c r="A269">
        <f>ROW(Source!A224)</f>
        <v>224</v>
      </c>
      <c r="B269">
        <v>75604959</v>
      </c>
      <c r="C269">
        <v>75604948</v>
      </c>
      <c r="D269">
        <v>74186599</v>
      </c>
      <c r="E269">
        <v>118</v>
      </c>
      <c r="F269">
        <v>1</v>
      </c>
      <c r="G269">
        <v>1</v>
      </c>
      <c r="H269">
        <v>3</v>
      </c>
      <c r="I269" t="s">
        <v>779</v>
      </c>
      <c r="J269" t="s">
        <v>3</v>
      </c>
      <c r="K269" t="s">
        <v>414</v>
      </c>
      <c r="L269">
        <v>1339</v>
      </c>
      <c r="N269">
        <v>1007</v>
      </c>
      <c r="O269" t="s">
        <v>205</v>
      </c>
      <c r="P269" t="s">
        <v>205</v>
      </c>
      <c r="Q269">
        <v>1</v>
      </c>
      <c r="X269">
        <v>15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 t="s">
        <v>3</v>
      </c>
      <c r="AG269">
        <v>15</v>
      </c>
      <c r="AH269">
        <v>3</v>
      </c>
      <c r="AI269">
        <v>-1</v>
      </c>
      <c r="AJ269" t="s">
        <v>3</v>
      </c>
      <c r="AK269">
        <v>0</v>
      </c>
      <c r="AL269">
        <v>0</v>
      </c>
      <c r="AM269">
        <v>0</v>
      </c>
      <c r="AN269">
        <v>0</v>
      </c>
      <c r="AO269">
        <v>0</v>
      </c>
      <c r="AP269">
        <v>0</v>
      </c>
      <c r="AQ269">
        <v>0</v>
      </c>
      <c r="AR269">
        <v>0</v>
      </c>
    </row>
    <row r="270" spans="1:44" x14ac:dyDescent="0.25">
      <c r="A270">
        <f>ROW(Source!A227)</f>
        <v>227</v>
      </c>
      <c r="B270">
        <v>75604965</v>
      </c>
      <c r="C270">
        <v>75604961</v>
      </c>
      <c r="D270">
        <v>74182232</v>
      </c>
      <c r="E270">
        <v>118</v>
      </c>
      <c r="F270">
        <v>1</v>
      </c>
      <c r="G270">
        <v>1</v>
      </c>
      <c r="H270">
        <v>1</v>
      </c>
      <c r="I270" t="s">
        <v>731</v>
      </c>
      <c r="J270" t="s">
        <v>3</v>
      </c>
      <c r="K270" t="s">
        <v>732</v>
      </c>
      <c r="L270">
        <v>1191</v>
      </c>
      <c r="N270">
        <v>1013</v>
      </c>
      <c r="O270" t="s">
        <v>501</v>
      </c>
      <c r="P270" t="s">
        <v>501</v>
      </c>
      <c r="Q270">
        <v>1</v>
      </c>
      <c r="X270">
        <v>5.47</v>
      </c>
      <c r="Y270">
        <v>0</v>
      </c>
      <c r="Z270">
        <v>0</v>
      </c>
      <c r="AA270">
        <v>0</v>
      </c>
      <c r="AB270">
        <v>304.85000000000002</v>
      </c>
      <c r="AC270">
        <v>0</v>
      </c>
      <c r="AD270">
        <v>1</v>
      </c>
      <c r="AE270">
        <v>1</v>
      </c>
      <c r="AF270" t="s">
        <v>27</v>
      </c>
      <c r="AG270">
        <v>6.2904999999999989</v>
      </c>
      <c r="AH270">
        <v>2</v>
      </c>
      <c r="AI270">
        <v>75604965</v>
      </c>
      <c r="AJ270">
        <v>260</v>
      </c>
      <c r="AK270">
        <v>0</v>
      </c>
      <c r="AL270">
        <v>0</v>
      </c>
      <c r="AM270">
        <v>0</v>
      </c>
      <c r="AN270">
        <v>0</v>
      </c>
      <c r="AO270">
        <v>0</v>
      </c>
      <c r="AP270">
        <v>0</v>
      </c>
      <c r="AQ270">
        <v>0</v>
      </c>
      <c r="AR270">
        <v>0</v>
      </c>
    </row>
    <row r="271" spans="1:44" x14ac:dyDescent="0.25">
      <c r="A271">
        <f>ROW(Source!A227)</f>
        <v>227</v>
      </c>
      <c r="B271">
        <v>75604966</v>
      </c>
      <c r="C271">
        <v>75604961</v>
      </c>
      <c r="D271">
        <v>74186599</v>
      </c>
      <c r="E271">
        <v>118</v>
      </c>
      <c r="F271">
        <v>1</v>
      </c>
      <c r="G271">
        <v>1</v>
      </c>
      <c r="H271">
        <v>3</v>
      </c>
      <c r="I271" t="s">
        <v>779</v>
      </c>
      <c r="J271" t="s">
        <v>3</v>
      </c>
      <c r="K271" t="s">
        <v>414</v>
      </c>
      <c r="L271">
        <v>1339</v>
      </c>
      <c r="N271">
        <v>1007</v>
      </c>
      <c r="O271" t="s">
        <v>205</v>
      </c>
      <c r="P271" t="s">
        <v>205</v>
      </c>
      <c r="Q271">
        <v>1</v>
      </c>
      <c r="X271">
        <v>5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 t="s">
        <v>3</v>
      </c>
      <c r="AG271">
        <v>5</v>
      </c>
      <c r="AH271">
        <v>3</v>
      </c>
      <c r="AI271">
        <v>-1</v>
      </c>
      <c r="AJ271" t="s">
        <v>3</v>
      </c>
      <c r="AK271">
        <v>0</v>
      </c>
      <c r="AL271">
        <v>0</v>
      </c>
      <c r="AM271">
        <v>0</v>
      </c>
      <c r="AN271">
        <v>0</v>
      </c>
      <c r="AO271">
        <v>0</v>
      </c>
      <c r="AP271">
        <v>0</v>
      </c>
      <c r="AQ271">
        <v>0</v>
      </c>
      <c r="AR271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8</vt:i4>
      </vt:variant>
    </vt:vector>
  </HeadingPairs>
  <TitlesOfParts>
    <vt:vector size="19" baseType="lpstr">
      <vt:lpstr>Смета по ФСНБ 421+557прРИМ</vt:lpstr>
      <vt:lpstr>Ведомость объемов работ</vt:lpstr>
      <vt:lpstr>Дефектная ведомость</vt:lpstr>
      <vt:lpstr>RV_DATA</vt:lpstr>
      <vt:lpstr>Расчет стоимости ресурсов</vt:lpstr>
      <vt:lpstr>Source</vt:lpstr>
      <vt:lpstr>SourceObSm</vt:lpstr>
      <vt:lpstr>SmtRes</vt:lpstr>
      <vt:lpstr>EtalonRes</vt:lpstr>
      <vt:lpstr>SrcPoprs</vt:lpstr>
      <vt:lpstr>SrcKA</vt:lpstr>
      <vt:lpstr>'Ведомость объемов работ'!Заголовки_для_печати</vt:lpstr>
      <vt:lpstr>'Дефектная ведомость'!Заголовки_для_печати</vt:lpstr>
      <vt:lpstr>'Расчет стоимости ресурсов'!Заголовки_для_печати</vt:lpstr>
      <vt:lpstr>'Смета по ФСНБ 421+557прРИМ'!Заголовки_для_печати</vt:lpstr>
      <vt:lpstr>'Ведомость объемов работ'!Область_печати</vt:lpstr>
      <vt:lpstr>'Дефектная ведомость'!Область_печати</vt:lpstr>
      <vt:lpstr>'Расчет стоимости ресурсов'!Область_печати</vt:lpstr>
      <vt:lpstr>'Смета по ФСНБ 421+557прРИМ'!Область_печати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</dc:creator>
  <cp:lastModifiedBy>Professional</cp:lastModifiedBy>
  <cp:lastPrinted>2026-06-30T12:36:10Z</cp:lastPrinted>
  <dcterms:created xsi:type="dcterms:W3CDTF">2026-06-30T12:17:52Z</dcterms:created>
  <dcterms:modified xsi:type="dcterms:W3CDTF">2026-06-30T14:03:34Z</dcterms:modified>
</cp:coreProperties>
</file>