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апитальный ремонт\2026г\на 4 млн\костюмерная\"/>
    </mc:Choice>
  </mc:AlternateContent>
  <bookViews>
    <workbookView xWindow="0" yWindow="0" windowWidth="28800" windowHeight="14445"/>
  </bookViews>
  <sheets>
    <sheet name="ЛСР02-01-01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externalReferences>
    <externalReference r:id="rId8"/>
  </externalReferences>
  <definedNames>
    <definedName name="_xlnm.Print_Titles" localSheetId="0">'ЛСР02-01-01'!$59:$59</definedName>
    <definedName name="_xlnm.Print_Area" localSheetId="0">'ЛСР02-01-01'!$A$1:$L$616</definedName>
  </definedNames>
  <calcPr calcId="162913" iterate="1"/>
</workbook>
</file>

<file path=xl/calcChain.xml><?xml version="1.0" encoding="utf-8"?>
<calcChain xmlns="http://schemas.openxmlformats.org/spreadsheetml/2006/main">
  <c r="A33" i="7" l="1"/>
  <c r="C614" i="7" l="1"/>
  <c r="C611" i="7"/>
  <c r="C51" i="7"/>
  <c r="L605" i="7"/>
  <c r="L604" i="7"/>
  <c r="L595" i="7"/>
  <c r="L594" i="7"/>
  <c r="L587" i="7"/>
  <c r="L583" i="7"/>
  <c r="L571" i="7"/>
  <c r="L570" i="7"/>
  <c r="L569" i="7"/>
  <c r="L568" i="7"/>
  <c r="L567" i="7"/>
  <c r="L566" i="7"/>
  <c r="L564" i="7" s="1"/>
  <c r="L563" i="7"/>
  <c r="L562" i="7"/>
  <c r="L560" i="7"/>
  <c r="L557" i="7"/>
  <c r="L552" i="7"/>
  <c r="L551" i="7"/>
  <c r="L550" i="7"/>
  <c r="L545" i="7"/>
  <c r="L544" i="7"/>
  <c r="L540" i="7"/>
  <c r="L539" i="7"/>
  <c r="L538" i="7"/>
  <c r="L537" i="7"/>
  <c r="L536" i="7"/>
  <c r="L535" i="7"/>
  <c r="L532" i="7"/>
  <c r="L531" i="7"/>
  <c r="L529" i="7"/>
  <c r="L526" i="7"/>
  <c r="L516" i="7"/>
  <c r="L512" i="7"/>
  <c r="G497" i="7"/>
  <c r="G496" i="7"/>
  <c r="L495" i="7"/>
  <c r="L494" i="7"/>
  <c r="L491" i="7"/>
  <c r="L490" i="7"/>
  <c r="L488" i="7"/>
  <c r="L487" i="7"/>
  <c r="L482" i="7"/>
  <c r="L480" i="7"/>
  <c r="L479" i="7"/>
  <c r="L477" i="7" s="1"/>
  <c r="L476" i="7"/>
  <c r="L475" i="7"/>
  <c r="L473" i="7"/>
  <c r="L470" i="7"/>
  <c r="AU466" i="7"/>
  <c r="AS466" i="7"/>
  <c r="AP466" i="7"/>
  <c r="BA466" i="7"/>
  <c r="AZ466" i="7"/>
  <c r="AE466" i="7"/>
  <c r="AD466" i="7"/>
  <c r="L465" i="7"/>
  <c r="K466" i="7" s="1"/>
  <c r="J465" i="7"/>
  <c r="E465" i="7"/>
  <c r="G465" i="7"/>
  <c r="D465" i="7"/>
  <c r="C465" i="7"/>
  <c r="AU464" i="7"/>
  <c r="AS464" i="7"/>
  <c r="AP464" i="7"/>
  <c r="BA464" i="7"/>
  <c r="AZ464" i="7"/>
  <c r="L483" i="7" s="1"/>
  <c r="AE464" i="7"/>
  <c r="AD464" i="7"/>
  <c r="L463" i="7"/>
  <c r="J463" i="7"/>
  <c r="E463" i="7"/>
  <c r="G463" i="7"/>
  <c r="D463" i="7"/>
  <c r="C463" i="7"/>
  <c r="L457" i="7"/>
  <c r="L456" i="7"/>
  <c r="L453" i="7"/>
  <c r="L452" i="7"/>
  <c r="L450" i="7"/>
  <c r="L449" i="7"/>
  <c r="L447" i="7" s="1"/>
  <c r="L443" i="7"/>
  <c r="L442" i="7"/>
  <c r="L438" i="7"/>
  <c r="AT428" i="7"/>
  <c r="AR428" i="7"/>
  <c r="AO428" i="7"/>
  <c r="BA428" i="7"/>
  <c r="AZ428" i="7"/>
  <c r="AE428" i="7"/>
  <c r="AD428" i="7"/>
  <c r="L427" i="7"/>
  <c r="K428" i="7" s="1"/>
  <c r="I427" i="7"/>
  <c r="H427" i="7"/>
  <c r="E427" i="7"/>
  <c r="G427" i="7"/>
  <c r="D427" i="7"/>
  <c r="C427" i="7"/>
  <c r="B427" i="7"/>
  <c r="AT426" i="7"/>
  <c r="AR426" i="7"/>
  <c r="AO426" i="7"/>
  <c r="BA426" i="7"/>
  <c r="AZ426" i="7"/>
  <c r="AE426" i="7"/>
  <c r="AD426" i="7"/>
  <c r="L425" i="7"/>
  <c r="K426" i="7" s="1"/>
  <c r="I425" i="7"/>
  <c r="H425" i="7"/>
  <c r="E425" i="7"/>
  <c r="G425" i="7"/>
  <c r="D425" i="7"/>
  <c r="C425" i="7"/>
  <c r="B425" i="7"/>
  <c r="AT424" i="7"/>
  <c r="AR424" i="7"/>
  <c r="AO424" i="7"/>
  <c r="BA424" i="7"/>
  <c r="AZ424" i="7"/>
  <c r="AE424" i="7"/>
  <c r="AD424" i="7"/>
  <c r="L423" i="7"/>
  <c r="K424" i="7" s="1"/>
  <c r="I423" i="7"/>
  <c r="H423" i="7"/>
  <c r="E423" i="7"/>
  <c r="G423" i="7"/>
  <c r="D423" i="7"/>
  <c r="C423" i="7"/>
  <c r="B423" i="7"/>
  <c r="AT422" i="7"/>
  <c r="AR422" i="7"/>
  <c r="AO422" i="7"/>
  <c r="BA422" i="7"/>
  <c r="AZ422" i="7"/>
  <c r="AE422" i="7"/>
  <c r="AD422" i="7"/>
  <c r="L421" i="7"/>
  <c r="K422" i="7" s="1"/>
  <c r="I421" i="7"/>
  <c r="H421" i="7"/>
  <c r="E421" i="7"/>
  <c r="G421" i="7"/>
  <c r="D421" i="7"/>
  <c r="C421" i="7"/>
  <c r="B421" i="7"/>
  <c r="AE420" i="7"/>
  <c r="AD420" i="7"/>
  <c r="G419" i="7"/>
  <c r="F419" i="7"/>
  <c r="E419" i="7"/>
  <c r="G418" i="7"/>
  <c r="F418" i="7"/>
  <c r="E418" i="7"/>
  <c r="G415" i="7"/>
  <c r="E415" i="7"/>
  <c r="D415" i="7"/>
  <c r="C415" i="7"/>
  <c r="B415" i="7"/>
  <c r="G414" i="7"/>
  <c r="E414" i="7"/>
  <c r="D414" i="7"/>
  <c r="C414" i="7"/>
  <c r="B414" i="7"/>
  <c r="G413" i="7"/>
  <c r="E413" i="7"/>
  <c r="D413" i="7"/>
  <c r="C413" i="7"/>
  <c r="B413" i="7"/>
  <c r="L412" i="7"/>
  <c r="I412" i="7"/>
  <c r="H412" i="7"/>
  <c r="G412" i="7"/>
  <c r="L411" i="7"/>
  <c r="L410" i="7" s="1"/>
  <c r="AW420" i="7" s="1"/>
  <c r="I411" i="7"/>
  <c r="H411" i="7"/>
  <c r="G411" i="7"/>
  <c r="L409" i="7"/>
  <c r="J409" i="7"/>
  <c r="F409" i="7"/>
  <c r="E409" i="7"/>
  <c r="L408" i="7"/>
  <c r="J408" i="7"/>
  <c r="G408" i="7"/>
  <c r="F408" i="7"/>
  <c r="L407" i="7"/>
  <c r="L405" i="7" s="1"/>
  <c r="J407" i="7"/>
  <c r="F407" i="7"/>
  <c r="E407" i="7"/>
  <c r="L406" i="7"/>
  <c r="I406" i="7"/>
  <c r="H406" i="7"/>
  <c r="G406" i="7"/>
  <c r="F406" i="7"/>
  <c r="L403" i="7"/>
  <c r="L402" i="7" s="1"/>
  <c r="J403" i="7"/>
  <c r="G403" i="7"/>
  <c r="F403" i="7"/>
  <c r="C401" i="7"/>
  <c r="B401" i="7"/>
  <c r="E400" i="7"/>
  <c r="G400" i="7"/>
  <c r="D400" i="7"/>
  <c r="AW399" i="7"/>
  <c r="AE399" i="7"/>
  <c r="AD399" i="7"/>
  <c r="G398" i="7"/>
  <c r="E398" i="7"/>
  <c r="G397" i="7"/>
  <c r="E397" i="7"/>
  <c r="L394" i="7"/>
  <c r="L392" i="7" s="1"/>
  <c r="J394" i="7"/>
  <c r="E394" i="7"/>
  <c r="L393" i="7"/>
  <c r="I393" i="7"/>
  <c r="H393" i="7"/>
  <c r="G393" i="7"/>
  <c r="L390" i="7"/>
  <c r="L389" i="7" s="1"/>
  <c r="J390" i="7"/>
  <c r="G390" i="7"/>
  <c r="E388" i="7"/>
  <c r="G388" i="7"/>
  <c r="D388" i="7"/>
  <c r="C388" i="7"/>
  <c r="C387" i="7"/>
  <c r="AT386" i="7"/>
  <c r="AR386" i="7"/>
  <c r="AO386" i="7"/>
  <c r="BA386" i="7"/>
  <c r="AZ386" i="7"/>
  <c r="AE386" i="7"/>
  <c r="AD386" i="7"/>
  <c r="L385" i="7"/>
  <c r="K386" i="7" s="1"/>
  <c r="I385" i="7"/>
  <c r="H385" i="7"/>
  <c r="E385" i="7"/>
  <c r="G385" i="7"/>
  <c r="D385" i="7"/>
  <c r="C385" i="7"/>
  <c r="B385" i="7"/>
  <c r="AE384" i="7"/>
  <c r="AD384" i="7"/>
  <c r="G383" i="7"/>
  <c r="F383" i="7"/>
  <c r="E383" i="7"/>
  <c r="G382" i="7"/>
  <c r="F382" i="7"/>
  <c r="E382" i="7"/>
  <c r="G379" i="7"/>
  <c r="E379" i="7"/>
  <c r="D379" i="7"/>
  <c r="C379" i="7"/>
  <c r="B379" i="7"/>
  <c r="L378" i="7"/>
  <c r="L377" i="7" s="1"/>
  <c r="AW384" i="7" s="1"/>
  <c r="J378" i="7"/>
  <c r="G378" i="7"/>
  <c r="L376" i="7"/>
  <c r="J376" i="7"/>
  <c r="F376" i="7"/>
  <c r="E376" i="7"/>
  <c r="L375" i="7"/>
  <c r="J375" i="7"/>
  <c r="G375" i="7"/>
  <c r="F375" i="7"/>
  <c r="L374" i="7"/>
  <c r="L372" i="7" s="1"/>
  <c r="J374" i="7"/>
  <c r="F374" i="7"/>
  <c r="E374" i="7"/>
  <c r="L373" i="7"/>
  <c r="I373" i="7"/>
  <c r="H373" i="7"/>
  <c r="G373" i="7"/>
  <c r="F373" i="7"/>
  <c r="L370" i="7"/>
  <c r="L369" i="7" s="1"/>
  <c r="J370" i="7"/>
  <c r="G370" i="7"/>
  <c r="F370" i="7"/>
  <c r="C368" i="7"/>
  <c r="B368" i="7"/>
  <c r="E367" i="7"/>
  <c r="G367" i="7"/>
  <c r="D367" i="7"/>
  <c r="C366" i="7"/>
  <c r="AT365" i="7"/>
  <c r="AR365" i="7"/>
  <c r="AO365" i="7"/>
  <c r="BA365" i="7"/>
  <c r="AZ365" i="7"/>
  <c r="AE365" i="7"/>
  <c r="AD365" i="7"/>
  <c r="L364" i="7"/>
  <c r="K365" i="7" s="1"/>
  <c r="I364" i="7"/>
  <c r="H364" i="7"/>
  <c r="E364" i="7"/>
  <c r="G364" i="7"/>
  <c r="D364" i="7"/>
  <c r="C364" i="7"/>
  <c r="B364" i="7"/>
  <c r="AE363" i="7"/>
  <c r="AD363" i="7"/>
  <c r="G362" i="7"/>
  <c r="E362" i="7"/>
  <c r="G361" i="7"/>
  <c r="E361" i="7"/>
  <c r="G358" i="7"/>
  <c r="E358" i="7"/>
  <c r="D358" i="7"/>
  <c r="C358" i="7"/>
  <c r="B358" i="7"/>
  <c r="L357" i="7"/>
  <c r="I357" i="7"/>
  <c r="H357" i="7"/>
  <c r="G357" i="7"/>
  <c r="L356" i="7"/>
  <c r="L355" i="7" s="1"/>
  <c r="AW363" i="7" s="1"/>
  <c r="I356" i="7"/>
  <c r="H356" i="7"/>
  <c r="G356" i="7"/>
  <c r="L354" i="7"/>
  <c r="L352" i="7" s="1"/>
  <c r="J354" i="7"/>
  <c r="E354" i="7"/>
  <c r="L353" i="7"/>
  <c r="J353" i="7"/>
  <c r="G353" i="7"/>
  <c r="L350" i="7"/>
  <c r="L349" i="7" s="1"/>
  <c r="J350" i="7"/>
  <c r="G350" i="7"/>
  <c r="E348" i="7"/>
  <c r="G348" i="7"/>
  <c r="D348" i="7"/>
  <c r="C348" i="7"/>
  <c r="AT347" i="7"/>
  <c r="AR347" i="7"/>
  <c r="AO347" i="7"/>
  <c r="BA347" i="7"/>
  <c r="AZ347" i="7"/>
  <c r="AE347" i="7"/>
  <c r="AD347" i="7"/>
  <c r="L346" i="7"/>
  <c r="K347" i="7" s="1"/>
  <c r="I346" i="7"/>
  <c r="H346" i="7"/>
  <c r="E346" i="7"/>
  <c r="G346" i="7"/>
  <c r="D346" i="7"/>
  <c r="C346" i="7"/>
  <c r="B346" i="7"/>
  <c r="AE345" i="7"/>
  <c r="AD345" i="7"/>
  <c r="G344" i="7"/>
  <c r="E344" i="7"/>
  <c r="G343" i="7"/>
  <c r="E343" i="7"/>
  <c r="G340" i="7"/>
  <c r="E340" i="7"/>
  <c r="D340" i="7"/>
  <c r="C340" i="7"/>
  <c r="B340" i="7"/>
  <c r="L339" i="7"/>
  <c r="I339" i="7"/>
  <c r="H339" i="7"/>
  <c r="G339" i="7"/>
  <c r="L338" i="7"/>
  <c r="L337" i="7" s="1"/>
  <c r="AW345" i="7" s="1"/>
  <c r="I338" i="7"/>
  <c r="H338" i="7"/>
  <c r="G338" i="7"/>
  <c r="L336" i="7"/>
  <c r="L334" i="7" s="1"/>
  <c r="J336" i="7"/>
  <c r="E336" i="7"/>
  <c r="L335" i="7"/>
  <c r="J335" i="7"/>
  <c r="G335" i="7"/>
  <c r="L332" i="7"/>
  <c r="L331" i="7" s="1"/>
  <c r="J332" i="7"/>
  <c r="G332" i="7"/>
  <c r="E330" i="7"/>
  <c r="G330" i="7"/>
  <c r="D330" i="7"/>
  <c r="C330" i="7"/>
  <c r="AT329" i="7"/>
  <c r="AR329" i="7"/>
  <c r="AO329" i="7"/>
  <c r="BA329" i="7"/>
  <c r="AZ329" i="7"/>
  <c r="AE329" i="7"/>
  <c r="AD329" i="7"/>
  <c r="L328" i="7"/>
  <c r="I328" i="7"/>
  <c r="H328" i="7"/>
  <c r="E328" i="7"/>
  <c r="G328" i="7"/>
  <c r="D328" i="7"/>
  <c r="C328" i="7"/>
  <c r="B328" i="7"/>
  <c r="AE327" i="7"/>
  <c r="AD327" i="7"/>
  <c r="G326" i="7"/>
  <c r="F326" i="7"/>
  <c r="E326" i="7"/>
  <c r="G325" i="7"/>
  <c r="F325" i="7"/>
  <c r="E325" i="7"/>
  <c r="G322" i="7"/>
  <c r="E322" i="7"/>
  <c r="D322" i="7"/>
  <c r="C322" i="7"/>
  <c r="B322" i="7"/>
  <c r="G321" i="7"/>
  <c r="E321" i="7"/>
  <c r="D321" i="7"/>
  <c r="C321" i="7"/>
  <c r="B321" i="7"/>
  <c r="L320" i="7"/>
  <c r="I320" i="7"/>
  <c r="H320" i="7"/>
  <c r="G320" i="7"/>
  <c r="L319" i="7"/>
  <c r="L318" i="7" s="1"/>
  <c r="AW327" i="7" s="1"/>
  <c r="I319" i="7"/>
  <c r="H319" i="7"/>
  <c r="G319" i="7"/>
  <c r="L317" i="7"/>
  <c r="J317" i="7"/>
  <c r="F317" i="7"/>
  <c r="E317" i="7"/>
  <c r="L316" i="7"/>
  <c r="J316" i="7"/>
  <c r="G316" i="7"/>
  <c r="F316" i="7"/>
  <c r="L315" i="7"/>
  <c r="J315" i="7"/>
  <c r="F315" i="7"/>
  <c r="E315" i="7"/>
  <c r="L314" i="7"/>
  <c r="I314" i="7"/>
  <c r="H314" i="7"/>
  <c r="G314" i="7"/>
  <c r="F314" i="7"/>
  <c r="L311" i="7"/>
  <c r="L310" i="7" s="1"/>
  <c r="J311" i="7"/>
  <c r="G311" i="7"/>
  <c r="F311" i="7"/>
  <c r="C309" i="7"/>
  <c r="B309" i="7"/>
  <c r="E308" i="7"/>
  <c r="G308" i="7"/>
  <c r="D308" i="7"/>
  <c r="AT307" i="7"/>
  <c r="AR307" i="7"/>
  <c r="AO307" i="7"/>
  <c r="BA307" i="7"/>
  <c r="AZ307" i="7"/>
  <c r="AE307" i="7"/>
  <c r="AD307" i="7"/>
  <c r="L306" i="7"/>
  <c r="K307" i="7" s="1"/>
  <c r="I306" i="7"/>
  <c r="H306" i="7"/>
  <c r="E306" i="7"/>
  <c r="G306" i="7"/>
  <c r="D306" i="7"/>
  <c r="C306" i="7"/>
  <c r="B306" i="7"/>
  <c r="AT305" i="7"/>
  <c r="AR305" i="7"/>
  <c r="AO305" i="7"/>
  <c r="BA305" i="7"/>
  <c r="AZ305" i="7"/>
  <c r="AE305" i="7"/>
  <c r="AD305" i="7"/>
  <c r="L304" i="7"/>
  <c r="K305" i="7" s="1"/>
  <c r="I304" i="7"/>
  <c r="H304" i="7"/>
  <c r="E304" i="7"/>
  <c r="G304" i="7"/>
  <c r="D304" i="7"/>
  <c r="C304" i="7"/>
  <c r="B304" i="7"/>
  <c r="AE303" i="7"/>
  <c r="AD303" i="7"/>
  <c r="G302" i="7"/>
  <c r="F302" i="7"/>
  <c r="E302" i="7"/>
  <c r="G301" i="7"/>
  <c r="F301" i="7"/>
  <c r="E301" i="7"/>
  <c r="G298" i="7"/>
  <c r="E298" i="7"/>
  <c r="D298" i="7"/>
  <c r="C298" i="7"/>
  <c r="B298" i="7"/>
  <c r="G297" i="7"/>
  <c r="E297" i="7"/>
  <c r="D297" i="7"/>
  <c r="C297" i="7"/>
  <c r="B297" i="7"/>
  <c r="L296" i="7"/>
  <c r="I296" i="7"/>
  <c r="H296" i="7"/>
  <c r="G296" i="7"/>
  <c r="L295" i="7"/>
  <c r="I295" i="7"/>
  <c r="H295" i="7"/>
  <c r="G295" i="7"/>
  <c r="L294" i="7"/>
  <c r="I294" i="7"/>
  <c r="H294" i="7"/>
  <c r="G294" i="7"/>
  <c r="L292" i="7"/>
  <c r="J292" i="7"/>
  <c r="F292" i="7"/>
  <c r="E292" i="7"/>
  <c r="L291" i="7"/>
  <c r="J291" i="7"/>
  <c r="G291" i="7"/>
  <c r="F291" i="7"/>
  <c r="L290" i="7"/>
  <c r="L288" i="7" s="1"/>
  <c r="J290" i="7"/>
  <c r="F290" i="7"/>
  <c r="E290" i="7"/>
  <c r="L289" i="7"/>
  <c r="I289" i="7"/>
  <c r="H289" i="7"/>
  <c r="G289" i="7"/>
  <c r="F289" i="7"/>
  <c r="L286" i="7"/>
  <c r="L285" i="7" s="1"/>
  <c r="J286" i="7"/>
  <c r="G286" i="7"/>
  <c r="F286" i="7"/>
  <c r="C284" i="7"/>
  <c r="B284" i="7"/>
  <c r="E283" i="7"/>
  <c r="G283" i="7"/>
  <c r="D283" i="7"/>
  <c r="AT282" i="7"/>
  <c r="AR282" i="7"/>
  <c r="AO282" i="7"/>
  <c r="BA282" i="7"/>
  <c r="AZ282" i="7"/>
  <c r="AE282" i="7"/>
  <c r="AD282" i="7"/>
  <c r="L281" i="7"/>
  <c r="K282" i="7" s="1"/>
  <c r="I281" i="7"/>
  <c r="H281" i="7"/>
  <c r="E281" i="7"/>
  <c r="G281" i="7"/>
  <c r="D281" i="7"/>
  <c r="C281" i="7"/>
  <c r="B281" i="7"/>
  <c r="AE280" i="7"/>
  <c r="AD280" i="7"/>
  <c r="G279" i="7"/>
  <c r="F279" i="7"/>
  <c r="E279" i="7"/>
  <c r="G278" i="7"/>
  <c r="F278" i="7"/>
  <c r="E278" i="7"/>
  <c r="G275" i="7"/>
  <c r="E275" i="7"/>
  <c r="D275" i="7"/>
  <c r="C275" i="7"/>
  <c r="B275" i="7"/>
  <c r="L274" i="7"/>
  <c r="I274" i="7"/>
  <c r="H274" i="7"/>
  <c r="G274" i="7"/>
  <c r="L273" i="7"/>
  <c r="I273" i="7"/>
  <c r="H273" i="7"/>
  <c r="G273" i="7"/>
  <c r="L272" i="7"/>
  <c r="I272" i="7"/>
  <c r="H272" i="7"/>
  <c r="G272" i="7"/>
  <c r="L271" i="7"/>
  <c r="I271" i="7"/>
  <c r="H271" i="7"/>
  <c r="G271" i="7"/>
  <c r="L270" i="7"/>
  <c r="I270" i="7"/>
  <c r="H270" i="7"/>
  <c r="G270" i="7"/>
  <c r="L269" i="7"/>
  <c r="I269" i="7"/>
  <c r="H269" i="7"/>
  <c r="G269" i="7"/>
  <c r="L268" i="7"/>
  <c r="I268" i="7"/>
  <c r="H268" i="7"/>
  <c r="G268" i="7"/>
  <c r="L267" i="7"/>
  <c r="I267" i="7"/>
  <c r="H267" i="7"/>
  <c r="G267" i="7"/>
  <c r="L266" i="7"/>
  <c r="I266" i="7"/>
  <c r="H266" i="7"/>
  <c r="G266" i="7"/>
  <c r="L265" i="7"/>
  <c r="I265" i="7"/>
  <c r="H265" i="7"/>
  <c r="G265" i="7"/>
  <c r="L264" i="7"/>
  <c r="I264" i="7"/>
  <c r="H264" i="7"/>
  <c r="G264" i="7"/>
  <c r="L263" i="7"/>
  <c r="I263" i="7"/>
  <c r="H263" i="7"/>
  <c r="G263" i="7"/>
  <c r="L262" i="7"/>
  <c r="J262" i="7"/>
  <c r="G262" i="7"/>
  <c r="L261" i="7"/>
  <c r="I261" i="7"/>
  <c r="H261" i="7"/>
  <c r="G261" i="7"/>
  <c r="L259" i="7"/>
  <c r="L257" i="7" s="1"/>
  <c r="J259" i="7"/>
  <c r="F259" i="7"/>
  <c r="E259" i="7"/>
  <c r="L258" i="7"/>
  <c r="I258" i="7"/>
  <c r="H258" i="7"/>
  <c r="G258" i="7"/>
  <c r="F258" i="7"/>
  <c r="L255" i="7"/>
  <c r="L254" i="7" s="1"/>
  <c r="J255" i="7"/>
  <c r="G255" i="7"/>
  <c r="F255" i="7"/>
  <c r="C253" i="7"/>
  <c r="B253" i="7"/>
  <c r="E252" i="7"/>
  <c r="G252" i="7"/>
  <c r="D252" i="7"/>
  <c r="AE251" i="7"/>
  <c r="AD251" i="7"/>
  <c r="G250" i="7"/>
  <c r="F250" i="7"/>
  <c r="E250" i="7"/>
  <c r="G249" i="7"/>
  <c r="F249" i="7"/>
  <c r="E249" i="7"/>
  <c r="L246" i="7"/>
  <c r="I246" i="7"/>
  <c r="H246" i="7"/>
  <c r="G246" i="7"/>
  <c r="L245" i="7"/>
  <c r="I245" i="7"/>
  <c r="H245" i="7"/>
  <c r="G245" i="7"/>
  <c r="L244" i="7"/>
  <c r="I244" i="7"/>
  <c r="H244" i="7"/>
  <c r="G244" i="7"/>
  <c r="L243" i="7"/>
  <c r="L242" i="7" s="1"/>
  <c r="AW251" i="7" s="1"/>
  <c r="I243" i="7"/>
  <c r="H243" i="7"/>
  <c r="G243" i="7"/>
  <c r="L241" i="7"/>
  <c r="J241" i="7"/>
  <c r="F241" i="7"/>
  <c r="E241" i="7"/>
  <c r="L240" i="7"/>
  <c r="I240" i="7"/>
  <c r="H240" i="7"/>
  <c r="G240" i="7"/>
  <c r="F240" i="7"/>
  <c r="L239" i="7"/>
  <c r="J239" i="7"/>
  <c r="F239" i="7"/>
  <c r="E239" i="7"/>
  <c r="L238" i="7"/>
  <c r="I238" i="7"/>
  <c r="H238" i="7"/>
  <c r="G238" i="7"/>
  <c r="F238" i="7"/>
  <c r="L235" i="7"/>
  <c r="L234" i="7" s="1"/>
  <c r="J235" i="7"/>
  <c r="G235" i="7"/>
  <c r="F235" i="7"/>
  <c r="C233" i="7"/>
  <c r="B233" i="7"/>
  <c r="E232" i="7"/>
  <c r="G232" i="7"/>
  <c r="D232" i="7"/>
  <c r="AW231" i="7"/>
  <c r="AT231" i="7"/>
  <c r="AO231" i="7"/>
  <c r="AE231" i="7"/>
  <c r="AD231" i="7"/>
  <c r="G230" i="7"/>
  <c r="E230" i="7"/>
  <c r="G229" i="7"/>
  <c r="E229" i="7"/>
  <c r="L226" i="7"/>
  <c r="L225" i="7" s="1"/>
  <c r="L227" i="7" s="1"/>
  <c r="J226" i="7"/>
  <c r="G226" i="7"/>
  <c r="E224" i="7"/>
  <c r="G224" i="7"/>
  <c r="D224" i="7"/>
  <c r="C224" i="7"/>
  <c r="AW223" i="7"/>
  <c r="AE223" i="7"/>
  <c r="AD223" i="7"/>
  <c r="G222" i="7"/>
  <c r="E222" i="7"/>
  <c r="G221" i="7"/>
  <c r="E221" i="7"/>
  <c r="L218" i="7"/>
  <c r="J218" i="7"/>
  <c r="G218" i="7"/>
  <c r="L217" i="7"/>
  <c r="I217" i="7"/>
  <c r="H217" i="7"/>
  <c r="G217" i="7"/>
  <c r="L216" i="7"/>
  <c r="L214" i="7" s="1"/>
  <c r="AT223" i="7" s="1"/>
  <c r="J216" i="7"/>
  <c r="E216" i="7"/>
  <c r="L215" i="7"/>
  <c r="I215" i="7"/>
  <c r="H215" i="7"/>
  <c r="G215" i="7"/>
  <c r="L212" i="7"/>
  <c r="L211" i="7" s="1"/>
  <c r="J212" i="7"/>
  <c r="G212" i="7"/>
  <c r="E210" i="7"/>
  <c r="G210" i="7"/>
  <c r="D210" i="7"/>
  <c r="C210" i="7"/>
  <c r="C209" i="7"/>
  <c r="AT208" i="7"/>
  <c r="AR208" i="7"/>
  <c r="AO208" i="7"/>
  <c r="BA208" i="7"/>
  <c r="AZ208" i="7"/>
  <c r="AE208" i="7"/>
  <c r="AD208" i="7"/>
  <c r="L207" i="7"/>
  <c r="I207" i="7"/>
  <c r="H207" i="7"/>
  <c r="E207" i="7"/>
  <c r="G207" i="7"/>
  <c r="D207" i="7"/>
  <c r="C207" i="7"/>
  <c r="B207" i="7"/>
  <c r="AT206" i="7"/>
  <c r="AO206" i="7"/>
  <c r="AE206" i="7"/>
  <c r="AD206" i="7"/>
  <c r="G205" i="7"/>
  <c r="F205" i="7"/>
  <c r="E205" i="7"/>
  <c r="G204" i="7"/>
  <c r="F204" i="7"/>
  <c r="E204" i="7"/>
  <c r="G201" i="7"/>
  <c r="E201" i="7"/>
  <c r="D201" i="7"/>
  <c r="C201" i="7"/>
  <c r="B201" i="7"/>
  <c r="L200" i="7"/>
  <c r="I200" i="7"/>
  <c r="H200" i="7"/>
  <c r="G200" i="7"/>
  <c r="L199" i="7"/>
  <c r="L198" i="7" s="1"/>
  <c r="AW206" i="7" s="1"/>
  <c r="J199" i="7"/>
  <c r="G199" i="7"/>
  <c r="L197" i="7"/>
  <c r="L196" i="7" s="1"/>
  <c r="J197" i="7"/>
  <c r="G197" i="7"/>
  <c r="F197" i="7"/>
  <c r="C195" i="7"/>
  <c r="B195" i="7"/>
  <c r="E194" i="7"/>
  <c r="G194" i="7"/>
  <c r="D194" i="7"/>
  <c r="AT193" i="7"/>
  <c r="AR193" i="7"/>
  <c r="AO193" i="7"/>
  <c r="BA193" i="7"/>
  <c r="AZ193" i="7"/>
  <c r="AE193" i="7"/>
  <c r="AD193" i="7"/>
  <c r="L192" i="7"/>
  <c r="I192" i="7"/>
  <c r="H192" i="7"/>
  <c r="E192" i="7"/>
  <c r="G192" i="7"/>
  <c r="D192" i="7"/>
  <c r="C192" i="7"/>
  <c r="B192" i="7"/>
  <c r="AE191" i="7"/>
  <c r="AD191" i="7"/>
  <c r="G190" i="7"/>
  <c r="F190" i="7"/>
  <c r="E190" i="7"/>
  <c r="G189" i="7"/>
  <c r="F189" i="7"/>
  <c r="E189" i="7"/>
  <c r="G186" i="7"/>
  <c r="E186" i="7"/>
  <c r="D186" i="7"/>
  <c r="C186" i="7"/>
  <c r="B186" i="7"/>
  <c r="L185" i="7"/>
  <c r="I185" i="7"/>
  <c r="H185" i="7"/>
  <c r="G185" i="7"/>
  <c r="L184" i="7"/>
  <c r="I184" i="7"/>
  <c r="H184" i="7"/>
  <c r="G184" i="7"/>
  <c r="L183" i="7"/>
  <c r="I183" i="7"/>
  <c r="H183" i="7"/>
  <c r="G183" i="7"/>
  <c r="L182" i="7"/>
  <c r="I182" i="7"/>
  <c r="H182" i="7"/>
  <c r="G182" i="7"/>
  <c r="L181" i="7"/>
  <c r="I181" i="7"/>
  <c r="H181" i="7"/>
  <c r="G181" i="7"/>
  <c r="L180" i="7"/>
  <c r="L179" i="7" s="1"/>
  <c r="AW191" i="7" s="1"/>
  <c r="J180" i="7"/>
  <c r="G180" i="7"/>
  <c r="L178" i="7"/>
  <c r="J178" i="7"/>
  <c r="F178" i="7"/>
  <c r="E178" i="7"/>
  <c r="L177" i="7"/>
  <c r="J177" i="7"/>
  <c r="G177" i="7"/>
  <c r="F177" i="7"/>
  <c r="L176" i="7"/>
  <c r="L174" i="7" s="1"/>
  <c r="J176" i="7"/>
  <c r="F176" i="7"/>
  <c r="E176" i="7"/>
  <c r="L175" i="7"/>
  <c r="I175" i="7"/>
  <c r="H175" i="7"/>
  <c r="G175" i="7"/>
  <c r="F175" i="7"/>
  <c r="L172" i="7"/>
  <c r="L171" i="7" s="1"/>
  <c r="AR191" i="7" s="1"/>
  <c r="J172" i="7"/>
  <c r="G172" i="7"/>
  <c r="F172" i="7"/>
  <c r="C170" i="7"/>
  <c r="B170" i="7"/>
  <c r="E169" i="7"/>
  <c r="G169" i="7"/>
  <c r="D169" i="7"/>
  <c r="AT168" i="7"/>
  <c r="AR168" i="7"/>
  <c r="AO168" i="7"/>
  <c r="BA168" i="7"/>
  <c r="AZ168" i="7"/>
  <c r="AE168" i="7"/>
  <c r="AD168" i="7"/>
  <c r="L167" i="7"/>
  <c r="K168" i="7" s="1"/>
  <c r="I167" i="7"/>
  <c r="H167" i="7"/>
  <c r="E167" i="7"/>
  <c r="G167" i="7"/>
  <c r="D167" i="7"/>
  <c r="C167" i="7"/>
  <c r="B167" i="7"/>
  <c r="AT166" i="7"/>
  <c r="AR166" i="7"/>
  <c r="AO166" i="7"/>
  <c r="BA166" i="7"/>
  <c r="AZ166" i="7"/>
  <c r="AE166" i="7"/>
  <c r="AD166" i="7"/>
  <c r="L165" i="7"/>
  <c r="K166" i="7" s="1"/>
  <c r="I165" i="7"/>
  <c r="H165" i="7"/>
  <c r="E165" i="7"/>
  <c r="G165" i="7"/>
  <c r="D165" i="7"/>
  <c r="C165" i="7"/>
  <c r="B165" i="7"/>
  <c r="AE164" i="7"/>
  <c r="AD164" i="7"/>
  <c r="G163" i="7"/>
  <c r="F163" i="7"/>
  <c r="E163" i="7"/>
  <c r="G162" i="7"/>
  <c r="F162" i="7"/>
  <c r="E162" i="7"/>
  <c r="G159" i="7"/>
  <c r="E159" i="7"/>
  <c r="D159" i="7"/>
  <c r="C159" i="7"/>
  <c r="B159" i="7"/>
  <c r="G158" i="7"/>
  <c r="E158" i="7"/>
  <c r="D158" i="7"/>
  <c r="C158" i="7"/>
  <c r="B158" i="7"/>
  <c r="L157" i="7"/>
  <c r="L156" i="7" s="1"/>
  <c r="AW164" i="7" s="1"/>
  <c r="I157" i="7"/>
  <c r="H157" i="7"/>
  <c r="G157" i="7"/>
  <c r="L155" i="7"/>
  <c r="J155" i="7"/>
  <c r="F155" i="7"/>
  <c r="E155" i="7"/>
  <c r="L154" i="7"/>
  <c r="J154" i="7"/>
  <c r="G154" i="7"/>
  <c r="F154" i="7"/>
  <c r="L153" i="7"/>
  <c r="J153" i="7"/>
  <c r="F153" i="7"/>
  <c r="E153" i="7"/>
  <c r="L152" i="7"/>
  <c r="I152" i="7"/>
  <c r="H152" i="7"/>
  <c r="G152" i="7"/>
  <c r="F152" i="7"/>
  <c r="L149" i="7"/>
  <c r="L148" i="7" s="1"/>
  <c r="J149" i="7"/>
  <c r="G149" i="7"/>
  <c r="F149" i="7"/>
  <c r="C147" i="7"/>
  <c r="B147" i="7"/>
  <c r="E146" i="7"/>
  <c r="G146" i="7"/>
  <c r="D146" i="7"/>
  <c r="AT145" i="7"/>
  <c r="AR145" i="7"/>
  <c r="AO145" i="7"/>
  <c r="BA145" i="7"/>
  <c r="AZ145" i="7"/>
  <c r="AE145" i="7"/>
  <c r="AD145" i="7"/>
  <c r="L144" i="7"/>
  <c r="AW145" i="7" s="1"/>
  <c r="I144" i="7"/>
  <c r="H144" i="7"/>
  <c r="E144" i="7"/>
  <c r="G144" i="7"/>
  <c r="D144" i="7"/>
  <c r="C144" i="7"/>
  <c r="B144" i="7"/>
  <c r="AW143" i="7"/>
  <c r="AE143" i="7"/>
  <c r="AD143" i="7"/>
  <c r="G142" i="7"/>
  <c r="F142" i="7"/>
  <c r="E142" i="7"/>
  <c r="G141" i="7"/>
  <c r="F141" i="7"/>
  <c r="E141" i="7"/>
  <c r="G138" i="7"/>
  <c r="F138" i="7"/>
  <c r="E138" i="7"/>
  <c r="D138" i="7"/>
  <c r="C138" i="7"/>
  <c r="B138" i="7"/>
  <c r="L137" i="7"/>
  <c r="I137" i="7"/>
  <c r="H137" i="7"/>
  <c r="G137" i="7"/>
  <c r="F137" i="7"/>
  <c r="L136" i="7"/>
  <c r="L134" i="7" s="1"/>
  <c r="AT143" i="7" s="1"/>
  <c r="J136" i="7"/>
  <c r="F136" i="7"/>
  <c r="E136" i="7"/>
  <c r="L135" i="7"/>
  <c r="I135" i="7"/>
  <c r="H135" i="7"/>
  <c r="G135" i="7"/>
  <c r="F135" i="7"/>
  <c r="L132" i="7"/>
  <c r="L131" i="7" s="1"/>
  <c r="J132" i="7"/>
  <c r="G132" i="7"/>
  <c r="F132" i="7"/>
  <c r="C130" i="7"/>
  <c r="B130" i="7"/>
  <c r="E129" i="7"/>
  <c r="G129" i="7"/>
  <c r="D129" i="7"/>
  <c r="AE128" i="7"/>
  <c r="AD128" i="7"/>
  <c r="G127" i="7"/>
  <c r="F127" i="7"/>
  <c r="E127" i="7"/>
  <c r="G126" i="7"/>
  <c r="F126" i="7"/>
  <c r="E126" i="7"/>
  <c r="G123" i="7"/>
  <c r="E123" i="7"/>
  <c r="D123" i="7"/>
  <c r="C123" i="7"/>
  <c r="B123" i="7"/>
  <c r="L122" i="7"/>
  <c r="L121" i="7" s="1"/>
  <c r="AW128" i="7" s="1"/>
  <c r="I122" i="7"/>
  <c r="H122" i="7"/>
  <c r="G122" i="7"/>
  <c r="L120" i="7"/>
  <c r="I120" i="7"/>
  <c r="H120" i="7"/>
  <c r="G120" i="7"/>
  <c r="F120" i="7"/>
  <c r="L119" i="7"/>
  <c r="L117" i="7" s="1"/>
  <c r="J119" i="7"/>
  <c r="F119" i="7"/>
  <c r="E119" i="7"/>
  <c r="L118" i="7"/>
  <c r="I118" i="7"/>
  <c r="H118" i="7"/>
  <c r="G118" i="7"/>
  <c r="F118" i="7"/>
  <c r="L115" i="7"/>
  <c r="L114" i="7" s="1"/>
  <c r="J115" i="7"/>
  <c r="G115" i="7"/>
  <c r="F115" i="7"/>
  <c r="C113" i="7"/>
  <c r="B113" i="7"/>
  <c r="E112" i="7"/>
  <c r="G112" i="7"/>
  <c r="D112" i="7"/>
  <c r="AW111" i="7"/>
  <c r="AE111" i="7"/>
  <c r="AD111" i="7"/>
  <c r="G110" i="7"/>
  <c r="E110" i="7"/>
  <c r="G109" i="7"/>
  <c r="E109" i="7"/>
  <c r="L104" i="7"/>
  <c r="AT111" i="7" s="1"/>
  <c r="L106" i="7"/>
  <c r="J106" i="7"/>
  <c r="G106" i="7"/>
  <c r="F106" i="7"/>
  <c r="L105" i="7"/>
  <c r="L103" i="7" s="1"/>
  <c r="AO111" i="7" s="1"/>
  <c r="I105" i="7"/>
  <c r="H105" i="7"/>
  <c r="G105" i="7"/>
  <c r="F105" i="7"/>
  <c r="L102" i="7"/>
  <c r="L101" i="7" s="1"/>
  <c r="AR111" i="7" s="1"/>
  <c r="J102" i="7"/>
  <c r="G102" i="7"/>
  <c r="F102" i="7"/>
  <c r="C100" i="7"/>
  <c r="B100" i="7"/>
  <c r="E99" i="7"/>
  <c r="G99" i="7"/>
  <c r="D99" i="7"/>
  <c r="AW98" i="7"/>
  <c r="AE98" i="7"/>
  <c r="AD98" i="7"/>
  <c r="G97" i="7"/>
  <c r="E97" i="7"/>
  <c r="G96" i="7"/>
  <c r="E96" i="7"/>
  <c r="L91" i="7"/>
  <c r="AT98" i="7" s="1"/>
  <c r="L93" i="7"/>
  <c r="J93" i="7"/>
  <c r="G93" i="7"/>
  <c r="L92" i="7"/>
  <c r="I92" i="7"/>
  <c r="H92" i="7"/>
  <c r="G92" i="7"/>
  <c r="L89" i="7"/>
  <c r="L88" i="7" s="1"/>
  <c r="J89" i="7"/>
  <c r="G89" i="7"/>
  <c r="E87" i="7"/>
  <c r="G87" i="7"/>
  <c r="D87" i="7"/>
  <c r="C87" i="7"/>
  <c r="AW86" i="7"/>
  <c r="AE86" i="7"/>
  <c r="AD86" i="7"/>
  <c r="G85" i="7"/>
  <c r="E85" i="7"/>
  <c r="G84" i="7"/>
  <c r="E84" i="7"/>
  <c r="L81" i="7"/>
  <c r="L79" i="7" s="1"/>
  <c r="J81" i="7"/>
  <c r="E81" i="7"/>
  <c r="L80" i="7"/>
  <c r="I80" i="7"/>
  <c r="H80" i="7"/>
  <c r="G80" i="7"/>
  <c r="L77" i="7"/>
  <c r="L76" i="7" s="1"/>
  <c r="J77" i="7"/>
  <c r="G77" i="7"/>
  <c r="E75" i="7"/>
  <c r="G75" i="7"/>
  <c r="D75" i="7"/>
  <c r="C75" i="7"/>
  <c r="AW74" i="7"/>
  <c r="AE74" i="7"/>
  <c r="AD74" i="7"/>
  <c r="G73" i="7"/>
  <c r="E73" i="7"/>
  <c r="G72" i="7"/>
  <c r="E72" i="7"/>
  <c r="L69" i="7"/>
  <c r="L67" i="7" s="1"/>
  <c r="J69" i="7"/>
  <c r="E69" i="7"/>
  <c r="L68" i="7"/>
  <c r="I68" i="7"/>
  <c r="H68" i="7"/>
  <c r="G68" i="7"/>
  <c r="L65" i="7"/>
  <c r="L64" i="7" s="1"/>
  <c r="J65" i="7"/>
  <c r="G65" i="7"/>
  <c r="E63" i="7"/>
  <c r="G63" i="7"/>
  <c r="D63" i="7"/>
  <c r="C63" i="7"/>
  <c r="C62" i="7"/>
  <c r="CO14" i="7"/>
  <c r="F14" i="7"/>
  <c r="CO12" i="7"/>
  <c r="F12" i="7"/>
  <c r="H6" i="7"/>
  <c r="B6" i="7"/>
  <c r="A1" i="7"/>
  <c r="J238" i="7" l="1"/>
  <c r="L237" i="7"/>
  <c r="J243" i="7"/>
  <c r="J244" i="7"/>
  <c r="J245" i="7"/>
  <c r="L260" i="7"/>
  <c r="AW280" i="7" s="1"/>
  <c r="J281" i="7"/>
  <c r="J105" i="7"/>
  <c r="J135" i="7"/>
  <c r="G69" i="7"/>
  <c r="G81" i="7"/>
  <c r="J175" i="7"/>
  <c r="J181" i="7"/>
  <c r="J182" i="7"/>
  <c r="J184" i="7"/>
  <c r="J185" i="7"/>
  <c r="J200" i="7"/>
  <c r="G216" i="7"/>
  <c r="I347" i="7"/>
  <c r="L558" i="7"/>
  <c r="AT420" i="7"/>
  <c r="L404" i="7"/>
  <c r="AO420" i="7" s="1"/>
  <c r="J68" i="7"/>
  <c r="J80" i="7"/>
  <c r="J92" i="7"/>
  <c r="L90" i="7"/>
  <c r="AO98" i="7" s="1"/>
  <c r="J120" i="7"/>
  <c r="J144" i="7"/>
  <c r="G153" i="7"/>
  <c r="G155" i="7"/>
  <c r="J165" i="7"/>
  <c r="I166" i="7"/>
  <c r="I168" i="7"/>
  <c r="J207" i="7"/>
  <c r="J217" i="7"/>
  <c r="I282" i="7"/>
  <c r="J294" i="7"/>
  <c r="J295" i="7"/>
  <c r="J296" i="7"/>
  <c r="J328" i="7"/>
  <c r="I365" i="7"/>
  <c r="J373" i="7"/>
  <c r="G394" i="7"/>
  <c r="J411" i="7"/>
  <c r="AT363" i="7"/>
  <c r="L351" i="7"/>
  <c r="AO363" i="7" s="1"/>
  <c r="L108" i="7"/>
  <c r="AT345" i="7"/>
  <c r="L333" i="7"/>
  <c r="AO345" i="7" s="1"/>
  <c r="G119" i="7"/>
  <c r="G259" i="7"/>
  <c r="AN282" i="7"/>
  <c r="G290" i="7"/>
  <c r="I466" i="7"/>
  <c r="L555" i="7"/>
  <c r="L547" i="7" s="1"/>
  <c r="L596" i="7" s="1"/>
  <c r="L133" i="7"/>
  <c r="AO143" i="7" s="1"/>
  <c r="AW282" i="7"/>
  <c r="L293" i="7"/>
  <c r="AW303" i="7" s="1"/>
  <c r="J118" i="7"/>
  <c r="J122" i="7"/>
  <c r="G136" i="7"/>
  <c r="J137" i="7"/>
  <c r="AN166" i="7"/>
  <c r="AW166" i="7"/>
  <c r="J167" i="7"/>
  <c r="AN168" i="7"/>
  <c r="AW168" i="7"/>
  <c r="G176" i="7"/>
  <c r="J192" i="7"/>
  <c r="G239" i="7"/>
  <c r="J240" i="7"/>
  <c r="J258" i="7"/>
  <c r="L256" i="7"/>
  <c r="AO280" i="7" s="1"/>
  <c r="J263" i="7"/>
  <c r="J264" i="7"/>
  <c r="J266" i="7"/>
  <c r="J267" i="7"/>
  <c r="J268" i="7"/>
  <c r="J270" i="7"/>
  <c r="J271" i="7"/>
  <c r="J272" i="7"/>
  <c r="J274" i="7"/>
  <c r="J289" i="7"/>
  <c r="I305" i="7"/>
  <c r="I307" i="7"/>
  <c r="G315" i="7"/>
  <c r="G317" i="7"/>
  <c r="J320" i="7"/>
  <c r="J338" i="7"/>
  <c r="J356" i="7"/>
  <c r="J357" i="7"/>
  <c r="J364" i="7"/>
  <c r="AN365" i="7"/>
  <c r="AW365" i="7"/>
  <c r="G376" i="7"/>
  <c r="I386" i="7"/>
  <c r="J393" i="7"/>
  <c r="J406" i="7"/>
  <c r="I422" i="7"/>
  <c r="I424" i="7"/>
  <c r="I426" i="7"/>
  <c r="I428" i="7"/>
  <c r="L484" i="7"/>
  <c r="AN466" i="7"/>
  <c r="BB466" i="7"/>
  <c r="L471" i="7"/>
  <c r="L485" i="7"/>
  <c r="L527" i="7"/>
  <c r="L533" i="7"/>
  <c r="L542" i="7"/>
  <c r="AR74" i="7"/>
  <c r="L66" i="7"/>
  <c r="AO74" i="7" s="1"/>
  <c r="AT74" i="7"/>
  <c r="AR86" i="7"/>
  <c r="L78" i="7"/>
  <c r="AO86" i="7" s="1"/>
  <c r="AT86" i="7"/>
  <c r="L94" i="7"/>
  <c r="AR98" i="7"/>
  <c r="L95" i="7" s="1"/>
  <c r="AR128" i="7"/>
  <c r="AT191" i="7"/>
  <c r="L173" i="7"/>
  <c r="AO191" i="7" s="1"/>
  <c r="AT251" i="7"/>
  <c r="L236" i="7"/>
  <c r="AO251" i="7" s="1"/>
  <c r="L553" i="7"/>
  <c r="AT128" i="7"/>
  <c r="L116" i="7"/>
  <c r="AO128" i="7" s="1"/>
  <c r="AT303" i="7"/>
  <c r="L287" i="7"/>
  <c r="L299" i="7" s="1"/>
  <c r="L107" i="7"/>
  <c r="AR143" i="7"/>
  <c r="L140" i="7" s="1"/>
  <c r="K145" i="7"/>
  <c r="I145" i="7" s="1"/>
  <c r="AR164" i="7"/>
  <c r="L188" i="7"/>
  <c r="AW193" i="7"/>
  <c r="AN193" i="7"/>
  <c r="AW208" i="7"/>
  <c r="AN208" i="7"/>
  <c r="AR251" i="7"/>
  <c r="AT280" i="7"/>
  <c r="AR327" i="7"/>
  <c r="AW329" i="7"/>
  <c r="AN329" i="7"/>
  <c r="L359" i="7"/>
  <c r="G354" i="7"/>
  <c r="AR363" i="7"/>
  <c r="L360" i="7" s="1"/>
  <c r="AT384" i="7"/>
  <c r="L371" i="7"/>
  <c r="AR399" i="7"/>
  <c r="L391" i="7"/>
  <c r="AO399" i="7" s="1"/>
  <c r="AT399" i="7"/>
  <c r="L395" i="7"/>
  <c r="AN145" i="7"/>
  <c r="J152" i="7"/>
  <c r="L151" i="7"/>
  <c r="J157" i="7"/>
  <c r="G178" i="7"/>
  <c r="J183" i="7"/>
  <c r="K193" i="7"/>
  <c r="I193" i="7" s="1"/>
  <c r="L202" i="7"/>
  <c r="AR206" i="7"/>
  <c r="L203" i="7" s="1"/>
  <c r="K208" i="7"/>
  <c r="I208" i="7" s="1"/>
  <c r="AR223" i="7"/>
  <c r="L220" i="7" s="1"/>
  <c r="J215" i="7"/>
  <c r="L213" i="7"/>
  <c r="AR231" i="7"/>
  <c r="L228" i="7" s="1"/>
  <c r="G241" i="7"/>
  <c r="J246" i="7"/>
  <c r="AR280" i="7"/>
  <c r="L277" i="7" s="1"/>
  <c r="J261" i="7"/>
  <c r="J265" i="7"/>
  <c r="J269" i="7"/>
  <c r="J273" i="7"/>
  <c r="L276" i="7"/>
  <c r="G292" i="7"/>
  <c r="AR303" i="7"/>
  <c r="L300" i="7" s="1"/>
  <c r="J304" i="7"/>
  <c r="AW305" i="7"/>
  <c r="AN305" i="7"/>
  <c r="J306" i="7"/>
  <c r="AW307" i="7"/>
  <c r="AN307" i="7"/>
  <c r="J314" i="7"/>
  <c r="L313" i="7"/>
  <c r="J319" i="7"/>
  <c r="K329" i="7"/>
  <c r="I329" i="7" s="1"/>
  <c r="G336" i="7"/>
  <c r="J339" i="7"/>
  <c r="AR345" i="7"/>
  <c r="L342" i="7" s="1"/>
  <c r="J346" i="7"/>
  <c r="AW347" i="7"/>
  <c r="AN347" i="7"/>
  <c r="L416" i="7"/>
  <c r="AR420" i="7"/>
  <c r="G407" i="7"/>
  <c r="G409" i="7"/>
  <c r="BB464" i="7"/>
  <c r="AN464" i="7"/>
  <c r="K464" i="7"/>
  <c r="I464" i="7" s="1"/>
  <c r="L380" i="7"/>
  <c r="G374" i="7"/>
  <c r="AR384" i="7"/>
  <c r="L381" i="7" s="1"/>
  <c r="J385" i="7"/>
  <c r="AW386" i="7"/>
  <c r="AN386" i="7"/>
  <c r="J412" i="7"/>
  <c r="J421" i="7"/>
  <c r="AW422" i="7"/>
  <c r="AN422" i="7"/>
  <c r="J423" i="7"/>
  <c r="AW424" i="7"/>
  <c r="AN424" i="7"/>
  <c r="J425" i="7"/>
  <c r="AW426" i="7"/>
  <c r="AN426" i="7"/>
  <c r="J427" i="7"/>
  <c r="AW428" i="7"/>
  <c r="AN428" i="7"/>
  <c r="L592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" i="3"/>
  <c r="Y1" i="3"/>
  <c r="CY1" i="3"/>
  <c r="CZ1" i="3"/>
  <c r="DA1" i="3"/>
  <c r="DB1" i="3"/>
  <c r="DC1" i="3"/>
  <c r="A2" i="3"/>
  <c r="Y2" i="3"/>
  <c r="CY2" i="3"/>
  <c r="CZ2" i="3"/>
  <c r="DA2" i="3"/>
  <c r="DB2" i="3"/>
  <c r="DC2" i="3"/>
  <c r="A3" i="3"/>
  <c r="Y3" i="3"/>
  <c r="CY3" i="3"/>
  <c r="CZ3" i="3"/>
  <c r="DA3" i="3"/>
  <c r="DB3" i="3"/>
  <c r="DC3" i="3"/>
  <c r="A4" i="3"/>
  <c r="Y4" i="3"/>
  <c r="CY4" i="3"/>
  <c r="CZ4" i="3"/>
  <c r="DA4" i="3"/>
  <c r="DB4" i="3"/>
  <c r="DC4" i="3"/>
  <c r="A5" i="3"/>
  <c r="Y5" i="3"/>
  <c r="CY5" i="3"/>
  <c r="CZ5" i="3"/>
  <c r="DA5" i="3"/>
  <c r="DB5" i="3"/>
  <c r="DC5" i="3"/>
  <c r="A6" i="3"/>
  <c r="Y6" i="3"/>
  <c r="CY6" i="3"/>
  <c r="CZ6" i="3"/>
  <c r="DA6" i="3"/>
  <c r="DB6" i="3"/>
  <c r="DC6" i="3"/>
  <c r="A7" i="3"/>
  <c r="Y7" i="3"/>
  <c r="CY7" i="3"/>
  <c r="CZ7" i="3"/>
  <c r="DA7" i="3"/>
  <c r="DB7" i="3"/>
  <c r="DC7" i="3"/>
  <c r="A8" i="3"/>
  <c r="Y8" i="3"/>
  <c r="CY8" i="3"/>
  <c r="CZ8" i="3"/>
  <c r="DA8" i="3"/>
  <c r="DB8" i="3"/>
  <c r="DC8" i="3"/>
  <c r="A9" i="3"/>
  <c r="Y9" i="3"/>
  <c r="CY9" i="3"/>
  <c r="CZ9" i="3"/>
  <c r="DA9" i="3"/>
  <c r="DB9" i="3"/>
  <c r="DC9" i="3"/>
  <c r="A10" i="3"/>
  <c r="Y10" i="3"/>
  <c r="CY10" i="3"/>
  <c r="CZ10" i="3"/>
  <c r="DA10" i="3"/>
  <c r="DB10" i="3"/>
  <c r="DC10" i="3"/>
  <c r="A11" i="3"/>
  <c r="Y11" i="3"/>
  <c r="CY11" i="3"/>
  <c r="CZ11" i="3"/>
  <c r="DA11" i="3"/>
  <c r="DB11" i="3"/>
  <c r="DC11" i="3"/>
  <c r="A12" i="3"/>
  <c r="Y12" i="3"/>
  <c r="CY12" i="3"/>
  <c r="CZ12" i="3"/>
  <c r="DA12" i="3"/>
  <c r="DB12" i="3"/>
  <c r="DC12" i="3"/>
  <c r="A13" i="3"/>
  <c r="Y13" i="3"/>
  <c r="CY13" i="3"/>
  <c r="CZ13" i="3"/>
  <c r="DA13" i="3"/>
  <c r="DB13" i="3"/>
  <c r="DC13" i="3"/>
  <c r="A14" i="3"/>
  <c r="Y14" i="3"/>
  <c r="CY14" i="3"/>
  <c r="CZ14" i="3"/>
  <c r="DA14" i="3"/>
  <c r="DB14" i="3"/>
  <c r="DC14" i="3"/>
  <c r="A15" i="3"/>
  <c r="Y15" i="3"/>
  <c r="CY15" i="3"/>
  <c r="CZ15" i="3"/>
  <c r="DA15" i="3"/>
  <c r="DB15" i="3"/>
  <c r="DC15" i="3"/>
  <c r="A16" i="3"/>
  <c r="Y16" i="3"/>
  <c r="CY16" i="3"/>
  <c r="CZ16" i="3"/>
  <c r="DA16" i="3"/>
  <c r="DB16" i="3"/>
  <c r="DC16" i="3"/>
  <c r="A17" i="3"/>
  <c r="Y17" i="3"/>
  <c r="CY17" i="3"/>
  <c r="CZ17" i="3"/>
  <c r="DA17" i="3"/>
  <c r="DB17" i="3"/>
  <c r="DC17" i="3"/>
  <c r="A18" i="3"/>
  <c r="Y18" i="3"/>
  <c r="CY18" i="3"/>
  <c r="CZ18" i="3"/>
  <c r="DA18" i="3"/>
  <c r="DB18" i="3"/>
  <c r="DC18" i="3"/>
  <c r="A19" i="3"/>
  <c r="Y19" i="3"/>
  <c r="CY19" i="3"/>
  <c r="CZ19" i="3"/>
  <c r="DA19" i="3"/>
  <c r="DB19" i="3"/>
  <c r="DC19" i="3"/>
  <c r="A20" i="3"/>
  <c r="Y20" i="3"/>
  <c r="CY20" i="3"/>
  <c r="CZ20" i="3"/>
  <c r="DA20" i="3"/>
  <c r="DB20" i="3"/>
  <c r="DC20" i="3"/>
  <c r="A21" i="3"/>
  <c r="Y21" i="3"/>
  <c r="CY21" i="3"/>
  <c r="CZ21" i="3"/>
  <c r="DA21" i="3"/>
  <c r="DB21" i="3"/>
  <c r="DC21" i="3"/>
  <c r="A22" i="3"/>
  <c r="Y22" i="3"/>
  <c r="CY22" i="3"/>
  <c r="CZ22" i="3"/>
  <c r="DA22" i="3"/>
  <c r="DB22" i="3"/>
  <c r="DC22" i="3"/>
  <c r="A23" i="3"/>
  <c r="Y23" i="3"/>
  <c r="CY23" i="3"/>
  <c r="CZ23" i="3"/>
  <c r="DA23" i="3"/>
  <c r="DB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A25" i="3"/>
  <c r="DB25" i="3"/>
  <c r="DC25" i="3"/>
  <c r="A26" i="3"/>
  <c r="Y26" i="3"/>
  <c r="CY26" i="3"/>
  <c r="CZ26" i="3"/>
  <c r="DA26" i="3"/>
  <c r="DB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A28" i="3"/>
  <c r="DB28" i="3"/>
  <c r="DC28" i="3"/>
  <c r="A29" i="3"/>
  <c r="Y29" i="3"/>
  <c r="CY29" i="3"/>
  <c r="CZ29" i="3"/>
  <c r="DA29" i="3"/>
  <c r="DB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A31" i="3"/>
  <c r="DB31" i="3"/>
  <c r="DC31" i="3"/>
  <c r="A32" i="3"/>
  <c r="Y32" i="3"/>
  <c r="CY32" i="3"/>
  <c r="CZ32" i="3"/>
  <c r="DA32" i="3"/>
  <c r="DB32" i="3"/>
  <c r="DC32" i="3"/>
  <c r="A33" i="3"/>
  <c r="Y33" i="3"/>
  <c r="CY33" i="3"/>
  <c r="CZ33" i="3"/>
  <c r="DA33" i="3"/>
  <c r="DB33" i="3"/>
  <c r="DC33" i="3"/>
  <c r="A34" i="3"/>
  <c r="Y34" i="3"/>
  <c r="CY34" i="3"/>
  <c r="CZ34" i="3"/>
  <c r="DA34" i="3"/>
  <c r="DB34" i="3"/>
  <c r="DC34" i="3"/>
  <c r="A35" i="3"/>
  <c r="Y35" i="3"/>
  <c r="CY35" i="3"/>
  <c r="CZ35" i="3"/>
  <c r="DA35" i="3"/>
  <c r="DB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A37" i="3"/>
  <c r="DB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A39" i="3"/>
  <c r="DB39" i="3"/>
  <c r="DC39" i="3"/>
  <c r="A40" i="3"/>
  <c r="Y40" i="3"/>
  <c r="CY40" i="3"/>
  <c r="CZ40" i="3"/>
  <c r="DA40" i="3"/>
  <c r="DB40" i="3"/>
  <c r="DC40" i="3"/>
  <c r="A41" i="3"/>
  <c r="Y41" i="3"/>
  <c r="CY41" i="3"/>
  <c r="CZ41" i="3"/>
  <c r="DA41" i="3"/>
  <c r="DB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A43" i="3"/>
  <c r="DB43" i="3"/>
  <c r="DC43" i="3"/>
  <c r="A44" i="3"/>
  <c r="Y44" i="3"/>
  <c r="CY44" i="3"/>
  <c r="CZ44" i="3"/>
  <c r="DA44" i="3"/>
  <c r="DB44" i="3"/>
  <c r="DC44" i="3"/>
  <c r="A45" i="3"/>
  <c r="Y45" i="3"/>
  <c r="CU45" i="3"/>
  <c r="CV45" i="3"/>
  <c r="CX45" i="3"/>
  <c r="CY45" i="3"/>
  <c r="CZ45" i="3"/>
  <c r="DA45" i="3"/>
  <c r="DB45" i="3"/>
  <c r="DC45" i="3"/>
  <c r="DF45" i="3"/>
  <c r="DG45" i="3"/>
  <c r="DH45" i="3"/>
  <c r="DI45" i="3"/>
  <c r="DJ45" i="3" s="1"/>
  <c r="A46" i="3"/>
  <c r="Y46" i="3"/>
  <c r="CU46" i="3"/>
  <c r="CV46" i="3"/>
  <c r="CX46" i="3"/>
  <c r="DG46" i="3" s="1"/>
  <c r="CY46" i="3"/>
  <c r="CZ46" i="3"/>
  <c r="DA46" i="3"/>
  <c r="DB46" i="3"/>
  <c r="DC46" i="3"/>
  <c r="DF46" i="3"/>
  <c r="DH46" i="3"/>
  <c r="A47" i="3"/>
  <c r="Y47" i="3"/>
  <c r="CX47" i="3" s="1"/>
  <c r="CY47" i="3"/>
  <c r="CZ47" i="3"/>
  <c r="DA47" i="3"/>
  <c r="DB47" i="3"/>
  <c r="DC47" i="3"/>
  <c r="A48" i="3"/>
  <c r="Y48" i="3"/>
  <c r="CW48" i="3"/>
  <c r="CX48" i="3"/>
  <c r="CY48" i="3"/>
  <c r="CZ48" i="3"/>
  <c r="DA48" i="3"/>
  <c r="DB48" i="3"/>
  <c r="DC48" i="3"/>
  <c r="DF48" i="3"/>
  <c r="DG48" i="3"/>
  <c r="DJ48" i="3" s="1"/>
  <c r="DH48" i="3"/>
  <c r="DI48" i="3"/>
  <c r="A49" i="3"/>
  <c r="Y49" i="3"/>
  <c r="CW49" i="3"/>
  <c r="CX49" i="3"/>
  <c r="CY49" i="3"/>
  <c r="CZ49" i="3"/>
  <c r="DA49" i="3"/>
  <c r="DB49" i="3"/>
  <c r="DC49" i="3"/>
  <c r="DF49" i="3"/>
  <c r="DG49" i="3"/>
  <c r="DJ49" i="3" s="1"/>
  <c r="DH49" i="3"/>
  <c r="DI49" i="3"/>
  <c r="A50" i="3"/>
  <c r="Y50" i="3"/>
  <c r="CX50" i="3"/>
  <c r="DG50" i="3" s="1"/>
  <c r="CY50" i="3"/>
  <c r="CZ50" i="3"/>
  <c r="DA50" i="3"/>
  <c r="DB50" i="3"/>
  <c r="DC50" i="3"/>
  <c r="DF50" i="3"/>
  <c r="DJ50" i="3" s="1"/>
  <c r="DH50" i="3"/>
  <c r="DI50" i="3"/>
  <c r="A51" i="3"/>
  <c r="Y51" i="3"/>
  <c r="CX51" i="3"/>
  <c r="DG51" i="3" s="1"/>
  <c r="CY51" i="3"/>
  <c r="CZ51" i="3"/>
  <c r="DA51" i="3"/>
  <c r="DB51" i="3"/>
  <c r="DC51" i="3"/>
  <c r="DF51" i="3"/>
  <c r="DH51" i="3"/>
  <c r="DJ51" i="3"/>
  <c r="A52" i="3"/>
  <c r="Y52" i="3"/>
  <c r="CX52" i="3" s="1"/>
  <c r="CY52" i="3"/>
  <c r="CZ52" i="3"/>
  <c r="DA52" i="3"/>
  <c r="DB52" i="3"/>
  <c r="DC52" i="3"/>
  <c r="A53" i="3"/>
  <c r="Y53" i="3"/>
  <c r="CX53" i="3"/>
  <c r="DG53" i="3" s="1"/>
  <c r="CY53" i="3"/>
  <c r="CZ53" i="3"/>
  <c r="DA53" i="3"/>
  <c r="DB53" i="3"/>
  <c r="DC53" i="3"/>
  <c r="DF53" i="3"/>
  <c r="DH53" i="3"/>
  <c r="DJ53" i="3"/>
  <c r="A54" i="3"/>
  <c r="Y54" i="3"/>
  <c r="CY54" i="3"/>
  <c r="CZ54" i="3"/>
  <c r="DA54" i="3"/>
  <c r="DB54" i="3"/>
  <c r="DC54" i="3"/>
  <c r="A55" i="3"/>
  <c r="Y55" i="3"/>
  <c r="CY55" i="3"/>
  <c r="CZ55" i="3"/>
  <c r="DA55" i="3"/>
  <c r="DB55" i="3"/>
  <c r="DC55" i="3"/>
  <c r="A56" i="3"/>
  <c r="Y56" i="3"/>
  <c r="CY56" i="3"/>
  <c r="CZ56" i="3"/>
  <c r="DA56" i="3"/>
  <c r="DB56" i="3"/>
  <c r="DC56" i="3"/>
  <c r="A57" i="3"/>
  <c r="Y57" i="3"/>
  <c r="CY57" i="3"/>
  <c r="CZ57" i="3"/>
  <c r="DA57" i="3"/>
  <c r="DB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A59" i="3"/>
  <c r="DB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A61" i="3"/>
  <c r="DB61" i="3"/>
  <c r="DC61" i="3"/>
  <c r="A62" i="3"/>
  <c r="Y62" i="3"/>
  <c r="CY62" i="3"/>
  <c r="CZ62" i="3"/>
  <c r="DA62" i="3"/>
  <c r="DB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A65" i="3"/>
  <c r="DB65" i="3"/>
  <c r="DC65" i="3"/>
  <c r="A66" i="3"/>
  <c r="Y66" i="3"/>
  <c r="CY66" i="3"/>
  <c r="CZ66" i="3"/>
  <c r="DA66" i="3"/>
  <c r="DB66" i="3"/>
  <c r="DC66" i="3"/>
  <c r="A67" i="3"/>
  <c r="Y67" i="3"/>
  <c r="CY67" i="3"/>
  <c r="CZ67" i="3"/>
  <c r="DA67" i="3"/>
  <c r="DB67" i="3"/>
  <c r="DC67" i="3"/>
  <c r="A68" i="3"/>
  <c r="Y68" i="3"/>
  <c r="CY68" i="3"/>
  <c r="CZ68" i="3"/>
  <c r="DA68" i="3"/>
  <c r="DB68" i="3"/>
  <c r="DC68" i="3"/>
  <c r="A69" i="3"/>
  <c r="Y69" i="3"/>
  <c r="CY69" i="3"/>
  <c r="CZ69" i="3"/>
  <c r="DA69" i="3"/>
  <c r="DB69" i="3"/>
  <c r="DC69" i="3"/>
  <c r="A70" i="3"/>
  <c r="Y70" i="3"/>
  <c r="CY70" i="3"/>
  <c r="CZ70" i="3"/>
  <c r="DA70" i="3"/>
  <c r="DB70" i="3"/>
  <c r="DC70" i="3"/>
  <c r="A71" i="3"/>
  <c r="Y71" i="3"/>
  <c r="CX71" i="3" s="1"/>
  <c r="CU71" i="3"/>
  <c r="CV71" i="3"/>
  <c r="CY71" i="3"/>
  <c r="CZ71" i="3"/>
  <c r="DA71" i="3"/>
  <c r="DB71" i="3"/>
  <c r="DC71" i="3"/>
  <c r="A72" i="3"/>
  <c r="Y72" i="3"/>
  <c r="CX72" i="3"/>
  <c r="DG72" i="3" s="1"/>
  <c r="CY72" i="3"/>
  <c r="CZ72" i="3"/>
  <c r="DA72" i="3"/>
  <c r="DB72" i="3"/>
  <c r="DC72" i="3"/>
  <c r="DF72" i="3"/>
  <c r="DH72" i="3"/>
  <c r="A73" i="3"/>
  <c r="Y73" i="3"/>
  <c r="CW73" i="3" s="1"/>
  <c r="CX73" i="3"/>
  <c r="DG73" i="3" s="1"/>
  <c r="DJ73" i="3" s="1"/>
  <c r="CY73" i="3"/>
  <c r="CZ73" i="3"/>
  <c r="DA73" i="3"/>
  <c r="DB73" i="3"/>
  <c r="DC73" i="3"/>
  <c r="DF73" i="3"/>
  <c r="DH73" i="3"/>
  <c r="A74" i="3"/>
  <c r="Y74" i="3"/>
  <c r="CW74" i="3" s="1"/>
  <c r="CX74" i="3"/>
  <c r="DG74" i="3" s="1"/>
  <c r="DJ74" i="3" s="1"/>
  <c r="CY74" i="3"/>
  <c r="CZ74" i="3"/>
  <c r="DA74" i="3"/>
  <c r="DB74" i="3"/>
  <c r="DC74" i="3"/>
  <c r="DF74" i="3"/>
  <c r="DH74" i="3"/>
  <c r="A75" i="3"/>
  <c r="Y75" i="3"/>
  <c r="CX75" i="3" s="1"/>
  <c r="CY75" i="3"/>
  <c r="CZ75" i="3"/>
  <c r="DA75" i="3"/>
  <c r="DB75" i="3"/>
  <c r="DC75" i="3"/>
  <c r="A76" i="3"/>
  <c r="Y76" i="3"/>
  <c r="CX76" i="3"/>
  <c r="DG76" i="3" s="1"/>
  <c r="CY76" i="3"/>
  <c r="CZ76" i="3"/>
  <c r="DA76" i="3"/>
  <c r="DB76" i="3"/>
  <c r="DC76" i="3"/>
  <c r="DF76" i="3"/>
  <c r="DH76" i="3"/>
  <c r="DJ76" i="3"/>
  <c r="A77" i="3"/>
  <c r="Y77" i="3"/>
  <c r="CX77" i="3" s="1"/>
  <c r="CY77" i="3"/>
  <c r="CZ77" i="3"/>
  <c r="DA77" i="3"/>
  <c r="DB77" i="3"/>
  <c r="DC77" i="3"/>
  <c r="A78" i="3"/>
  <c r="Y78" i="3"/>
  <c r="CY78" i="3"/>
  <c r="CZ78" i="3"/>
  <c r="DA78" i="3"/>
  <c r="DB78" i="3"/>
  <c r="DC78" i="3"/>
  <c r="A79" i="3"/>
  <c r="Y79" i="3"/>
  <c r="CY79" i="3"/>
  <c r="CZ79" i="3"/>
  <c r="DA79" i="3"/>
  <c r="DB79" i="3"/>
  <c r="DC79" i="3"/>
  <c r="A80" i="3"/>
  <c r="Y80" i="3"/>
  <c r="CY80" i="3"/>
  <c r="CZ80" i="3"/>
  <c r="DA80" i="3"/>
  <c r="DB80" i="3"/>
  <c r="DC80" i="3"/>
  <c r="A81" i="3"/>
  <c r="Y81" i="3"/>
  <c r="CY81" i="3"/>
  <c r="CZ81" i="3"/>
  <c r="DA81" i="3"/>
  <c r="DB81" i="3"/>
  <c r="DC81" i="3"/>
  <c r="A82" i="3"/>
  <c r="Y82" i="3"/>
  <c r="CY82" i="3"/>
  <c r="CZ82" i="3"/>
  <c r="DA82" i="3"/>
  <c r="DB82" i="3"/>
  <c r="DC82" i="3"/>
  <c r="A83" i="3"/>
  <c r="Y83" i="3"/>
  <c r="CY83" i="3"/>
  <c r="CZ83" i="3"/>
  <c r="DA83" i="3"/>
  <c r="DB83" i="3"/>
  <c r="DC83" i="3"/>
  <c r="A84" i="3"/>
  <c r="Y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A86" i="3"/>
  <c r="DB86" i="3"/>
  <c r="DC86" i="3"/>
  <c r="A87" i="3"/>
  <c r="Y87" i="3"/>
  <c r="CY87" i="3"/>
  <c r="CZ87" i="3"/>
  <c r="DA87" i="3"/>
  <c r="DB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A89" i="3"/>
  <c r="DB89" i="3"/>
  <c r="DC89" i="3"/>
  <c r="A90" i="3"/>
  <c r="Y90" i="3"/>
  <c r="CY90" i="3"/>
  <c r="CZ90" i="3"/>
  <c r="DA90" i="3"/>
  <c r="DB90" i="3"/>
  <c r="DC90" i="3"/>
  <c r="A91" i="3"/>
  <c r="Y91" i="3"/>
  <c r="CY91" i="3"/>
  <c r="CZ91" i="3"/>
  <c r="DA91" i="3"/>
  <c r="DB91" i="3"/>
  <c r="DC91" i="3"/>
  <c r="A92" i="3"/>
  <c r="Y92" i="3"/>
  <c r="CY92" i="3"/>
  <c r="CZ92" i="3"/>
  <c r="DA92" i="3"/>
  <c r="DB92" i="3"/>
  <c r="DC92" i="3"/>
  <c r="A93" i="3"/>
  <c r="Y93" i="3"/>
  <c r="CY93" i="3"/>
  <c r="CZ93" i="3"/>
  <c r="DA93" i="3"/>
  <c r="DB93" i="3"/>
  <c r="DC93" i="3"/>
  <c r="A94" i="3"/>
  <c r="Y94" i="3"/>
  <c r="CY94" i="3"/>
  <c r="CZ94" i="3"/>
  <c r="DA94" i="3"/>
  <c r="DB94" i="3"/>
  <c r="DC94" i="3"/>
  <c r="A95" i="3"/>
  <c r="Y95" i="3"/>
  <c r="CY95" i="3"/>
  <c r="CZ95" i="3"/>
  <c r="DA95" i="3"/>
  <c r="DB95" i="3"/>
  <c r="DC95" i="3"/>
  <c r="A96" i="3"/>
  <c r="Y96" i="3"/>
  <c r="CY96" i="3"/>
  <c r="CZ96" i="3"/>
  <c r="DA96" i="3"/>
  <c r="DB96" i="3"/>
  <c r="DC96" i="3"/>
  <c r="A97" i="3"/>
  <c r="Y97" i="3"/>
  <c r="CY97" i="3"/>
  <c r="CZ97" i="3"/>
  <c r="DA97" i="3"/>
  <c r="DB97" i="3"/>
  <c r="DC97" i="3"/>
  <c r="A98" i="3"/>
  <c r="Y98" i="3"/>
  <c r="CY98" i="3"/>
  <c r="CZ98" i="3"/>
  <c r="DA98" i="3"/>
  <c r="DB98" i="3"/>
  <c r="DC98" i="3"/>
  <c r="A99" i="3"/>
  <c r="Y99" i="3"/>
  <c r="CX99" i="3" s="1"/>
  <c r="DI99" i="3" s="1"/>
  <c r="DJ99" i="3" s="1"/>
  <c r="CU99" i="3"/>
  <c r="CV99" i="3"/>
  <c r="CY99" i="3"/>
  <c r="CZ99" i="3"/>
  <c r="DA99" i="3"/>
  <c r="DB99" i="3"/>
  <c r="DC99" i="3"/>
  <c r="DG99" i="3"/>
  <c r="A100" i="3"/>
  <c r="Y100" i="3"/>
  <c r="CX100" i="3"/>
  <c r="DH100" i="3" s="1"/>
  <c r="CY100" i="3"/>
  <c r="CZ100" i="3"/>
  <c r="DA100" i="3"/>
  <c r="DB100" i="3"/>
  <c r="DC100" i="3"/>
  <c r="DF100" i="3"/>
  <c r="A101" i="3"/>
  <c r="Y101" i="3"/>
  <c r="CW101" i="3" s="1"/>
  <c r="CY101" i="3"/>
  <c r="CZ101" i="3"/>
  <c r="DA101" i="3"/>
  <c r="DB101" i="3"/>
  <c r="DC101" i="3"/>
  <c r="A102" i="3"/>
  <c r="Y102" i="3"/>
  <c r="CU102" i="3"/>
  <c r="CV102" i="3"/>
  <c r="CX102" i="3"/>
  <c r="DG102" i="3" s="1"/>
  <c r="CY102" i="3"/>
  <c r="CZ102" i="3"/>
  <c r="DA102" i="3"/>
  <c r="DB102" i="3"/>
  <c r="DC102" i="3"/>
  <c r="DF102" i="3"/>
  <c r="DH102" i="3"/>
  <c r="A103" i="3"/>
  <c r="Y103" i="3"/>
  <c r="CX103" i="3" s="1"/>
  <c r="CY103" i="3"/>
  <c r="CZ103" i="3"/>
  <c r="DA103" i="3"/>
  <c r="DB103" i="3"/>
  <c r="DC103" i="3"/>
  <c r="A104" i="3"/>
  <c r="Y104" i="3"/>
  <c r="CW104" i="3"/>
  <c r="CX104" i="3"/>
  <c r="CY104" i="3"/>
  <c r="CZ104" i="3"/>
  <c r="DA104" i="3"/>
  <c r="DB104" i="3"/>
  <c r="DC104" i="3"/>
  <c r="DF104" i="3"/>
  <c r="DG104" i="3"/>
  <c r="DJ104" i="3" s="1"/>
  <c r="DH104" i="3"/>
  <c r="DI104" i="3"/>
  <c r="A105" i="3"/>
  <c r="Y105" i="3"/>
  <c r="CW105" i="3"/>
  <c r="CX105" i="3"/>
  <c r="CY105" i="3"/>
  <c r="CZ105" i="3"/>
  <c r="DA105" i="3"/>
  <c r="DB105" i="3"/>
  <c r="DC105" i="3"/>
  <c r="DF105" i="3"/>
  <c r="DG105" i="3"/>
  <c r="DJ105" i="3" s="1"/>
  <c r="DH105" i="3"/>
  <c r="DI105" i="3"/>
  <c r="A106" i="3"/>
  <c r="Y106" i="3"/>
  <c r="CX106" i="3"/>
  <c r="DG106" i="3" s="1"/>
  <c r="CY106" i="3"/>
  <c r="CZ106" i="3"/>
  <c r="DA106" i="3"/>
  <c r="DB106" i="3"/>
  <c r="DC106" i="3"/>
  <c r="DF106" i="3"/>
  <c r="DH106" i="3"/>
  <c r="DJ106" i="3"/>
  <c r="A107" i="3"/>
  <c r="Y107" i="3"/>
  <c r="CX107" i="3" s="1"/>
  <c r="CY107" i="3"/>
  <c r="CZ107" i="3"/>
  <c r="DA107" i="3"/>
  <c r="DB107" i="3"/>
  <c r="DC107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B28" i="1"/>
  <c r="B26" i="1" s="1"/>
  <c r="C28" i="1"/>
  <c r="C26" i="1" s="1"/>
  <c r="D28" i="1"/>
  <c r="D26" i="1" s="1"/>
  <c r="F28" i="1"/>
  <c r="F26" i="1" s="1"/>
  <c r="G28" i="1"/>
  <c r="G26" i="1" s="1"/>
  <c r="O28" i="1"/>
  <c r="O26" i="1" s="1"/>
  <c r="P28" i="1"/>
  <c r="P26" i="1" s="1"/>
  <c r="Q28" i="1"/>
  <c r="Q26" i="1" s="1"/>
  <c r="R28" i="1"/>
  <c r="R26" i="1" s="1"/>
  <c r="S28" i="1"/>
  <c r="S26" i="1" s="1"/>
  <c r="T28" i="1"/>
  <c r="T26" i="1" s="1"/>
  <c r="U28" i="1"/>
  <c r="U26" i="1" s="1"/>
  <c r="V28" i="1"/>
  <c r="V26" i="1" s="1"/>
  <c r="W28" i="1"/>
  <c r="W26" i="1" s="1"/>
  <c r="X28" i="1"/>
  <c r="X26" i="1" s="1"/>
  <c r="Y28" i="1"/>
  <c r="Y26" i="1" s="1"/>
  <c r="AO28" i="1"/>
  <c r="AO26" i="1" s="1"/>
  <c r="AP28" i="1"/>
  <c r="AP26" i="1" s="1"/>
  <c r="AQ28" i="1"/>
  <c r="AQ26" i="1" s="1"/>
  <c r="AR28" i="1"/>
  <c r="AR26" i="1" s="1"/>
  <c r="AS28" i="1"/>
  <c r="AS26" i="1" s="1"/>
  <c r="AT28" i="1"/>
  <c r="AT26" i="1" s="1"/>
  <c r="AU28" i="1"/>
  <c r="AU26" i="1" s="1"/>
  <c r="AV28" i="1"/>
  <c r="AV26" i="1" s="1"/>
  <c r="AW28" i="1"/>
  <c r="AW26" i="1" s="1"/>
  <c r="AX28" i="1"/>
  <c r="AX26" i="1" s="1"/>
  <c r="AY28" i="1"/>
  <c r="AY26" i="1" s="1"/>
  <c r="AZ28" i="1"/>
  <c r="AZ26" i="1" s="1"/>
  <c r="BA28" i="1"/>
  <c r="BA26" i="1" s="1"/>
  <c r="BB28" i="1"/>
  <c r="BB26" i="1" s="1"/>
  <c r="BC28" i="1"/>
  <c r="BC26" i="1" s="1"/>
  <c r="BD28" i="1"/>
  <c r="BD26" i="1" s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D58" i="1"/>
  <c r="E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B62" i="1"/>
  <c r="B60" i="1" s="1"/>
  <c r="C62" i="1"/>
  <c r="C60" i="1" s="1"/>
  <c r="D62" i="1"/>
  <c r="D60" i="1" s="1"/>
  <c r="F62" i="1"/>
  <c r="F60" i="1" s="1"/>
  <c r="G62" i="1"/>
  <c r="G60" i="1" s="1"/>
  <c r="O62" i="1"/>
  <c r="O60" i="1" s="1"/>
  <c r="P62" i="1"/>
  <c r="P60" i="1" s="1"/>
  <c r="Q62" i="1"/>
  <c r="Q60" i="1" s="1"/>
  <c r="R62" i="1"/>
  <c r="R60" i="1" s="1"/>
  <c r="S62" i="1"/>
  <c r="S60" i="1" s="1"/>
  <c r="T62" i="1"/>
  <c r="T60" i="1" s="1"/>
  <c r="U62" i="1"/>
  <c r="U60" i="1" s="1"/>
  <c r="V62" i="1"/>
  <c r="V60" i="1" s="1"/>
  <c r="W62" i="1"/>
  <c r="W60" i="1" s="1"/>
  <c r="X62" i="1"/>
  <c r="X60" i="1" s="1"/>
  <c r="Y62" i="1"/>
  <c r="Y60" i="1" s="1"/>
  <c r="AO62" i="1"/>
  <c r="AO60" i="1" s="1"/>
  <c r="AP62" i="1"/>
  <c r="AP60" i="1" s="1"/>
  <c r="AQ62" i="1"/>
  <c r="AQ60" i="1" s="1"/>
  <c r="AR62" i="1"/>
  <c r="AR60" i="1" s="1"/>
  <c r="AS62" i="1"/>
  <c r="AS60" i="1" s="1"/>
  <c r="AT62" i="1"/>
  <c r="AT60" i="1" s="1"/>
  <c r="AU62" i="1"/>
  <c r="AU60" i="1" s="1"/>
  <c r="AV62" i="1"/>
  <c r="AV60" i="1" s="1"/>
  <c r="AW62" i="1"/>
  <c r="AW60" i="1" s="1"/>
  <c r="AX62" i="1"/>
  <c r="AX60" i="1" s="1"/>
  <c r="AY62" i="1"/>
  <c r="AY60" i="1" s="1"/>
  <c r="AZ62" i="1"/>
  <c r="AZ60" i="1" s="1"/>
  <c r="BA62" i="1"/>
  <c r="BA60" i="1" s="1"/>
  <c r="BB62" i="1"/>
  <c r="BB60" i="1" s="1"/>
  <c r="BC62" i="1"/>
  <c r="BC60" i="1" s="1"/>
  <c r="BD62" i="1"/>
  <c r="BD60" i="1" s="1"/>
  <c r="F64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D92" i="1"/>
  <c r="E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DF94" i="1"/>
  <c r="DG94" i="1"/>
  <c r="DH94" i="1"/>
  <c r="DI94" i="1"/>
  <c r="DJ94" i="1"/>
  <c r="DK94" i="1"/>
  <c r="DL94" i="1"/>
  <c r="DM94" i="1"/>
  <c r="DN94" i="1"/>
  <c r="DO94" i="1"/>
  <c r="DP94" i="1"/>
  <c r="DQ94" i="1"/>
  <c r="DR94" i="1"/>
  <c r="DS94" i="1"/>
  <c r="DT94" i="1"/>
  <c r="DU94" i="1"/>
  <c r="DV94" i="1"/>
  <c r="DW94" i="1"/>
  <c r="DX94" i="1"/>
  <c r="DY94" i="1"/>
  <c r="DZ94" i="1"/>
  <c r="EA94" i="1"/>
  <c r="EB94" i="1"/>
  <c r="EC94" i="1"/>
  <c r="ED94" i="1"/>
  <c r="EE94" i="1"/>
  <c r="EF94" i="1"/>
  <c r="EG94" i="1"/>
  <c r="EH94" i="1"/>
  <c r="EI94" i="1"/>
  <c r="EJ94" i="1"/>
  <c r="EK94" i="1"/>
  <c r="EL94" i="1"/>
  <c r="EM94" i="1"/>
  <c r="EN94" i="1"/>
  <c r="EO94" i="1"/>
  <c r="EP94" i="1"/>
  <c r="EQ94" i="1"/>
  <c r="ER94" i="1"/>
  <c r="ES94" i="1"/>
  <c r="ET94" i="1"/>
  <c r="EU94" i="1"/>
  <c r="EV94" i="1"/>
  <c r="EW94" i="1"/>
  <c r="EX94" i="1"/>
  <c r="EY94" i="1"/>
  <c r="EZ94" i="1"/>
  <c r="FA94" i="1"/>
  <c r="FB94" i="1"/>
  <c r="FC94" i="1"/>
  <c r="FD94" i="1"/>
  <c r="FE94" i="1"/>
  <c r="FF94" i="1"/>
  <c r="FG94" i="1"/>
  <c r="FH94" i="1"/>
  <c r="FI94" i="1"/>
  <c r="FJ94" i="1"/>
  <c r="FK94" i="1"/>
  <c r="FL94" i="1"/>
  <c r="FM94" i="1"/>
  <c r="FN94" i="1"/>
  <c r="FO94" i="1"/>
  <c r="FP94" i="1"/>
  <c r="FQ94" i="1"/>
  <c r="FR94" i="1"/>
  <c r="FS94" i="1"/>
  <c r="FT94" i="1"/>
  <c r="FU94" i="1"/>
  <c r="FV94" i="1"/>
  <c r="FW94" i="1"/>
  <c r="FX94" i="1"/>
  <c r="FY94" i="1"/>
  <c r="FZ94" i="1"/>
  <c r="GA94" i="1"/>
  <c r="GB94" i="1"/>
  <c r="GC94" i="1"/>
  <c r="GD94" i="1"/>
  <c r="GE94" i="1"/>
  <c r="GF94" i="1"/>
  <c r="GG94" i="1"/>
  <c r="GH94" i="1"/>
  <c r="GI94" i="1"/>
  <c r="GJ94" i="1"/>
  <c r="GK94" i="1"/>
  <c r="GL94" i="1"/>
  <c r="GM94" i="1"/>
  <c r="GN94" i="1"/>
  <c r="GO94" i="1"/>
  <c r="GP94" i="1"/>
  <c r="GQ94" i="1"/>
  <c r="GR94" i="1"/>
  <c r="GS94" i="1"/>
  <c r="GT94" i="1"/>
  <c r="GU94" i="1"/>
  <c r="GV94" i="1"/>
  <c r="GW94" i="1"/>
  <c r="GX94" i="1"/>
  <c r="B96" i="1"/>
  <c r="B94" i="1" s="1"/>
  <c r="C96" i="1"/>
  <c r="C94" i="1" s="1"/>
  <c r="D96" i="1"/>
  <c r="D94" i="1" s="1"/>
  <c r="F96" i="1"/>
  <c r="F94" i="1" s="1"/>
  <c r="G96" i="1"/>
  <c r="G94" i="1" s="1"/>
  <c r="O96" i="1"/>
  <c r="O94" i="1" s="1"/>
  <c r="P96" i="1"/>
  <c r="P94" i="1" s="1"/>
  <c r="Q96" i="1"/>
  <c r="Q94" i="1" s="1"/>
  <c r="R96" i="1"/>
  <c r="R94" i="1" s="1"/>
  <c r="S96" i="1"/>
  <c r="S94" i="1" s="1"/>
  <c r="T96" i="1"/>
  <c r="T94" i="1" s="1"/>
  <c r="U96" i="1"/>
  <c r="U94" i="1" s="1"/>
  <c r="V96" i="1"/>
  <c r="V94" i="1" s="1"/>
  <c r="W96" i="1"/>
  <c r="W94" i="1" s="1"/>
  <c r="X96" i="1"/>
  <c r="X94" i="1" s="1"/>
  <c r="Y96" i="1"/>
  <c r="Y94" i="1" s="1"/>
  <c r="AO96" i="1"/>
  <c r="AO94" i="1" s="1"/>
  <c r="AP96" i="1"/>
  <c r="AP94" i="1" s="1"/>
  <c r="AQ96" i="1"/>
  <c r="AQ94" i="1" s="1"/>
  <c r="AR96" i="1"/>
  <c r="AR94" i="1" s="1"/>
  <c r="AS96" i="1"/>
  <c r="AS94" i="1" s="1"/>
  <c r="AT96" i="1"/>
  <c r="AT94" i="1" s="1"/>
  <c r="AU96" i="1"/>
  <c r="AU94" i="1" s="1"/>
  <c r="AV96" i="1"/>
  <c r="AV94" i="1" s="1"/>
  <c r="AW96" i="1"/>
  <c r="AW94" i="1" s="1"/>
  <c r="AX96" i="1"/>
  <c r="AX94" i="1" s="1"/>
  <c r="AY96" i="1"/>
  <c r="AY94" i="1" s="1"/>
  <c r="AZ96" i="1"/>
  <c r="AZ94" i="1" s="1"/>
  <c r="BA96" i="1"/>
  <c r="BA94" i="1" s="1"/>
  <c r="BB96" i="1"/>
  <c r="BB94" i="1" s="1"/>
  <c r="BC96" i="1"/>
  <c r="BC94" i="1" s="1"/>
  <c r="BD96" i="1"/>
  <c r="BD94" i="1" s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D126" i="1"/>
  <c r="E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CT128" i="1"/>
  <c r="CU128" i="1"/>
  <c r="CV128" i="1"/>
  <c r="CW128" i="1"/>
  <c r="CX128" i="1"/>
  <c r="CY128" i="1"/>
  <c r="CZ128" i="1"/>
  <c r="DA128" i="1"/>
  <c r="DB128" i="1"/>
  <c r="DC128" i="1"/>
  <c r="DD128" i="1"/>
  <c r="DE128" i="1"/>
  <c r="DF128" i="1"/>
  <c r="DG128" i="1"/>
  <c r="DH128" i="1"/>
  <c r="DI128" i="1"/>
  <c r="DJ128" i="1"/>
  <c r="DK128" i="1"/>
  <c r="DL128" i="1"/>
  <c r="DM128" i="1"/>
  <c r="DN128" i="1"/>
  <c r="DO128" i="1"/>
  <c r="DP128" i="1"/>
  <c r="DQ128" i="1"/>
  <c r="DR128" i="1"/>
  <c r="DS128" i="1"/>
  <c r="DT128" i="1"/>
  <c r="DU128" i="1"/>
  <c r="DV128" i="1"/>
  <c r="DW128" i="1"/>
  <c r="DX128" i="1"/>
  <c r="DY128" i="1"/>
  <c r="DZ128" i="1"/>
  <c r="EA128" i="1"/>
  <c r="EB128" i="1"/>
  <c r="EC128" i="1"/>
  <c r="ED128" i="1"/>
  <c r="EE128" i="1"/>
  <c r="EF128" i="1"/>
  <c r="EG128" i="1"/>
  <c r="EH128" i="1"/>
  <c r="EI128" i="1"/>
  <c r="EJ128" i="1"/>
  <c r="EK128" i="1"/>
  <c r="EL128" i="1"/>
  <c r="EM128" i="1"/>
  <c r="EN128" i="1"/>
  <c r="EO128" i="1"/>
  <c r="EP128" i="1"/>
  <c r="EQ128" i="1"/>
  <c r="ER128" i="1"/>
  <c r="ES128" i="1"/>
  <c r="ET128" i="1"/>
  <c r="EU128" i="1"/>
  <c r="EV128" i="1"/>
  <c r="EW128" i="1"/>
  <c r="EX128" i="1"/>
  <c r="EY128" i="1"/>
  <c r="EZ128" i="1"/>
  <c r="FA128" i="1"/>
  <c r="FB128" i="1"/>
  <c r="FC128" i="1"/>
  <c r="FD128" i="1"/>
  <c r="FE128" i="1"/>
  <c r="FF128" i="1"/>
  <c r="FG128" i="1"/>
  <c r="FH128" i="1"/>
  <c r="FI128" i="1"/>
  <c r="FJ128" i="1"/>
  <c r="FK128" i="1"/>
  <c r="FL128" i="1"/>
  <c r="FM128" i="1"/>
  <c r="FN128" i="1"/>
  <c r="FO128" i="1"/>
  <c r="FP128" i="1"/>
  <c r="FQ128" i="1"/>
  <c r="FR128" i="1"/>
  <c r="FS128" i="1"/>
  <c r="FT128" i="1"/>
  <c r="FU128" i="1"/>
  <c r="FV128" i="1"/>
  <c r="FW128" i="1"/>
  <c r="FX128" i="1"/>
  <c r="FY128" i="1"/>
  <c r="FZ128" i="1"/>
  <c r="GA128" i="1"/>
  <c r="GB128" i="1"/>
  <c r="GC128" i="1"/>
  <c r="GD128" i="1"/>
  <c r="GE128" i="1"/>
  <c r="GF128" i="1"/>
  <c r="GG128" i="1"/>
  <c r="GH128" i="1"/>
  <c r="GI128" i="1"/>
  <c r="GJ128" i="1"/>
  <c r="GK128" i="1"/>
  <c r="GL128" i="1"/>
  <c r="GM128" i="1"/>
  <c r="GN128" i="1"/>
  <c r="GO128" i="1"/>
  <c r="GP128" i="1"/>
  <c r="GQ128" i="1"/>
  <c r="GR128" i="1"/>
  <c r="GS128" i="1"/>
  <c r="GT128" i="1"/>
  <c r="GU128" i="1"/>
  <c r="GV128" i="1"/>
  <c r="GW128" i="1"/>
  <c r="GX128" i="1"/>
  <c r="B130" i="1"/>
  <c r="B128" i="1" s="1"/>
  <c r="C130" i="1"/>
  <c r="C128" i="1" s="1"/>
  <c r="D130" i="1"/>
  <c r="D128" i="1" s="1"/>
  <c r="F130" i="1"/>
  <c r="F128" i="1" s="1"/>
  <c r="G130" i="1"/>
  <c r="G128" i="1" s="1"/>
  <c r="O130" i="1"/>
  <c r="O128" i="1" s="1"/>
  <c r="P130" i="1"/>
  <c r="P128" i="1" s="1"/>
  <c r="Q130" i="1"/>
  <c r="Q128" i="1" s="1"/>
  <c r="R130" i="1"/>
  <c r="R128" i="1" s="1"/>
  <c r="S130" i="1"/>
  <c r="S128" i="1" s="1"/>
  <c r="T130" i="1"/>
  <c r="T128" i="1" s="1"/>
  <c r="U130" i="1"/>
  <c r="U128" i="1" s="1"/>
  <c r="V130" i="1"/>
  <c r="V128" i="1" s="1"/>
  <c r="W130" i="1"/>
  <c r="W128" i="1" s="1"/>
  <c r="X130" i="1"/>
  <c r="X128" i="1" s="1"/>
  <c r="Y130" i="1"/>
  <c r="Y128" i="1" s="1"/>
  <c r="AO130" i="1"/>
  <c r="AO128" i="1" s="1"/>
  <c r="AP130" i="1"/>
  <c r="AP128" i="1" s="1"/>
  <c r="AQ130" i="1"/>
  <c r="AQ128" i="1" s="1"/>
  <c r="AR130" i="1"/>
  <c r="AR128" i="1" s="1"/>
  <c r="AS130" i="1"/>
  <c r="AS128" i="1" s="1"/>
  <c r="AT130" i="1"/>
  <c r="AT128" i="1" s="1"/>
  <c r="AU130" i="1"/>
  <c r="AU128" i="1" s="1"/>
  <c r="AV130" i="1"/>
  <c r="AV128" i="1" s="1"/>
  <c r="AW130" i="1"/>
  <c r="AW128" i="1" s="1"/>
  <c r="AX130" i="1"/>
  <c r="AX128" i="1" s="1"/>
  <c r="AY130" i="1"/>
  <c r="AY128" i="1" s="1"/>
  <c r="AZ130" i="1"/>
  <c r="AZ128" i="1" s="1"/>
  <c r="BA130" i="1"/>
  <c r="BA128" i="1" s="1"/>
  <c r="BB130" i="1"/>
  <c r="BB128" i="1" s="1"/>
  <c r="BC130" i="1"/>
  <c r="BC128" i="1" s="1"/>
  <c r="BD130" i="1"/>
  <c r="BD128" i="1" s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D160" i="1"/>
  <c r="E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DS162" i="1"/>
  <c r="DT162" i="1"/>
  <c r="DU162" i="1"/>
  <c r="DV162" i="1"/>
  <c r="DW162" i="1"/>
  <c r="DX162" i="1"/>
  <c r="DY162" i="1"/>
  <c r="DZ162" i="1"/>
  <c r="EA162" i="1"/>
  <c r="EB162" i="1"/>
  <c r="EC162" i="1"/>
  <c r="ED162" i="1"/>
  <c r="EE162" i="1"/>
  <c r="EF162" i="1"/>
  <c r="EG162" i="1"/>
  <c r="EH162" i="1"/>
  <c r="EI162" i="1"/>
  <c r="EJ162" i="1"/>
  <c r="EK162" i="1"/>
  <c r="EL162" i="1"/>
  <c r="EM162" i="1"/>
  <c r="EN162" i="1"/>
  <c r="EO162" i="1"/>
  <c r="EP162" i="1"/>
  <c r="EQ162" i="1"/>
  <c r="ER162" i="1"/>
  <c r="ES162" i="1"/>
  <c r="ET162" i="1"/>
  <c r="EU162" i="1"/>
  <c r="EV162" i="1"/>
  <c r="EW162" i="1"/>
  <c r="EX162" i="1"/>
  <c r="EY162" i="1"/>
  <c r="EZ162" i="1"/>
  <c r="FA162" i="1"/>
  <c r="FB162" i="1"/>
  <c r="FC162" i="1"/>
  <c r="FD162" i="1"/>
  <c r="FE162" i="1"/>
  <c r="FF162" i="1"/>
  <c r="FG162" i="1"/>
  <c r="FH162" i="1"/>
  <c r="FI162" i="1"/>
  <c r="FJ162" i="1"/>
  <c r="FK162" i="1"/>
  <c r="FL162" i="1"/>
  <c r="FM162" i="1"/>
  <c r="FN162" i="1"/>
  <c r="FO162" i="1"/>
  <c r="FP162" i="1"/>
  <c r="FQ162" i="1"/>
  <c r="FR162" i="1"/>
  <c r="FS162" i="1"/>
  <c r="FT162" i="1"/>
  <c r="FU162" i="1"/>
  <c r="FV162" i="1"/>
  <c r="FW162" i="1"/>
  <c r="FX162" i="1"/>
  <c r="FY162" i="1"/>
  <c r="FZ162" i="1"/>
  <c r="GA162" i="1"/>
  <c r="GB162" i="1"/>
  <c r="GC162" i="1"/>
  <c r="GD162" i="1"/>
  <c r="GE162" i="1"/>
  <c r="GF162" i="1"/>
  <c r="GG162" i="1"/>
  <c r="GH162" i="1"/>
  <c r="GI162" i="1"/>
  <c r="GJ162" i="1"/>
  <c r="GK162" i="1"/>
  <c r="GL162" i="1"/>
  <c r="GM162" i="1"/>
  <c r="GN162" i="1"/>
  <c r="GO162" i="1"/>
  <c r="GP162" i="1"/>
  <c r="GQ162" i="1"/>
  <c r="GR162" i="1"/>
  <c r="GS162" i="1"/>
  <c r="GT162" i="1"/>
  <c r="GU162" i="1"/>
  <c r="GV162" i="1"/>
  <c r="GW162" i="1"/>
  <c r="GX162" i="1"/>
  <c r="B164" i="1"/>
  <c r="B162" i="1" s="1"/>
  <c r="C164" i="1"/>
  <c r="C162" i="1" s="1"/>
  <c r="D164" i="1"/>
  <c r="D162" i="1" s="1"/>
  <c r="F164" i="1"/>
  <c r="F162" i="1" s="1"/>
  <c r="G164" i="1"/>
  <c r="G162" i="1" s="1"/>
  <c r="O164" i="1"/>
  <c r="O162" i="1" s="1"/>
  <c r="P164" i="1"/>
  <c r="P162" i="1" s="1"/>
  <c r="Q164" i="1"/>
  <c r="Q162" i="1" s="1"/>
  <c r="R164" i="1"/>
  <c r="R162" i="1" s="1"/>
  <c r="S164" i="1"/>
  <c r="S162" i="1" s="1"/>
  <c r="T164" i="1"/>
  <c r="T162" i="1" s="1"/>
  <c r="U164" i="1"/>
  <c r="U162" i="1" s="1"/>
  <c r="V164" i="1"/>
  <c r="V162" i="1" s="1"/>
  <c r="W164" i="1"/>
  <c r="W162" i="1" s="1"/>
  <c r="X164" i="1"/>
  <c r="X162" i="1" s="1"/>
  <c r="Y164" i="1"/>
  <c r="Y162" i="1" s="1"/>
  <c r="AO164" i="1"/>
  <c r="AO162" i="1" s="1"/>
  <c r="AP164" i="1"/>
  <c r="AP162" i="1" s="1"/>
  <c r="AQ164" i="1"/>
  <c r="AQ162" i="1" s="1"/>
  <c r="AR164" i="1"/>
  <c r="AR162" i="1" s="1"/>
  <c r="AS164" i="1"/>
  <c r="AS162" i="1" s="1"/>
  <c r="AT164" i="1"/>
  <c r="AT162" i="1" s="1"/>
  <c r="AU164" i="1"/>
  <c r="AU162" i="1" s="1"/>
  <c r="AV164" i="1"/>
  <c r="AV162" i="1" s="1"/>
  <c r="AW164" i="1"/>
  <c r="AW162" i="1" s="1"/>
  <c r="AX164" i="1"/>
  <c r="AX162" i="1" s="1"/>
  <c r="AY164" i="1"/>
  <c r="AY162" i="1" s="1"/>
  <c r="AZ164" i="1"/>
  <c r="AZ162" i="1" s="1"/>
  <c r="BA164" i="1"/>
  <c r="BA162" i="1" s="1"/>
  <c r="BB164" i="1"/>
  <c r="BB162" i="1" s="1"/>
  <c r="BC164" i="1"/>
  <c r="BC162" i="1" s="1"/>
  <c r="BD164" i="1"/>
  <c r="BD162" i="1" s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D194" i="1"/>
  <c r="E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CB196" i="1"/>
  <c r="CC196" i="1"/>
  <c r="CD196" i="1"/>
  <c r="CE196" i="1"/>
  <c r="CF196" i="1"/>
  <c r="CG196" i="1"/>
  <c r="CH196" i="1"/>
  <c r="CI196" i="1"/>
  <c r="CJ196" i="1"/>
  <c r="CK196" i="1"/>
  <c r="CL196" i="1"/>
  <c r="CM196" i="1"/>
  <c r="CN196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196" i="1"/>
  <c r="DB196" i="1"/>
  <c r="DC196" i="1"/>
  <c r="DD196" i="1"/>
  <c r="DE196" i="1"/>
  <c r="DF196" i="1"/>
  <c r="DG196" i="1"/>
  <c r="DH196" i="1"/>
  <c r="DI196" i="1"/>
  <c r="DJ196" i="1"/>
  <c r="DK196" i="1"/>
  <c r="DL196" i="1"/>
  <c r="DM196" i="1"/>
  <c r="DN196" i="1"/>
  <c r="DO196" i="1"/>
  <c r="DP196" i="1"/>
  <c r="DQ196" i="1"/>
  <c r="DR196" i="1"/>
  <c r="DS196" i="1"/>
  <c r="DT196" i="1"/>
  <c r="DU196" i="1"/>
  <c r="DV196" i="1"/>
  <c r="DW196" i="1"/>
  <c r="DX196" i="1"/>
  <c r="DY196" i="1"/>
  <c r="DZ196" i="1"/>
  <c r="EA196" i="1"/>
  <c r="EB196" i="1"/>
  <c r="EC196" i="1"/>
  <c r="ED196" i="1"/>
  <c r="EE196" i="1"/>
  <c r="EF196" i="1"/>
  <c r="EG196" i="1"/>
  <c r="EH196" i="1"/>
  <c r="EI196" i="1"/>
  <c r="EJ196" i="1"/>
  <c r="EK196" i="1"/>
  <c r="EL196" i="1"/>
  <c r="EM196" i="1"/>
  <c r="EN196" i="1"/>
  <c r="EO196" i="1"/>
  <c r="EP196" i="1"/>
  <c r="EQ196" i="1"/>
  <c r="ER196" i="1"/>
  <c r="ES196" i="1"/>
  <c r="ET196" i="1"/>
  <c r="EU196" i="1"/>
  <c r="EV196" i="1"/>
  <c r="EW196" i="1"/>
  <c r="EX196" i="1"/>
  <c r="EY196" i="1"/>
  <c r="EZ196" i="1"/>
  <c r="FA196" i="1"/>
  <c r="FB196" i="1"/>
  <c r="FC196" i="1"/>
  <c r="FD196" i="1"/>
  <c r="FE196" i="1"/>
  <c r="FF196" i="1"/>
  <c r="FG196" i="1"/>
  <c r="FH196" i="1"/>
  <c r="FI196" i="1"/>
  <c r="FJ196" i="1"/>
  <c r="FK196" i="1"/>
  <c r="FL196" i="1"/>
  <c r="FM196" i="1"/>
  <c r="FN196" i="1"/>
  <c r="FO196" i="1"/>
  <c r="FP196" i="1"/>
  <c r="FQ196" i="1"/>
  <c r="FR196" i="1"/>
  <c r="FS196" i="1"/>
  <c r="FT196" i="1"/>
  <c r="FU196" i="1"/>
  <c r="FV196" i="1"/>
  <c r="FW196" i="1"/>
  <c r="FX196" i="1"/>
  <c r="FY196" i="1"/>
  <c r="FZ196" i="1"/>
  <c r="GA196" i="1"/>
  <c r="GB196" i="1"/>
  <c r="GC196" i="1"/>
  <c r="GD196" i="1"/>
  <c r="GE196" i="1"/>
  <c r="GF196" i="1"/>
  <c r="GG196" i="1"/>
  <c r="GH196" i="1"/>
  <c r="GI196" i="1"/>
  <c r="GJ196" i="1"/>
  <c r="GK196" i="1"/>
  <c r="GL196" i="1"/>
  <c r="GM196" i="1"/>
  <c r="GN196" i="1"/>
  <c r="GO196" i="1"/>
  <c r="GP196" i="1"/>
  <c r="GQ196" i="1"/>
  <c r="GR196" i="1"/>
  <c r="GS196" i="1"/>
  <c r="GT196" i="1"/>
  <c r="GU196" i="1"/>
  <c r="GV196" i="1"/>
  <c r="GW196" i="1"/>
  <c r="GX196" i="1"/>
  <c r="B198" i="1"/>
  <c r="B196" i="1" s="1"/>
  <c r="C198" i="1"/>
  <c r="C196" i="1" s="1"/>
  <c r="D198" i="1"/>
  <c r="D196" i="1" s="1"/>
  <c r="F198" i="1"/>
  <c r="F196" i="1" s="1"/>
  <c r="G198" i="1"/>
  <c r="G196" i="1" s="1"/>
  <c r="O198" i="1"/>
  <c r="O196" i="1" s="1"/>
  <c r="P198" i="1"/>
  <c r="P196" i="1" s="1"/>
  <c r="Q198" i="1"/>
  <c r="Q196" i="1" s="1"/>
  <c r="R198" i="1"/>
  <c r="R196" i="1" s="1"/>
  <c r="S198" i="1"/>
  <c r="S196" i="1" s="1"/>
  <c r="T198" i="1"/>
  <c r="T196" i="1" s="1"/>
  <c r="U198" i="1"/>
  <c r="U196" i="1" s="1"/>
  <c r="V198" i="1"/>
  <c r="V196" i="1" s="1"/>
  <c r="W198" i="1"/>
  <c r="W196" i="1" s="1"/>
  <c r="X198" i="1"/>
  <c r="X196" i="1" s="1"/>
  <c r="Y198" i="1"/>
  <c r="Y196" i="1" s="1"/>
  <c r="AO198" i="1"/>
  <c r="AO196" i="1" s="1"/>
  <c r="AP198" i="1"/>
  <c r="AP196" i="1" s="1"/>
  <c r="AQ198" i="1"/>
  <c r="AQ196" i="1" s="1"/>
  <c r="AR198" i="1"/>
  <c r="AR196" i="1" s="1"/>
  <c r="AS198" i="1"/>
  <c r="AS196" i="1" s="1"/>
  <c r="AT198" i="1"/>
  <c r="AT196" i="1" s="1"/>
  <c r="AU198" i="1"/>
  <c r="AU196" i="1" s="1"/>
  <c r="AV198" i="1"/>
  <c r="AV196" i="1" s="1"/>
  <c r="AW198" i="1"/>
  <c r="AW196" i="1" s="1"/>
  <c r="AX198" i="1"/>
  <c r="AX196" i="1" s="1"/>
  <c r="AY198" i="1"/>
  <c r="AY196" i="1" s="1"/>
  <c r="AZ198" i="1"/>
  <c r="AZ196" i="1" s="1"/>
  <c r="BA198" i="1"/>
  <c r="BA196" i="1" s="1"/>
  <c r="BB198" i="1"/>
  <c r="BB196" i="1" s="1"/>
  <c r="BC198" i="1"/>
  <c r="BC196" i="1" s="1"/>
  <c r="BD198" i="1"/>
  <c r="BD196" i="1" s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D228" i="1"/>
  <c r="E230" i="1"/>
  <c r="Z230" i="1"/>
  <c r="AA230" i="1"/>
  <c r="AM230" i="1"/>
  <c r="AN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CN230" i="1"/>
  <c r="CO230" i="1"/>
  <c r="CP230" i="1"/>
  <c r="CQ230" i="1"/>
  <c r="CR230" i="1"/>
  <c r="CS230" i="1"/>
  <c r="CT230" i="1"/>
  <c r="CU230" i="1"/>
  <c r="CV230" i="1"/>
  <c r="CW230" i="1"/>
  <c r="CX230" i="1"/>
  <c r="CY230" i="1"/>
  <c r="CZ230" i="1"/>
  <c r="DA230" i="1"/>
  <c r="DB230" i="1"/>
  <c r="DC230" i="1"/>
  <c r="DD230" i="1"/>
  <c r="DE230" i="1"/>
  <c r="DF230" i="1"/>
  <c r="DG230" i="1"/>
  <c r="DH230" i="1"/>
  <c r="DI230" i="1"/>
  <c r="DJ230" i="1"/>
  <c r="DK230" i="1"/>
  <c r="DL230" i="1"/>
  <c r="DM230" i="1"/>
  <c r="DN230" i="1"/>
  <c r="DO230" i="1"/>
  <c r="DP230" i="1"/>
  <c r="DQ230" i="1"/>
  <c r="DR230" i="1"/>
  <c r="DS230" i="1"/>
  <c r="DT230" i="1"/>
  <c r="DU230" i="1"/>
  <c r="DV230" i="1"/>
  <c r="DW230" i="1"/>
  <c r="DX230" i="1"/>
  <c r="DY230" i="1"/>
  <c r="DZ230" i="1"/>
  <c r="EA230" i="1"/>
  <c r="EB230" i="1"/>
  <c r="EC230" i="1"/>
  <c r="ED230" i="1"/>
  <c r="EE230" i="1"/>
  <c r="EF230" i="1"/>
  <c r="EG230" i="1"/>
  <c r="EH230" i="1"/>
  <c r="EI230" i="1"/>
  <c r="EJ230" i="1"/>
  <c r="EK230" i="1"/>
  <c r="EL230" i="1"/>
  <c r="EM230" i="1"/>
  <c r="EN230" i="1"/>
  <c r="EO230" i="1"/>
  <c r="EP230" i="1"/>
  <c r="EQ230" i="1"/>
  <c r="ER230" i="1"/>
  <c r="ES230" i="1"/>
  <c r="ET230" i="1"/>
  <c r="EU230" i="1"/>
  <c r="EV230" i="1"/>
  <c r="EW230" i="1"/>
  <c r="EX230" i="1"/>
  <c r="EY230" i="1"/>
  <c r="EZ230" i="1"/>
  <c r="FA230" i="1"/>
  <c r="FB230" i="1"/>
  <c r="FC230" i="1"/>
  <c r="FD230" i="1"/>
  <c r="FE230" i="1"/>
  <c r="FF230" i="1"/>
  <c r="FG230" i="1"/>
  <c r="FH230" i="1"/>
  <c r="FI230" i="1"/>
  <c r="FJ230" i="1"/>
  <c r="FK230" i="1"/>
  <c r="FL230" i="1"/>
  <c r="FM230" i="1"/>
  <c r="FN230" i="1"/>
  <c r="FO230" i="1"/>
  <c r="FP230" i="1"/>
  <c r="FQ230" i="1"/>
  <c r="FR230" i="1"/>
  <c r="FS230" i="1"/>
  <c r="FT230" i="1"/>
  <c r="FU230" i="1"/>
  <c r="FV230" i="1"/>
  <c r="FW230" i="1"/>
  <c r="FX230" i="1"/>
  <c r="FY230" i="1"/>
  <c r="FZ230" i="1"/>
  <c r="GA230" i="1"/>
  <c r="GB230" i="1"/>
  <c r="GC230" i="1"/>
  <c r="GD230" i="1"/>
  <c r="GE230" i="1"/>
  <c r="GF230" i="1"/>
  <c r="GG230" i="1"/>
  <c r="GH230" i="1"/>
  <c r="GI230" i="1"/>
  <c r="GJ230" i="1"/>
  <c r="GK230" i="1"/>
  <c r="GL230" i="1"/>
  <c r="GM230" i="1"/>
  <c r="GN230" i="1"/>
  <c r="GO230" i="1"/>
  <c r="GP230" i="1"/>
  <c r="GQ230" i="1"/>
  <c r="GR230" i="1"/>
  <c r="GS230" i="1"/>
  <c r="GT230" i="1"/>
  <c r="GU230" i="1"/>
  <c r="GV230" i="1"/>
  <c r="GW230" i="1"/>
  <c r="GX230" i="1"/>
  <c r="C233" i="1"/>
  <c r="D233" i="1"/>
  <c r="I233" i="1"/>
  <c r="K233" i="1"/>
  <c r="AC233" i="1"/>
  <c r="AE233" i="1"/>
  <c r="AD233" i="1" s="1"/>
  <c r="AF233" i="1"/>
  <c r="AG233" i="1"/>
  <c r="AH233" i="1"/>
  <c r="AI233" i="1"/>
  <c r="AJ233" i="1"/>
  <c r="CQ233" i="1"/>
  <c r="CR233" i="1"/>
  <c r="CS233" i="1"/>
  <c r="CT233" i="1"/>
  <c r="CU233" i="1"/>
  <c r="T233" i="1" s="1"/>
  <c r="CV233" i="1"/>
  <c r="CW233" i="1"/>
  <c r="CX233" i="1"/>
  <c r="W233" i="1" s="1"/>
  <c r="GL233" i="1"/>
  <c r="GO233" i="1"/>
  <c r="GP233" i="1"/>
  <c r="GV233" i="1"/>
  <c r="GX233" i="1"/>
  <c r="HC233" i="1"/>
  <c r="C234" i="1"/>
  <c r="D234" i="1"/>
  <c r="I234" i="1"/>
  <c r="K234" i="1"/>
  <c r="AC234" i="1"/>
  <c r="AE234" i="1"/>
  <c r="AD234" i="1" s="1"/>
  <c r="AF234" i="1"/>
  <c r="AG234" i="1"/>
  <c r="CU234" i="1" s="1"/>
  <c r="T234" i="1" s="1"/>
  <c r="AH234" i="1"/>
  <c r="AI234" i="1"/>
  <c r="AJ234" i="1"/>
  <c r="CQ234" i="1"/>
  <c r="CR234" i="1"/>
  <c r="CS234" i="1"/>
  <c r="CT234" i="1"/>
  <c r="CV234" i="1"/>
  <c r="CW234" i="1"/>
  <c r="CX234" i="1"/>
  <c r="W234" i="1" s="1"/>
  <c r="GL234" i="1"/>
  <c r="GO234" i="1"/>
  <c r="GP234" i="1"/>
  <c r="GV234" i="1"/>
  <c r="HC234" i="1"/>
  <c r="GX234" i="1" s="1"/>
  <c r="C235" i="1"/>
  <c r="D235" i="1"/>
  <c r="I235" i="1"/>
  <c r="K235" i="1"/>
  <c r="AC235" i="1"/>
  <c r="AD235" i="1"/>
  <c r="AE235" i="1"/>
  <c r="AF235" i="1"/>
  <c r="AG235" i="1"/>
  <c r="AH235" i="1"/>
  <c r="AI235" i="1"/>
  <c r="AJ235" i="1"/>
  <c r="CX235" i="1" s="1"/>
  <c r="W235" i="1" s="1"/>
  <c r="CQ235" i="1"/>
  <c r="CR235" i="1"/>
  <c r="CS235" i="1"/>
  <c r="CT235" i="1"/>
  <c r="CU235" i="1"/>
  <c r="T235" i="1" s="1"/>
  <c r="CV235" i="1"/>
  <c r="CW235" i="1"/>
  <c r="GL235" i="1"/>
  <c r="GO235" i="1"/>
  <c r="GP235" i="1"/>
  <c r="GV235" i="1"/>
  <c r="GX235" i="1"/>
  <c r="HC235" i="1"/>
  <c r="C236" i="1"/>
  <c r="D236" i="1"/>
  <c r="I236" i="1"/>
  <c r="K236" i="1"/>
  <c r="AC236" i="1"/>
  <c r="AE236" i="1"/>
  <c r="AD236" i="1" s="1"/>
  <c r="AF236" i="1"/>
  <c r="AG236" i="1"/>
  <c r="CU236" i="1" s="1"/>
  <c r="T236" i="1" s="1"/>
  <c r="AH236" i="1"/>
  <c r="AI236" i="1"/>
  <c r="AJ236" i="1"/>
  <c r="CQ236" i="1"/>
  <c r="CR236" i="1"/>
  <c r="CS236" i="1"/>
  <c r="CT236" i="1"/>
  <c r="CV236" i="1"/>
  <c r="CW236" i="1"/>
  <c r="CX236" i="1"/>
  <c r="W236" i="1" s="1"/>
  <c r="GL236" i="1"/>
  <c r="GO236" i="1"/>
  <c r="GP236" i="1"/>
  <c r="GV236" i="1"/>
  <c r="HC236" i="1"/>
  <c r="GX236" i="1" s="1"/>
  <c r="C237" i="1"/>
  <c r="D237" i="1"/>
  <c r="I237" i="1"/>
  <c r="K237" i="1"/>
  <c r="AC237" i="1"/>
  <c r="AE237" i="1"/>
  <c r="AD237" i="1" s="1"/>
  <c r="AF237" i="1"/>
  <c r="AG237" i="1"/>
  <c r="AH237" i="1"/>
  <c r="AI237" i="1"/>
  <c r="AJ237" i="1"/>
  <c r="CX237" i="1" s="1"/>
  <c r="W237" i="1" s="1"/>
  <c r="CQ237" i="1"/>
  <c r="CR237" i="1"/>
  <c r="CS237" i="1"/>
  <c r="CT237" i="1"/>
  <c r="CU237" i="1"/>
  <c r="T237" i="1" s="1"/>
  <c r="CV237" i="1"/>
  <c r="CW237" i="1"/>
  <c r="GL237" i="1"/>
  <c r="GO237" i="1"/>
  <c r="GP237" i="1"/>
  <c r="GV237" i="1"/>
  <c r="GX237" i="1"/>
  <c r="HC237" i="1"/>
  <c r="C238" i="1"/>
  <c r="D238" i="1"/>
  <c r="I238" i="1"/>
  <c r="K238" i="1"/>
  <c r="AC238" i="1"/>
  <c r="AE238" i="1"/>
  <c r="AD238" i="1" s="1"/>
  <c r="AF238" i="1"/>
  <c r="AG238" i="1"/>
  <c r="CU238" i="1" s="1"/>
  <c r="T238" i="1" s="1"/>
  <c r="AH238" i="1"/>
  <c r="AI238" i="1"/>
  <c r="AJ238" i="1"/>
  <c r="CQ238" i="1"/>
  <c r="CR238" i="1"/>
  <c r="CS238" i="1"/>
  <c r="CT238" i="1"/>
  <c r="CV238" i="1"/>
  <c r="CW238" i="1"/>
  <c r="CX238" i="1"/>
  <c r="W238" i="1" s="1"/>
  <c r="GL238" i="1"/>
  <c r="GO238" i="1"/>
  <c r="GP238" i="1"/>
  <c r="GV238" i="1"/>
  <c r="HC238" i="1"/>
  <c r="GX238" i="1" s="1"/>
  <c r="I239" i="1"/>
  <c r="K239" i="1"/>
  <c r="AC239" i="1"/>
  <c r="AD239" i="1"/>
  <c r="AB239" i="1" s="1"/>
  <c r="AE239" i="1"/>
  <c r="AF239" i="1"/>
  <c r="AG239" i="1"/>
  <c r="AH239" i="1"/>
  <c r="CV239" i="1" s="1"/>
  <c r="U239" i="1" s="1"/>
  <c r="AI239" i="1"/>
  <c r="AJ239" i="1"/>
  <c r="CX239" i="1" s="1"/>
  <c r="W239" i="1" s="1"/>
  <c r="CQ239" i="1"/>
  <c r="P239" i="1" s="1"/>
  <c r="CR239" i="1"/>
  <c r="Q239" i="1" s="1"/>
  <c r="CS239" i="1"/>
  <c r="R239" i="1" s="1"/>
  <c r="CT239" i="1"/>
  <c r="S239" i="1" s="1"/>
  <c r="CU239" i="1"/>
  <c r="T239" i="1" s="1"/>
  <c r="CW239" i="1"/>
  <c r="V239" i="1" s="1"/>
  <c r="CY239" i="1"/>
  <c r="X239" i="1" s="1"/>
  <c r="CZ239" i="1"/>
  <c r="Y239" i="1" s="1"/>
  <c r="GL239" i="1"/>
  <c r="GO239" i="1"/>
  <c r="GP239" i="1"/>
  <c r="GV239" i="1"/>
  <c r="GX239" i="1"/>
  <c r="HC239" i="1"/>
  <c r="C240" i="1"/>
  <c r="D240" i="1"/>
  <c r="I240" i="1"/>
  <c r="K240" i="1"/>
  <c r="AC240" i="1"/>
  <c r="AE240" i="1"/>
  <c r="AD240" i="1" s="1"/>
  <c r="AF240" i="1"/>
  <c r="AG240" i="1"/>
  <c r="CU240" i="1" s="1"/>
  <c r="T240" i="1" s="1"/>
  <c r="AH240" i="1"/>
  <c r="AI240" i="1"/>
  <c r="AJ240" i="1"/>
  <c r="CQ240" i="1"/>
  <c r="CR240" i="1"/>
  <c r="CS240" i="1"/>
  <c r="CT240" i="1"/>
  <c r="CV240" i="1"/>
  <c r="CW240" i="1"/>
  <c r="CX240" i="1"/>
  <c r="W240" i="1" s="1"/>
  <c r="GL240" i="1"/>
  <c r="GO240" i="1"/>
  <c r="GP240" i="1"/>
  <c r="GV240" i="1"/>
  <c r="HC240" i="1"/>
  <c r="GX240" i="1" s="1"/>
  <c r="I241" i="1"/>
  <c r="K241" i="1"/>
  <c r="AC241" i="1"/>
  <c r="AD241" i="1"/>
  <c r="AB241" i="1" s="1"/>
  <c r="AE241" i="1"/>
  <c r="AF241" i="1"/>
  <c r="AG241" i="1"/>
  <c r="AH241" i="1"/>
  <c r="CV241" i="1" s="1"/>
  <c r="U241" i="1" s="1"/>
  <c r="AI241" i="1"/>
  <c r="AJ241" i="1"/>
  <c r="CX241" i="1" s="1"/>
  <c r="W241" i="1" s="1"/>
  <c r="CQ241" i="1"/>
  <c r="P241" i="1" s="1"/>
  <c r="CR241" i="1"/>
  <c r="Q241" i="1" s="1"/>
  <c r="CS241" i="1"/>
  <c r="R241" i="1" s="1"/>
  <c r="CT241" i="1"/>
  <c r="S241" i="1" s="1"/>
  <c r="CU241" i="1"/>
  <c r="T241" i="1" s="1"/>
  <c r="CW241" i="1"/>
  <c r="V241" i="1" s="1"/>
  <c r="CY241" i="1"/>
  <c r="X241" i="1" s="1"/>
  <c r="CZ241" i="1"/>
  <c r="Y241" i="1" s="1"/>
  <c r="GL241" i="1"/>
  <c r="GO241" i="1"/>
  <c r="GP241" i="1"/>
  <c r="GV241" i="1"/>
  <c r="GX241" i="1"/>
  <c r="HC241" i="1"/>
  <c r="I242" i="1"/>
  <c r="K242" i="1"/>
  <c r="AC242" i="1"/>
  <c r="AE242" i="1"/>
  <c r="AD242" i="1" s="1"/>
  <c r="AF242" i="1"/>
  <c r="AG242" i="1"/>
  <c r="CU242" i="1" s="1"/>
  <c r="T242" i="1" s="1"/>
  <c r="AH242" i="1"/>
  <c r="AI242" i="1"/>
  <c r="CW242" i="1" s="1"/>
  <c r="V242" i="1" s="1"/>
  <c r="AJ242" i="1"/>
  <c r="CQ242" i="1"/>
  <c r="P242" i="1" s="1"/>
  <c r="CR242" i="1"/>
  <c r="Q242" i="1" s="1"/>
  <c r="CS242" i="1"/>
  <c r="R242" i="1" s="1"/>
  <c r="CT242" i="1"/>
  <c r="S242" i="1" s="1"/>
  <c r="CV242" i="1"/>
  <c r="U242" i="1" s="1"/>
  <c r="CX242" i="1"/>
  <c r="W242" i="1" s="1"/>
  <c r="CY242" i="1"/>
  <c r="X242" i="1" s="1"/>
  <c r="CZ242" i="1"/>
  <c r="Y242" i="1" s="1"/>
  <c r="GL242" i="1"/>
  <c r="GO242" i="1"/>
  <c r="GP242" i="1"/>
  <c r="GV242" i="1"/>
  <c r="HC242" i="1"/>
  <c r="GX242" i="1" s="1"/>
  <c r="C243" i="1"/>
  <c r="D243" i="1"/>
  <c r="I243" i="1"/>
  <c r="K243" i="1"/>
  <c r="AC243" i="1"/>
  <c r="AE243" i="1"/>
  <c r="AD243" i="1" s="1"/>
  <c r="AF243" i="1"/>
  <c r="AG243" i="1"/>
  <c r="AH243" i="1"/>
  <c r="AI243" i="1"/>
  <c r="AJ243" i="1"/>
  <c r="CX243" i="1" s="1"/>
  <c r="W243" i="1" s="1"/>
  <c r="CQ243" i="1"/>
  <c r="CR243" i="1"/>
  <c r="CS243" i="1"/>
  <c r="CT243" i="1"/>
  <c r="CU243" i="1"/>
  <c r="T243" i="1" s="1"/>
  <c r="CV243" i="1"/>
  <c r="CW243" i="1"/>
  <c r="GL243" i="1"/>
  <c r="GO243" i="1"/>
  <c r="GP243" i="1"/>
  <c r="GV243" i="1"/>
  <c r="GX243" i="1"/>
  <c r="HC243" i="1"/>
  <c r="I244" i="1"/>
  <c r="K244" i="1"/>
  <c r="AC244" i="1"/>
  <c r="AB244" i="1" s="1"/>
  <c r="AE244" i="1"/>
  <c r="AD244" i="1" s="1"/>
  <c r="AF244" i="1"/>
  <c r="AG244" i="1"/>
  <c r="CU244" i="1" s="1"/>
  <c r="T244" i="1" s="1"/>
  <c r="AH244" i="1"/>
  <c r="AI244" i="1"/>
  <c r="CW244" i="1" s="1"/>
  <c r="V244" i="1" s="1"/>
  <c r="AJ244" i="1"/>
  <c r="CQ244" i="1"/>
  <c r="P244" i="1" s="1"/>
  <c r="CR244" i="1"/>
  <c r="Q244" i="1" s="1"/>
  <c r="CS244" i="1"/>
  <c r="R244" i="1" s="1"/>
  <c r="CT244" i="1"/>
  <c r="S244" i="1" s="1"/>
  <c r="CV244" i="1"/>
  <c r="U244" i="1" s="1"/>
  <c r="CX244" i="1"/>
  <c r="W244" i="1" s="1"/>
  <c r="CY244" i="1"/>
  <c r="X244" i="1" s="1"/>
  <c r="CZ244" i="1"/>
  <c r="Y244" i="1" s="1"/>
  <c r="GL244" i="1"/>
  <c r="GO244" i="1"/>
  <c r="GP244" i="1"/>
  <c r="GV244" i="1"/>
  <c r="HC244" i="1"/>
  <c r="GX244" i="1" s="1"/>
  <c r="C245" i="1"/>
  <c r="D245" i="1"/>
  <c r="I245" i="1"/>
  <c r="K245" i="1"/>
  <c r="V245" i="1"/>
  <c r="AC245" i="1"/>
  <c r="AD245" i="1"/>
  <c r="AE245" i="1"/>
  <c r="AF245" i="1"/>
  <c r="AG245" i="1"/>
  <c r="AH245" i="1"/>
  <c r="AI245" i="1"/>
  <c r="AJ245" i="1"/>
  <c r="CX245" i="1" s="1"/>
  <c r="W245" i="1" s="1"/>
  <c r="CQ245" i="1"/>
  <c r="CR245" i="1"/>
  <c r="CS245" i="1"/>
  <c r="CT245" i="1"/>
  <c r="CU245" i="1"/>
  <c r="T245" i="1" s="1"/>
  <c r="CV245" i="1"/>
  <c r="CW245" i="1"/>
  <c r="GL245" i="1"/>
  <c r="GO245" i="1"/>
  <c r="GP245" i="1"/>
  <c r="GV245" i="1"/>
  <c r="GX245" i="1"/>
  <c r="HC245" i="1"/>
  <c r="I246" i="1"/>
  <c r="K246" i="1"/>
  <c r="AC246" i="1"/>
  <c r="AB246" i="1" s="1"/>
  <c r="AE246" i="1"/>
  <c r="AD246" i="1" s="1"/>
  <c r="AF246" i="1"/>
  <c r="AG246" i="1"/>
  <c r="CU246" i="1" s="1"/>
  <c r="T246" i="1" s="1"/>
  <c r="AH246" i="1"/>
  <c r="AI246" i="1"/>
  <c r="CW246" i="1" s="1"/>
  <c r="V246" i="1" s="1"/>
  <c r="AJ246" i="1"/>
  <c r="CQ246" i="1"/>
  <c r="P246" i="1" s="1"/>
  <c r="CR246" i="1"/>
  <c r="Q246" i="1" s="1"/>
  <c r="CS246" i="1"/>
  <c r="R246" i="1" s="1"/>
  <c r="CT246" i="1"/>
  <c r="S246" i="1" s="1"/>
  <c r="CV246" i="1"/>
  <c r="U246" i="1" s="1"/>
  <c r="CX246" i="1"/>
  <c r="W246" i="1" s="1"/>
  <c r="CY246" i="1"/>
  <c r="X246" i="1" s="1"/>
  <c r="CZ246" i="1"/>
  <c r="Y246" i="1" s="1"/>
  <c r="GL246" i="1"/>
  <c r="GO246" i="1"/>
  <c r="GP246" i="1"/>
  <c r="GV246" i="1"/>
  <c r="HC246" i="1"/>
  <c r="GX246" i="1" s="1"/>
  <c r="C248" i="1"/>
  <c r="D248" i="1"/>
  <c r="I248" i="1"/>
  <c r="K248" i="1"/>
  <c r="AC248" i="1"/>
  <c r="AE248" i="1"/>
  <c r="AD248" i="1" s="1"/>
  <c r="AF248" i="1"/>
  <c r="AG248" i="1"/>
  <c r="AH248" i="1"/>
  <c r="AI248" i="1"/>
  <c r="AJ248" i="1"/>
  <c r="CX248" i="1" s="1"/>
  <c r="W248" i="1" s="1"/>
  <c r="CQ248" i="1"/>
  <c r="CR248" i="1"/>
  <c r="CS248" i="1"/>
  <c r="CT248" i="1"/>
  <c r="CU248" i="1"/>
  <c r="T248" i="1" s="1"/>
  <c r="CV248" i="1"/>
  <c r="CW248" i="1"/>
  <c r="GL248" i="1"/>
  <c r="GO248" i="1"/>
  <c r="GP248" i="1"/>
  <c r="GV248" i="1"/>
  <c r="GX248" i="1"/>
  <c r="HC248" i="1"/>
  <c r="C249" i="1"/>
  <c r="D249" i="1"/>
  <c r="P249" i="1"/>
  <c r="Q249" i="1"/>
  <c r="R249" i="1"/>
  <c r="S249" i="1"/>
  <c r="CZ249" i="1" s="1"/>
  <c r="Y249" i="1" s="1"/>
  <c r="BA231" i="7" s="1"/>
  <c r="L230" i="7" s="1"/>
  <c r="U249" i="1"/>
  <c r="G225" i="7" s="1"/>
  <c r="V249" i="1"/>
  <c r="AC249" i="1"/>
  <c r="AE249" i="1"/>
  <c r="AD249" i="1" s="1"/>
  <c r="AF249" i="1"/>
  <c r="AG249" i="1"/>
  <c r="CU249" i="1" s="1"/>
  <c r="T249" i="1" s="1"/>
  <c r="AH249" i="1"/>
  <c r="AI249" i="1"/>
  <c r="AJ249" i="1"/>
  <c r="CQ249" i="1"/>
  <c r="CR249" i="1"/>
  <c r="CS249" i="1"/>
  <c r="CT249" i="1"/>
  <c r="CV249" i="1"/>
  <c r="CW249" i="1"/>
  <c r="CX249" i="1"/>
  <c r="W249" i="1" s="1"/>
  <c r="GL249" i="1"/>
  <c r="GO249" i="1"/>
  <c r="GP249" i="1"/>
  <c r="GV249" i="1"/>
  <c r="HC249" i="1"/>
  <c r="GX249" i="1" s="1"/>
  <c r="C250" i="1"/>
  <c r="D250" i="1"/>
  <c r="U250" i="1"/>
  <c r="G234" i="7" s="1"/>
  <c r="V250" i="1"/>
  <c r="G237" i="7" s="1"/>
  <c r="AC250" i="1"/>
  <c r="AE250" i="1"/>
  <c r="AD250" i="1" s="1"/>
  <c r="AF250" i="1"/>
  <c r="AG250" i="1"/>
  <c r="AH250" i="1"/>
  <c r="AI250" i="1"/>
  <c r="AJ250" i="1"/>
  <c r="CX250" i="1" s="1"/>
  <c r="W250" i="1" s="1"/>
  <c r="CQ250" i="1"/>
  <c r="CR250" i="1"/>
  <c r="CS250" i="1"/>
  <c r="CT250" i="1"/>
  <c r="CU250" i="1"/>
  <c r="T250" i="1" s="1"/>
  <c r="CV250" i="1"/>
  <c r="CW250" i="1"/>
  <c r="GL250" i="1"/>
  <c r="GO250" i="1"/>
  <c r="GP250" i="1"/>
  <c r="GV250" i="1"/>
  <c r="GX250" i="1"/>
  <c r="HC250" i="1"/>
  <c r="C251" i="1"/>
  <c r="D251" i="1"/>
  <c r="I251" i="1"/>
  <c r="K251" i="1"/>
  <c r="AC251" i="1"/>
  <c r="AE251" i="1"/>
  <c r="AD251" i="1" s="1"/>
  <c r="AF251" i="1"/>
  <c r="AG251" i="1"/>
  <c r="CU251" i="1" s="1"/>
  <c r="T251" i="1" s="1"/>
  <c r="AH251" i="1"/>
  <c r="AI251" i="1"/>
  <c r="AJ251" i="1"/>
  <c r="CQ251" i="1"/>
  <c r="CR251" i="1"/>
  <c r="CS251" i="1"/>
  <c r="CT251" i="1"/>
  <c r="CV251" i="1"/>
  <c r="CW251" i="1"/>
  <c r="CX251" i="1"/>
  <c r="W251" i="1" s="1"/>
  <c r="GL251" i="1"/>
  <c r="GO251" i="1"/>
  <c r="GP251" i="1"/>
  <c r="GV251" i="1"/>
  <c r="HC251" i="1"/>
  <c r="GX251" i="1" s="1"/>
  <c r="I252" i="1"/>
  <c r="K252" i="1"/>
  <c r="AC252" i="1"/>
  <c r="AD252" i="1"/>
  <c r="AB252" i="1" s="1"/>
  <c r="AE252" i="1"/>
  <c r="AF252" i="1"/>
  <c r="AG252" i="1"/>
  <c r="AH252" i="1"/>
  <c r="CV252" i="1" s="1"/>
  <c r="U252" i="1" s="1"/>
  <c r="AI252" i="1"/>
  <c r="AJ252" i="1"/>
  <c r="CX252" i="1" s="1"/>
  <c r="W252" i="1" s="1"/>
  <c r="CQ252" i="1"/>
  <c r="P252" i="1" s="1"/>
  <c r="CR252" i="1"/>
  <c r="Q252" i="1" s="1"/>
  <c r="CS252" i="1"/>
  <c r="R252" i="1" s="1"/>
  <c r="CT252" i="1"/>
  <c r="S252" i="1" s="1"/>
  <c r="CU252" i="1"/>
  <c r="T252" i="1" s="1"/>
  <c r="CW252" i="1"/>
  <c r="V252" i="1" s="1"/>
  <c r="CY252" i="1"/>
  <c r="X252" i="1" s="1"/>
  <c r="CZ252" i="1"/>
  <c r="Y252" i="1" s="1"/>
  <c r="GL252" i="1"/>
  <c r="GO252" i="1"/>
  <c r="GP252" i="1"/>
  <c r="GV252" i="1"/>
  <c r="GX252" i="1"/>
  <c r="HC252" i="1"/>
  <c r="C253" i="1"/>
  <c r="D253" i="1"/>
  <c r="U253" i="1"/>
  <c r="G285" i="7" s="1"/>
  <c r="V253" i="1"/>
  <c r="G288" i="7" s="1"/>
  <c r="AC253" i="1"/>
  <c r="AE253" i="1"/>
  <c r="AD253" i="1" s="1"/>
  <c r="AF253" i="1"/>
  <c r="AG253" i="1"/>
  <c r="CU253" i="1" s="1"/>
  <c r="T253" i="1" s="1"/>
  <c r="AH253" i="1"/>
  <c r="AI253" i="1"/>
  <c r="AJ253" i="1"/>
  <c r="CQ253" i="1"/>
  <c r="CR253" i="1"/>
  <c r="CS253" i="1"/>
  <c r="CT253" i="1"/>
  <c r="CV253" i="1"/>
  <c r="CW253" i="1"/>
  <c r="CX253" i="1"/>
  <c r="W253" i="1" s="1"/>
  <c r="GL253" i="1"/>
  <c r="GO253" i="1"/>
  <c r="GP253" i="1"/>
  <c r="GV253" i="1"/>
  <c r="HC253" i="1"/>
  <c r="GX253" i="1" s="1"/>
  <c r="AC254" i="1"/>
  <c r="AD254" i="1"/>
  <c r="AB254" i="1" s="1"/>
  <c r="AE254" i="1"/>
  <c r="AF254" i="1"/>
  <c r="AG254" i="1"/>
  <c r="AH254" i="1"/>
  <c r="CV254" i="1" s="1"/>
  <c r="U254" i="1" s="1"/>
  <c r="AI254" i="1"/>
  <c r="AJ254" i="1"/>
  <c r="CX254" i="1" s="1"/>
  <c r="W254" i="1" s="1"/>
  <c r="CQ254" i="1"/>
  <c r="P254" i="1" s="1"/>
  <c r="CR254" i="1"/>
  <c r="Q254" i="1" s="1"/>
  <c r="CS254" i="1"/>
  <c r="R254" i="1" s="1"/>
  <c r="CT254" i="1"/>
  <c r="S254" i="1" s="1"/>
  <c r="CU254" i="1"/>
  <c r="T254" i="1" s="1"/>
  <c r="CW254" i="1"/>
  <c r="V254" i="1" s="1"/>
  <c r="CY254" i="1"/>
  <c r="X254" i="1" s="1"/>
  <c r="CZ254" i="1"/>
  <c r="Y254" i="1" s="1"/>
  <c r="GL254" i="1"/>
  <c r="GO254" i="1"/>
  <c r="GP254" i="1"/>
  <c r="GV254" i="1"/>
  <c r="GX254" i="1"/>
  <c r="HC254" i="1"/>
  <c r="AC255" i="1"/>
  <c r="AE255" i="1"/>
  <c r="AD255" i="1" s="1"/>
  <c r="AF255" i="1"/>
  <c r="AG255" i="1"/>
  <c r="CU255" i="1" s="1"/>
  <c r="T255" i="1" s="1"/>
  <c r="AH255" i="1"/>
  <c r="AI255" i="1"/>
  <c r="CW255" i="1" s="1"/>
  <c r="V255" i="1" s="1"/>
  <c r="AJ255" i="1"/>
  <c r="CQ255" i="1"/>
  <c r="P255" i="1" s="1"/>
  <c r="CR255" i="1"/>
  <c r="Q255" i="1" s="1"/>
  <c r="CS255" i="1"/>
  <c r="R255" i="1" s="1"/>
  <c r="CT255" i="1"/>
  <c r="S255" i="1" s="1"/>
  <c r="CV255" i="1"/>
  <c r="U255" i="1" s="1"/>
  <c r="CX255" i="1"/>
  <c r="W255" i="1" s="1"/>
  <c r="CY255" i="1"/>
  <c r="X255" i="1" s="1"/>
  <c r="CZ255" i="1"/>
  <c r="Y255" i="1" s="1"/>
  <c r="GL255" i="1"/>
  <c r="GO255" i="1"/>
  <c r="GP255" i="1"/>
  <c r="GV255" i="1"/>
  <c r="HC255" i="1"/>
  <c r="GX255" i="1" s="1"/>
  <c r="C256" i="1"/>
  <c r="D256" i="1"/>
  <c r="I256" i="1"/>
  <c r="K256" i="1"/>
  <c r="AC256" i="1"/>
  <c r="AE256" i="1"/>
  <c r="AD256" i="1" s="1"/>
  <c r="AF256" i="1"/>
  <c r="AG256" i="1"/>
  <c r="AH256" i="1"/>
  <c r="AI256" i="1"/>
  <c r="AJ256" i="1"/>
  <c r="CX256" i="1" s="1"/>
  <c r="W256" i="1" s="1"/>
  <c r="CQ256" i="1"/>
  <c r="CR256" i="1"/>
  <c r="CS256" i="1"/>
  <c r="CT256" i="1"/>
  <c r="CU256" i="1"/>
  <c r="T256" i="1" s="1"/>
  <c r="CV256" i="1"/>
  <c r="CW256" i="1"/>
  <c r="GL256" i="1"/>
  <c r="GO256" i="1"/>
  <c r="GP256" i="1"/>
  <c r="GV256" i="1"/>
  <c r="GX256" i="1"/>
  <c r="HC256" i="1"/>
  <c r="I257" i="1"/>
  <c r="K257" i="1"/>
  <c r="AC257" i="1"/>
  <c r="AB257" i="1" s="1"/>
  <c r="AE257" i="1"/>
  <c r="AD257" i="1" s="1"/>
  <c r="AF257" i="1"/>
  <c r="AG257" i="1"/>
  <c r="CU257" i="1" s="1"/>
  <c r="T257" i="1" s="1"/>
  <c r="AH257" i="1"/>
  <c r="AI257" i="1"/>
  <c r="CW257" i="1" s="1"/>
  <c r="V257" i="1" s="1"/>
  <c r="AJ257" i="1"/>
  <c r="CQ257" i="1"/>
  <c r="P257" i="1" s="1"/>
  <c r="CR257" i="1"/>
  <c r="Q257" i="1" s="1"/>
  <c r="CS257" i="1"/>
  <c r="R257" i="1" s="1"/>
  <c r="CT257" i="1"/>
  <c r="S257" i="1" s="1"/>
  <c r="CV257" i="1"/>
  <c r="U257" i="1" s="1"/>
  <c r="CX257" i="1"/>
  <c r="W257" i="1" s="1"/>
  <c r="CY257" i="1"/>
  <c r="X257" i="1" s="1"/>
  <c r="CZ257" i="1"/>
  <c r="Y257" i="1" s="1"/>
  <c r="GL257" i="1"/>
  <c r="GO257" i="1"/>
  <c r="GP257" i="1"/>
  <c r="GV257" i="1"/>
  <c r="HC257" i="1"/>
  <c r="GX257" i="1" s="1"/>
  <c r="C258" i="1"/>
  <c r="D258" i="1"/>
  <c r="I258" i="1"/>
  <c r="K258" i="1"/>
  <c r="AC258" i="1"/>
  <c r="AE258" i="1"/>
  <c r="AD258" i="1" s="1"/>
  <c r="AF258" i="1"/>
  <c r="AG258" i="1"/>
  <c r="AH258" i="1"/>
  <c r="AI258" i="1"/>
  <c r="AJ258" i="1"/>
  <c r="CX258" i="1" s="1"/>
  <c r="W258" i="1" s="1"/>
  <c r="CQ258" i="1"/>
  <c r="CR258" i="1"/>
  <c r="CS258" i="1"/>
  <c r="CT258" i="1"/>
  <c r="CU258" i="1"/>
  <c r="T258" i="1" s="1"/>
  <c r="CV258" i="1"/>
  <c r="CW258" i="1"/>
  <c r="GL258" i="1"/>
  <c r="GO258" i="1"/>
  <c r="GP258" i="1"/>
  <c r="GV258" i="1"/>
  <c r="GX258" i="1"/>
  <c r="HC258" i="1"/>
  <c r="I259" i="1"/>
  <c r="K259" i="1"/>
  <c r="AC259" i="1"/>
  <c r="AE259" i="1"/>
  <c r="AD259" i="1" s="1"/>
  <c r="AF259" i="1"/>
  <c r="AG259" i="1"/>
  <c r="CU259" i="1" s="1"/>
  <c r="T259" i="1" s="1"/>
  <c r="AH259" i="1"/>
  <c r="AI259" i="1"/>
  <c r="CW259" i="1" s="1"/>
  <c r="V259" i="1" s="1"/>
  <c r="AJ259" i="1"/>
  <c r="CQ259" i="1"/>
  <c r="P259" i="1" s="1"/>
  <c r="CR259" i="1"/>
  <c r="Q259" i="1" s="1"/>
  <c r="CS259" i="1"/>
  <c r="R259" i="1" s="1"/>
  <c r="CT259" i="1"/>
  <c r="S259" i="1" s="1"/>
  <c r="CV259" i="1"/>
  <c r="U259" i="1" s="1"/>
  <c r="CX259" i="1"/>
  <c r="W259" i="1" s="1"/>
  <c r="CY259" i="1"/>
  <c r="X259" i="1" s="1"/>
  <c r="CZ259" i="1"/>
  <c r="Y259" i="1" s="1"/>
  <c r="GL259" i="1"/>
  <c r="GO259" i="1"/>
  <c r="GP259" i="1"/>
  <c r="GV259" i="1"/>
  <c r="HC259" i="1"/>
  <c r="GX259" i="1" s="1"/>
  <c r="C260" i="1"/>
  <c r="D260" i="1"/>
  <c r="I260" i="1"/>
  <c r="K260" i="1"/>
  <c r="AC260" i="1"/>
  <c r="AE260" i="1"/>
  <c r="AD260" i="1" s="1"/>
  <c r="AF260" i="1"/>
  <c r="AG260" i="1"/>
  <c r="AH260" i="1"/>
  <c r="AI260" i="1"/>
  <c r="AJ260" i="1"/>
  <c r="CX260" i="1" s="1"/>
  <c r="W260" i="1" s="1"/>
  <c r="CQ260" i="1"/>
  <c r="CR260" i="1"/>
  <c r="CS260" i="1"/>
  <c r="CT260" i="1"/>
  <c r="CU260" i="1"/>
  <c r="T260" i="1" s="1"/>
  <c r="CV260" i="1"/>
  <c r="CW260" i="1"/>
  <c r="GL260" i="1"/>
  <c r="GO260" i="1"/>
  <c r="GP260" i="1"/>
  <c r="GV260" i="1"/>
  <c r="GX260" i="1"/>
  <c r="HC260" i="1"/>
  <c r="I261" i="1"/>
  <c r="K261" i="1"/>
  <c r="AC261" i="1"/>
  <c r="AB261" i="1" s="1"/>
  <c r="AE261" i="1"/>
  <c r="AD261" i="1" s="1"/>
  <c r="AF261" i="1"/>
  <c r="AG261" i="1"/>
  <c r="CU261" i="1" s="1"/>
  <c r="T261" i="1" s="1"/>
  <c r="AH261" i="1"/>
  <c r="AI261" i="1"/>
  <c r="CW261" i="1" s="1"/>
  <c r="V261" i="1" s="1"/>
  <c r="AJ261" i="1"/>
  <c r="CQ261" i="1"/>
  <c r="P261" i="1" s="1"/>
  <c r="CR261" i="1"/>
  <c r="Q261" i="1" s="1"/>
  <c r="CS261" i="1"/>
  <c r="R261" i="1" s="1"/>
  <c r="CT261" i="1"/>
  <c r="S261" i="1" s="1"/>
  <c r="CV261" i="1"/>
  <c r="U261" i="1" s="1"/>
  <c r="CX261" i="1"/>
  <c r="W261" i="1" s="1"/>
  <c r="CY261" i="1"/>
  <c r="X261" i="1" s="1"/>
  <c r="CZ261" i="1"/>
  <c r="Y261" i="1" s="1"/>
  <c r="GL261" i="1"/>
  <c r="GO261" i="1"/>
  <c r="GP261" i="1"/>
  <c r="GV261" i="1"/>
  <c r="HC261" i="1"/>
  <c r="GX261" i="1" s="1"/>
  <c r="C263" i="1"/>
  <c r="D263" i="1"/>
  <c r="I263" i="1"/>
  <c r="K263" i="1"/>
  <c r="AC263" i="1"/>
  <c r="AE263" i="1"/>
  <c r="AD263" i="1" s="1"/>
  <c r="AF263" i="1"/>
  <c r="AG263" i="1"/>
  <c r="AH263" i="1"/>
  <c r="AI263" i="1"/>
  <c r="AJ263" i="1"/>
  <c r="CX263" i="1" s="1"/>
  <c r="W263" i="1" s="1"/>
  <c r="CQ263" i="1"/>
  <c r="CR263" i="1"/>
  <c r="CS263" i="1"/>
  <c r="CT263" i="1"/>
  <c r="CU263" i="1"/>
  <c r="T263" i="1" s="1"/>
  <c r="CV263" i="1"/>
  <c r="CW263" i="1"/>
  <c r="GL263" i="1"/>
  <c r="GO263" i="1"/>
  <c r="GP263" i="1"/>
  <c r="GV263" i="1"/>
  <c r="GX263" i="1"/>
  <c r="HC263" i="1"/>
  <c r="I264" i="1"/>
  <c r="K264" i="1"/>
  <c r="AC264" i="1"/>
  <c r="AE264" i="1"/>
  <c r="AD264" i="1" s="1"/>
  <c r="AF264" i="1"/>
  <c r="AG264" i="1"/>
  <c r="CU264" i="1" s="1"/>
  <c r="T264" i="1" s="1"/>
  <c r="AH264" i="1"/>
  <c r="AI264" i="1"/>
  <c r="CW264" i="1" s="1"/>
  <c r="V264" i="1" s="1"/>
  <c r="AJ264" i="1"/>
  <c r="CQ264" i="1"/>
  <c r="P264" i="1" s="1"/>
  <c r="CR264" i="1"/>
  <c r="Q264" i="1" s="1"/>
  <c r="CP264" i="1" s="1"/>
  <c r="O264" i="1" s="1"/>
  <c r="GM264" i="1" s="1"/>
  <c r="GN264" i="1" s="1"/>
  <c r="CS264" i="1"/>
  <c r="R264" i="1" s="1"/>
  <c r="CT264" i="1"/>
  <c r="S264" i="1" s="1"/>
  <c r="CV264" i="1"/>
  <c r="U264" i="1" s="1"/>
  <c r="CX264" i="1"/>
  <c r="W264" i="1" s="1"/>
  <c r="CY264" i="1"/>
  <c r="X264" i="1" s="1"/>
  <c r="CZ264" i="1"/>
  <c r="Y264" i="1" s="1"/>
  <c r="GL264" i="1"/>
  <c r="GO264" i="1"/>
  <c r="GP264" i="1"/>
  <c r="GV264" i="1"/>
  <c r="HC264" i="1"/>
  <c r="GX264" i="1" s="1"/>
  <c r="C266" i="1"/>
  <c r="D266" i="1"/>
  <c r="U266" i="1"/>
  <c r="G389" i="7" s="1"/>
  <c r="V266" i="1"/>
  <c r="G392" i="7" s="1"/>
  <c r="AC266" i="1"/>
  <c r="AE266" i="1"/>
  <c r="AD266" i="1" s="1"/>
  <c r="AF266" i="1"/>
  <c r="AG266" i="1"/>
  <c r="AH266" i="1"/>
  <c r="AI266" i="1"/>
  <c r="AJ266" i="1"/>
  <c r="CX266" i="1" s="1"/>
  <c r="W266" i="1" s="1"/>
  <c r="CQ266" i="1"/>
  <c r="CR266" i="1"/>
  <c r="CS266" i="1"/>
  <c r="CT266" i="1"/>
  <c r="CU266" i="1"/>
  <c r="T266" i="1" s="1"/>
  <c r="CV266" i="1"/>
  <c r="CW266" i="1"/>
  <c r="GL266" i="1"/>
  <c r="GO266" i="1"/>
  <c r="GP266" i="1"/>
  <c r="GV266" i="1"/>
  <c r="GX266" i="1"/>
  <c r="HC266" i="1"/>
  <c r="C267" i="1"/>
  <c r="D267" i="1"/>
  <c r="U267" i="1"/>
  <c r="G402" i="7" s="1"/>
  <c r="V267" i="1"/>
  <c r="G405" i="7" s="1"/>
  <c r="AC267" i="1"/>
  <c r="AE267" i="1"/>
  <c r="AD267" i="1" s="1"/>
  <c r="AF267" i="1"/>
  <c r="AG267" i="1"/>
  <c r="CU267" i="1" s="1"/>
  <c r="T267" i="1" s="1"/>
  <c r="AH267" i="1"/>
  <c r="AI267" i="1"/>
  <c r="AJ267" i="1"/>
  <c r="CQ267" i="1"/>
  <c r="CR267" i="1"/>
  <c r="CS267" i="1"/>
  <c r="CT267" i="1"/>
  <c r="CV267" i="1"/>
  <c r="CW267" i="1"/>
  <c r="CX267" i="1"/>
  <c r="W267" i="1" s="1"/>
  <c r="GL267" i="1"/>
  <c r="GO267" i="1"/>
  <c r="GP267" i="1"/>
  <c r="GV267" i="1"/>
  <c r="HC267" i="1" s="1"/>
  <c r="GX267" i="1" s="1"/>
  <c r="AC268" i="1"/>
  <c r="AE268" i="1"/>
  <c r="AD268" i="1" s="1"/>
  <c r="AF268" i="1"/>
  <c r="AG268" i="1"/>
  <c r="CU268" i="1" s="1"/>
  <c r="T268" i="1" s="1"/>
  <c r="AH268" i="1"/>
  <c r="AI268" i="1"/>
  <c r="CW268" i="1" s="1"/>
  <c r="V268" i="1" s="1"/>
  <c r="AJ268" i="1"/>
  <c r="CQ268" i="1"/>
  <c r="P268" i="1" s="1"/>
  <c r="CP268" i="1" s="1"/>
  <c r="O268" i="1" s="1"/>
  <c r="GM268" i="1" s="1"/>
  <c r="GN268" i="1" s="1"/>
  <c r="CR268" i="1"/>
  <c r="Q268" i="1" s="1"/>
  <c r="CS268" i="1"/>
  <c r="R268" i="1" s="1"/>
  <c r="CT268" i="1"/>
  <c r="S268" i="1" s="1"/>
  <c r="CV268" i="1"/>
  <c r="U268" i="1" s="1"/>
  <c r="CX268" i="1"/>
  <c r="W268" i="1" s="1"/>
  <c r="CY268" i="1"/>
  <c r="X268" i="1" s="1"/>
  <c r="CZ268" i="1"/>
  <c r="Y268" i="1" s="1"/>
  <c r="GL268" i="1"/>
  <c r="GO268" i="1"/>
  <c r="GP268" i="1"/>
  <c r="GV268" i="1"/>
  <c r="HC268" i="1"/>
  <c r="GX268" i="1" s="1"/>
  <c r="AC269" i="1"/>
  <c r="AD269" i="1"/>
  <c r="AB269" i="1" s="1"/>
  <c r="AE269" i="1"/>
  <c r="AF269" i="1"/>
  <c r="AG269" i="1"/>
  <c r="AH269" i="1"/>
  <c r="CV269" i="1" s="1"/>
  <c r="U269" i="1" s="1"/>
  <c r="AI269" i="1"/>
  <c r="AJ269" i="1"/>
  <c r="CX269" i="1" s="1"/>
  <c r="W269" i="1" s="1"/>
  <c r="CQ269" i="1"/>
  <c r="P269" i="1" s="1"/>
  <c r="CR269" i="1"/>
  <c r="Q269" i="1" s="1"/>
  <c r="CS269" i="1"/>
  <c r="R269" i="1" s="1"/>
  <c r="CT269" i="1"/>
  <c r="S269" i="1" s="1"/>
  <c r="CU269" i="1"/>
  <c r="T269" i="1" s="1"/>
  <c r="CW269" i="1"/>
  <c r="V269" i="1" s="1"/>
  <c r="CY269" i="1"/>
  <c r="X269" i="1" s="1"/>
  <c r="CZ269" i="1"/>
  <c r="Y269" i="1" s="1"/>
  <c r="GL269" i="1"/>
  <c r="GO269" i="1"/>
  <c r="GP269" i="1"/>
  <c r="GV269" i="1"/>
  <c r="GX269" i="1"/>
  <c r="HC269" i="1"/>
  <c r="I270" i="1"/>
  <c r="K270" i="1"/>
  <c r="AC270" i="1"/>
  <c r="AE270" i="1"/>
  <c r="AD270" i="1" s="1"/>
  <c r="AF270" i="1"/>
  <c r="AG270" i="1"/>
  <c r="CU270" i="1" s="1"/>
  <c r="T270" i="1" s="1"/>
  <c r="AH270" i="1"/>
  <c r="AI270" i="1"/>
  <c r="CW270" i="1" s="1"/>
  <c r="V270" i="1" s="1"/>
  <c r="AJ270" i="1"/>
  <c r="CQ270" i="1"/>
  <c r="P270" i="1" s="1"/>
  <c r="CP270" i="1" s="1"/>
  <c r="O270" i="1" s="1"/>
  <c r="GM270" i="1" s="1"/>
  <c r="GN270" i="1" s="1"/>
  <c r="CR270" i="1"/>
  <c r="Q270" i="1" s="1"/>
  <c r="CS270" i="1"/>
  <c r="R270" i="1" s="1"/>
  <c r="CT270" i="1"/>
  <c r="S270" i="1" s="1"/>
  <c r="CV270" i="1"/>
  <c r="U270" i="1" s="1"/>
  <c r="CX270" i="1"/>
  <c r="W270" i="1" s="1"/>
  <c r="CY270" i="1"/>
  <c r="X270" i="1" s="1"/>
  <c r="CZ270" i="1"/>
  <c r="Y270" i="1" s="1"/>
  <c r="GL270" i="1"/>
  <c r="GO270" i="1"/>
  <c r="GP270" i="1"/>
  <c r="GV270" i="1"/>
  <c r="HC270" i="1"/>
  <c r="GX270" i="1" s="1"/>
  <c r="AC271" i="1"/>
  <c r="AD271" i="1"/>
  <c r="AB271" i="1" s="1"/>
  <c r="AE271" i="1"/>
  <c r="AF271" i="1"/>
  <c r="AG271" i="1"/>
  <c r="AH271" i="1"/>
  <c r="CV271" i="1" s="1"/>
  <c r="U271" i="1" s="1"/>
  <c r="AI271" i="1"/>
  <c r="AJ271" i="1"/>
  <c r="CX271" i="1" s="1"/>
  <c r="W271" i="1" s="1"/>
  <c r="CQ271" i="1"/>
  <c r="P271" i="1" s="1"/>
  <c r="CR271" i="1"/>
  <c r="Q271" i="1" s="1"/>
  <c r="CS271" i="1"/>
  <c r="R271" i="1" s="1"/>
  <c r="CT271" i="1"/>
  <c r="S271" i="1" s="1"/>
  <c r="CU271" i="1"/>
  <c r="T271" i="1" s="1"/>
  <c r="CW271" i="1"/>
  <c r="V271" i="1" s="1"/>
  <c r="CY271" i="1"/>
  <c r="X271" i="1" s="1"/>
  <c r="CZ271" i="1"/>
  <c r="Y271" i="1" s="1"/>
  <c r="GL271" i="1"/>
  <c r="GO271" i="1"/>
  <c r="GP271" i="1"/>
  <c r="GV271" i="1"/>
  <c r="GX271" i="1"/>
  <c r="HC271" i="1"/>
  <c r="B273" i="1"/>
  <c r="B230" i="1" s="1"/>
  <c r="C273" i="1"/>
  <c r="C230" i="1" s="1"/>
  <c r="D273" i="1"/>
  <c r="D230" i="1" s="1"/>
  <c r="F273" i="1"/>
  <c r="F230" i="1" s="1"/>
  <c r="G273" i="1"/>
  <c r="G230" i="1" s="1"/>
  <c r="BX273" i="1"/>
  <c r="BX230" i="1" s="1"/>
  <c r="BY273" i="1"/>
  <c r="BY230" i="1" s="1"/>
  <c r="CC273" i="1"/>
  <c r="CC230" i="1" s="1"/>
  <c r="CK273" i="1"/>
  <c r="CK230" i="1" s="1"/>
  <c r="CL273" i="1"/>
  <c r="CL230" i="1" s="1"/>
  <c r="CM273" i="1"/>
  <c r="CM230" i="1" s="1"/>
  <c r="D303" i="1"/>
  <c r="E305" i="1"/>
  <c r="G305" i="1"/>
  <c r="Z305" i="1"/>
  <c r="AA305" i="1"/>
  <c r="AM305" i="1"/>
  <c r="AN305" i="1"/>
  <c r="BE305" i="1"/>
  <c r="BF305" i="1"/>
  <c r="BG305" i="1"/>
  <c r="BH305" i="1"/>
  <c r="BI305" i="1"/>
  <c r="BJ305" i="1"/>
  <c r="BK305" i="1"/>
  <c r="BL305" i="1"/>
  <c r="BM305" i="1"/>
  <c r="BN305" i="1"/>
  <c r="BO305" i="1"/>
  <c r="BP305" i="1"/>
  <c r="BQ305" i="1"/>
  <c r="BR305" i="1"/>
  <c r="BS305" i="1"/>
  <c r="BT305" i="1"/>
  <c r="BU305" i="1"/>
  <c r="BV305" i="1"/>
  <c r="BW305" i="1"/>
  <c r="CN305" i="1"/>
  <c r="CO305" i="1"/>
  <c r="CP305" i="1"/>
  <c r="CQ305" i="1"/>
  <c r="CR305" i="1"/>
  <c r="CS305" i="1"/>
  <c r="CT305" i="1"/>
  <c r="CU305" i="1"/>
  <c r="CV305" i="1"/>
  <c r="CW305" i="1"/>
  <c r="CX305" i="1"/>
  <c r="CY305" i="1"/>
  <c r="CZ305" i="1"/>
  <c r="DA305" i="1"/>
  <c r="DB305" i="1"/>
  <c r="DC305" i="1"/>
  <c r="DD305" i="1"/>
  <c r="DE305" i="1"/>
  <c r="DF305" i="1"/>
  <c r="DG305" i="1"/>
  <c r="DH305" i="1"/>
  <c r="DI305" i="1"/>
  <c r="DJ305" i="1"/>
  <c r="DK305" i="1"/>
  <c r="DL305" i="1"/>
  <c r="DM305" i="1"/>
  <c r="DN305" i="1"/>
  <c r="DO305" i="1"/>
  <c r="DP305" i="1"/>
  <c r="DQ305" i="1"/>
  <c r="DR305" i="1"/>
  <c r="DS305" i="1"/>
  <c r="DT305" i="1"/>
  <c r="DU305" i="1"/>
  <c r="DV305" i="1"/>
  <c r="DW305" i="1"/>
  <c r="DX305" i="1"/>
  <c r="DY305" i="1"/>
  <c r="DZ305" i="1"/>
  <c r="EA305" i="1"/>
  <c r="EB305" i="1"/>
  <c r="EC305" i="1"/>
  <c r="ED305" i="1"/>
  <c r="EE305" i="1"/>
  <c r="EF305" i="1"/>
  <c r="EG305" i="1"/>
  <c r="EH305" i="1"/>
  <c r="EI305" i="1"/>
  <c r="EJ305" i="1"/>
  <c r="EK305" i="1"/>
  <c r="EL305" i="1"/>
  <c r="EM305" i="1"/>
  <c r="EN305" i="1"/>
  <c r="EO305" i="1"/>
  <c r="EP305" i="1"/>
  <c r="EQ305" i="1"/>
  <c r="ER305" i="1"/>
  <c r="ES305" i="1"/>
  <c r="ET305" i="1"/>
  <c r="EU305" i="1"/>
  <c r="EV305" i="1"/>
  <c r="EW305" i="1"/>
  <c r="EX305" i="1"/>
  <c r="EY305" i="1"/>
  <c r="EZ305" i="1"/>
  <c r="FA305" i="1"/>
  <c r="FB305" i="1"/>
  <c r="FC305" i="1"/>
  <c r="FD305" i="1"/>
  <c r="FE305" i="1"/>
  <c r="FF305" i="1"/>
  <c r="FG305" i="1"/>
  <c r="FH305" i="1"/>
  <c r="FI305" i="1"/>
  <c r="FJ305" i="1"/>
  <c r="FK305" i="1"/>
  <c r="FL305" i="1"/>
  <c r="FM305" i="1"/>
  <c r="FN305" i="1"/>
  <c r="FO305" i="1"/>
  <c r="FP305" i="1"/>
  <c r="FQ305" i="1"/>
  <c r="FR305" i="1"/>
  <c r="FS305" i="1"/>
  <c r="FT305" i="1"/>
  <c r="FU305" i="1"/>
  <c r="FV305" i="1"/>
  <c r="FW305" i="1"/>
  <c r="FX305" i="1"/>
  <c r="FY305" i="1"/>
  <c r="FZ305" i="1"/>
  <c r="GA305" i="1"/>
  <c r="GB305" i="1"/>
  <c r="GC305" i="1"/>
  <c r="GD305" i="1"/>
  <c r="GE305" i="1"/>
  <c r="GF305" i="1"/>
  <c r="GG305" i="1"/>
  <c r="GH305" i="1"/>
  <c r="GI305" i="1"/>
  <c r="GJ305" i="1"/>
  <c r="GK305" i="1"/>
  <c r="GL305" i="1"/>
  <c r="GM305" i="1"/>
  <c r="GN305" i="1"/>
  <c r="GO305" i="1"/>
  <c r="GP305" i="1"/>
  <c r="GQ305" i="1"/>
  <c r="GR305" i="1"/>
  <c r="GS305" i="1"/>
  <c r="GT305" i="1"/>
  <c r="GU305" i="1"/>
  <c r="GV305" i="1"/>
  <c r="GW305" i="1"/>
  <c r="GX305" i="1"/>
  <c r="O307" i="1"/>
  <c r="P307" i="1"/>
  <c r="Q307" i="1"/>
  <c r="R307" i="1"/>
  <c r="S307" i="1"/>
  <c r="T307" i="1"/>
  <c r="U307" i="1"/>
  <c r="V307" i="1"/>
  <c r="W307" i="1"/>
  <c r="X307" i="1"/>
  <c r="Y307" i="1"/>
  <c r="AB307" i="1"/>
  <c r="CP307" i="1" s="1"/>
  <c r="GM307" i="1" s="1"/>
  <c r="AC307" i="1"/>
  <c r="AD307" i="1"/>
  <c r="AE307" i="1"/>
  <c r="AF307" i="1"/>
  <c r="AG307" i="1"/>
  <c r="AH307" i="1"/>
  <c r="AI307" i="1"/>
  <c r="AJ307" i="1"/>
  <c r="GL307" i="1"/>
  <c r="GO307" i="1"/>
  <c r="GP307" i="1"/>
  <c r="GV307" i="1"/>
  <c r="GX307" i="1"/>
  <c r="O308" i="1"/>
  <c r="AB310" i="1" s="1"/>
  <c r="P308" i="1"/>
  <c r="Q308" i="1"/>
  <c r="AD310" i="1" s="1"/>
  <c r="R308" i="1"/>
  <c r="S308" i="1"/>
  <c r="AF310" i="1" s="1"/>
  <c r="T308" i="1"/>
  <c r="U308" i="1"/>
  <c r="AH310" i="1" s="1"/>
  <c r="V308" i="1"/>
  <c r="W308" i="1"/>
  <c r="AJ310" i="1" s="1"/>
  <c r="X308" i="1"/>
  <c r="Y308" i="1"/>
  <c r="AL310" i="1" s="1"/>
  <c r="AB308" i="1"/>
  <c r="AC308" i="1"/>
  <c r="AD308" i="1"/>
  <c r="AE308" i="1"/>
  <c r="AF308" i="1"/>
  <c r="AG308" i="1"/>
  <c r="AH308" i="1"/>
  <c r="AI308" i="1"/>
  <c r="AJ308" i="1"/>
  <c r="CP308" i="1"/>
  <c r="GL308" i="1"/>
  <c r="GM308" i="1"/>
  <c r="GN308" i="1" s="1"/>
  <c r="GO308" i="1"/>
  <c r="CC310" i="1" s="1"/>
  <c r="GP308" i="1"/>
  <c r="GV308" i="1"/>
  <c r="GX308" i="1"/>
  <c r="HD308" i="1"/>
  <c r="B310" i="1"/>
  <c r="B305" i="1" s="1"/>
  <c r="C310" i="1"/>
  <c r="C305" i="1" s="1"/>
  <c r="D310" i="1"/>
  <c r="D305" i="1" s="1"/>
  <c r="F310" i="1"/>
  <c r="F305" i="1" s="1"/>
  <c r="G310" i="1"/>
  <c r="AC310" i="1"/>
  <c r="AC305" i="1" s="1"/>
  <c r="AE310" i="1"/>
  <c r="AE305" i="1" s="1"/>
  <c r="AG310" i="1"/>
  <c r="AG305" i="1" s="1"/>
  <c r="AI310" i="1"/>
  <c r="AI305" i="1" s="1"/>
  <c r="AK310" i="1"/>
  <c r="AK305" i="1" s="1"/>
  <c r="BX310" i="1"/>
  <c r="BX305" i="1" s="1"/>
  <c r="BY310" i="1"/>
  <c r="BY305" i="1" s="1"/>
  <c r="BZ310" i="1"/>
  <c r="BZ305" i="1" s="1"/>
  <c r="CD310" i="1"/>
  <c r="CD305" i="1" s="1"/>
  <c r="CF310" i="1"/>
  <c r="CF305" i="1" s="1"/>
  <c r="CH310" i="1"/>
  <c r="CH305" i="1" s="1"/>
  <c r="CJ310" i="1"/>
  <c r="CJ305" i="1" s="1"/>
  <c r="CK310" i="1"/>
  <c r="CK305" i="1" s="1"/>
  <c r="CL310" i="1"/>
  <c r="CL305" i="1" s="1"/>
  <c r="B340" i="1"/>
  <c r="B22" i="1" s="1"/>
  <c r="C340" i="1"/>
  <c r="C22" i="1" s="1"/>
  <c r="D340" i="1"/>
  <c r="D22" i="1" s="1"/>
  <c r="F340" i="1"/>
  <c r="F22" i="1" s="1"/>
  <c r="G340" i="1"/>
  <c r="G22" i="1" s="1"/>
  <c r="D370" i="1"/>
  <c r="F370" i="1"/>
  <c r="B370" i="1" s="1"/>
  <c r="B372" i="1"/>
  <c r="B18" i="1" s="1"/>
  <c r="C372" i="1"/>
  <c r="C18" i="1" s="1"/>
  <c r="D372" i="1"/>
  <c r="D18" i="1" s="1"/>
  <c r="F372" i="1"/>
  <c r="F18" i="1" s="1"/>
  <c r="G372" i="1"/>
  <c r="G18" i="1" s="1"/>
  <c r="F12" i="6"/>
  <c r="G12" i="6"/>
  <c r="AB258" i="1" l="1"/>
  <c r="AB256" i="1"/>
  <c r="AB250" i="1"/>
  <c r="AB233" i="1"/>
  <c r="L417" i="7"/>
  <c r="L341" i="7"/>
  <c r="L524" i="7"/>
  <c r="L522" i="7" s="1"/>
  <c r="L82" i="7"/>
  <c r="L586" i="7"/>
  <c r="L584" i="7" s="1"/>
  <c r="L515" i="7"/>
  <c r="L513" i="7" s="1"/>
  <c r="L187" i="7"/>
  <c r="L139" i="7"/>
  <c r="L247" i="7"/>
  <c r="AT327" i="7"/>
  <c r="L312" i="7"/>
  <c r="AO223" i="7"/>
  <c r="L150" i="7"/>
  <c r="AT164" i="7"/>
  <c r="L441" i="7"/>
  <c r="L439" i="7" s="1"/>
  <c r="L396" i="7"/>
  <c r="AO384" i="7"/>
  <c r="AO303" i="7"/>
  <c r="L125" i="7"/>
  <c r="L577" i="7"/>
  <c r="L518" i="7"/>
  <c r="L444" i="7"/>
  <c r="K47" i="7"/>
  <c r="L589" i="7"/>
  <c r="L506" i="7"/>
  <c r="L432" i="7"/>
  <c r="L71" i="7"/>
  <c r="L588" i="7"/>
  <c r="L481" i="7"/>
  <c r="L468" i="7" s="1"/>
  <c r="L492" i="7" s="1"/>
  <c r="L517" i="7"/>
  <c r="L219" i="7"/>
  <c r="L324" i="7"/>
  <c r="L248" i="7"/>
  <c r="L161" i="7"/>
  <c r="L124" i="7"/>
  <c r="L83" i="7"/>
  <c r="K48" i="7"/>
  <c r="L582" i="7"/>
  <c r="L437" i="7"/>
  <c r="L511" i="7"/>
  <c r="L70" i="7"/>
  <c r="CD273" i="1"/>
  <c r="CD230" i="1" s="1"/>
  <c r="BZ273" i="1"/>
  <c r="CG273" i="1" s="1"/>
  <c r="AB263" i="1"/>
  <c r="CP249" i="1"/>
  <c r="O249" i="1" s="1"/>
  <c r="GM249" i="1" s="1"/>
  <c r="GN249" i="1" s="1"/>
  <c r="AB243" i="1"/>
  <c r="AB248" i="1"/>
  <c r="AB237" i="1"/>
  <c r="AB235" i="1"/>
  <c r="AB267" i="1"/>
  <c r="AB266" i="1"/>
  <c r="AB260" i="1"/>
  <c r="AB253" i="1"/>
  <c r="CY249" i="1"/>
  <c r="X249" i="1" s="1"/>
  <c r="AZ231" i="7" s="1"/>
  <c r="L229" i="7" s="1"/>
  <c r="AB245" i="1"/>
  <c r="AB240" i="1"/>
  <c r="AL305" i="1"/>
  <c r="Y310" i="1"/>
  <c r="AF305" i="1"/>
  <c r="S310" i="1"/>
  <c r="GN307" i="1"/>
  <c r="CB310" i="1" s="1"/>
  <c r="HD307" i="1"/>
  <c r="CM310" i="1" s="1"/>
  <c r="CA310" i="1"/>
  <c r="CJ273" i="1"/>
  <c r="AJ273" i="1"/>
  <c r="AG273" i="1"/>
  <c r="AJ305" i="1"/>
  <c r="W310" i="1"/>
  <c r="AH305" i="1"/>
  <c r="U310" i="1"/>
  <c r="AD305" i="1"/>
  <c r="Q310" i="1"/>
  <c r="AB305" i="1"/>
  <c r="O310" i="1"/>
  <c r="CC305" i="1"/>
  <c r="AT310" i="1"/>
  <c r="BZ230" i="1"/>
  <c r="CI273" i="1"/>
  <c r="CP271" i="1"/>
  <c r="O271" i="1" s="1"/>
  <c r="GM271" i="1" s="1"/>
  <c r="GN271" i="1" s="1"/>
  <c r="AB270" i="1"/>
  <c r="CP269" i="1"/>
  <c r="O269" i="1" s="1"/>
  <c r="GM269" i="1" s="1"/>
  <c r="GN269" i="1" s="1"/>
  <c r="AB268" i="1"/>
  <c r="CI310" i="1"/>
  <c r="CG310" i="1"/>
  <c r="CE310" i="1"/>
  <c r="BB310" i="1"/>
  <c r="AP310" i="1"/>
  <c r="X310" i="1"/>
  <c r="V310" i="1"/>
  <c r="T310" i="1"/>
  <c r="R310" i="1"/>
  <c r="P310" i="1"/>
  <c r="BC273" i="1"/>
  <c r="AO273" i="1"/>
  <c r="AB264" i="1"/>
  <c r="CP261" i="1"/>
  <c r="O261" i="1" s="1"/>
  <c r="GM261" i="1" s="1"/>
  <c r="GN261" i="1" s="1"/>
  <c r="AB259" i="1"/>
  <c r="CP257" i="1"/>
  <c r="O257" i="1" s="1"/>
  <c r="GM257" i="1" s="1"/>
  <c r="GN257" i="1" s="1"/>
  <c r="AB255" i="1"/>
  <c r="CP254" i="1"/>
  <c r="O254" i="1" s="1"/>
  <c r="GM254" i="1" s="1"/>
  <c r="GN254" i="1" s="1"/>
  <c r="AB251" i="1"/>
  <c r="AB249" i="1"/>
  <c r="CP246" i="1"/>
  <c r="O246" i="1" s="1"/>
  <c r="GM246" i="1" s="1"/>
  <c r="GN246" i="1" s="1"/>
  <c r="CP244" i="1"/>
  <c r="O244" i="1" s="1"/>
  <c r="GM244" i="1" s="1"/>
  <c r="GN244" i="1" s="1"/>
  <c r="AB242" i="1"/>
  <c r="CP241" i="1"/>
  <c r="O241" i="1" s="1"/>
  <c r="GM241" i="1" s="1"/>
  <c r="GN241" i="1" s="1"/>
  <c r="AB238" i="1"/>
  <c r="AB236" i="1"/>
  <c r="AB234" i="1"/>
  <c r="BC310" i="1"/>
  <c r="BA310" i="1"/>
  <c r="AY310" i="1"/>
  <c r="AW310" i="1"/>
  <c r="AU310" i="1"/>
  <c r="AQ310" i="1"/>
  <c r="AO310" i="1"/>
  <c r="BD273" i="1"/>
  <c r="BB273" i="1"/>
  <c r="AT273" i="1"/>
  <c r="AP273" i="1"/>
  <c r="CP259" i="1"/>
  <c r="O259" i="1" s="1"/>
  <c r="GM259" i="1" s="1"/>
  <c r="GN259" i="1" s="1"/>
  <c r="CP255" i="1"/>
  <c r="O255" i="1" s="1"/>
  <c r="GM255" i="1" s="1"/>
  <c r="GN255" i="1" s="1"/>
  <c r="CP252" i="1"/>
  <c r="O252" i="1" s="1"/>
  <c r="GM252" i="1" s="1"/>
  <c r="GN252" i="1" s="1"/>
  <c r="CP242" i="1"/>
  <c r="O242" i="1" s="1"/>
  <c r="GM242" i="1" s="1"/>
  <c r="GN242" i="1" s="1"/>
  <c r="CP239" i="1"/>
  <c r="O239" i="1" s="1"/>
  <c r="GM239" i="1" s="1"/>
  <c r="GN239" i="1" s="1"/>
  <c r="CV54" i="3"/>
  <c r="U251" i="1" s="1"/>
  <c r="G254" i="7" s="1"/>
  <c r="CX55" i="3"/>
  <c r="CX56" i="3"/>
  <c r="CX58" i="3"/>
  <c r="CX60" i="3"/>
  <c r="CX62" i="3"/>
  <c r="CX64" i="3"/>
  <c r="CX66" i="3"/>
  <c r="CX68" i="3"/>
  <c r="CX70" i="3"/>
  <c r="CU54" i="3"/>
  <c r="CU22" i="3"/>
  <c r="CX22" i="3"/>
  <c r="CV22" i="3"/>
  <c r="U240" i="1" s="1"/>
  <c r="G148" i="7" s="1"/>
  <c r="CX24" i="3"/>
  <c r="CW24" i="3"/>
  <c r="CX25" i="3"/>
  <c r="CU18" i="3"/>
  <c r="CX18" i="3"/>
  <c r="CW20" i="3"/>
  <c r="CW21" i="3"/>
  <c r="CV18" i="3"/>
  <c r="U238" i="1" s="1"/>
  <c r="G131" i="7" s="1"/>
  <c r="CX20" i="3"/>
  <c r="CX21" i="3"/>
  <c r="CU10" i="3"/>
  <c r="CX11" i="3"/>
  <c r="CX12" i="3"/>
  <c r="CV10" i="3"/>
  <c r="U236" i="1" s="1"/>
  <c r="G101" i="7" s="1"/>
  <c r="CW11" i="3"/>
  <c r="V236" i="1" s="1"/>
  <c r="G104" i="7" s="1"/>
  <c r="CW12" i="3"/>
  <c r="CV4" i="3"/>
  <c r="U234" i="1" s="1"/>
  <c r="G76" i="7" s="1"/>
  <c r="CX6" i="3"/>
  <c r="CU4" i="3"/>
  <c r="CX4" i="3"/>
  <c r="CW6" i="3"/>
  <c r="V234" i="1" s="1"/>
  <c r="G79" i="7" s="1"/>
  <c r="DG107" i="3"/>
  <c r="DI107" i="3"/>
  <c r="DF107" i="3"/>
  <c r="DJ107" i="3" s="1"/>
  <c r="DH107" i="3"/>
  <c r="DG103" i="3"/>
  <c r="Q267" i="1" s="1"/>
  <c r="DI103" i="3"/>
  <c r="DJ103" i="3" s="1"/>
  <c r="DF103" i="3"/>
  <c r="P267" i="1" s="1"/>
  <c r="DH103" i="3"/>
  <c r="R267" i="1" s="1"/>
  <c r="CV94" i="3"/>
  <c r="U263" i="1" s="1"/>
  <c r="G369" i="7" s="1"/>
  <c r="CX96" i="3"/>
  <c r="CX97" i="3"/>
  <c r="CX94" i="3"/>
  <c r="CW96" i="3"/>
  <c r="CW97" i="3"/>
  <c r="CX98" i="3"/>
  <c r="CU94" i="3"/>
  <c r="CU89" i="3"/>
  <c r="CX89" i="3"/>
  <c r="CW91" i="3"/>
  <c r="V260" i="1" s="1"/>
  <c r="G352" i="7" s="1"/>
  <c r="CX92" i="3"/>
  <c r="CV89" i="3"/>
  <c r="U260" i="1" s="1"/>
  <c r="G349" i="7" s="1"/>
  <c r="CX91" i="3"/>
  <c r="CU84" i="3"/>
  <c r="CX84" i="3"/>
  <c r="CW86" i="3"/>
  <c r="V258" i="1" s="1"/>
  <c r="G334" i="7" s="1"/>
  <c r="CX87" i="3"/>
  <c r="CV84" i="3"/>
  <c r="U258" i="1" s="1"/>
  <c r="G331" i="7" s="1"/>
  <c r="CX86" i="3"/>
  <c r="CU78" i="3"/>
  <c r="CX78" i="3"/>
  <c r="CW80" i="3"/>
  <c r="V256" i="1" s="1"/>
  <c r="G313" i="7" s="1"/>
  <c r="CW81" i="3"/>
  <c r="CX82" i="3"/>
  <c r="CV78" i="3"/>
  <c r="U256" i="1" s="1"/>
  <c r="G310" i="7" s="1"/>
  <c r="CX80" i="3"/>
  <c r="CX81" i="3"/>
  <c r="CU40" i="3"/>
  <c r="CV40" i="3"/>
  <c r="U248" i="1" s="1"/>
  <c r="G211" i="7" s="1"/>
  <c r="CX41" i="3"/>
  <c r="CX42" i="3"/>
  <c r="CX43" i="3"/>
  <c r="CX44" i="3"/>
  <c r="CV37" i="3"/>
  <c r="U245" i="1" s="1"/>
  <c r="G196" i="7" s="1"/>
  <c r="CU37" i="3"/>
  <c r="CX39" i="3"/>
  <c r="CV27" i="3"/>
  <c r="U243" i="1" s="1"/>
  <c r="G171" i="7" s="1"/>
  <c r="CX29" i="3"/>
  <c r="CX30" i="3"/>
  <c r="CX32" i="3"/>
  <c r="CX34" i="3"/>
  <c r="CU27" i="3"/>
  <c r="CX27" i="3"/>
  <c r="CW29" i="3"/>
  <c r="CV13" i="3"/>
  <c r="U237" i="1" s="1"/>
  <c r="G114" i="7" s="1"/>
  <c r="CX15" i="3"/>
  <c r="CX16" i="3"/>
  <c r="CU13" i="3"/>
  <c r="CV7" i="3"/>
  <c r="U235" i="1" s="1"/>
  <c r="G88" i="7" s="1"/>
  <c r="CU7" i="3"/>
  <c r="CX7" i="3"/>
  <c r="CX8" i="3"/>
  <c r="CX9" i="3"/>
  <c r="CV1" i="3"/>
  <c r="U233" i="1" s="1"/>
  <c r="CX3" i="3"/>
  <c r="CU1" i="3"/>
  <c r="CX1" i="3"/>
  <c r="CW3" i="3"/>
  <c r="V233" i="1" s="1"/>
  <c r="G67" i="7" s="1"/>
  <c r="DI106" i="3"/>
  <c r="DI102" i="3"/>
  <c r="CX101" i="3"/>
  <c r="CX93" i="3"/>
  <c r="CX85" i="3"/>
  <c r="CX83" i="3"/>
  <c r="CX79" i="3"/>
  <c r="DG77" i="3"/>
  <c r="DI77" i="3"/>
  <c r="DF77" i="3"/>
  <c r="DJ77" i="3" s="1"/>
  <c r="DH77" i="3"/>
  <c r="DG75" i="3"/>
  <c r="DI75" i="3"/>
  <c r="DF75" i="3"/>
  <c r="DJ75" i="3" s="1"/>
  <c r="DH75" i="3"/>
  <c r="CW56" i="3"/>
  <c r="V251" i="1" s="1"/>
  <c r="G257" i="7" s="1"/>
  <c r="CX54" i="3"/>
  <c r="DG52" i="3"/>
  <c r="DI52" i="3"/>
  <c r="DF52" i="3"/>
  <c r="DJ52" i="3" s="1"/>
  <c r="DH52" i="3"/>
  <c r="F65" i="1"/>
  <c r="DG100" i="3"/>
  <c r="DI100" i="3"/>
  <c r="DF99" i="3"/>
  <c r="DH99" i="3"/>
  <c r="CX95" i="3"/>
  <c r="CX90" i="3"/>
  <c r="CX88" i="3"/>
  <c r="DG71" i="3"/>
  <c r="Q253" i="1" s="1"/>
  <c r="DI71" i="3"/>
  <c r="DF71" i="3"/>
  <c r="P253" i="1" s="1"/>
  <c r="DH71" i="3"/>
  <c r="R253" i="1" s="1"/>
  <c r="CX69" i="3"/>
  <c r="CX67" i="3"/>
  <c r="CX65" i="3"/>
  <c r="CX63" i="3"/>
  <c r="CX61" i="3"/>
  <c r="CX59" i="3"/>
  <c r="CX57" i="3"/>
  <c r="DI76" i="3"/>
  <c r="DI74" i="3"/>
  <c r="DI73" i="3"/>
  <c r="DI72" i="3"/>
  <c r="DJ72" i="3" s="1"/>
  <c r="DI53" i="3"/>
  <c r="DI51" i="3"/>
  <c r="CW44" i="3"/>
  <c r="CW42" i="3"/>
  <c r="CX40" i="3"/>
  <c r="CX38" i="3"/>
  <c r="CX36" i="3"/>
  <c r="CW30" i="3"/>
  <c r="CX28" i="3"/>
  <c r="CX26" i="3"/>
  <c r="DF47" i="3"/>
  <c r="P250" i="1" s="1"/>
  <c r="DH47" i="3"/>
  <c r="R250" i="1" s="1"/>
  <c r="DG47" i="3"/>
  <c r="Q250" i="1" s="1"/>
  <c r="DI47" i="3"/>
  <c r="DJ47" i="3" s="1"/>
  <c r="CW43" i="3"/>
  <c r="CX37" i="3"/>
  <c r="CX35" i="3"/>
  <c r="CX33" i="3"/>
  <c r="CX31" i="3"/>
  <c r="CW25" i="3"/>
  <c r="CW16" i="3"/>
  <c r="CX14" i="3"/>
  <c r="CX10" i="3"/>
  <c r="CW8" i="3"/>
  <c r="CX2" i="3"/>
  <c r="DI46" i="3"/>
  <c r="CX23" i="3"/>
  <c r="CX19" i="3"/>
  <c r="CX17" i="3"/>
  <c r="CW15" i="3"/>
  <c r="V237" i="1" s="1"/>
  <c r="G117" i="7" s="1"/>
  <c r="CX13" i="3"/>
  <c r="CW9" i="3"/>
  <c r="CX5" i="3"/>
  <c r="AH273" i="1" l="1"/>
  <c r="G64" i="7"/>
  <c r="AQ273" i="1"/>
  <c r="K231" i="7"/>
  <c r="I231" i="7" s="1"/>
  <c r="AN231" i="7"/>
  <c r="AO164" i="7"/>
  <c r="L160" i="7"/>
  <c r="AO327" i="7"/>
  <c r="L323" i="7"/>
  <c r="AU273" i="1"/>
  <c r="F292" i="1" s="1"/>
  <c r="DG19" i="3"/>
  <c r="DI19" i="3"/>
  <c r="DJ19" i="3" s="1"/>
  <c r="DF19" i="3"/>
  <c r="DH19" i="3"/>
  <c r="V235" i="1"/>
  <c r="G91" i="7" s="1"/>
  <c r="DF14" i="3"/>
  <c r="DH14" i="3"/>
  <c r="DG14" i="3"/>
  <c r="DI14" i="3"/>
  <c r="DJ14" i="3" s="1"/>
  <c r="DG33" i="3"/>
  <c r="DI33" i="3"/>
  <c r="DF33" i="3"/>
  <c r="DJ33" i="3" s="1"/>
  <c r="DH33" i="3"/>
  <c r="DG37" i="3"/>
  <c r="DI37" i="3"/>
  <c r="DF37" i="3"/>
  <c r="DH37" i="3"/>
  <c r="DF26" i="3"/>
  <c r="DJ26" i="3" s="1"/>
  <c r="DH26" i="3"/>
  <c r="DG26" i="3"/>
  <c r="DI26" i="3"/>
  <c r="DF38" i="3"/>
  <c r="DJ38" i="3" s="1"/>
  <c r="DH38" i="3"/>
  <c r="DG38" i="3"/>
  <c r="DI38" i="3"/>
  <c r="V248" i="1"/>
  <c r="G214" i="7" s="1"/>
  <c r="DG57" i="3"/>
  <c r="DI57" i="3"/>
  <c r="DF57" i="3"/>
  <c r="DJ57" i="3" s="1"/>
  <c r="DH57" i="3"/>
  <c r="DG61" i="3"/>
  <c r="DI61" i="3"/>
  <c r="DF61" i="3"/>
  <c r="DJ61" i="3" s="1"/>
  <c r="DH61" i="3"/>
  <c r="DG65" i="3"/>
  <c r="DI65" i="3"/>
  <c r="DF65" i="3"/>
  <c r="DJ65" i="3" s="1"/>
  <c r="DH65" i="3"/>
  <c r="DG69" i="3"/>
  <c r="DI69" i="3"/>
  <c r="DF69" i="3"/>
  <c r="DJ69" i="3" s="1"/>
  <c r="DH69" i="3"/>
  <c r="DG90" i="3"/>
  <c r="DI90" i="3"/>
  <c r="DJ90" i="3" s="1"/>
  <c r="DF90" i="3"/>
  <c r="DH90" i="3"/>
  <c r="DJ100" i="3"/>
  <c r="DG83" i="3"/>
  <c r="DI83" i="3"/>
  <c r="DF83" i="3"/>
  <c r="DJ83" i="3" s="1"/>
  <c r="DH83" i="3"/>
  <c r="DG93" i="3"/>
  <c r="DI93" i="3"/>
  <c r="DF93" i="3"/>
  <c r="DJ93" i="3" s="1"/>
  <c r="DH93" i="3"/>
  <c r="DJ102" i="3"/>
  <c r="S267" i="1"/>
  <c r="CP267" i="1" s="1"/>
  <c r="O267" i="1" s="1"/>
  <c r="AH230" i="1"/>
  <c r="U273" i="1"/>
  <c r="DG8" i="3"/>
  <c r="DI8" i="3"/>
  <c r="DF8" i="3"/>
  <c r="DH8" i="3"/>
  <c r="DF15" i="3"/>
  <c r="DH15" i="3"/>
  <c r="DG15" i="3"/>
  <c r="DI15" i="3"/>
  <c r="V243" i="1"/>
  <c r="G174" i="7" s="1"/>
  <c r="DF32" i="3"/>
  <c r="DJ32" i="3" s="1"/>
  <c r="DH32" i="3"/>
  <c r="DG32" i="3"/>
  <c r="DI32" i="3"/>
  <c r="DF29" i="3"/>
  <c r="DH29" i="3"/>
  <c r="DG29" i="3"/>
  <c r="DJ29" i="3" s="1"/>
  <c r="DI29" i="3"/>
  <c r="DG39" i="3"/>
  <c r="DI39" i="3"/>
  <c r="DF39" i="3"/>
  <c r="DJ39" i="3" s="1"/>
  <c r="DH39" i="3"/>
  <c r="DG43" i="3"/>
  <c r="DJ43" i="3" s="1"/>
  <c r="DI43" i="3"/>
  <c r="DF43" i="3"/>
  <c r="DH43" i="3"/>
  <c r="DG41" i="3"/>
  <c r="DI41" i="3"/>
  <c r="DJ41" i="3" s="1"/>
  <c r="DF41" i="3"/>
  <c r="DH41" i="3"/>
  <c r="DG80" i="3"/>
  <c r="DJ80" i="3" s="1"/>
  <c r="DI80" i="3"/>
  <c r="DF80" i="3"/>
  <c r="DH80" i="3"/>
  <c r="DF82" i="3"/>
  <c r="DJ82" i="3" s="1"/>
  <c r="DH82" i="3"/>
  <c r="DG82" i="3"/>
  <c r="DI82" i="3"/>
  <c r="DG98" i="3"/>
  <c r="DI98" i="3"/>
  <c r="DF98" i="3"/>
  <c r="DJ98" i="3" s="1"/>
  <c r="DH98" i="3"/>
  <c r="V263" i="1"/>
  <c r="G372" i="7" s="1"/>
  <c r="DF97" i="3"/>
  <c r="DH97" i="3"/>
  <c r="DG97" i="3"/>
  <c r="DI97" i="3"/>
  <c r="DG4" i="3"/>
  <c r="DI4" i="3"/>
  <c r="DF4" i="3"/>
  <c r="DH4" i="3"/>
  <c r="DF6" i="3"/>
  <c r="DH6" i="3"/>
  <c r="DG6" i="3"/>
  <c r="DJ6" i="3" s="1"/>
  <c r="DI6" i="3"/>
  <c r="DF11" i="3"/>
  <c r="DH11" i="3"/>
  <c r="DG11" i="3"/>
  <c r="DJ11" i="3" s="1"/>
  <c r="DI11" i="3"/>
  <c r="DG21" i="3"/>
  <c r="DJ21" i="3" s="1"/>
  <c r="DI21" i="3"/>
  <c r="DF21" i="3"/>
  <c r="DH21" i="3"/>
  <c r="V238" i="1"/>
  <c r="G134" i="7" s="1"/>
  <c r="V240" i="1"/>
  <c r="G151" i="7" s="1"/>
  <c r="DF70" i="3"/>
  <c r="DJ70" i="3" s="1"/>
  <c r="DH70" i="3"/>
  <c r="DG70" i="3"/>
  <c r="DI70" i="3"/>
  <c r="DF66" i="3"/>
  <c r="DJ66" i="3" s="1"/>
  <c r="DH66" i="3"/>
  <c r="DG66" i="3"/>
  <c r="DI66" i="3"/>
  <c r="DF62" i="3"/>
  <c r="DJ62" i="3" s="1"/>
  <c r="DH62" i="3"/>
  <c r="DG62" i="3"/>
  <c r="DI62" i="3"/>
  <c r="DF58" i="3"/>
  <c r="DJ58" i="3" s="1"/>
  <c r="DH58" i="3"/>
  <c r="DG58" i="3"/>
  <c r="DI58" i="3"/>
  <c r="DF55" i="3"/>
  <c r="DH55" i="3"/>
  <c r="DG55" i="3"/>
  <c r="DI55" i="3"/>
  <c r="DJ55" i="3" s="1"/>
  <c r="AP230" i="1"/>
  <c r="F282" i="1"/>
  <c r="AP340" i="1"/>
  <c r="BB230" i="1"/>
  <c r="F286" i="1"/>
  <c r="BB340" i="1"/>
  <c r="AO305" i="1"/>
  <c r="F314" i="1"/>
  <c r="AU305" i="1"/>
  <c r="F329" i="1"/>
  <c r="AY305" i="1"/>
  <c r="F318" i="1"/>
  <c r="BC305" i="1"/>
  <c r="F326" i="1"/>
  <c r="AO230" i="1"/>
  <c r="F277" i="1"/>
  <c r="AO340" i="1"/>
  <c r="P305" i="1"/>
  <c r="F313" i="1"/>
  <c r="T305" i="1"/>
  <c r="F331" i="1"/>
  <c r="X305" i="1"/>
  <c r="F336" i="1"/>
  <c r="BB305" i="1"/>
  <c r="F323" i="1"/>
  <c r="CG305" i="1"/>
  <c r="AX310" i="1"/>
  <c r="AQ230" i="1"/>
  <c r="F283" i="1"/>
  <c r="AQ340" i="1"/>
  <c r="CG230" i="1"/>
  <c r="AX273" i="1"/>
  <c r="AU230" i="1"/>
  <c r="AU340" i="1"/>
  <c r="AT305" i="1"/>
  <c r="F328" i="1"/>
  <c r="O305" i="1"/>
  <c r="F312" i="1"/>
  <c r="Q305" i="1"/>
  <c r="F322" i="1"/>
  <c r="F332" i="1"/>
  <c r="U305" i="1"/>
  <c r="W305" i="1"/>
  <c r="F334" i="1"/>
  <c r="AG230" i="1"/>
  <c r="T273" i="1"/>
  <c r="CJ230" i="1"/>
  <c r="BA273" i="1"/>
  <c r="CM305" i="1"/>
  <c r="BD310" i="1"/>
  <c r="S305" i="1"/>
  <c r="F325" i="1"/>
  <c r="Y305" i="1"/>
  <c r="F337" i="1"/>
  <c r="DJ46" i="3"/>
  <c r="S250" i="1"/>
  <c r="CP250" i="1" s="1"/>
  <c r="O250" i="1" s="1"/>
  <c r="DF5" i="3"/>
  <c r="DH5" i="3"/>
  <c r="DG5" i="3"/>
  <c r="DI5" i="3"/>
  <c r="DJ5" i="3" s="1"/>
  <c r="DG13" i="3"/>
  <c r="DI13" i="3"/>
  <c r="DF13" i="3"/>
  <c r="DH13" i="3"/>
  <c r="DG17" i="3"/>
  <c r="DI17" i="3"/>
  <c r="DF17" i="3"/>
  <c r="DJ17" i="3" s="1"/>
  <c r="DH17" i="3"/>
  <c r="DF23" i="3"/>
  <c r="DH23" i="3"/>
  <c r="DG23" i="3"/>
  <c r="DI23" i="3"/>
  <c r="DJ23" i="3" s="1"/>
  <c r="DF2" i="3"/>
  <c r="DH2" i="3"/>
  <c r="DG2" i="3"/>
  <c r="DI2" i="3"/>
  <c r="DJ2" i="3" s="1"/>
  <c r="DF10" i="3"/>
  <c r="DH10" i="3"/>
  <c r="DG10" i="3"/>
  <c r="DI10" i="3"/>
  <c r="DG31" i="3"/>
  <c r="DI31" i="3"/>
  <c r="DF31" i="3"/>
  <c r="DJ31" i="3" s="1"/>
  <c r="DH31" i="3"/>
  <c r="DG35" i="3"/>
  <c r="DI35" i="3"/>
  <c r="DF35" i="3"/>
  <c r="DJ35" i="3" s="1"/>
  <c r="DH35" i="3"/>
  <c r="DF28" i="3"/>
  <c r="DH28" i="3"/>
  <c r="DG28" i="3"/>
  <c r="DI28" i="3"/>
  <c r="DJ28" i="3" s="1"/>
  <c r="DF36" i="3"/>
  <c r="DJ36" i="3" s="1"/>
  <c r="DH36" i="3"/>
  <c r="DG36" i="3"/>
  <c r="DI36" i="3"/>
  <c r="DF40" i="3"/>
  <c r="DH40" i="3"/>
  <c r="DG40" i="3"/>
  <c r="DI40" i="3"/>
  <c r="DG59" i="3"/>
  <c r="DI59" i="3"/>
  <c r="DF59" i="3"/>
  <c r="DJ59" i="3" s="1"/>
  <c r="DH59" i="3"/>
  <c r="DG63" i="3"/>
  <c r="DI63" i="3"/>
  <c r="DF63" i="3"/>
  <c r="DJ63" i="3" s="1"/>
  <c r="DH63" i="3"/>
  <c r="DG67" i="3"/>
  <c r="DI67" i="3"/>
  <c r="DF67" i="3"/>
  <c r="DJ67" i="3" s="1"/>
  <c r="DH67" i="3"/>
  <c r="DJ71" i="3"/>
  <c r="S253" i="1"/>
  <c r="DG88" i="3"/>
  <c r="DI88" i="3"/>
  <c r="DF88" i="3"/>
  <c r="DJ88" i="3" s="1"/>
  <c r="DH88" i="3"/>
  <c r="DF95" i="3"/>
  <c r="DH95" i="3"/>
  <c r="DG95" i="3"/>
  <c r="DI95" i="3"/>
  <c r="DJ95" i="3" s="1"/>
  <c r="DG54" i="3"/>
  <c r="DI54" i="3"/>
  <c r="DF54" i="3"/>
  <c r="DH54" i="3"/>
  <c r="DG79" i="3"/>
  <c r="DI79" i="3"/>
  <c r="DJ79" i="3" s="1"/>
  <c r="DF79" i="3"/>
  <c r="DH79" i="3"/>
  <c r="DG85" i="3"/>
  <c r="DI85" i="3"/>
  <c r="DJ85" i="3" s="1"/>
  <c r="DF85" i="3"/>
  <c r="DH85" i="3"/>
  <c r="DG101" i="3"/>
  <c r="DJ101" i="3" s="1"/>
  <c r="DI101" i="3"/>
  <c r="S266" i="1" s="1"/>
  <c r="DF101" i="3"/>
  <c r="P266" i="1" s="1"/>
  <c r="DH101" i="3"/>
  <c r="R266" i="1" s="1"/>
  <c r="DG1" i="3"/>
  <c r="DI1" i="3"/>
  <c r="DF1" i="3"/>
  <c r="DH1" i="3"/>
  <c r="DF3" i="3"/>
  <c r="DH3" i="3"/>
  <c r="DG3" i="3"/>
  <c r="DJ3" i="3" s="1"/>
  <c r="DI3" i="3"/>
  <c r="DG9" i="3"/>
  <c r="DJ9" i="3" s="1"/>
  <c r="DI9" i="3"/>
  <c r="DF9" i="3"/>
  <c r="DH9" i="3"/>
  <c r="DG7" i="3"/>
  <c r="Q235" i="1" s="1"/>
  <c r="DI7" i="3"/>
  <c r="DF7" i="3"/>
  <c r="P235" i="1" s="1"/>
  <c r="DH7" i="3"/>
  <c r="R235" i="1" s="1"/>
  <c r="DF16" i="3"/>
  <c r="DH16" i="3"/>
  <c r="DG16" i="3"/>
  <c r="DJ16" i="3" s="1"/>
  <c r="DI16" i="3"/>
  <c r="DG27" i="3"/>
  <c r="DI27" i="3"/>
  <c r="DF27" i="3"/>
  <c r="DH27" i="3"/>
  <c r="DF34" i="3"/>
  <c r="DJ34" i="3" s="1"/>
  <c r="DH34" i="3"/>
  <c r="DG34" i="3"/>
  <c r="DI34" i="3"/>
  <c r="DF30" i="3"/>
  <c r="DH30" i="3"/>
  <c r="DG30" i="3"/>
  <c r="DJ30" i="3" s="1"/>
  <c r="DI30" i="3"/>
  <c r="DG44" i="3"/>
  <c r="DJ44" i="3" s="1"/>
  <c r="DI44" i="3"/>
  <c r="DF44" i="3"/>
  <c r="DH44" i="3"/>
  <c r="DG42" i="3"/>
  <c r="DJ42" i="3" s="1"/>
  <c r="DI42" i="3"/>
  <c r="DF42" i="3"/>
  <c r="DH42" i="3"/>
  <c r="DG81" i="3"/>
  <c r="DJ81" i="3" s="1"/>
  <c r="DI81" i="3"/>
  <c r="DF81" i="3"/>
  <c r="DH81" i="3"/>
  <c r="DF78" i="3"/>
  <c r="P256" i="1" s="1"/>
  <c r="DH78" i="3"/>
  <c r="R256" i="1" s="1"/>
  <c r="DG78" i="3"/>
  <c r="Q256" i="1" s="1"/>
  <c r="DI78" i="3"/>
  <c r="DG86" i="3"/>
  <c r="DJ86" i="3" s="1"/>
  <c r="DI86" i="3"/>
  <c r="DF86" i="3"/>
  <c r="DH86" i="3"/>
  <c r="DF87" i="3"/>
  <c r="DJ87" i="3" s="1"/>
  <c r="DH87" i="3"/>
  <c r="DG87" i="3"/>
  <c r="DI87" i="3"/>
  <c r="DF84" i="3"/>
  <c r="P258" i="1" s="1"/>
  <c r="DH84" i="3"/>
  <c r="R258" i="1" s="1"/>
  <c r="DG84" i="3"/>
  <c r="Q258" i="1" s="1"/>
  <c r="DI84" i="3"/>
  <c r="DG91" i="3"/>
  <c r="DJ91" i="3" s="1"/>
  <c r="DI91" i="3"/>
  <c r="DF91" i="3"/>
  <c r="DH91" i="3"/>
  <c r="DF92" i="3"/>
  <c r="DJ92" i="3" s="1"/>
  <c r="DH92" i="3"/>
  <c r="DG92" i="3"/>
  <c r="DI92" i="3"/>
  <c r="DF89" i="3"/>
  <c r="P260" i="1" s="1"/>
  <c r="DH89" i="3"/>
  <c r="R260" i="1" s="1"/>
  <c r="DG89" i="3"/>
  <c r="Q260" i="1" s="1"/>
  <c r="DI89" i="3"/>
  <c r="DG94" i="3"/>
  <c r="DI94" i="3"/>
  <c r="DF94" i="3"/>
  <c r="P263" i="1" s="1"/>
  <c r="DH94" i="3"/>
  <c r="DF96" i="3"/>
  <c r="DH96" i="3"/>
  <c r="DG96" i="3"/>
  <c r="DJ96" i="3" s="1"/>
  <c r="DI96" i="3"/>
  <c r="DF12" i="3"/>
  <c r="DH12" i="3"/>
  <c r="DG12" i="3"/>
  <c r="DJ12" i="3" s="1"/>
  <c r="DI12" i="3"/>
  <c r="DG20" i="3"/>
  <c r="DJ20" i="3" s="1"/>
  <c r="DI20" i="3"/>
  <c r="DF20" i="3"/>
  <c r="DH20" i="3"/>
  <c r="DF18" i="3"/>
  <c r="P238" i="1" s="1"/>
  <c r="DH18" i="3"/>
  <c r="R238" i="1" s="1"/>
  <c r="DG18" i="3"/>
  <c r="Q238" i="1" s="1"/>
  <c r="DI18" i="3"/>
  <c r="DG25" i="3"/>
  <c r="DJ25" i="3" s="1"/>
  <c r="DI25" i="3"/>
  <c r="DF25" i="3"/>
  <c r="DH25" i="3"/>
  <c r="DF24" i="3"/>
  <c r="DH24" i="3"/>
  <c r="DG24" i="3"/>
  <c r="DJ24" i="3" s="1"/>
  <c r="DI24" i="3"/>
  <c r="DF22" i="3"/>
  <c r="P240" i="1" s="1"/>
  <c r="DH22" i="3"/>
  <c r="R240" i="1" s="1"/>
  <c r="DG22" i="3"/>
  <c r="Q240" i="1" s="1"/>
  <c r="DI22" i="3"/>
  <c r="DF68" i="3"/>
  <c r="DJ68" i="3" s="1"/>
  <c r="DH68" i="3"/>
  <c r="DG68" i="3"/>
  <c r="DI68" i="3"/>
  <c r="DF64" i="3"/>
  <c r="DJ64" i="3" s="1"/>
  <c r="DH64" i="3"/>
  <c r="DG64" i="3"/>
  <c r="DI64" i="3"/>
  <c r="DF60" i="3"/>
  <c r="DJ60" i="3" s="1"/>
  <c r="DH60" i="3"/>
  <c r="DG60" i="3"/>
  <c r="DI60" i="3"/>
  <c r="DF56" i="3"/>
  <c r="DH56" i="3"/>
  <c r="DG56" i="3"/>
  <c r="DJ56" i="3" s="1"/>
  <c r="DI56" i="3"/>
  <c r="AT230" i="1"/>
  <c r="AT340" i="1"/>
  <c r="F291" i="1"/>
  <c r="BD230" i="1"/>
  <c r="F298" i="1"/>
  <c r="BD340" i="1"/>
  <c r="F320" i="1"/>
  <c r="AQ305" i="1"/>
  <c r="AW305" i="1"/>
  <c r="F316" i="1"/>
  <c r="BA305" i="1"/>
  <c r="F330" i="1"/>
  <c r="BC230" i="1"/>
  <c r="F289" i="1"/>
  <c r="BC340" i="1"/>
  <c r="R305" i="1"/>
  <c r="F324" i="1"/>
  <c r="V305" i="1"/>
  <c r="F333" i="1"/>
  <c r="AP305" i="1"/>
  <c r="F319" i="1"/>
  <c r="CE305" i="1"/>
  <c r="AV310" i="1"/>
  <c r="CI305" i="1"/>
  <c r="AZ310" i="1"/>
  <c r="CI230" i="1"/>
  <c r="AZ273" i="1"/>
  <c r="AJ230" i="1"/>
  <c r="W273" i="1"/>
  <c r="CA305" i="1"/>
  <c r="AR310" i="1"/>
  <c r="CB305" i="1"/>
  <c r="AS310" i="1"/>
  <c r="L435" i="7" l="1"/>
  <c r="L433" i="7" s="1"/>
  <c r="L430" i="7" s="1"/>
  <c r="L509" i="7"/>
  <c r="L507" i="7" s="1"/>
  <c r="L504" i="7" s="1"/>
  <c r="L580" i="7"/>
  <c r="L578" i="7" s="1"/>
  <c r="L575" i="7" s="1"/>
  <c r="AI273" i="1"/>
  <c r="AI230" i="1" s="1"/>
  <c r="CZ266" i="1"/>
  <c r="Y266" i="1" s="1"/>
  <c r="BA399" i="7" s="1"/>
  <c r="L398" i="7" s="1"/>
  <c r="CY266" i="1"/>
  <c r="X266" i="1" s="1"/>
  <c r="AZ399" i="7" s="1"/>
  <c r="L397" i="7" s="1"/>
  <c r="V273" i="1"/>
  <c r="AS305" i="1"/>
  <c r="F327" i="1"/>
  <c r="W230" i="1"/>
  <c r="W340" i="1"/>
  <c r="F297" i="1"/>
  <c r="AZ305" i="1"/>
  <c r="F321" i="1"/>
  <c r="AV305" i="1"/>
  <c r="F315" i="1"/>
  <c r="BC22" i="1"/>
  <c r="F356" i="1"/>
  <c r="BC372" i="1"/>
  <c r="Q263" i="1"/>
  <c r="P243" i="1"/>
  <c r="BD22" i="1"/>
  <c r="F365" i="1"/>
  <c r="BD372" i="1"/>
  <c r="AT22" i="1"/>
  <c r="F358" i="1"/>
  <c r="AT372" i="1"/>
  <c r="DJ22" i="3"/>
  <c r="S240" i="1"/>
  <c r="DJ18" i="3"/>
  <c r="S238" i="1"/>
  <c r="R263" i="1"/>
  <c r="DJ94" i="3"/>
  <c r="S263" i="1"/>
  <c r="DJ89" i="3"/>
  <c r="S260" i="1"/>
  <c r="CP260" i="1" s="1"/>
  <c r="O260" i="1" s="1"/>
  <c r="DJ84" i="3"/>
  <c r="S258" i="1"/>
  <c r="DJ78" i="3"/>
  <c r="S256" i="1"/>
  <c r="CP256" i="1" s="1"/>
  <c r="O256" i="1" s="1"/>
  <c r="R243" i="1"/>
  <c r="DJ27" i="3"/>
  <c r="S243" i="1"/>
  <c r="DJ7" i="3"/>
  <c r="S235" i="1"/>
  <c r="R233" i="1"/>
  <c r="DJ1" i="3"/>
  <c r="S233" i="1"/>
  <c r="R251" i="1"/>
  <c r="DJ54" i="3"/>
  <c r="S251" i="1"/>
  <c r="Q266" i="1"/>
  <c r="CP266" i="1" s="1"/>
  <c r="O266" i="1" s="1"/>
  <c r="CY253" i="1"/>
  <c r="X253" i="1" s="1"/>
  <c r="AZ303" i="7" s="1"/>
  <c r="L301" i="7" s="1"/>
  <c r="CZ253" i="1"/>
  <c r="Y253" i="1" s="1"/>
  <c r="BA303" i="7" s="1"/>
  <c r="L302" i="7" s="1"/>
  <c r="DJ40" i="3"/>
  <c r="S248" i="1"/>
  <c r="R248" i="1"/>
  <c r="Q236" i="1"/>
  <c r="P236" i="1"/>
  <c r="P237" i="1"/>
  <c r="Q237" i="1"/>
  <c r="AX230" i="1"/>
  <c r="F280" i="1"/>
  <c r="AX340" i="1"/>
  <c r="AQ22" i="1"/>
  <c r="F350" i="1"/>
  <c r="AQ372" i="1"/>
  <c r="BB22" i="1"/>
  <c r="F353" i="1"/>
  <c r="BB372" i="1"/>
  <c r="R234" i="1"/>
  <c r="DJ4" i="3"/>
  <c r="S234" i="1"/>
  <c r="DJ97" i="3"/>
  <c r="DJ15" i="3"/>
  <c r="DJ8" i="3"/>
  <c r="CY267" i="1"/>
  <c r="X267" i="1" s="1"/>
  <c r="AZ420" i="7" s="1"/>
  <c r="L418" i="7" s="1"/>
  <c r="CZ267" i="1"/>
  <c r="Y267" i="1" s="1"/>
  <c r="BA420" i="7" s="1"/>
  <c r="L419" i="7" s="1"/>
  <c r="P245" i="1"/>
  <c r="Q245" i="1"/>
  <c r="AR305" i="1"/>
  <c r="F338" i="1"/>
  <c r="AZ230" i="1"/>
  <c r="F284" i="1"/>
  <c r="AZ340" i="1"/>
  <c r="CP263" i="1"/>
  <c r="O263" i="1" s="1"/>
  <c r="Q243" i="1"/>
  <c r="P233" i="1"/>
  <c r="Q233" i="1"/>
  <c r="P251" i="1"/>
  <c r="Q251" i="1"/>
  <c r="Q248" i="1"/>
  <c r="P248" i="1"/>
  <c r="DJ10" i="3"/>
  <c r="S236" i="1"/>
  <c r="R236" i="1"/>
  <c r="R237" i="1"/>
  <c r="DJ13" i="3"/>
  <c r="S237" i="1"/>
  <c r="CZ250" i="1"/>
  <c r="Y250" i="1" s="1"/>
  <c r="BA251" i="7" s="1"/>
  <c r="L250" i="7" s="1"/>
  <c r="CY250" i="1"/>
  <c r="X250" i="1" s="1"/>
  <c r="AZ251" i="7" s="1"/>
  <c r="L249" i="7" s="1"/>
  <c r="BD305" i="1"/>
  <c r="F335" i="1"/>
  <c r="BA230" i="1"/>
  <c r="F293" i="1"/>
  <c r="BA340" i="1"/>
  <c r="T230" i="1"/>
  <c r="F294" i="1"/>
  <c r="T340" i="1"/>
  <c r="AU22" i="1"/>
  <c r="F359" i="1"/>
  <c r="C52" i="7" s="1"/>
  <c r="AU372" i="1"/>
  <c r="AX305" i="1"/>
  <c r="F317" i="1"/>
  <c r="AO22" i="1"/>
  <c r="F344" i="1"/>
  <c r="AO372" i="1"/>
  <c r="AP22" i="1"/>
  <c r="AP372" i="1"/>
  <c r="F349" i="1"/>
  <c r="G16" i="2" s="1"/>
  <c r="P234" i="1"/>
  <c r="Q234" i="1"/>
  <c r="U230" i="1"/>
  <c r="F295" i="1"/>
  <c r="G458" i="7" s="1"/>
  <c r="U340" i="1"/>
  <c r="CP253" i="1"/>
  <c r="O253" i="1" s="1"/>
  <c r="R245" i="1"/>
  <c r="DJ37" i="3"/>
  <c r="S245" i="1"/>
  <c r="K251" i="7" l="1"/>
  <c r="I251" i="7" s="1"/>
  <c r="AN251" i="7"/>
  <c r="AN420" i="7"/>
  <c r="K420" i="7"/>
  <c r="I420" i="7" s="1"/>
  <c r="AN303" i="7"/>
  <c r="K303" i="7"/>
  <c r="I303" i="7" s="1"/>
  <c r="K399" i="7"/>
  <c r="I399" i="7" s="1"/>
  <c r="AN399" i="7"/>
  <c r="GM253" i="1"/>
  <c r="GN253" i="1" s="1"/>
  <c r="GM266" i="1"/>
  <c r="GN266" i="1" s="1"/>
  <c r="F16" i="2"/>
  <c r="C50" i="7"/>
  <c r="CP234" i="1"/>
  <c r="O234" i="1" s="1"/>
  <c r="GM250" i="1"/>
  <c r="GN250" i="1" s="1"/>
  <c r="CP248" i="1"/>
  <c r="O248" i="1" s="1"/>
  <c r="GM267" i="1"/>
  <c r="GN267" i="1" s="1"/>
  <c r="CZ245" i="1"/>
  <c r="Y245" i="1" s="1"/>
  <c r="BA206" i="7" s="1"/>
  <c r="L205" i="7" s="1"/>
  <c r="CY245" i="1"/>
  <c r="X245" i="1" s="1"/>
  <c r="AZ206" i="7" s="1"/>
  <c r="L204" i="7" s="1"/>
  <c r="U22" i="1"/>
  <c r="F362" i="1"/>
  <c r="U372" i="1"/>
  <c r="AP18" i="1"/>
  <c r="F381" i="1"/>
  <c r="H16" i="2"/>
  <c r="AU18" i="1"/>
  <c r="F391" i="1"/>
  <c r="BA22" i="1"/>
  <c r="F360" i="1"/>
  <c r="BA372" i="1"/>
  <c r="CP251" i="1"/>
  <c r="O251" i="1" s="1"/>
  <c r="CP233" i="1"/>
  <c r="O233" i="1" s="1"/>
  <c r="AC273" i="1"/>
  <c r="CY234" i="1"/>
  <c r="X234" i="1" s="1"/>
  <c r="AZ86" i="7" s="1"/>
  <c r="L84" i="7" s="1"/>
  <c r="CZ234" i="1"/>
  <c r="Y234" i="1" s="1"/>
  <c r="BA86" i="7" s="1"/>
  <c r="L85" i="7" s="1"/>
  <c r="AQ18" i="1"/>
  <c r="F382" i="1"/>
  <c r="CP236" i="1"/>
  <c r="O236" i="1" s="1"/>
  <c r="CY251" i="1"/>
  <c r="X251" i="1" s="1"/>
  <c r="AZ280" i="7" s="1"/>
  <c r="L278" i="7" s="1"/>
  <c r="CZ251" i="1"/>
  <c r="Y251" i="1" s="1"/>
  <c r="BA280" i="7" s="1"/>
  <c r="L279" i="7" s="1"/>
  <c r="CZ235" i="1"/>
  <c r="Y235" i="1" s="1"/>
  <c r="BA98" i="7" s="1"/>
  <c r="L97" i="7" s="1"/>
  <c r="CY235" i="1"/>
  <c r="X235" i="1" s="1"/>
  <c r="AZ98" i="7" s="1"/>
  <c r="L96" i="7" s="1"/>
  <c r="CZ243" i="1"/>
  <c r="Y243" i="1" s="1"/>
  <c r="BA191" i="7" s="1"/>
  <c r="L190" i="7" s="1"/>
  <c r="CY243" i="1"/>
  <c r="X243" i="1" s="1"/>
  <c r="AZ191" i="7" s="1"/>
  <c r="L189" i="7" s="1"/>
  <c r="CY238" i="1"/>
  <c r="X238" i="1" s="1"/>
  <c r="AZ143" i="7" s="1"/>
  <c r="L141" i="7" s="1"/>
  <c r="CZ238" i="1"/>
  <c r="Y238" i="1" s="1"/>
  <c r="BA143" i="7" s="1"/>
  <c r="L142" i="7" s="1"/>
  <c r="CY240" i="1"/>
  <c r="X240" i="1" s="1"/>
  <c r="AZ164" i="7" s="1"/>
  <c r="L162" i="7" s="1"/>
  <c r="CZ240" i="1"/>
  <c r="Y240" i="1" s="1"/>
  <c r="BA164" i="7" s="1"/>
  <c r="L163" i="7" s="1"/>
  <c r="AT18" i="1"/>
  <c r="F390" i="1"/>
  <c r="CP235" i="1"/>
  <c r="O235" i="1" s="1"/>
  <c r="GM235" i="1" s="1"/>
  <c r="GN235" i="1" s="1"/>
  <c r="CP238" i="1"/>
  <c r="O238" i="1" s="1"/>
  <c r="BC18" i="1"/>
  <c r="F388" i="1"/>
  <c r="W22" i="1"/>
  <c r="F364" i="1"/>
  <c r="W372" i="1"/>
  <c r="V230" i="1"/>
  <c r="F296" i="1"/>
  <c r="G459" i="7" s="1"/>
  <c r="V340" i="1"/>
  <c r="GM234" i="1"/>
  <c r="GN234" i="1" s="1"/>
  <c r="AO18" i="1"/>
  <c r="F376" i="1"/>
  <c r="T22" i="1"/>
  <c r="T372" i="1"/>
  <c r="F361" i="1"/>
  <c r="CZ237" i="1"/>
  <c r="Y237" i="1" s="1"/>
  <c r="BA128" i="7" s="1"/>
  <c r="L127" i="7" s="1"/>
  <c r="CY237" i="1"/>
  <c r="X237" i="1" s="1"/>
  <c r="AZ128" i="7" s="1"/>
  <c r="L126" i="7" s="1"/>
  <c r="CY236" i="1"/>
  <c r="X236" i="1" s="1"/>
  <c r="AZ111" i="7" s="1"/>
  <c r="L109" i="7" s="1"/>
  <c r="CZ236" i="1"/>
  <c r="Y236" i="1" s="1"/>
  <c r="BA111" i="7" s="1"/>
  <c r="L110" i="7" s="1"/>
  <c r="AD273" i="1"/>
  <c r="AZ22" i="1"/>
  <c r="AZ372" i="1"/>
  <c r="F351" i="1"/>
  <c r="CP245" i="1"/>
  <c r="O245" i="1" s="1"/>
  <c r="GM245" i="1" s="1"/>
  <c r="GN245" i="1" s="1"/>
  <c r="BB18" i="1"/>
  <c r="F385" i="1"/>
  <c r="AX22" i="1"/>
  <c r="F347" i="1"/>
  <c r="AX372" i="1"/>
  <c r="CP237" i="1"/>
  <c r="O237" i="1" s="1"/>
  <c r="GM237" i="1" s="1"/>
  <c r="GN237" i="1" s="1"/>
  <c r="CZ248" i="1"/>
  <c r="Y248" i="1" s="1"/>
  <c r="BA223" i="7" s="1"/>
  <c r="L222" i="7" s="1"/>
  <c r="CY248" i="1"/>
  <c r="X248" i="1" s="1"/>
  <c r="CZ233" i="1"/>
  <c r="Y233" i="1" s="1"/>
  <c r="BA74" i="7" s="1"/>
  <c r="CY233" i="1"/>
  <c r="X233" i="1" s="1"/>
  <c r="AZ74" i="7" s="1"/>
  <c r="AF273" i="1"/>
  <c r="AE273" i="1"/>
  <c r="CZ256" i="1"/>
  <c r="Y256" i="1" s="1"/>
  <c r="BA327" i="7" s="1"/>
  <c r="L326" i="7" s="1"/>
  <c r="CY256" i="1"/>
  <c r="X256" i="1" s="1"/>
  <c r="CZ258" i="1"/>
  <c r="Y258" i="1" s="1"/>
  <c r="BA345" i="7" s="1"/>
  <c r="L344" i="7" s="1"/>
  <c r="CY258" i="1"/>
  <c r="X258" i="1" s="1"/>
  <c r="AZ345" i="7" s="1"/>
  <c r="L343" i="7" s="1"/>
  <c r="CZ260" i="1"/>
  <c r="Y260" i="1" s="1"/>
  <c r="BA363" i="7" s="1"/>
  <c r="L362" i="7" s="1"/>
  <c r="CY260" i="1"/>
  <c r="X260" i="1" s="1"/>
  <c r="CZ263" i="1"/>
  <c r="Y263" i="1" s="1"/>
  <c r="BA384" i="7" s="1"/>
  <c r="L383" i="7" s="1"/>
  <c r="CY263" i="1"/>
  <c r="X263" i="1" s="1"/>
  <c r="BD18" i="1"/>
  <c r="F397" i="1"/>
  <c r="CP243" i="1"/>
  <c r="O243" i="1" s="1"/>
  <c r="CP258" i="1"/>
  <c r="O258" i="1" s="1"/>
  <c r="GM258" i="1" s="1"/>
  <c r="GN258" i="1" s="1"/>
  <c r="CP240" i="1"/>
  <c r="O240" i="1" s="1"/>
  <c r="GM263" i="1" l="1"/>
  <c r="GN263" i="1" s="1"/>
  <c r="AZ384" i="7"/>
  <c r="L382" i="7" s="1"/>
  <c r="GM260" i="1"/>
  <c r="GN260" i="1" s="1"/>
  <c r="AZ363" i="7"/>
  <c r="L361" i="7" s="1"/>
  <c r="K345" i="7"/>
  <c r="I345" i="7" s="1"/>
  <c r="AN345" i="7"/>
  <c r="GM256" i="1"/>
  <c r="GN256" i="1" s="1"/>
  <c r="AZ327" i="7"/>
  <c r="L325" i="7" s="1"/>
  <c r="L72" i="7"/>
  <c r="GM248" i="1"/>
  <c r="GN248" i="1" s="1"/>
  <c r="AZ223" i="7"/>
  <c r="L221" i="7" s="1"/>
  <c r="K111" i="7"/>
  <c r="I111" i="7" s="1"/>
  <c r="AN111" i="7"/>
  <c r="K164" i="7"/>
  <c r="I164" i="7" s="1"/>
  <c r="AN164" i="7"/>
  <c r="K143" i="7"/>
  <c r="I143" i="7" s="1"/>
  <c r="AN143" i="7"/>
  <c r="K280" i="7"/>
  <c r="I280" i="7" s="1"/>
  <c r="AN280" i="7"/>
  <c r="K49" i="7"/>
  <c r="G606" i="7"/>
  <c r="K206" i="7"/>
  <c r="I206" i="7" s="1"/>
  <c r="AN206" i="7"/>
  <c r="L446" i="7"/>
  <c r="L520" i="7"/>
  <c r="L73" i="7"/>
  <c r="L591" i="7"/>
  <c r="K128" i="7"/>
  <c r="I128" i="7" s="1"/>
  <c r="AN128" i="7"/>
  <c r="AN191" i="7"/>
  <c r="K191" i="7"/>
  <c r="I191" i="7" s="1"/>
  <c r="AN98" i="7"/>
  <c r="K98" i="7"/>
  <c r="I98" i="7" s="1"/>
  <c r="K86" i="7"/>
  <c r="I86" i="7" s="1"/>
  <c r="AN86" i="7"/>
  <c r="GM240" i="1"/>
  <c r="GN240" i="1" s="1"/>
  <c r="GM243" i="1"/>
  <c r="GN243" i="1" s="1"/>
  <c r="GM238" i="1"/>
  <c r="GN238" i="1" s="1"/>
  <c r="AK273" i="1"/>
  <c r="AZ18" i="1"/>
  <c r="F383" i="1"/>
  <c r="AD230" i="1"/>
  <c r="Q273" i="1"/>
  <c r="T18" i="1"/>
  <c r="F393" i="1"/>
  <c r="W18" i="1"/>
  <c r="F396" i="1"/>
  <c r="GM233" i="1"/>
  <c r="AB273" i="1"/>
  <c r="BA18" i="1"/>
  <c r="F392" i="1"/>
  <c r="AE230" i="1"/>
  <c r="R273" i="1"/>
  <c r="AF230" i="1"/>
  <c r="S273" i="1"/>
  <c r="AL273" i="1"/>
  <c r="AX18" i="1"/>
  <c r="F379" i="1"/>
  <c r="V22" i="1"/>
  <c r="F363" i="1"/>
  <c r="V372" i="1"/>
  <c r="GM236" i="1"/>
  <c r="GN236" i="1" s="1"/>
  <c r="AC230" i="1"/>
  <c r="P273" i="1"/>
  <c r="CE273" i="1"/>
  <c r="CF273" i="1"/>
  <c r="CH273" i="1"/>
  <c r="GM251" i="1"/>
  <c r="GN251" i="1" s="1"/>
  <c r="U18" i="1"/>
  <c r="F394" i="1"/>
  <c r="AN223" i="7" l="1"/>
  <c r="K223" i="7"/>
  <c r="I223" i="7" s="1"/>
  <c r="L519" i="7"/>
  <c r="L502" i="7" s="1"/>
  <c r="L573" i="7" s="1"/>
  <c r="L590" i="7"/>
  <c r="K327" i="7"/>
  <c r="I327" i="7" s="1"/>
  <c r="AN327" i="7"/>
  <c r="AN363" i="7"/>
  <c r="K363" i="7"/>
  <c r="I363" i="7" s="1"/>
  <c r="AN384" i="7"/>
  <c r="K384" i="7"/>
  <c r="I384" i="7" s="1"/>
  <c r="K50" i="7"/>
  <c r="G607" i="7"/>
  <c r="K74" i="7"/>
  <c r="I74" i="7" s="1"/>
  <c r="AN74" i="7"/>
  <c r="L445" i="7"/>
  <c r="L454" i="7" s="1"/>
  <c r="CE230" i="1"/>
  <c r="AV273" i="1"/>
  <c r="S230" i="1"/>
  <c r="F288" i="1"/>
  <c r="S340" i="1"/>
  <c r="CF230" i="1"/>
  <c r="AW273" i="1"/>
  <c r="P230" i="1"/>
  <c r="F276" i="1"/>
  <c r="P340" i="1"/>
  <c r="AL230" i="1"/>
  <c r="Y273" i="1"/>
  <c r="GN233" i="1"/>
  <c r="CB273" i="1" s="1"/>
  <c r="CA273" i="1"/>
  <c r="CH230" i="1"/>
  <c r="AY273" i="1"/>
  <c r="V18" i="1"/>
  <c r="F395" i="1"/>
  <c r="R230" i="1"/>
  <c r="F287" i="1"/>
  <c r="R340" i="1"/>
  <c r="AB230" i="1"/>
  <c r="O273" i="1"/>
  <c r="Q230" i="1"/>
  <c r="F285" i="1"/>
  <c r="Q340" i="1"/>
  <c r="AK230" i="1"/>
  <c r="X273" i="1"/>
  <c r="R22" i="1" l="1"/>
  <c r="F354" i="1"/>
  <c r="R372" i="1"/>
  <c r="X230" i="1"/>
  <c r="F299" i="1"/>
  <c r="X340" i="1"/>
  <c r="Q22" i="1"/>
  <c r="F352" i="1"/>
  <c r="Q372" i="1"/>
  <c r="AY230" i="1"/>
  <c r="F281" i="1"/>
  <c r="AY340" i="1"/>
  <c r="CA230" i="1"/>
  <c r="AR273" i="1"/>
  <c r="Y230" i="1"/>
  <c r="F300" i="1"/>
  <c r="Y340" i="1"/>
  <c r="P22" i="1"/>
  <c r="P372" i="1"/>
  <c r="F343" i="1"/>
  <c r="AV230" i="1"/>
  <c r="F278" i="1"/>
  <c r="AV340" i="1"/>
  <c r="O230" i="1"/>
  <c r="F275" i="1"/>
  <c r="O340" i="1"/>
  <c r="CB230" i="1"/>
  <c r="AS273" i="1"/>
  <c r="AW230" i="1"/>
  <c r="F279" i="1"/>
  <c r="AW340" i="1"/>
  <c r="S22" i="1"/>
  <c r="F355" i="1"/>
  <c r="S372" i="1"/>
  <c r="J16" i="2" l="1"/>
  <c r="AW22" i="1"/>
  <c r="F346" i="1"/>
  <c r="AW372" i="1"/>
  <c r="S18" i="1"/>
  <c r="F387" i="1"/>
  <c r="AS230" i="1"/>
  <c r="F290" i="1"/>
  <c r="AS340" i="1"/>
  <c r="O22" i="1"/>
  <c r="F342" i="1"/>
  <c r="O372" i="1"/>
  <c r="AR230" i="1"/>
  <c r="F301" i="1"/>
  <c r="AR340" i="1"/>
  <c r="AY22" i="1"/>
  <c r="F348" i="1"/>
  <c r="AY372" i="1"/>
  <c r="X22" i="1"/>
  <c r="F366" i="1"/>
  <c r="X372" i="1"/>
  <c r="AV22" i="1"/>
  <c r="AV372" i="1"/>
  <c r="F345" i="1"/>
  <c r="P18" i="1"/>
  <c r="F375" i="1"/>
  <c r="Y22" i="1"/>
  <c r="F367" i="1"/>
  <c r="Y372" i="1"/>
  <c r="Q18" i="1"/>
  <c r="F384" i="1"/>
  <c r="R18" i="1"/>
  <c r="F386" i="1"/>
  <c r="Y18" i="1" l="1"/>
  <c r="F399" i="1"/>
  <c r="AV18" i="1"/>
  <c r="F377" i="1"/>
  <c r="X18" i="1"/>
  <c r="F398" i="1"/>
  <c r="AR22" i="1"/>
  <c r="F368" i="1"/>
  <c r="AR372" i="1"/>
  <c r="AS22" i="1"/>
  <c r="AS372" i="1"/>
  <c r="F357" i="1"/>
  <c r="AY18" i="1"/>
  <c r="F380" i="1"/>
  <c r="O18" i="1"/>
  <c r="F374" i="1"/>
  <c r="AW18" i="1"/>
  <c r="F378" i="1"/>
  <c r="E16" i="2" l="1"/>
  <c r="I16" i="2" s="1"/>
  <c r="N16" i="2" s="1"/>
  <c r="C49" i="7"/>
  <c r="C46" i="7" s="1"/>
  <c r="AS18" i="1"/>
  <c r="F389" i="1"/>
  <c r="AR18" i="1"/>
  <c r="F400" i="1"/>
</calcChain>
</file>

<file path=xl/sharedStrings.xml><?xml version="1.0" encoding="utf-8"?>
<sst xmlns="http://schemas.openxmlformats.org/spreadsheetml/2006/main" count="6166" uniqueCount="717">
  <si>
    <t>Smeta.RU  (495) 974-1589</t>
  </si>
  <si>
    <t>_PS_</t>
  </si>
  <si>
    <t>Smeta.RU</t>
  </si>
  <si>
    <t>Федеральное государственное бюджетное образовательное учреждение высшего образования "Орловский государственный институт культуры"  Доп. раб. место  FStS-0042245</t>
  </si>
  <si>
    <t>ЛСР02-01-01_(Копия) (ФСНБ-2022)</t>
  </si>
  <si>
    <t>02-01-01 Общестроительные работы. костюм. (ФСНБ-2022)</t>
  </si>
  <si>
    <t/>
  </si>
  <si>
    <t>Н.В.Александриа</t>
  </si>
  <si>
    <t>О.В. Захарова</t>
  </si>
  <si>
    <t>Сметные нормы списания</t>
  </si>
  <si>
    <t>Коды ценников</t>
  </si>
  <si>
    <t>Версия 1.11.0 для ФСНБ-2022 И12</t>
  </si>
  <si>
    <t>ГЭСН-2022 с Изм.14 от 2025.05.19 (2 квартал 2025 г.)</t>
  </si>
  <si>
    <t>Поправки для базы ФСНБ-2022 И14 от 2025.05.23 (55/пр)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</si>
  <si>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</si>
  <si>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</si>
  <si>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ЛСР02-01-01</t>
  </si>
  <si>
    <t>02-01-01 Общестроительные работы.</t>
  </si>
  <si>
    <t>Общестроительные работы</t>
  </si>
  <si>
    <t>7</t>
  </si>
  <si>
    <t>БЛОК САНУЗЛОВ 1 (2-ой ЭТАЖ)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</si>
  <si>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</si>
  <si>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</si>
  <si>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</si>
  <si>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</si>
  <si>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</si>
  <si>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</si>
  <si>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</si>
  <si>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</si>
  <si>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</si>
  <si>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</si>
  <si>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</si>
  <si>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</si>
  <si>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</si>
  <si>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</si>
  <si>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</si>
  <si>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</si>
  <si>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</si>
  <si>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</si>
  <si>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</si>
  <si>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</si>
  <si>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</si>
  <si>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</si>
  <si>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</si>
  <si>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</si>
  <si>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</si>
  <si>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</si>
  <si>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</si>
  <si>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</si>
  <si>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</si>
  <si>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</si>
  <si>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</si>
  <si>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</si>
  <si>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</si>
  <si>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</si>
  <si>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</si>
  <si>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</si>
  <si>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</si>
  <si>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</si>
  <si>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</si>
  <si>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</si>
  <si>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</si>
  <si>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</si>
  <si>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</si>
  <si>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</si>
  <si>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</si>
  <si>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</si>
  <si>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</si>
  <si>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</si>
  <si>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</si>
  <si>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</si>
  <si>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</si>
  <si>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</si>
  <si>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</si>
  <si>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</si>
  <si>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8</t>
  </si>
  <si>
    <t>БЛОК САНУЗЛОВ 2 (2-ой ЭТАЖ)</t>
  </si>
  <si>
    <t>15</t>
  </si>
  <si>
    <t>БЛОК САНУЗЛОВ 3 (2-ой ЭТАЖ)</t>
  </si>
  <si>
    <t>10</t>
  </si>
  <si>
    <t>БЛОК САНУЗЛОВ 4 (2-ой ЭТАЖ)</t>
  </si>
  <si>
    <t>11</t>
  </si>
  <si>
    <t>БЛОК САНУЗЛОВ 5 (3-ий ЭТАЖ)</t>
  </si>
  <si>
    <t>12</t>
  </si>
  <si>
    <t>БЛОК САНУЗЛОВ 6 (3-ий ЭТАЖ)</t>
  </si>
  <si>
    <t>1</t>
  </si>
  <si>
    <t>Помещения 74-78 (3 этаж)</t>
  </si>
  <si>
    <t>Полы</t>
  </si>
  <si>
    <t>57-01-002-01</t>
  </si>
  <si>
    <t>Разборка покрытий полов: из линолеума и релина</t>
  </si>
  <si>
    <t>100 м2</t>
  </si>
  <si>
    <t>ГЭСНр-2022 доп.3, 57-01-002-01, приказ Минстроя России от 26.10.2022 г. № 905/пр</t>
  </si>
  <si>
    <t>Ремонтно-строительные работы</t>
  </si>
  <si>
    <t>рФЕР-57</t>
  </si>
  <si>
    <t>Пр/812-091.0-1</t>
  </si>
  <si>
    <t>Пр/774-091.0</t>
  </si>
  <si>
    <t>2</t>
  </si>
  <si>
    <t>57-01-002-03</t>
  </si>
  <si>
    <t>Разборка покрытий полов: из керамических плиток</t>
  </si>
  <si>
    <t>ГЭСНр-2022 доп.3, 57-01-002-03, приказ Минстроя России от 26.10.2022 г. № 905/пр</t>
  </si>
  <si>
    <t>3</t>
  </si>
  <si>
    <t>57-01-021-02</t>
  </si>
  <si>
    <t>Разборка отбойным молотком стяжек толщиной 20 мм: цементных, бетонных с кирпичным щебнем</t>
  </si>
  <si>
    <t>ГЭСНр-2022 доп.3, 57-01-021-02, приказ Минстроя России от 26.10.2022 г. № 905/пр</t>
  </si>
  <si>
    <t>4</t>
  </si>
  <si>
    <t>57-01-021-05</t>
  </si>
  <si>
    <t>Добавлять или исключать на каждые 5 мм изменения толщины стяжки: к норме 57-01-021-02</t>
  </si>
  <si>
    <t>ГЭСНр-2022 доп.3, 57-01-021-05, приказ Минстроя России от 26.10.2022 г. № 905/пр</t>
  </si>
  <si>
    <t>Поправка:до толщ.30мм</t>
  </si>
  <si>
    <t>*2</t>
  </si>
  <si>
    <t>Попр.Коэффициент кратности</t>
  </si>
  <si>
    <t>5</t>
  </si>
  <si>
    <t>11-01-011-01</t>
  </si>
  <si>
    <t>Устройство стяжек: цементных толщиной 20 мм</t>
  </si>
  <si>
    <t>ГЭСН-2022 доп.14, 11-01-011-01, приказ Минстроя России от 19.05.2025 г. № 299/пр</t>
  </si>
  <si>
    <t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t>
  </si>
  <si>
    <t>*1,25</t>
  </si>
  <si>
    <t>*1,15</t>
  </si>
  <si>
    <t>*0.9</t>
  </si>
  <si>
    <t>*0.85</t>
  </si>
  <si>
    <t>ФЕР-11</t>
  </si>
  <si>
    <t>Попр.421/пр_2020_п.58_пп.б</t>
  </si>
  <si>
    <t>Пр/812-011.0-1</t>
  </si>
  <si>
    <t>Пр/774-011.0</t>
  </si>
  <si>
    <t>6</t>
  </si>
  <si>
    <t>11-01-011-02</t>
  </si>
  <si>
    <t>Устройство стяжек: на каждые 5 мм изменения толщины стяжки добавлять или исключать к норме 11-01-011-01</t>
  </si>
  <si>
    <t>ГЭСН-2022 доп.14, 11-01-011-02, приказ Минстроя России от 19.05.2025 г. № 299/пр</t>
  </si>
  <si>
    <t>Поправка:До толщины 30мм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t>
  </si>
  <si>
    <t>*2*1,25</t>
  </si>
  <si>
    <t>*2*1,15</t>
  </si>
  <si>
    <t>Попр.Коэффициент кратности Попр.421/пр_2020_п.58_пп.б</t>
  </si>
  <si>
    <t>04.3.01.09-0015</t>
  </si>
  <si>
    <t>Раствор готовый кладочный, цементный, М150</t>
  </si>
  <si>
    <t>м3</t>
  </si>
  <si>
    <t>ФСБЦ-2022, 04.3.01.09-0015,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</si>
  <si>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</si>
  <si>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</si>
  <si>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</si>
  <si>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11-01-036-01</t>
  </si>
  <si>
    <t>Устройство покрытий: из линолеума на клее</t>
  </si>
  <si>
    <t>ГЭСН-2022, 11-01-036-01, приказ Минстроя России от 18.05.2022 г. № 378/пр</t>
  </si>
  <si>
    <t>9</t>
  </si>
  <si>
    <t>01.6.03.04-0120</t>
  </si>
  <si>
    <t>Линолеум ПВХ без подосновы, класс износостойкости 34/43, класс пожарной опасности КМ2 (Г1, В2, Д2, Т2, РП1), толщина 2 мм, вес 2950 г/м2</t>
  </si>
  <si>
    <t>м2</t>
  </si>
  <si>
    <t>ФСБЦ-2022 доп.5, 01.6.03.04-0120, приказ Минстроя России от 10.02.2023 г. № 84/пр</t>
  </si>
  <si>
    <t>14.1.02.04-0101</t>
  </si>
  <si>
    <t>Клей-мастика, марка Бустилат</t>
  </si>
  <si>
    <t>т</t>
  </si>
  <si>
    <t>ФСБЦ-2022, 14.1.02.04-0101, приказ Минстроя России от 18.05.2022 г. № 378/пр</t>
  </si>
  <si>
    <t>11-01-040-03</t>
  </si>
  <si>
    <t>Устройство плинтусов поливинилхлоридных: на винтах самонарезающих</t>
  </si>
  <si>
    <t>100 м</t>
  </si>
  <si>
    <t>ГЭСН-2022, 11-01-040-03, приказ Минстроя России от 18.05.2022 г. № 378/пр</t>
  </si>
  <si>
    <t>11.3.03.06-0002</t>
  </si>
  <si>
    <t>Плинтус для полов из ПВХ, с кабель-каналом, размеры 22х49 мм</t>
  </si>
  <si>
    <t>м</t>
  </si>
  <si>
    <t>ФСБЦ-2022, 11.3.03.06-0002, приказ Минстроя России от 18.05.2022 г. № 378/пр</t>
  </si>
  <si>
    <t>13</t>
  </si>
  <si>
    <t>11-01-049-01</t>
  </si>
  <si>
    <t>Укладка металлического накладного профиля (порога)</t>
  </si>
  <si>
    <t>ГЭСН-2022, 11-01-049-01, приказ Минстроя России от 18.05.2022 г. № 378/пр</t>
  </si>
  <si>
    <t>14</t>
  </si>
  <si>
    <t>09.2.03.02-0016</t>
  </si>
  <si>
    <t>Профиль стыкоперекрывающий из алюминиевых сплавов (порожки) с покрытием, ширина 30 мм, длина 0,9 м</t>
  </si>
  <si>
    <t>ШТ</t>
  </si>
  <si>
    <t>ФСБЦ-2022, 09.2.03.02-0016, приказ Минстроя России от 18.05.2022 г. № 378/пр</t>
  </si>
  <si>
    <t>Стены и перегородки</t>
  </si>
  <si>
    <t>63-03-001-05</t>
  </si>
  <si>
    <t>Разборка облицовки стен: из керамических глазурованных плиток</t>
  </si>
  <si>
    <t>ГЭСНр-2022 доп.3, 63-03-001-05, приказ Минстроя России от 26.10.2022 г. № 905/пр</t>
  </si>
  <si>
    <t>Стекольные, обойные и облицовочные работы</t>
  </si>
  <si>
    <t>Стекольные, обойные, облицовочные работы</t>
  </si>
  <si>
    <t>рФЕР-63</t>
  </si>
  <si>
    <t>Пр/812-097.0-1</t>
  </si>
  <si>
    <t>Пр/774-097.0</t>
  </si>
  <si>
    <t>16</t>
  </si>
  <si>
    <t>46-02-009-02</t>
  </si>
  <si>
    <t>Отбивка штукатурки с поверхностей: стен и потолков кирпичных</t>
  </si>
  <si>
    <t>ГЭСН-2022, 46-02-009-02, приказ Минстроя России от 18.05.2022 г. № 378/пр</t>
  </si>
  <si>
    <t>Работы по реконструкции зданий и сооружений</t>
  </si>
  <si>
    <t>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</si>
  <si>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ФЕР-46</t>
  </si>
  <si>
    <t>Пр/812-040.2-1</t>
  </si>
  <si>
    <t>Пр/774-040.2</t>
  </si>
  <si>
    <t>17</t>
  </si>
  <si>
    <t>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</si>
  <si>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</si>
  <si>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ГЭСН-2022 доп.8, 15-02-016-03, приказ Минстроя России от 14.11.2023 г. № 817/пр</t>
  </si>
  <si>
    <t>Отделочные работы</t>
  </si>
  <si>
    <t>ФЕР-15</t>
  </si>
  <si>
    <t>Пр/812-015.0-1</t>
  </si>
  <si>
    <t>Пр/774-015.0</t>
  </si>
  <si>
    <t>18</t>
  </si>
  <si>
    <t>10-05-012-01</t>
  </si>
  <si>
    <t>Облицовка стен глухих (без проемов) по металлическому одинарному каркасу гипсокартонными листами</t>
  </si>
  <si>
    <t>ГЭСН-2022 доп.8, 10-05-012-01, приказ Минстроя России от 14.11.2023 г. № 817/пр</t>
  </si>
  <si>
    <t>Деревянные конструкции</t>
  </si>
  <si>
    <t>ФЕР-10</t>
  </si>
  <si>
    <t>Пр/812-010.0-1</t>
  </si>
  <si>
    <t>Пр/774-010.0</t>
  </si>
  <si>
    <t>19</t>
  </si>
  <si>
    <t>01.6.01.02-0006</t>
  </si>
  <si>
    <t>Листы гипсокартонные ГКЛ, толщина 12,5 мм</t>
  </si>
  <si>
    <t>ФСБЦ-2022, 01.6.01.02-0006, приказ Минстроя России от 18.05.2022 г. № 378/пр</t>
  </si>
  <si>
    <t>20</t>
  </si>
  <si>
    <t>15-04-007-01</t>
  </si>
  <si>
    <t>Окраска водно-дисперсионными акриловыми составами улучшенная: по штукатурке стен</t>
  </si>
  <si>
    <t>ГЭСН-2022, 15-04-007-01, приказ Минстроя России от 18.05.2022 г. № 378/пр</t>
  </si>
  <si>
    <t>21</t>
  </si>
  <si>
    <t>14.3.02.01-0381</t>
  </si>
  <si>
    <t>Краска водно-дисперсионная акрилатная ВД-АК-201</t>
  </si>
  <si>
    <t>ФСБЦ-2022, 14.3.02.01-0381, приказ Минстроя России от 18.05.2022 г. № 378/пр</t>
  </si>
  <si>
    <t>22</t>
  </si>
  <si>
    <t>14.4.01.02-0012</t>
  </si>
  <si>
    <t>Грунтовка укрепляющая, глубокого проникновения, быстросохнущая, паропроницаемая</t>
  </si>
  <si>
    <t>кг</t>
  </si>
  <si>
    <t>ФСБЦ-2022, 14.4.01.02-0012, приказ Минстроя России от 18.05.2022 г. № 378/пр</t>
  </si>
  <si>
    <t>23</t>
  </si>
  <si>
    <t>20-02-002-08</t>
  </si>
  <si>
    <t>Установка пластиковых вентиляционных решеток площадью в свету до 0,05 м2</t>
  </si>
  <si>
    <t>100 ШТ</t>
  </si>
  <si>
    <t>ГЭСН-2022, 20-02-002-08, приказ Минстроя России от 18.05.2022 г. № 378/пр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</si>
  <si>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</si>
  <si>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Вентиляция и кондиционирование</t>
  </si>
  <si>
    <t>ФЕР-20</t>
  </si>
  <si>
    <t>Пр/812-016.0-1</t>
  </si>
  <si>
    <t>Пр/774-016.0</t>
  </si>
  <si>
    <t>24</t>
  </si>
  <si>
    <t>19.2.03.07-0010</t>
  </si>
  <si>
    <t>Решетка вентиляционная разъемная пластмассовая, размеры 200х300 мм</t>
  </si>
  <si>
    <t>ФСБЦ-2022, 19.2.03.07-0010, приказ Минстроя России от 18.05.2022 г. № 378/пр</t>
  </si>
  <si>
    <t>25</t>
  </si>
  <si>
    <t>62-03-005-02</t>
  </si>
  <si>
    <t>Окраска масляными составами ранее окрашенных поверхностей труб: стальных за 2 раза</t>
  </si>
  <si>
    <t>ГЭСНр-2022, 62-03-005-02, приказ Минстроя России от 18.05.2022 г. № 378/пр</t>
  </si>
  <si>
    <t>Малярные работы</t>
  </si>
  <si>
    <t>рФЕР-62</t>
  </si>
  <si>
    <t>Пр/812-096.0-1</t>
  </si>
  <si>
    <t>Пр/774-096.0</t>
  </si>
  <si>
    <t>26</t>
  </si>
  <si>
    <t>14.4.02.04-0232</t>
  </si>
  <si>
    <t>Краска масляная МА-22, цветная</t>
  </si>
  <si>
    <t>ФСБЦ-2022, 14.4.02.04-0232, приказ Минстроя России от 18.05.2022 г. № 378/пр</t>
  </si>
  <si>
    <t>27</t>
  </si>
  <si>
    <t>62-03-006-02</t>
  </si>
  <si>
    <t>Окраска масляными составами ранее окрашенных поверхностей радиаторов и ребристых труб отопления: за 2 раза</t>
  </si>
  <si>
    <t>ГЭСНр-2022, 62-03-006-02, приказ Минстроя России от 18.05.2022 г. № 378/пр</t>
  </si>
  <si>
    <t>28</t>
  </si>
  <si>
    <t>Потолок</t>
  </si>
  <si>
    <t>29</t>
  </si>
  <si>
    <t>15-01-047-15</t>
  </si>
  <si>
    <t>Устройство потолков: плитно-ячеистых по каркасу из оцинкованного профиля</t>
  </si>
  <si>
    <t>ГЭСН-2022 доп.13, 15-01-047-15, приказ Минстроя России от 07.02.2025 г. № 69/пр</t>
  </si>
  <si>
    <t>30</t>
  </si>
  <si>
    <t>01.6.04.01-0033</t>
  </si>
  <si>
    <t>Панели потолочные акустические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C-D, толщина 15-17 мм</t>
  </si>
  <si>
    <t>ФСБЦ-2022 доп.3, 01.6.04.01-0033, приказ Минстроя России от 26.10.2022 г. № 905/пр</t>
  </si>
  <si>
    <t>Двери</t>
  </si>
  <si>
    <t>31</t>
  </si>
  <si>
    <t>46-04-012-03</t>
  </si>
  <si>
    <t>Разборка деревянных заполнений проемов: дверных и воротных</t>
  </si>
  <si>
    <t>ГЭСН-2022, 46-04-012-03, приказ Минстроя России от 18.05.2022 г. № 378/пр</t>
  </si>
  <si>
    <t>32</t>
  </si>
  <si>
    <t>10-01-039-06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</si>
  <si>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</si>
  <si>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ГЭСН-2022 доп.11, 10-01-039-06, приказ Минстроя России от 09.08.2024 г. № 524/пр</t>
  </si>
  <si>
    <t>33</t>
  </si>
  <si>
    <t>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</si>
  <si>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 (ДВ 1Рл 21х9 Г ПрБ Мд1 - 2 шт., ДВ 1 Рп 21х9 Г ПрБ Мд1)</t>
  </si>
  <si>
    <t>ФСБЦ-2022 доп.2, 11.2.02.01-1092, приказ Минстроя России от 26.08.2022 г. № 703/пр</t>
  </si>
  <si>
    <t>34</t>
  </si>
  <si>
    <t>01.7.04.09-0012</t>
  </si>
  <si>
    <t>Петля накладная с цинковым напылением, тип ПН, высота 130 мм</t>
  </si>
  <si>
    <t>ФСБЦ-2022, 01.7.04.09-0012, приказ Минстроя России от 18.05.2022 г. № 378/пр</t>
  </si>
  <si>
    <t>35</t>
  </si>
  <si>
    <t>14.5.01.05-0011</t>
  </si>
  <si>
    <t>Герметик пенополиуретановый (пена монтажная) универсальный, объем 850 мл</t>
  </si>
  <si>
    <t>ФСБЦ-2022, 14.5.01.05-0011, приказ Минстроя России от 18.05.2022 г. № 378/пр</t>
  </si>
  <si>
    <t>36</t>
  </si>
  <si>
    <t>11.1.01.10-0004</t>
  </si>
  <si>
    <t>Наличник из древесины хвойных пород (ель, сосна), тип Н-1, ширина 70-75 мм, толщина 10-18 мм</t>
  </si>
  <si>
    <t>ФСБЦ-2022, 11.1.01.10-0004, приказ Минстроя России от 18.05.2022 г. № 378/пр</t>
  </si>
  <si>
    <t>Мусор</t>
  </si>
  <si>
    <t>37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</si>
  <si>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</si>
  <si>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</si>
  <si>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</si>
  <si>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</si>
  <si>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</si>
  <si>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</si>
  <si>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</si>
  <si>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38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</si>
  <si>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</si>
  <si>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</si>
  <si>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</si>
  <si>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</si>
  <si>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</si>
  <si>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</si>
  <si>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</si>
  <si>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</si>
  <si>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пл</t>
  </si>
  <si>
    <t>площадь кровли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</si>
  <si>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</si>
  <si>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</si>
  <si>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</si>
  <si>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</si>
  <si>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</si>
  <si>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</si>
  <si>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</si>
  <si>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</si>
  <si>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</si>
  <si>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</si>
  <si>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</si>
  <si>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</si>
  <si>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</si>
  <si>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</si>
  <si>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</si>
  <si>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</si>
  <si>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</si>
  <si>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</si>
  <si>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</si>
  <si>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</si>
  <si>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</si>
  <si>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</si>
  <si>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</si>
  <si>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</si>
  <si>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</si>
  <si>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</si>
  <si>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</si>
  <si>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</si>
  <si>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</si>
  <si>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</si>
  <si>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</si>
  <si>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</si>
  <si>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</si>
  <si>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</si>
  <si>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</si>
  <si>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</si>
  <si>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</si>
  <si>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</si>
  <si>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</si>
  <si>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</si>
  <si>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</si>
  <si>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</si>
  <si>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</si>
  <si>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</si>
  <si>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</si>
  <si>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</si>
  <si>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</si>
  <si>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</si>
  <si>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</si>
  <si>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</si>
  <si>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</si>
  <si>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</si>
  <si>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</si>
  <si>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</si>
  <si>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</si>
  <si>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</si>
  <si>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</si>
  <si>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</si>
  <si>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</si>
  <si>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</si>
  <si>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</si>
  <si>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</si>
  <si>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</si>
  <si>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</si>
  <si>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</si>
  <si>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</si>
  <si>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Текущий уровень цен</t>
  </si>
  <si>
    <t>Сборник индексов</t>
  </si>
  <si>
    <t>ФГИС ЦС к ФСНБ-2022 Орловская область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</si>
  <si>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2025 года»</t>
  </si>
  <si>
    <t>Справочная информация</t>
  </si>
  <si>
    <t>Письмо Минстроя России от 23.05.2025 № 30038-ИФ/09</t>
  </si>
  <si>
    <t>Постановление Правительства Орловской области</t>
  </si>
  <si>
    <t>Постановление Правительства Орловской области от 06.03.2025 г. № 133</t>
  </si>
  <si>
    <t>Вид цен</t>
  </si>
  <si>
    <t>Орловская область, КТЦ к ФСНБ-2022, 2 квартал 2025 г</t>
  </si>
  <si>
    <t>_OBSM_</t>
  </si>
  <si>
    <t>1-100-20</t>
  </si>
  <si>
    <t>Средний разряд работы 2,0</t>
  </si>
  <si>
    <t>чел.-ч.</t>
  </si>
  <si>
    <t>4-100-00</t>
  </si>
  <si>
    <t>Затраты труда машинистов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</si>
  <si>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</si>
  <si>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</si>
  <si>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</si>
  <si>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маш.-ч</t>
  </si>
  <si>
    <t>4-100-030</t>
  </si>
  <si>
    <t>1-100-30</t>
  </si>
  <si>
    <t>Средний разряд работы 3,0</t>
  </si>
  <si>
    <t>1-100-22</t>
  </si>
  <si>
    <t>Средний разряд работы 2,2</t>
  </si>
  <si>
    <t>91.18.01-508</t>
  </si>
  <si>
    <t>ФСЭМ-2022 доп.3, 91.18.01-508, приказ Минстроя России от 26.10.2022 г. № 905/пр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</si>
  <si>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</si>
  <si>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</si>
  <si>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ФСЭМ-2022, 91.21.10-002, приказ Минстроя России от 18.05.2022 г. № 378/пр</t>
  </si>
  <si>
    <t>Молотки отбойные пневматические при работе от передвижных компрессоров</t>
  </si>
  <si>
    <t>91.07.04-002</t>
  </si>
  <si>
    <t>ФСЭМ-2022 доп.4, 91.07.04-002, приказ Минстроя России от 27.12.2022 г. № 1133/пр</t>
  </si>
  <si>
    <t>Вибраторы поверхностные</t>
  </si>
  <si>
    <t>01.7.03.01-0001</t>
  </si>
  <si>
    <t>ФСБЦ-2022, 01.7.03.01-0001, приказ Минстроя России от 18.05.2022 г. № 378/пр</t>
  </si>
  <si>
    <t>Вода</t>
  </si>
  <si>
    <t>1-100-27</t>
  </si>
  <si>
    <t>Средний разряд работы 2,7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</si>
  <si>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</si>
  <si>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</si>
  <si>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</si>
  <si>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</si>
  <si>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</si>
  <si>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</si>
  <si>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</si>
  <si>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1-100-36</t>
  </si>
  <si>
    <t>Средний разряд работы 3,6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</si>
  <si>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</si>
  <si>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</si>
  <si>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</si>
  <si>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</si>
  <si>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01.7.15.07-0021</t>
  </si>
  <si>
    <t>ФСБЦ-2022, 01.7.15.07-0021, приказ Минстроя России от 18.05.2022 г. № 378/пр</t>
  </si>
  <si>
    <t>Дюбели полиэтиленовые распорные, диаметр 6 мм, длина 30 мм</t>
  </si>
  <si>
    <t>1000 ШТ</t>
  </si>
  <si>
    <t>01.7.15.14-0302</t>
  </si>
  <si>
    <t>ФСБЦ-2022 доп.12, 01.7.15.14-0302, приказ Минстроя России от 07.11.2024 г. № 747/пр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</si>
  <si>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</si>
  <si>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</si>
  <si>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ФСБЦ-2022, 11.3.03.14-0001, приказ Минстроя России от 18.05.2022 г. № 378/пр</t>
  </si>
  <si>
    <t>Заглушки торцевые для плинтуса из ПВХ, высота 48 мм</t>
  </si>
  <si>
    <t>11.3.03.14-0021</t>
  </si>
  <si>
    <t>ФСБЦ-2022, 11.3.03.14-0021, приказ Минстроя России от 18.05.2022 г. № 378/пр</t>
  </si>
  <si>
    <t>Соединители для плинтуса из ПВХ, высота 48 мм</t>
  </si>
  <si>
    <t>11.3.03.14-0031</t>
  </si>
  <si>
    <t>ФСБЦ-2022, 11.3.03.14-0031, приказ Минстроя России от 18.05.2022 г. № 378/пр</t>
  </si>
  <si>
    <t>Уголки для плинтуса из ПВХ, высота 48 мм</t>
  </si>
  <si>
    <t>1-100-21</t>
  </si>
  <si>
    <t>Средний разряд работы 2,1</t>
  </si>
  <si>
    <t>1-100-38</t>
  </si>
  <si>
    <t>Средний разряд работы 3,8</t>
  </si>
  <si>
    <t>91.07.07-041</t>
  </si>
  <si>
    <t>ФСЭМ-2022, 91.07.07-041, приказ Минстроя России от 18.05.2022 г. № 378/пр</t>
  </si>
  <si>
    <t>Растворонасосы, производительность 1 м3/ч</t>
  </si>
  <si>
    <t>01.7.15.06-0121</t>
  </si>
  <si>
    <t>ФСБЦ-2022, 01.7.15.06-0121, приказ Минстроя России от 18.05.2022 г. № 378/пр</t>
  </si>
  <si>
    <t>Гвозди стальные строительные, диаметр 1,6 мм, длина 50 мм</t>
  </si>
  <si>
    <t>03.1.01.01-0002</t>
  </si>
  <si>
    <t>ФСБЦ-2022, 03.1.01.01-0002, приказ Минстроя России от 18.05.2022 г. № 378/пр</t>
  </si>
  <si>
    <t>Гипс строительный Г-3</t>
  </si>
  <si>
    <t>04.3.01.07-0025</t>
  </si>
  <si>
    <t>ФСБЦ-2022, 04.3.01.07-0025, приказ Минстроя России от 18.05.2022 г. № 378/пр</t>
  </si>
  <si>
    <t>Раствор штукатурный, известковый, М100</t>
  </si>
  <si>
    <t>08.1.02.17-0161</t>
  </si>
  <si>
    <t>ФСБЦ-2022 доп.4, 08.1.02.17-0161, приказ Минстроя России от 27.12.2022 г. № 1133/пр</t>
  </si>
  <si>
    <t>Сетка тканая из проволоки без покрытия, диаметр проволоки 0,25 мм, размер ячейки 0,5х0,5 мм</t>
  </si>
  <si>
    <t>1-100-34</t>
  </si>
  <si>
    <t>Средний разряд работы 3,4</t>
  </si>
  <si>
    <t>91.06.06-045</t>
  </si>
  <si>
    <t>ФСЭМ-2022, 91.06.06-045, приказ Минстроя России от 18.05.2022 г. № 378/пр</t>
  </si>
  <si>
    <t>Подъемники одномачтовые, грузоподъемность до 500 кг, высота подъема 15 м</t>
  </si>
  <si>
    <t>01.7.06.01-0042</t>
  </si>
  <si>
    <t>ФСБЦ-2022, 01.7.06.01-0042, приказ Минстроя России от 18.05.2022 г. № 378/пр</t>
  </si>
  <si>
    <t>Ленты эластичные самоклеящиеся для профилей направляющих 50х30000 мм</t>
  </si>
  <si>
    <t>01.7.06.04-0002</t>
  </si>
  <si>
    <t>ФСБЦ-2022, 01.7.06.04-0002, приказ Минстроя России от 18.05.2022 г. № 378/пр</t>
  </si>
  <si>
    <t>Ленты бумажные перфорированные армирующие для повышения трещиностойкости стыков, ширина 52 мм</t>
  </si>
  <si>
    <t>01.7.06.04-0007</t>
  </si>
  <si>
    <t>ФСБЦ-2022, 01.7.06.04-0007, приказ Минстроя России от 18.05.2022 г. № 378/пр</t>
  </si>
  <si>
    <t>Ленты бумажные для создания искусственных трещин между каркасными конструкциями и примыкающими поверхностями, с липким слоем с одной стороны и антиадгезионным покрытием с другой, цвет белый, ширина 65 мм</t>
  </si>
  <si>
    <t>01.7.15.07-0152</t>
  </si>
  <si>
    <t>ФСБЦ-2022, 01.7.15.07-0152, приказ Минстроя России от 18.05.2022 г. № 378/пр</t>
  </si>
  <si>
    <t>Дюбели пластмассовые с шурупами, диаметр 6 мм, длина 35 мм, диаметр шурупа 3,5 мм, длина шурупа 50 мм</t>
  </si>
  <si>
    <t>01.7.15.14-0042</t>
  </si>
  <si>
    <t>ФСБЦ-2022 доп.12, 01.7.15.14-0042, приказ Минстроя России от 07.11.2024 г. № 747/пр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</si>
  <si>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</si>
  <si>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</si>
  <si>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ФСБЦ-2022 доп.12, 01.7.15.14-0044, приказ Минстроя России от 07.11.2024 г. № 747/пр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</si>
  <si>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</si>
  <si>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</si>
  <si>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ФСБЦ-2022, 07.2.06.03-0119, приказ Минстроя России от 18.05.2022 г. № 378/пр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</si>
  <si>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</si>
  <si>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</si>
  <si>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ФСБЦ-2022 доп.8, 07.2.06.03-0155, приказ Минстроя России от 14.11.2023 г. № 817/пр</t>
  </si>
  <si>
    <t>Профиль направляющий из оцинкованной стали, размеры 60х27 мм, толщина стали 0,6 мм</t>
  </si>
  <si>
    <t>07.2.06.04-0093</t>
  </si>
  <si>
    <t>ФСБЦ-2022 доп.8, 07.2.06.04-0093, приказ Минстроя России от 14.11.2023 г. № 817/пр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</si>
  <si>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</si>
  <si>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</si>
  <si>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ФСБЦ-2022 доп.8, 07.2.06.05-0017, приказ Минстроя России от 14.11.2023 г. № 817/пр</t>
  </si>
  <si>
    <t>Соединители профиля стальные оцинкованные одноуровневые потолочные (краб), размеры 148х148 мм, толщина 0,9 мм</t>
  </si>
  <si>
    <t>14.5.11.03-0004</t>
  </si>
  <si>
    <t>ФСБЦ-2022, 14.5.11.03-0004, приказ Минстроя России от 18.05.2022 г. № 378/пр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</si>
  <si>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</si>
  <si>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1-100-32</t>
  </si>
  <si>
    <t>Средний разряд работы 3,2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</si>
  <si>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</si>
  <si>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</si>
  <si>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</si>
  <si>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</si>
  <si>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</si>
  <si>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</si>
  <si>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14.5.11.02-0101</t>
  </si>
  <si>
    <t>ФСБЦ-2022, 14.5.11.02-0101, приказ Минстроя России от 18.05.2022 г. № 378/пр</t>
  </si>
  <si>
    <t>Шпатлевка водно-дисперсионная</t>
  </si>
  <si>
    <t>14.5.01.07-1000</t>
  </si>
  <si>
    <t>ФСБЦ-2022, 14.5.01.07-1000, приказ Минстроя России от 18.05.2022 г. № 378/пр</t>
  </si>
  <si>
    <t>Герметик однокомпонентный на силиконовой основе, кислотный, универсальный</t>
  </si>
  <si>
    <t>л</t>
  </si>
  <si>
    <t>1-100-24</t>
  </si>
  <si>
    <t>Средний разряд работы 2,4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</si>
  <si>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</si>
  <si>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</si>
  <si>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</si>
  <si>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01.7.15.06-0111</t>
  </si>
  <si>
    <t>ФСБЦ-2022, 01.7.15.06-0111, приказ Минстроя России от 18.05.2022 г. № 378/пр</t>
  </si>
  <si>
    <t>Гвозди строительные</t>
  </si>
  <si>
    <t>11.1.03.06-0071</t>
  </si>
  <si>
    <t>ФСБЦ-2022 доп.4, 11.1.03.06-0071, приказ Минстроя России от 27.12.2022 г. № 1133/пр</t>
  </si>
  <si>
    <t>Доска обрезная хвойных пород, естественной влажности, длина 2-6,5 м, ширина 100-250 мм, толщина 25 мм, сорт III</t>
  </si>
  <si>
    <t>999-9900</t>
  </si>
  <si>
    <t>Строительный мусор</t>
  </si>
  <si>
    <t>04.3.01.09</t>
  </si>
  <si>
    <t>Раствор готовый кладочный тяжелый цементный</t>
  </si>
  <si>
    <t>01.6.03.04</t>
  </si>
  <si>
    <t>Линолеум</t>
  </si>
  <si>
    <t>14.1.02.04</t>
  </si>
  <si>
    <t>Состав клеящий</t>
  </si>
  <si>
    <t>11.3.03.06</t>
  </si>
  <si>
    <t>Плинтуса для полов пластиковые</t>
  </si>
  <si>
    <t>09.2.03.02</t>
  </si>
  <si>
    <t>Профили стыкоперекрывающие из алюминиевых сплавов (порожки) с покрытием</t>
  </si>
  <si>
    <t>01.6.01.02</t>
  </si>
  <si>
    <t>Листы гипсокартонные</t>
  </si>
  <si>
    <t>14.3.02.01</t>
  </si>
  <si>
    <t>Краска акриловая</t>
  </si>
  <si>
    <t>14.4.01.02</t>
  </si>
  <si>
    <t>Грунтовка</t>
  </si>
  <si>
    <t>01.7.17.09</t>
  </si>
  <si>
    <t>Сверла, буры</t>
  </si>
  <si>
    <t>19.2.03.07</t>
  </si>
  <si>
    <t>Решетка вентиляционная пластмассовая</t>
  </si>
  <si>
    <t>14.4.02.04</t>
  </si>
  <si>
    <t>Краски для внутренних работ масляные готовые к применению</t>
  </si>
  <si>
    <t>01.6.04.02</t>
  </si>
  <si>
    <t>Панели потолочные с комплектующими</t>
  </si>
  <si>
    <t>01.7.04.07</t>
  </si>
  <si>
    <t>Скобяные изделия</t>
  </si>
  <si>
    <t>КОМПЛ</t>
  </si>
  <si>
    <t>01.7.14.01-0002</t>
  </si>
  <si>
    <t>ФСБЦ-2022, 01.7.14.01-0002, приказ Минстроя России от 18.05.2022 г. № 378/пр</t>
  </si>
  <si>
    <t>Герметик пенополиуретановый (пена монтажная) универсальный, объем 1000 мл</t>
  </si>
  <si>
    <t>11.1.01.10</t>
  </si>
  <si>
    <t>Наличники</t>
  </si>
  <si>
    <t>11.2.02.01</t>
  </si>
  <si>
    <t>Блоки дверные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</si>
  <si>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</si>
  <si>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</si>
  <si>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</si>
  <si>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</si>
  <si>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</si>
  <si>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</si>
  <si>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</si>
  <si>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</si>
  <si>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</si>
  <si>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</si>
  <si>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</si>
  <si>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</si>
  <si>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</si>
  <si>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</si>
  <si>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</si>
  <si>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</si>
  <si>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</si>
  <si>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</si>
  <si>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</si>
  <si>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</si>
  <si>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</si>
  <si>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</si>
  <si>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</si>
  <si>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</si>
  <si>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</si>
  <si>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</si>
  <si>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</si>
  <si>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</si>
  <si>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</si>
  <si>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</si>
  <si>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</si>
  <si>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</si>
  <si>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</si>
  <si>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</si>
  <si>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</si>
  <si>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</si>
  <si>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</si>
  <si>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</si>
  <si>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</si>
  <si>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</si>
  <si>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</si>
  <si>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</si>
  <si>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</si>
  <si>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</si>
  <si>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</si>
  <si>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</si>
  <si>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II квартал 2025 года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</si>
  <si>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</si>
  <si>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</si>
  <si>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</si>
  <si>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</si>
  <si>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</si>
  <si>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</si>
  <si>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</si>
  <si>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</si>
  <si>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</si>
  <si>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</si>
  <si>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</si>
  <si>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</si>
  <si>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</si>
  <si>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</si>
  <si>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</si>
  <si>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</si>
  <si>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</si>
  <si>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</si>
  <si>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</si>
  <si>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</si>
  <si>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</si>
  <si>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</si>
  <si>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</si>
  <si>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</si>
  <si>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</si>
  <si>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 1. Помещения 74-78 (3 этаж)</t>
  </si>
  <si>
    <t>ГЭСНр 57-01-002-01</t>
  </si>
  <si>
    <t>ОТ (ЗТ)</t>
  </si>
  <si>
    <t>ЭМ</t>
  </si>
  <si>
    <t>ОТм(ЗТм) Средний разряд машинистов 3</t>
  </si>
  <si>
    <t>ОТм(ЗТм)</t>
  </si>
  <si>
    <t>Итого прямые затраты</t>
  </si>
  <si>
    <t>ФОТ</t>
  </si>
  <si>
    <t>НР Полы</t>
  </si>
  <si>
    <t>%</t>
  </si>
  <si>
    <t>СП Полы</t>
  </si>
  <si>
    <t>Всего по позиции</t>
  </si>
  <si>
    <t>=</t>
  </si>
  <si>
    <t>ГЭСНр 57-01-002-03</t>
  </si>
  <si>
    <t>ГЭСНр 57-01-021-02</t>
  </si>
  <si>
    <t>ГЭСНр 57-01-021-05</t>
  </si>
  <si>
    <r>
      <t>Добавлять или исключать на каждые 5 мм изменения толщины стяжки: к норме 57-01-021-02</t>
    </r>
    <r>
      <rPr>
        <i/>
        <sz val="10"/>
        <rFont val="Arial"/>
        <family val="2"/>
        <charset val="204"/>
      </rPr>
      <t xml:space="preserve">
Поправки к: 
М *2;   
ЭМ *2;   
ЗТ *2;   
ЗТм *2</t>
    </r>
  </si>
  <si>
    <t>ГЭСН 11-01-011-01</t>
  </si>
  <si>
    <r>
      <t>Устройство стяжек: цементных толщиной 20 мм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</si>
  <si>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М</t>
  </si>
  <si>
    <t>ГЭСН 11-01-011-02</t>
  </si>
  <si>
    <r>
      <t>Устройство стяжек: на каждые 5 мм изменения толщины стяжки добавлять или исключать к норме 11-01-011-01</t>
    </r>
    <r>
      <rPr>
        <i/>
        <sz val="10"/>
        <rFont val="Arial"/>
        <family val="2"/>
        <charset val="204"/>
      </rPr>
      <t xml:space="preserve">
Поправки к: 
М *2;   
ЭМ *2*1,25;   
ЗТ *2*1,15;   
ЗТм *2*1,25;   
НР *0.9;   
СП *0.85</t>
    </r>
  </si>
  <si>
    <t>ГЭСН 11-01-036-01</t>
  </si>
  <si>
    <r>
      <t>Устройство покрытий: из линолеума на клее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</si>
  <si>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ОТм(ЗТм) Средний разряд машинистов 4</t>
  </si>
  <si>
    <t>ГЭСН 11-01-040-03</t>
  </si>
  <si>
    <r>
      <t>Устройство плинтусов поливинилхлоридных: на винтах самонарезающих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</si>
  <si>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ГЭСН 11-01-049-01</t>
  </si>
  <si>
    <r>
      <t>Укладка металлического накладного профиля (порога)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</si>
  <si>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ГЭСНр 63-03-001-05</t>
  </si>
  <si>
    <t>НР Стекольные, обойные, облицовочные работы</t>
  </si>
  <si>
    <t>СП Стекольные, обойные, облицовочные работы</t>
  </si>
  <si>
    <t>ГЭСН 46-02-009-02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</si>
  <si>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</si>
  <si>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</si>
  <si>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 15-02-016-03</t>
  </si>
  <si>
    <r>
      <t>Штукатурка поверхностей внутри здания цементно-известковым или цементным раствором по камню и бетону: улучшенная стен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</si>
  <si>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НР Отделочные работы</t>
  </si>
  <si>
    <t>СП Отделочные работы</t>
  </si>
  <si>
    <t>ГЭСН 10-05-012-01</t>
  </si>
  <si>
    <r>
      <t>Облицовка стен глухих (без проемов) по металлическому одинарному каркасу гипсокартонными листами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</si>
  <si>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НР Деревянные конструкции</t>
  </si>
  <si>
    <t>СП Деревянные конструкции</t>
  </si>
  <si>
    <t>ГЭСН 15-04-007-01</t>
  </si>
  <si>
    <r>
      <t>Окраска водно-дисперсионными акриловыми составами улучшенная: по штукатурке стен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</si>
  <si>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ГЭСН 20-02-002-08</t>
  </si>
  <si>
    <r>
      <t>Установка пластиковых вентиляционных решеток площадью в свету до 0,05 м2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</si>
  <si>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НР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</si>
  <si>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СП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</si>
  <si>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ГЭСНр 62-03-005-02</t>
  </si>
  <si>
    <t>НР Малярные работы</t>
  </si>
  <si>
    <t>СП Малярные работы</t>
  </si>
  <si>
    <t>ГЭСНр 62-03-006-02</t>
  </si>
  <si>
    <t>ГЭСН 15-01-047-15</t>
  </si>
  <si>
    <r>
      <t>Устройство потолков: плитно-ячеистых по каркасу из оцинкованного профиля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</si>
  <si>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ГЭСН 46-04-012-03</t>
  </si>
  <si>
    <t>ГЭСН 10-01-039-06</t>
  </si>
  <si>
    <r>
  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  </r>
    <r>
      <rPr>
        <i/>
        <sz val="10"/>
        <rFont val="Arial"/>
        <family val="2"/>
        <charset val="204"/>
      </rPr>
      <t xml:space="preserve">
Поправки к: 
ЭМ *1,25;   
ЗТ *1,15;   
ЗТм *1,25;   
НР *0.9;   
СП *0.85</t>
    </r>
  </si>
  <si>
    <t>Итого прямые затраты по разделу 1</t>
  </si>
  <si>
    <t>Раздел 2. Мусор</t>
  </si>
  <si>
    <t>Итого прямые затраты по разделу 2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</si>
  <si>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</si>
  <si>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</si>
  <si>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</si>
  <si>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</si>
  <si>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</si>
  <si>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</si>
  <si>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</si>
  <si>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</si>
  <si>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</si>
  <si>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</si>
  <si>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</si>
  <si>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</si>
  <si>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</si>
  <si>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</si>
  <si>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</si>
  <si>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</si>
  <si>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</si>
  <si>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</si>
  <si>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</si>
  <si>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57. Орловская область</t>
  </si>
  <si>
    <t>Орловская область</t>
  </si>
  <si>
    <t>Капитальный ремонт учебного корпуса Федерального государственного бюджетного образовательного учреждения высшего образования "Орловский государственный институт культуры", расположенного по адресу: г. Орел, ул. Лескова, д. 15 (3-ий этап)</t>
  </si>
  <si>
    <t>Итого с индексом фактической инфляции 1,0645</t>
  </si>
  <si>
    <t>Итого с индексом прогнозной инфляции 1,0045</t>
  </si>
  <si>
    <t>НДС 22%</t>
  </si>
  <si>
    <t>ВСЕГО по смете: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</si>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</sst>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;[Red]\-\ #,##0.00"/>
    <numFmt numFmtId="166" formatCode="#,##0.00#####;[Red]\-\ #,##0.00#####"/>
  </numFmts>
  <fonts count="27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5" fillId="0" borderId="0" xfId="0" applyFont="1"/>
    <xf numFmtId="0" fontId="6" fillId="0" borderId="0" xfId="0" applyFo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10" fillId="0" borderId="0" xfId="0" applyFont="1"/>
    <xf numFmtId="0" fontId="12" fillId="0" borderId="0" xfId="0" applyNumberFormat="1" applyFont="1" applyAlignment="1"/>
    <xf numFmtId="0" fontId="15" fillId="0" borderId="0" xfId="0" applyNumberFormat="1" applyFont="1" applyAlignment="1"/>
    <xf numFmtId="0" fontId="17" fillId="0" borderId="0" xfId="0" applyNumberFormat="1" applyFont="1" applyAlignment="1"/>
    <xf numFmtId="0" fontId="17" fillId="0" borderId="0" xfId="0" applyNumberFormat="1" applyFont="1" applyAlignment="1">
      <alignment horizontal="left"/>
    </xf>
    <xf numFmtId="0" fontId="17" fillId="0" borderId="0" xfId="0" applyNumberFormat="1" applyFont="1" applyAlignment="1">
      <alignment wrapText="1"/>
    </xf>
    <xf numFmtId="0" fontId="11" fillId="0" borderId="0" xfId="0" applyNumberFormat="1" applyFont="1" applyAlignment="1"/>
    <xf numFmtId="0" fontId="11" fillId="0" borderId="0" xfId="0" applyNumberFormat="1" applyFont="1" applyAlignment="1">
      <alignment vertical="top" wrapText="1"/>
    </xf>
    <xf numFmtId="0" fontId="11" fillId="0" borderId="2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2" xfId="0" applyNumberFormat="1" applyFont="1" applyBorder="1" applyAlignment="1"/>
    <xf numFmtId="0" fontId="20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/>
    <xf numFmtId="0" fontId="11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Alignment="1"/>
    <xf numFmtId="14" fontId="17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8" fillId="0" borderId="0" xfId="0" applyNumberFormat="1" applyFont="1" applyAlignment="1"/>
    <xf numFmtId="164" fontId="11" fillId="0" borderId="0" xfId="0" applyNumberFormat="1" applyFont="1" applyAlignment="1">
      <alignment horizontal="right"/>
    </xf>
    <xf numFmtId="0" fontId="17" fillId="0" borderId="1" xfId="0" applyNumberFormat="1" applyFont="1" applyBorder="1" applyAlignment="1"/>
    <xf numFmtId="0" fontId="11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0" fontId="23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165" fontId="23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right" vertical="top"/>
    </xf>
    <xf numFmtId="165" fontId="0" fillId="0" borderId="0" xfId="0" applyNumberFormat="1"/>
    <xf numFmtId="166" fontId="22" fillId="0" borderId="0" xfId="0" applyNumberFormat="1" applyFont="1" applyAlignment="1">
      <alignment horizontal="right" vertical="top"/>
    </xf>
    <xf numFmtId="0" fontId="24" fillId="0" borderId="0" xfId="0" applyFont="1" applyAlignment="1">
      <alignment vertical="top" wrapText="1"/>
    </xf>
    <xf numFmtId="0" fontId="22" fillId="0" borderId="0" xfId="0" quotePrefix="1" applyFont="1" applyAlignment="1">
      <alignment horizontal="left" vertical="top" wrapText="1"/>
    </xf>
    <xf numFmtId="0" fontId="24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2" fillId="0" borderId="1" xfId="0" quotePrefix="1" applyFont="1" applyBorder="1" applyAlignment="1">
      <alignment horizontal="left" vertical="top" wrapText="1"/>
    </xf>
    <xf numFmtId="0" fontId="23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165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/>
    <xf numFmtId="165" fontId="12" fillId="0" borderId="0" xfId="0" applyNumberFormat="1" applyFont="1" applyAlignment="1"/>
    <xf numFmtId="166" fontId="12" fillId="0" borderId="0" xfId="0" applyNumberFormat="1" applyFont="1" applyAlignment="1"/>
    <xf numFmtId="0" fontId="12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 vertical="center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vertical="top" wrapText="1"/>
    </xf>
    <xf numFmtId="49" fontId="23" fillId="0" borderId="0" xfId="0" applyNumberFormat="1" applyFont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6" fillId="0" borderId="2" xfId="0" applyNumberFormat="1" applyFont="1" applyBorder="1" applyAlignment="1">
      <alignment horizontal="center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65" fontId="23" fillId="0" borderId="0" xfId="0" applyNumberFormat="1" applyFont="1" applyAlignment="1">
      <alignment horizontal="left" vertical="top"/>
    </xf>
    <xf numFmtId="165" fontId="23" fillId="0" borderId="2" xfId="0" applyNumberFormat="1" applyFont="1" applyBorder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left" wrapText="1"/>
    </xf>
    <xf numFmtId="0" fontId="16" fillId="0" borderId="1" xfId="0" applyNumberFormat="1" applyFont="1" applyBorder="1" applyAlignment="1">
      <alignment horizontal="center" wrapText="1"/>
    </xf>
    <xf numFmtId="0" fontId="16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7" fillId="0" borderId="0" xfId="0" applyNumberFormat="1" applyFont="1" applyAlignment="1">
      <alignment horizontal="left" wrapText="1"/>
    </xf>
    <xf numFmtId="0" fontId="16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-01-01%20&#1054;&#1073;&#1097;&#1077;&#1089;&#1090;&#1088;&#1086;&#1080;&#1090;&#1077;&#1083;&#1100;&#1085;&#1099;&#1077;%20&#1088;&#1072;&#1073;&#1086;&#1090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02-01-01"/>
      <sheetName val="Source"/>
      <sheetName val="SourceObSm"/>
      <sheetName val="SmtRes"/>
      <sheetName val="EtalonRes"/>
      <sheetName val="SrcPoprs"/>
      <sheetName val="SrcKA"/>
    </sheetNames>
    <sheetDataSet>
      <sheetData sheetId="0"/>
      <sheetData sheetId="1">
        <row r="20">
          <cell r="L20" t="str">
            <v>ЛСР02-01-01</v>
          </cell>
          <cell r="CM20" t="str">
            <v/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615"/>
  <sheetViews>
    <sheetView tabSelected="1" topLeftCell="A513" zoomScaleNormal="100" workbookViewId="0">
      <selection activeCell="C580" sqref="C580:H580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14" t="str">
        <f>Source!B1</f>
        <v>Smeta.RU  (495) 974-1589</v>
      </c>
    </row>
    <row r="2" spans="1:93" ht="12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93" ht="16.5" customHeight="1" x14ac:dyDescent="0.25">
      <c r="A3" s="16"/>
      <c r="B3" s="114" t="s">
        <v>558</v>
      </c>
      <c r="C3" s="114"/>
      <c r="D3" s="114"/>
      <c r="E3" s="114"/>
      <c r="F3" s="17"/>
      <c r="G3" s="17"/>
      <c r="H3" s="114" t="s">
        <v>559</v>
      </c>
      <c r="I3" s="114"/>
      <c r="J3" s="114"/>
      <c r="K3" s="114"/>
      <c r="L3" s="114"/>
    </row>
    <row r="4" spans="1:93" ht="14.25" customHeight="1" x14ac:dyDescent="0.2">
      <c r="A4" s="17"/>
      <c r="B4" s="115"/>
      <c r="C4" s="115"/>
      <c r="D4" s="115"/>
      <c r="E4" s="115"/>
      <c r="F4" s="17"/>
      <c r="G4" s="17"/>
      <c r="H4" s="115"/>
      <c r="I4" s="115"/>
      <c r="J4" s="115"/>
      <c r="K4" s="115"/>
      <c r="L4" s="115"/>
    </row>
    <row r="5" spans="1:93" ht="14.25" customHeight="1" x14ac:dyDescent="0.2">
      <c r="A5" s="17"/>
      <c r="B5" s="17"/>
      <c r="C5" s="18"/>
      <c r="D5" s="18"/>
      <c r="E5" s="18"/>
      <c r="F5" s="17"/>
      <c r="G5" s="17"/>
      <c r="H5" s="18"/>
      <c r="I5" s="18"/>
      <c r="J5" s="18"/>
      <c r="K5" s="18"/>
      <c r="L5" s="18"/>
    </row>
    <row r="6" spans="1:93" ht="14.25" customHeight="1" x14ac:dyDescent="0.2">
      <c r="A6" s="18"/>
      <c r="B6" s="115" t="str">
        <f>CONCATENATE("______________________ ", IF(Source!AL12&lt;&gt;"", Source!AL12, ""))</f>
        <v xml:space="preserve">______________________ </v>
      </c>
      <c r="C6" s="115"/>
      <c r="D6" s="115"/>
      <c r="E6" s="115"/>
      <c r="F6" s="17"/>
      <c r="G6" s="17"/>
      <c r="H6" s="115" t="str">
        <f>CONCATENATE("______________________ ", IF(Source!AH12&lt;&gt;"", Source!AH12, ""))</f>
        <v xml:space="preserve">______________________ </v>
      </c>
      <c r="I6" s="115"/>
      <c r="J6" s="115"/>
      <c r="K6" s="115"/>
      <c r="L6" s="115"/>
    </row>
    <row r="7" spans="1:93" ht="14.25" customHeight="1" x14ac:dyDescent="0.2">
      <c r="A7" s="19"/>
      <c r="B7" s="113" t="s">
        <v>560</v>
      </c>
      <c r="C7" s="113"/>
      <c r="D7" s="113"/>
      <c r="E7" s="113"/>
      <c r="F7" s="17"/>
      <c r="G7" s="17"/>
      <c r="H7" s="113" t="s">
        <v>560</v>
      </c>
      <c r="I7" s="113"/>
      <c r="J7" s="113"/>
      <c r="K7" s="113"/>
      <c r="L7" s="113"/>
    </row>
    <row r="10" spans="1:93" ht="12.75" customHeight="1" x14ac:dyDescent="0.2">
      <c r="A10" s="111" t="s">
        <v>561</v>
      </c>
      <c r="B10" s="111"/>
      <c r="C10" s="111"/>
      <c r="D10" s="111"/>
      <c r="E10" s="111"/>
      <c r="F10" s="112" t="s">
        <v>600</v>
      </c>
      <c r="G10" s="112"/>
      <c r="H10" s="112"/>
      <c r="I10" s="112"/>
      <c r="J10" s="112"/>
      <c r="K10" s="112"/>
      <c r="L10" s="112"/>
    </row>
    <row r="11" spans="1:93" ht="12.75" customHeight="1" x14ac:dyDescent="0.2">
      <c r="A11" s="21"/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</row>
    <row r="12" spans="1:93" ht="25.5" x14ac:dyDescent="0.2">
      <c r="A12" s="111" t="s">
        <v>562</v>
      </c>
      <c r="B12" s="111"/>
      <c r="C12" s="111"/>
      <c r="D12" s="111"/>
      <c r="E12" s="111"/>
      <c r="F12" s="112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12"/>
      <c r="H12" s="112"/>
      <c r="I12" s="112"/>
      <c r="J12" s="112"/>
      <c r="K12" s="112"/>
      <c r="L12" s="112"/>
      <c r="CO12" s="44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21"/>
      <c r="B13" s="21"/>
      <c r="C13" s="21"/>
      <c r="D13" s="21"/>
      <c r="E13" s="21"/>
      <c r="F13" s="22"/>
      <c r="G13" s="22"/>
      <c r="H13" s="22"/>
      <c r="I13" s="22"/>
      <c r="J13" s="22"/>
      <c r="K13" s="22"/>
      <c r="L13" s="22"/>
    </row>
    <row r="14" spans="1:93" ht="127.5" x14ac:dyDescent="0.2">
      <c r="A14" s="111" t="s">
        <v>563</v>
      </c>
      <c r="B14" s="111"/>
      <c r="C14" s="111"/>
      <c r="D14" s="111"/>
      <c r="E14" s="111"/>
      <c r="F14" s="112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  <c r="G14" s="112"/>
      <c r="H14" s="112"/>
      <c r="I14" s="112"/>
      <c r="J14" s="112"/>
      <c r="K14" s="112"/>
      <c r="L14" s="112"/>
      <c r="CO14" s="44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07.07.2022 г. № 557/пр;  Приказ Минстроя России от 30.01.2024 г. № 55/пр; Приказ Минстроя России от 23.01.2025 г. № 30/пр; Приказ Минстроя России от 02.09.2021 г. № 636/пр; 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</row>
    <row r="16" spans="1:93" ht="76.5" customHeight="1" x14ac:dyDescent="0.2">
      <c r="A16" s="111" t="s">
        <v>564</v>
      </c>
      <c r="B16" s="111"/>
      <c r="C16" s="111"/>
      <c r="D16" s="111"/>
      <c r="E16" s="111"/>
      <c r="F16" s="112" t="s">
        <v>375</v>
      </c>
      <c r="G16" s="112"/>
      <c r="H16" s="112"/>
      <c r="I16" s="112"/>
      <c r="J16" s="112"/>
      <c r="K16" s="112"/>
      <c r="L16" s="112"/>
    </row>
    <row r="17" spans="1:12" ht="12.75" customHeight="1" x14ac:dyDescent="0.2">
      <c r="A17" s="21"/>
      <c r="B17" s="21"/>
      <c r="C17" s="21"/>
      <c r="D17" s="21"/>
      <c r="E17" s="21"/>
      <c r="F17" s="22"/>
      <c r="G17" s="22"/>
      <c r="H17" s="22"/>
      <c r="I17" s="22"/>
      <c r="J17" s="22"/>
      <c r="K17" s="22"/>
      <c r="L17" s="22"/>
    </row>
    <row r="18" spans="1:12" ht="38.25" customHeight="1" x14ac:dyDescent="0.2">
      <c r="A18" s="111" t="s">
        <v>565</v>
      </c>
      <c r="B18" s="111"/>
      <c r="C18" s="111"/>
      <c r="D18" s="111"/>
      <c r="E18" s="111"/>
      <c r="F18" s="112" t="s">
        <v>377</v>
      </c>
      <c r="G18" s="112"/>
      <c r="H18" s="112"/>
      <c r="I18" s="112"/>
      <c r="J18" s="112"/>
      <c r="K18" s="112"/>
      <c r="L18" s="112"/>
    </row>
    <row r="19" spans="1:12" ht="12.75" customHeight="1" x14ac:dyDescent="0.2">
      <c r="A19" s="23"/>
      <c r="B19" s="23"/>
      <c r="C19" s="23"/>
      <c r="D19" s="23"/>
      <c r="E19" s="23"/>
      <c r="F19" s="24"/>
      <c r="G19" s="24"/>
      <c r="H19" s="24"/>
      <c r="I19" s="24"/>
      <c r="J19" s="24"/>
      <c r="K19" s="24"/>
      <c r="L19" s="24"/>
    </row>
    <row r="20" spans="1:12" ht="12.75" customHeight="1" x14ac:dyDescent="0.2">
      <c r="A20" s="111" t="s">
        <v>566</v>
      </c>
      <c r="B20" s="111"/>
      <c r="C20" s="111"/>
      <c r="D20" s="111"/>
      <c r="E20" s="111"/>
      <c r="F20" s="112" t="s">
        <v>601</v>
      </c>
      <c r="G20" s="112"/>
      <c r="H20" s="112"/>
      <c r="I20" s="112"/>
      <c r="J20" s="112"/>
      <c r="K20" s="112"/>
      <c r="L20" s="112"/>
    </row>
    <row r="21" spans="1:12" ht="12.75" customHeight="1" x14ac:dyDescent="0.2">
      <c r="A21" s="23"/>
      <c r="B21" s="23"/>
      <c r="C21" s="23"/>
      <c r="D21" s="23"/>
      <c r="E21" s="23"/>
      <c r="F21" s="24"/>
      <c r="G21" s="24"/>
      <c r="H21" s="24"/>
      <c r="I21" s="24"/>
      <c r="J21" s="24"/>
      <c r="K21" s="24"/>
      <c r="L21" s="24"/>
    </row>
    <row r="22" spans="1:12" ht="12.75" customHeight="1" x14ac:dyDescent="0.2">
      <c r="A22" s="111" t="s">
        <v>567</v>
      </c>
      <c r="B22" s="111"/>
      <c r="C22" s="111"/>
      <c r="D22" s="111"/>
      <c r="E22" s="111"/>
      <c r="F22" s="112" t="s">
        <v>709</v>
      </c>
      <c r="G22" s="112"/>
      <c r="H22" s="112"/>
      <c r="I22" s="112"/>
      <c r="J22" s="112"/>
      <c r="K22" s="112"/>
      <c r="L22" s="112"/>
    </row>
    <row r="23" spans="1:12" ht="12.75" customHeight="1" x14ac:dyDescent="0.2">
      <c r="A23" s="23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2"/>
    </row>
    <row r="24" spans="1:12" ht="12.75" customHeight="1" x14ac:dyDescent="0.2">
      <c r="A24" s="111" t="s">
        <v>568</v>
      </c>
      <c r="B24" s="111"/>
      <c r="C24" s="111"/>
      <c r="D24" s="111"/>
      <c r="E24" s="111"/>
      <c r="F24" s="112" t="s">
        <v>710</v>
      </c>
      <c r="G24" s="112"/>
      <c r="H24" s="112"/>
      <c r="I24" s="112"/>
      <c r="J24" s="112"/>
      <c r="K24" s="112"/>
      <c r="L24" s="112"/>
    </row>
    <row r="25" spans="1:12" ht="12.75" customHeight="1" x14ac:dyDescent="0.2">
      <c r="A25" s="15"/>
      <c r="B25" s="15"/>
      <c r="C25" s="15"/>
      <c r="D25" s="15"/>
      <c r="E25" s="15"/>
      <c r="F25" s="25"/>
      <c r="G25" s="25"/>
      <c r="H25" s="25"/>
      <c r="I25" s="25"/>
      <c r="J25" s="25"/>
      <c r="K25" s="25"/>
      <c r="L25" s="25"/>
    </row>
    <row r="26" spans="1:12" ht="12.7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5.75" customHeight="1" x14ac:dyDescent="0.25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</row>
    <row r="28" spans="1:12" ht="14.25" customHeight="1" x14ac:dyDescent="0.2">
      <c r="A28" s="107" t="s">
        <v>569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14.2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31.5" customHeight="1" x14ac:dyDescent="0.25">
      <c r="A30" s="109" t="s">
        <v>711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</row>
    <row r="31" spans="1:12" ht="14.25" customHeight="1" x14ac:dyDescent="0.2">
      <c r="A31" s="107" t="s">
        <v>570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pans="1:12" ht="14.25" customHeight="1" x14ac:dyDescent="0.2">
      <c r="A32" s="17"/>
      <c r="B32" s="17"/>
      <c r="C32" s="17"/>
      <c r="D32" s="17"/>
      <c r="E32" s="17"/>
      <c r="F32" s="19"/>
      <c r="G32" s="19"/>
      <c r="H32" s="19"/>
      <c r="I32" s="19"/>
      <c r="J32" s="19"/>
      <c r="K32" s="19"/>
      <c r="L32" s="19"/>
    </row>
    <row r="33" spans="1:12" ht="15.75" customHeight="1" x14ac:dyDescent="0.25">
      <c r="A33" s="110" t="str">
        <f>CONCATENATE( "ЛОКАЛЬНАЯ СМЕТА № ", [1]Source!L20, " ",[1]Source!CM20)</f>
        <v xml:space="preserve">ЛОКАЛЬНАЯ СМЕТА № ЛСР02-01-01 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  <row r="34" spans="1:12" ht="15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</row>
    <row r="35" spans="1:12" ht="18" customHeight="1" x14ac:dyDescent="0.25">
      <c r="A35" s="109" t="s">
        <v>18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</row>
    <row r="36" spans="1:12" ht="14.25" customHeight="1" x14ac:dyDescent="0.2">
      <c r="A36" s="107" t="s">
        <v>571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</row>
    <row r="37" spans="1:12" ht="14.2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4.2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2.75" customHeight="1" x14ac:dyDescent="0.2">
      <c r="A39" s="20" t="s">
        <v>572</v>
      </c>
      <c r="B39" s="20"/>
      <c r="C39" s="29" t="s">
        <v>602</v>
      </c>
      <c r="D39" s="20" t="s">
        <v>573</v>
      </c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20"/>
      <c r="B40" s="20"/>
      <c r="C40" s="3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A41" s="20" t="s">
        <v>574</v>
      </c>
      <c r="B41" s="20"/>
      <c r="C41" s="108"/>
      <c r="D41" s="108"/>
      <c r="E41" s="108"/>
      <c r="F41" s="108"/>
      <c r="G41" s="108"/>
      <c r="H41" s="108"/>
      <c r="I41" s="108"/>
      <c r="J41" s="108"/>
      <c r="K41" s="108"/>
      <c r="L41" s="108"/>
    </row>
    <row r="42" spans="1:12" ht="12.75" customHeight="1" x14ac:dyDescent="0.2">
      <c r="A42" s="31"/>
      <c r="B42" s="32"/>
      <c r="C42" s="107" t="s">
        <v>575</v>
      </c>
      <c r="D42" s="107"/>
      <c r="E42" s="107"/>
      <c r="F42" s="107"/>
      <c r="G42" s="107"/>
      <c r="H42" s="107"/>
      <c r="I42" s="107"/>
      <c r="J42" s="107"/>
      <c r="K42" s="107"/>
      <c r="L42" s="107"/>
    </row>
    <row r="43" spans="1:12" ht="14.2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4.25" customHeight="1" x14ac:dyDescent="0.2">
      <c r="A44" s="33" t="s">
        <v>603</v>
      </c>
      <c r="B44" s="17"/>
      <c r="C44" s="17"/>
      <c r="D44" s="34"/>
      <c r="E44" s="17"/>
      <c r="F44" s="17"/>
      <c r="G44" s="17"/>
      <c r="H44" s="17"/>
      <c r="I44" s="17"/>
      <c r="J44" s="17"/>
      <c r="K44" s="17"/>
      <c r="L44" s="17"/>
    </row>
    <row r="45" spans="1:12" ht="14.2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4.25" customHeight="1" x14ac:dyDescent="0.2">
      <c r="A46" s="33" t="s">
        <v>576</v>
      </c>
      <c r="B46" s="17"/>
      <c r="C46" s="102">
        <f>C49+C50+C51+C52</f>
        <v>443.88</v>
      </c>
      <c r="D46" s="103"/>
      <c r="E46" s="20" t="s">
        <v>577</v>
      </c>
      <c r="F46" s="15"/>
      <c r="G46" s="15"/>
      <c r="H46" s="15"/>
      <c r="I46" s="15"/>
      <c r="J46" s="15"/>
      <c r="K46" s="15"/>
      <c r="L46" s="17"/>
    </row>
    <row r="47" spans="1:12" ht="14.25" customHeight="1" x14ac:dyDescent="0.2">
      <c r="A47" s="33"/>
      <c r="B47" s="17"/>
      <c r="C47" s="73"/>
      <c r="D47" s="35"/>
      <c r="E47" s="20"/>
      <c r="F47" s="15"/>
      <c r="G47" s="20" t="s">
        <v>578</v>
      </c>
      <c r="H47" s="17"/>
      <c r="I47" s="20"/>
      <c r="J47" s="20"/>
      <c r="K47" s="75">
        <f>ROUND(SUM(AR60:AR608)/1000, 2)</f>
        <v>95.39</v>
      </c>
      <c r="L47" s="20" t="s">
        <v>577</v>
      </c>
    </row>
    <row r="48" spans="1:12" ht="14.25" customHeight="1" x14ac:dyDescent="0.2">
      <c r="A48" s="17"/>
      <c r="B48" s="36" t="s">
        <v>579</v>
      </c>
      <c r="C48" s="74"/>
      <c r="D48" s="17"/>
      <c r="E48" s="20"/>
      <c r="F48" s="15"/>
      <c r="G48" s="20" t="s">
        <v>580</v>
      </c>
      <c r="H48" s="17"/>
      <c r="I48" s="20"/>
      <c r="J48" s="20"/>
      <c r="K48" s="75">
        <f>ROUND(SUM(AT60:AT608)/1000, 2)</f>
        <v>2.82</v>
      </c>
      <c r="L48" s="20" t="s">
        <v>577</v>
      </c>
    </row>
    <row r="49" spans="1:12" ht="14.25" customHeight="1" x14ac:dyDescent="0.2">
      <c r="A49" s="17"/>
      <c r="B49" s="33" t="s">
        <v>581</v>
      </c>
      <c r="C49" s="102">
        <f>ROUND((Source!F357)/1000, 2)</f>
        <v>443.88</v>
      </c>
      <c r="D49" s="103"/>
      <c r="E49" s="20" t="s">
        <v>577</v>
      </c>
      <c r="F49" s="15"/>
      <c r="G49" s="20" t="s">
        <v>582</v>
      </c>
      <c r="H49" s="17"/>
      <c r="I49" s="20"/>
      <c r="J49" s="35"/>
      <c r="K49" s="76">
        <f>Source!F362</f>
        <v>316.76887699999997</v>
      </c>
      <c r="L49" s="20" t="s">
        <v>383</v>
      </c>
    </row>
    <row r="50" spans="1:12" ht="14.25" customHeight="1" x14ac:dyDescent="0.2">
      <c r="A50" s="17"/>
      <c r="B50" s="33" t="s">
        <v>583</v>
      </c>
      <c r="C50" s="102">
        <f>ROUND((Source!F358)/1000, 2)</f>
        <v>0</v>
      </c>
      <c r="D50" s="103"/>
      <c r="E50" s="20" t="s">
        <v>577</v>
      </c>
      <c r="F50" s="15"/>
      <c r="G50" s="20" t="s">
        <v>584</v>
      </c>
      <c r="H50" s="17"/>
      <c r="I50" s="20"/>
      <c r="J50" s="37"/>
      <c r="K50" s="76">
        <f>Source!F363</f>
        <v>9.1510058000000001</v>
      </c>
      <c r="L50" s="20" t="s">
        <v>383</v>
      </c>
    </row>
    <row r="51" spans="1:12" ht="14.25" customHeight="1" x14ac:dyDescent="0.2">
      <c r="A51" s="17"/>
      <c r="B51" s="33" t="s">
        <v>585</v>
      </c>
      <c r="C51" s="102">
        <f>ROUND((Source!F349)/1000, 2)</f>
        <v>0</v>
      </c>
      <c r="D51" s="103"/>
      <c r="E51" s="20" t="s">
        <v>577</v>
      </c>
      <c r="F51" s="15"/>
      <c r="G51" s="20"/>
      <c r="H51" s="20"/>
      <c r="I51" s="20"/>
      <c r="J51" s="20"/>
      <c r="K51" s="15"/>
      <c r="L51" s="20"/>
    </row>
    <row r="52" spans="1:12" ht="14.25" customHeight="1" x14ac:dyDescent="0.2">
      <c r="A52" s="17"/>
      <c r="B52" s="33" t="s">
        <v>586</v>
      </c>
      <c r="C52" s="102">
        <f>ROUND((Source!F359)/1000, 2)</f>
        <v>0</v>
      </c>
      <c r="D52" s="103"/>
      <c r="E52" s="20" t="s">
        <v>577</v>
      </c>
      <c r="F52" s="15"/>
      <c r="G52" s="20"/>
      <c r="H52" s="20"/>
      <c r="I52" s="20"/>
      <c r="J52" s="20"/>
      <c r="K52" s="15"/>
      <c r="L52" s="20"/>
    </row>
    <row r="53" spans="1:12" ht="14.25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ht="12.75" customHeight="1" x14ac:dyDescent="0.2">
      <c r="A54" s="104" t="s">
        <v>587</v>
      </c>
      <c r="B54" s="104" t="s">
        <v>588</v>
      </c>
      <c r="C54" s="104" t="s">
        <v>589</v>
      </c>
      <c r="D54" s="104" t="s">
        <v>590</v>
      </c>
      <c r="E54" s="93" t="s">
        <v>591</v>
      </c>
      <c r="F54" s="94"/>
      <c r="G54" s="95"/>
      <c r="H54" s="93" t="s">
        <v>592</v>
      </c>
      <c r="I54" s="94"/>
      <c r="J54" s="94"/>
      <c r="K54" s="94"/>
      <c r="L54" s="95"/>
    </row>
    <row r="55" spans="1:12" ht="12.75" customHeight="1" x14ac:dyDescent="0.2">
      <c r="A55" s="105"/>
      <c r="B55" s="105"/>
      <c r="C55" s="105"/>
      <c r="D55" s="105"/>
      <c r="E55" s="96"/>
      <c r="F55" s="97"/>
      <c r="G55" s="98"/>
      <c r="H55" s="96"/>
      <c r="I55" s="97"/>
      <c r="J55" s="97"/>
      <c r="K55" s="97"/>
      <c r="L55" s="98"/>
    </row>
    <row r="56" spans="1:12" ht="12.75" customHeight="1" x14ac:dyDescent="0.2">
      <c r="A56" s="105"/>
      <c r="B56" s="105"/>
      <c r="C56" s="105"/>
      <c r="D56" s="105"/>
      <c r="E56" s="96"/>
      <c r="F56" s="97"/>
      <c r="G56" s="98"/>
      <c r="H56" s="96"/>
      <c r="I56" s="97"/>
      <c r="J56" s="97"/>
      <c r="K56" s="97"/>
      <c r="L56" s="98"/>
    </row>
    <row r="57" spans="1:12" ht="12.75" customHeight="1" x14ac:dyDescent="0.2">
      <c r="A57" s="105"/>
      <c r="B57" s="105"/>
      <c r="C57" s="105"/>
      <c r="D57" s="105"/>
      <c r="E57" s="99"/>
      <c r="F57" s="100"/>
      <c r="G57" s="101"/>
      <c r="H57" s="99"/>
      <c r="I57" s="100"/>
      <c r="J57" s="100"/>
      <c r="K57" s="100"/>
      <c r="L57" s="101"/>
    </row>
    <row r="58" spans="1:12" ht="51" customHeight="1" x14ac:dyDescent="0.2">
      <c r="A58" s="106"/>
      <c r="B58" s="106"/>
      <c r="C58" s="106"/>
      <c r="D58" s="106"/>
      <c r="E58" s="39" t="s">
        <v>593</v>
      </c>
      <c r="F58" s="39" t="s">
        <v>594</v>
      </c>
      <c r="G58" s="40" t="s">
        <v>595</v>
      </c>
      <c r="H58" s="39" t="s">
        <v>596</v>
      </c>
      <c r="I58" s="39" t="s">
        <v>597</v>
      </c>
      <c r="J58" s="39" t="s">
        <v>598</v>
      </c>
      <c r="K58" s="39" t="s">
        <v>594</v>
      </c>
      <c r="L58" s="39" t="s">
        <v>599</v>
      </c>
    </row>
    <row r="59" spans="1:12" ht="14.25" customHeight="1" x14ac:dyDescent="0.2">
      <c r="A59" s="41">
        <v>1</v>
      </c>
      <c r="B59" s="41">
        <v>2</v>
      </c>
      <c r="C59" s="41">
        <v>3</v>
      </c>
      <c r="D59" s="41">
        <v>4</v>
      </c>
      <c r="E59" s="41">
        <v>5</v>
      </c>
      <c r="F59" s="41">
        <v>6</v>
      </c>
      <c r="G59" s="41">
        <v>7</v>
      </c>
      <c r="H59" s="41">
        <v>8</v>
      </c>
      <c r="I59" s="41">
        <v>9</v>
      </c>
      <c r="J59" s="41">
        <v>10</v>
      </c>
      <c r="K59" s="43">
        <v>11</v>
      </c>
      <c r="L59" s="43">
        <v>12</v>
      </c>
    </row>
    <row r="61" spans="1:12" ht="16.5" x14ac:dyDescent="0.2">
      <c r="A61" s="92" t="s">
        <v>629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1:12" ht="14.25" x14ac:dyDescent="0.2">
      <c r="C62" s="57" t="str">
        <f>Source!G232</f>
        <v>Полы</v>
      </c>
    </row>
    <row r="63" spans="1:12" ht="28.5" x14ac:dyDescent="0.2">
      <c r="A63" s="58" t="s">
        <v>85</v>
      </c>
      <c r="B63" s="47" t="s">
        <v>630</v>
      </c>
      <c r="C63" s="47" t="str">
        <f>Source!G233</f>
        <v>Разборка покрытий полов: из линолеума и релина</v>
      </c>
      <c r="D63" s="59" t="str">
        <f>Source!H233</f>
        <v>100 м2</v>
      </c>
      <c r="E63" s="49">
        <f>Source!K233</f>
        <v>0.32200000000000001</v>
      </c>
      <c r="F63" s="49"/>
      <c r="G63" s="49">
        <f>Source!I233</f>
        <v>0.32200000000000001</v>
      </c>
      <c r="H63" s="50"/>
      <c r="I63" s="60"/>
      <c r="J63" s="50"/>
      <c r="K63" s="60"/>
      <c r="L63" s="50"/>
    </row>
    <row r="64" spans="1:12" ht="15" x14ac:dyDescent="0.2">
      <c r="A64" s="46"/>
      <c r="B64" s="49">
        <v>1</v>
      </c>
      <c r="C64" s="46" t="s">
        <v>631</v>
      </c>
      <c r="D64" s="59" t="s">
        <v>383</v>
      </c>
      <c r="E64" s="56"/>
      <c r="F64" s="49"/>
      <c r="G64" s="49">
        <f>Source!U233</f>
        <v>3.6675800000000001</v>
      </c>
      <c r="H64" s="49"/>
      <c r="I64" s="49"/>
      <c r="J64" s="49"/>
      <c r="K64" s="49"/>
      <c r="L64" s="53">
        <f>SUM(L65:L65)-SUMIF(CE65:CE65, 1, L65:L65)</f>
        <v>999.16</v>
      </c>
    </row>
    <row r="65" spans="1:83" ht="14.25" x14ac:dyDescent="0.2">
      <c r="A65" s="47"/>
      <c r="B65" s="47" t="s">
        <v>381</v>
      </c>
      <c r="C65" s="47" t="s">
        <v>382</v>
      </c>
      <c r="D65" s="59" t="s">
        <v>383</v>
      </c>
      <c r="E65" s="49">
        <v>11.39</v>
      </c>
      <c r="F65" s="49"/>
      <c r="G65" s="49">
        <f>SmtRes!CX1</f>
        <v>3.6675800000000001</v>
      </c>
      <c r="H65" s="50"/>
      <c r="I65" s="60"/>
      <c r="J65" s="50">
        <f>SmtRes!CZ1</f>
        <v>272.43</v>
      </c>
      <c r="K65" s="60"/>
      <c r="L65" s="50">
        <f>SmtRes!DI1</f>
        <v>999.16</v>
      </c>
    </row>
    <row r="66" spans="1:83" ht="15" x14ac:dyDescent="0.2">
      <c r="A66" s="46"/>
      <c r="B66" s="49">
        <v>2</v>
      </c>
      <c r="C66" s="46" t="s">
        <v>632</v>
      </c>
      <c r="D66" s="59"/>
      <c r="E66" s="56"/>
      <c r="F66" s="49"/>
      <c r="G66" s="49"/>
      <c r="H66" s="49"/>
      <c r="I66" s="49"/>
      <c r="J66" s="49"/>
      <c r="K66" s="49"/>
      <c r="L66" s="53">
        <f>SUM(L67:L69)-SUMIF(CE67:CE69, 1, L67:L69)</f>
        <v>2.3100000000000023</v>
      </c>
    </row>
    <row r="67" spans="1:83" ht="15" x14ac:dyDescent="0.2">
      <c r="A67" s="46"/>
      <c r="B67" s="49"/>
      <c r="C67" s="46" t="s">
        <v>634</v>
      </c>
      <c r="D67" s="59" t="s">
        <v>383</v>
      </c>
      <c r="E67" s="56"/>
      <c r="F67" s="49"/>
      <c r="G67" s="49">
        <f>Source!V233</f>
        <v>4.1860000000000001E-2</v>
      </c>
      <c r="H67" s="49"/>
      <c r="I67" s="49"/>
      <c r="J67" s="49"/>
      <c r="K67" s="49"/>
      <c r="L67" s="53">
        <f>SUMIF(CE68:CE69, 1, L68:L69)</f>
        <v>12.45</v>
      </c>
      <c r="CE67">
        <v>1</v>
      </c>
    </row>
    <row r="68" spans="1:83" ht="42.75" x14ac:dyDescent="0.2">
      <c r="A68" s="47"/>
      <c r="B68" s="47" t="s">
        <v>386</v>
      </c>
      <c r="C68" s="47" t="s">
        <v>388</v>
      </c>
      <c r="D68" s="59" t="s">
        <v>389</v>
      </c>
      <c r="E68" s="49">
        <v>0.13</v>
      </c>
      <c r="F68" s="49"/>
      <c r="G68" s="49">
        <f>SmtRes!CX3</f>
        <v>4.1860000000000001E-2</v>
      </c>
      <c r="H68" s="50">
        <f>SmtRes!CZ3</f>
        <v>37.32</v>
      </c>
      <c r="I68" s="60">
        <f>SmtRes!AJ3</f>
        <v>1.48</v>
      </c>
      <c r="J68" s="50">
        <f>ROUND(H68*I68, 2)</f>
        <v>55.23</v>
      </c>
      <c r="K68" s="60"/>
      <c r="L68" s="50">
        <f>SmtRes!DG3</f>
        <v>2.31</v>
      </c>
    </row>
    <row r="69" spans="1:83" ht="28.5" x14ac:dyDescent="0.2">
      <c r="A69" s="47"/>
      <c r="B69" s="47" t="s">
        <v>390</v>
      </c>
      <c r="C69" s="61" t="s">
        <v>633</v>
      </c>
      <c r="D69" s="62" t="s">
        <v>383</v>
      </c>
      <c r="E69" s="63">
        <f>SmtRes!DO3*SmtRes!AT3</f>
        <v>0.13</v>
      </c>
      <c r="F69" s="63"/>
      <c r="G69" s="63">
        <f>ROUND(E69*G63, 7)</f>
        <v>4.1860000000000001E-2</v>
      </c>
      <c r="H69" s="64"/>
      <c r="I69" s="65"/>
      <c r="J69" s="64">
        <f>ROUND(SmtRes!AG3/SmtRes!DO3, 2)</f>
        <v>297.43</v>
      </c>
      <c r="K69" s="65"/>
      <c r="L69" s="64">
        <f>SmtRes!DH3</f>
        <v>12.45</v>
      </c>
      <c r="CE69">
        <v>1</v>
      </c>
    </row>
    <row r="70" spans="1:83" ht="15" x14ac:dyDescent="0.2">
      <c r="A70" s="47"/>
      <c r="B70" s="47"/>
      <c r="C70" s="66" t="s">
        <v>635</v>
      </c>
      <c r="D70" s="59"/>
      <c r="E70" s="49"/>
      <c r="F70" s="49"/>
      <c r="G70" s="49"/>
      <c r="H70" s="50"/>
      <c r="I70" s="60"/>
      <c r="J70" s="50"/>
      <c r="K70" s="60"/>
      <c r="L70" s="50">
        <f>L64+L66+L67</f>
        <v>1013.9200000000001</v>
      </c>
    </row>
    <row r="71" spans="1:83" ht="14.25" x14ac:dyDescent="0.2">
      <c r="A71" s="47"/>
      <c r="B71" s="47"/>
      <c r="C71" s="47" t="s">
        <v>636</v>
      </c>
      <c r="D71" s="59"/>
      <c r="E71" s="49"/>
      <c r="F71" s="49"/>
      <c r="G71" s="49"/>
      <c r="H71" s="50"/>
      <c r="I71" s="60"/>
      <c r="J71" s="50"/>
      <c r="K71" s="60"/>
      <c r="L71" s="50">
        <f>SUM(AR63:AR74)+SUM(AS63:AS74)+SUM(AT63:AT74)+SUM(AU63:AU74)+SUM(AV63:AV74)</f>
        <v>1011.61</v>
      </c>
    </row>
    <row r="72" spans="1:83" ht="14.25" x14ac:dyDescent="0.2">
      <c r="A72" s="47"/>
      <c r="B72" s="47" t="s">
        <v>94</v>
      </c>
      <c r="C72" s="47" t="s">
        <v>637</v>
      </c>
      <c r="D72" s="59" t="s">
        <v>638</v>
      </c>
      <c r="E72" s="49">
        <f>Source!BZ233</f>
        <v>89</v>
      </c>
      <c r="F72" s="49"/>
      <c r="G72" s="49">
        <f>Source!AT233</f>
        <v>89</v>
      </c>
      <c r="H72" s="50"/>
      <c r="I72" s="60"/>
      <c r="J72" s="50"/>
      <c r="K72" s="60"/>
      <c r="L72" s="50">
        <f>SUM(AZ63:AZ74)</f>
        <v>900.33</v>
      </c>
    </row>
    <row r="73" spans="1:83" ht="14.25" x14ac:dyDescent="0.2">
      <c r="A73" s="61"/>
      <c r="B73" s="61" t="s">
        <v>95</v>
      </c>
      <c r="C73" s="61" t="s">
        <v>639</v>
      </c>
      <c r="D73" s="62" t="s">
        <v>638</v>
      </c>
      <c r="E73" s="63">
        <f>Source!CA233</f>
        <v>49</v>
      </c>
      <c r="F73" s="63"/>
      <c r="G73" s="63">
        <f>Source!AU233</f>
        <v>49</v>
      </c>
      <c r="H73" s="64"/>
      <c r="I73" s="65"/>
      <c r="J73" s="64"/>
      <c r="K73" s="65"/>
      <c r="L73" s="64">
        <f>SUM(BA63:BA74)</f>
        <v>495.69</v>
      </c>
    </row>
    <row r="74" spans="1:83" ht="15" x14ac:dyDescent="0.2">
      <c r="C74" s="90" t="s">
        <v>640</v>
      </c>
      <c r="D74" s="90"/>
      <c r="E74" s="90"/>
      <c r="F74" s="90"/>
      <c r="G74" s="90"/>
      <c r="H74" s="90"/>
      <c r="I74" s="91">
        <f>IF(E63&lt;&gt;0,K74/E63, 0)</f>
        <v>7484.2857142857147</v>
      </c>
      <c r="J74" s="91"/>
      <c r="K74" s="91">
        <f>L64+L66+L72+L73+L67</f>
        <v>2409.94</v>
      </c>
      <c r="L74" s="91"/>
      <c r="AD74">
        <f>ROUND((Source!AT233/100)*((ROUND(SUMIF(SmtRes!AQ1:'SmtRes'!AQ3,"=1",SmtRes!AD1:'SmtRes'!AD3)*Source!I233, 2)+ROUND(SUMIF(SmtRes!AQ1:'SmtRes'!AQ3,"=1",SmtRes!AC1:'SmtRes'!AC3)*Source!I233, 2))), 2)</f>
        <v>163.31</v>
      </c>
      <c r="AE74">
        <f>ROUND((Source!AU233/100)*((ROUND(SUMIF(SmtRes!AQ1:'SmtRes'!AQ3,"=1",SmtRes!AD1:'SmtRes'!AD3)*Source!I233, 2)+ROUND(SUMIF(SmtRes!AQ1:'SmtRes'!AQ3,"=1",SmtRes!AC1:'SmtRes'!AC3)*Source!I233, 2))), 2)</f>
        <v>89.91</v>
      </c>
      <c r="AN74" s="55">
        <f>L64+L66+L72+L73+L67</f>
        <v>2409.94</v>
      </c>
      <c r="AO74" s="55">
        <f>L66</f>
        <v>2.3100000000000023</v>
      </c>
      <c r="AQ74" t="s">
        <v>641</v>
      </c>
      <c r="AR74" s="55">
        <f>L64</f>
        <v>999.16</v>
      </c>
      <c r="AT74" s="55">
        <f>L67</f>
        <v>12.45</v>
      </c>
      <c r="AV74" t="s">
        <v>641</v>
      </c>
      <c r="AW74">
        <f>0</f>
        <v>0</v>
      </c>
      <c r="AZ74">
        <f>Source!X233</f>
        <v>900.33</v>
      </c>
      <c r="BA74">
        <f>Source!Y233</f>
        <v>495.69</v>
      </c>
      <c r="CD74">
        <v>1</v>
      </c>
    </row>
    <row r="75" spans="1:83" ht="28.5" x14ac:dyDescent="0.2">
      <c r="A75" s="58" t="s">
        <v>96</v>
      </c>
      <c r="B75" s="47" t="s">
        <v>642</v>
      </c>
      <c r="C75" s="47" t="str">
        <f>Source!G234</f>
        <v>Разборка покрытий полов: из керамических плиток</v>
      </c>
      <c r="D75" s="59" t="str">
        <f>Source!H234</f>
        <v>100 м2</v>
      </c>
      <c r="E75" s="49">
        <f>Source!K234</f>
        <v>0.32300000000000001</v>
      </c>
      <c r="F75" s="49"/>
      <c r="G75" s="49">
        <f>Source!I234</f>
        <v>0.32300000000000001</v>
      </c>
      <c r="H75" s="50"/>
      <c r="I75" s="60"/>
      <c r="J75" s="50"/>
      <c r="K75" s="60"/>
      <c r="L75" s="50"/>
    </row>
    <row r="76" spans="1:83" ht="15" x14ac:dyDescent="0.2">
      <c r="A76" s="46"/>
      <c r="B76" s="49">
        <v>1</v>
      </c>
      <c r="C76" s="46" t="s">
        <v>631</v>
      </c>
      <c r="D76" s="59" t="s">
        <v>383</v>
      </c>
      <c r="E76" s="56"/>
      <c r="F76" s="49"/>
      <c r="G76" s="49">
        <f>Source!U234</f>
        <v>22.568010000000001</v>
      </c>
      <c r="H76" s="49"/>
      <c r="I76" s="49"/>
      <c r="J76" s="49"/>
      <c r="K76" s="49"/>
      <c r="L76" s="53">
        <f>SUM(L77:L77)-SUMIF(CE77:CE77, 1, L77:L77)</f>
        <v>6712.4</v>
      </c>
    </row>
    <row r="77" spans="1:83" ht="14.25" x14ac:dyDescent="0.2">
      <c r="A77" s="47"/>
      <c r="B77" s="47" t="s">
        <v>391</v>
      </c>
      <c r="C77" s="47" t="s">
        <v>392</v>
      </c>
      <c r="D77" s="59" t="s">
        <v>383</v>
      </c>
      <c r="E77" s="49">
        <v>69.87</v>
      </c>
      <c r="F77" s="49"/>
      <c r="G77" s="49">
        <f>SmtRes!CX4</f>
        <v>22.568010000000001</v>
      </c>
      <c r="H77" s="50"/>
      <c r="I77" s="60"/>
      <c r="J77" s="50">
        <f>SmtRes!CZ4</f>
        <v>297.43</v>
      </c>
      <c r="K77" s="60"/>
      <c r="L77" s="50">
        <f>SmtRes!DI4</f>
        <v>6712.4</v>
      </c>
    </row>
    <row r="78" spans="1:83" ht="15" x14ac:dyDescent="0.2">
      <c r="A78" s="46"/>
      <c r="B78" s="49">
        <v>2</v>
      </c>
      <c r="C78" s="46" t="s">
        <v>632</v>
      </c>
      <c r="D78" s="59"/>
      <c r="E78" s="56"/>
      <c r="F78" s="49"/>
      <c r="G78" s="49"/>
      <c r="H78" s="49"/>
      <c r="I78" s="49"/>
      <c r="J78" s="49"/>
      <c r="K78" s="49"/>
      <c r="L78" s="53">
        <f>SUM(L79:L81)-SUMIF(CE79:CE81, 1, L79:L81)</f>
        <v>25.689999999999998</v>
      </c>
    </row>
    <row r="79" spans="1:83" ht="15" x14ac:dyDescent="0.2">
      <c r="A79" s="46"/>
      <c r="B79" s="49"/>
      <c r="C79" s="46" t="s">
        <v>634</v>
      </c>
      <c r="D79" s="59" t="s">
        <v>383</v>
      </c>
      <c r="E79" s="56"/>
      <c r="F79" s="49"/>
      <c r="G79" s="49">
        <f>Source!V234</f>
        <v>0.46511999999999998</v>
      </c>
      <c r="H79" s="49"/>
      <c r="I79" s="49"/>
      <c r="J79" s="49"/>
      <c r="K79" s="49"/>
      <c r="L79" s="53">
        <f>SUMIF(CE80:CE81, 1, L80:L81)</f>
        <v>138.34</v>
      </c>
      <c r="CE79">
        <v>1</v>
      </c>
    </row>
    <row r="80" spans="1:83" ht="42.75" x14ac:dyDescent="0.2">
      <c r="A80" s="47"/>
      <c r="B80" s="47" t="s">
        <v>386</v>
      </c>
      <c r="C80" s="47" t="s">
        <v>388</v>
      </c>
      <c r="D80" s="59" t="s">
        <v>389</v>
      </c>
      <c r="E80" s="49">
        <v>1.44</v>
      </c>
      <c r="F80" s="49"/>
      <c r="G80" s="49">
        <f>SmtRes!CX6</f>
        <v>0.46511999999999998</v>
      </c>
      <c r="H80" s="50">
        <f>SmtRes!CZ6</f>
        <v>37.32</v>
      </c>
      <c r="I80" s="60">
        <f>SmtRes!AJ6</f>
        <v>1.48</v>
      </c>
      <c r="J80" s="50">
        <f>ROUND(H80*I80, 2)</f>
        <v>55.23</v>
      </c>
      <c r="K80" s="60"/>
      <c r="L80" s="50">
        <f>SmtRes!DG6</f>
        <v>25.69</v>
      </c>
    </row>
    <row r="81" spans="1:83" ht="28.5" x14ac:dyDescent="0.2">
      <c r="A81" s="47"/>
      <c r="B81" s="47" t="s">
        <v>390</v>
      </c>
      <c r="C81" s="61" t="s">
        <v>633</v>
      </c>
      <c r="D81" s="62" t="s">
        <v>383</v>
      </c>
      <c r="E81" s="63">
        <f>SmtRes!DO6*SmtRes!AT6</f>
        <v>1.44</v>
      </c>
      <c r="F81" s="63"/>
      <c r="G81" s="63">
        <f>ROUND(E81*G75, 7)</f>
        <v>0.46511999999999998</v>
      </c>
      <c r="H81" s="64"/>
      <c r="I81" s="65"/>
      <c r="J81" s="64">
        <f>ROUND(SmtRes!AG6/SmtRes!DO6, 2)</f>
        <v>297.43</v>
      </c>
      <c r="K81" s="65"/>
      <c r="L81" s="64">
        <f>SmtRes!DH6</f>
        <v>138.34</v>
      </c>
      <c r="CE81">
        <v>1</v>
      </c>
    </row>
    <row r="82" spans="1:83" ht="15" x14ac:dyDescent="0.2">
      <c r="A82" s="47"/>
      <c r="B82" s="47"/>
      <c r="C82" s="66" t="s">
        <v>635</v>
      </c>
      <c r="D82" s="59"/>
      <c r="E82" s="49"/>
      <c r="F82" s="49"/>
      <c r="G82" s="49"/>
      <c r="H82" s="50"/>
      <c r="I82" s="60"/>
      <c r="J82" s="50"/>
      <c r="K82" s="60"/>
      <c r="L82" s="50">
        <f>L76+L78+L79</f>
        <v>6876.4299999999994</v>
      </c>
    </row>
    <row r="83" spans="1:83" ht="14.25" x14ac:dyDescent="0.2">
      <c r="A83" s="47"/>
      <c r="B83" s="47"/>
      <c r="C83" s="47" t="s">
        <v>636</v>
      </c>
      <c r="D83" s="59"/>
      <c r="E83" s="49"/>
      <c r="F83" s="49"/>
      <c r="G83" s="49"/>
      <c r="H83" s="50"/>
      <c r="I83" s="60"/>
      <c r="J83" s="50"/>
      <c r="K83" s="60"/>
      <c r="L83" s="50">
        <f>SUM(AR75:AR86)+SUM(AS75:AS86)+SUM(AT75:AT86)+SUM(AU75:AU86)+SUM(AV75:AV86)</f>
        <v>6850.74</v>
      </c>
    </row>
    <row r="84" spans="1:83" ht="14.25" x14ac:dyDescent="0.2">
      <c r="A84" s="47"/>
      <c r="B84" s="47" t="s">
        <v>94</v>
      </c>
      <c r="C84" s="47" t="s">
        <v>637</v>
      </c>
      <c r="D84" s="59" t="s">
        <v>638</v>
      </c>
      <c r="E84" s="49">
        <f>Source!BZ234</f>
        <v>89</v>
      </c>
      <c r="F84" s="49"/>
      <c r="G84" s="49">
        <f>Source!AT234</f>
        <v>89</v>
      </c>
      <c r="H84" s="50"/>
      <c r="I84" s="60"/>
      <c r="J84" s="50"/>
      <c r="K84" s="60"/>
      <c r="L84" s="50">
        <f>SUM(AZ75:AZ86)</f>
        <v>6097.16</v>
      </c>
    </row>
    <row r="85" spans="1:83" ht="14.25" x14ac:dyDescent="0.2">
      <c r="A85" s="61"/>
      <c r="B85" s="61" t="s">
        <v>95</v>
      </c>
      <c r="C85" s="61" t="s">
        <v>639</v>
      </c>
      <c r="D85" s="62" t="s">
        <v>638</v>
      </c>
      <c r="E85" s="63">
        <f>Source!CA234</f>
        <v>49</v>
      </c>
      <c r="F85" s="63"/>
      <c r="G85" s="63">
        <f>Source!AU234</f>
        <v>49</v>
      </c>
      <c r="H85" s="64"/>
      <c r="I85" s="65"/>
      <c r="J85" s="64"/>
      <c r="K85" s="65"/>
      <c r="L85" s="64">
        <f>SUM(BA75:BA86)</f>
        <v>3356.86</v>
      </c>
    </row>
    <row r="86" spans="1:83" ht="15" x14ac:dyDescent="0.2">
      <c r="C86" s="90" t="s">
        <v>640</v>
      </c>
      <c r="D86" s="90"/>
      <c r="E86" s="90"/>
      <c r="F86" s="90"/>
      <c r="G86" s="90"/>
      <c r="H86" s="90"/>
      <c r="I86" s="91">
        <f>IF(E75&lt;&gt;0,K86/E75, 0)</f>
        <v>50558.668730650155</v>
      </c>
      <c r="J86" s="91"/>
      <c r="K86" s="91">
        <f>L76+L78+L84+L85+L79</f>
        <v>16330.45</v>
      </c>
      <c r="L86" s="91"/>
      <c r="AD86">
        <f>ROUND((Source!AT234/100)*((ROUND(SUMIF(SmtRes!AQ4:'SmtRes'!AQ6,"=1",SmtRes!AD4:'SmtRes'!AD6)*Source!I234, 2)+ROUND(SUMIF(SmtRes!AQ4:'SmtRes'!AQ6,"=1",SmtRes!AC4:'SmtRes'!AC6)*Source!I234, 2))), 2)</f>
        <v>171</v>
      </c>
      <c r="AE86">
        <f>ROUND((Source!AU234/100)*((ROUND(SUMIF(SmtRes!AQ4:'SmtRes'!AQ6,"=1",SmtRes!AD4:'SmtRes'!AD6)*Source!I234, 2)+ROUND(SUMIF(SmtRes!AQ4:'SmtRes'!AQ6,"=1",SmtRes!AC4:'SmtRes'!AC6)*Source!I234, 2))), 2)</f>
        <v>94.15</v>
      </c>
      <c r="AN86" s="55">
        <f>L76+L78+L84+L85+L79</f>
        <v>16330.45</v>
      </c>
      <c r="AO86" s="55">
        <f>L78</f>
        <v>25.689999999999998</v>
      </c>
      <c r="AQ86" t="s">
        <v>641</v>
      </c>
      <c r="AR86" s="55">
        <f>L76</f>
        <v>6712.4</v>
      </c>
      <c r="AT86" s="55">
        <f>L79</f>
        <v>138.34</v>
      </c>
      <c r="AV86" t="s">
        <v>641</v>
      </c>
      <c r="AW86">
        <f>0</f>
        <v>0</v>
      </c>
      <c r="AZ86">
        <f>Source!X234</f>
        <v>6097.16</v>
      </c>
      <c r="BA86">
        <f>Source!Y234</f>
        <v>3356.86</v>
      </c>
      <c r="CD86">
        <v>1</v>
      </c>
    </row>
    <row r="87" spans="1:83" ht="42.75" x14ac:dyDescent="0.2">
      <c r="A87" s="58" t="s">
        <v>100</v>
      </c>
      <c r="B87" s="47" t="s">
        <v>643</v>
      </c>
      <c r="C87" s="47" t="str">
        <f>Source!G235</f>
        <v>Разборка отбойным молотком стяжек толщиной 20 мм: цементных, бетонных с кирпичным щебнем</v>
      </c>
      <c r="D87" s="59" t="str">
        <f>Source!H235</f>
        <v>100 м2</v>
      </c>
      <c r="E87" s="49">
        <f>Source!K235</f>
        <v>0.32200000000000001</v>
      </c>
      <c r="F87" s="49"/>
      <c r="G87" s="49">
        <f>Source!I235</f>
        <v>0.32200000000000001</v>
      </c>
      <c r="H87" s="50"/>
      <c r="I87" s="60"/>
      <c r="J87" s="50"/>
      <c r="K87" s="60"/>
      <c r="L87" s="50"/>
    </row>
    <row r="88" spans="1:83" ht="15" x14ac:dyDescent="0.2">
      <c r="A88" s="46"/>
      <c r="B88" s="49">
        <v>1</v>
      </c>
      <c r="C88" s="46" t="s">
        <v>631</v>
      </c>
      <c r="D88" s="59" t="s">
        <v>383</v>
      </c>
      <c r="E88" s="56"/>
      <c r="F88" s="49"/>
      <c r="G88" s="49">
        <f>Source!U235</f>
        <v>4.5820600000000002</v>
      </c>
      <c r="H88" s="49"/>
      <c r="I88" s="49"/>
      <c r="J88" s="49"/>
      <c r="K88" s="49"/>
      <c r="L88" s="53">
        <f>SUM(L89:L89)-SUMIF(CE89:CE89, 1, L89:L89)</f>
        <v>1271.2</v>
      </c>
    </row>
    <row r="89" spans="1:83" ht="14.25" x14ac:dyDescent="0.2">
      <c r="A89" s="47"/>
      <c r="B89" s="47" t="s">
        <v>393</v>
      </c>
      <c r="C89" s="47" t="s">
        <v>394</v>
      </c>
      <c r="D89" s="59" t="s">
        <v>383</v>
      </c>
      <c r="E89" s="49">
        <v>14.23</v>
      </c>
      <c r="F89" s="49"/>
      <c r="G89" s="49">
        <f>SmtRes!CX7</f>
        <v>4.5820600000000002</v>
      </c>
      <c r="H89" s="50"/>
      <c r="I89" s="60"/>
      <c r="J89" s="50">
        <f>SmtRes!CZ7</f>
        <v>277.43</v>
      </c>
      <c r="K89" s="60"/>
      <c r="L89" s="50">
        <f>SmtRes!DI7</f>
        <v>1271.2</v>
      </c>
    </row>
    <row r="90" spans="1:83" ht="15" x14ac:dyDescent="0.2">
      <c r="A90" s="46"/>
      <c r="B90" s="49">
        <v>2</v>
      </c>
      <c r="C90" s="46" t="s">
        <v>632</v>
      </c>
      <c r="D90" s="59"/>
      <c r="E90" s="56"/>
      <c r="F90" s="49"/>
      <c r="G90" s="49"/>
      <c r="H90" s="49"/>
      <c r="I90" s="49"/>
      <c r="J90" s="49"/>
      <c r="K90" s="49"/>
      <c r="L90" s="53">
        <f>SUM(L91:L93)-SUMIF(CE91:CE93, 1, L91:L93)</f>
        <v>459.47999999999996</v>
      </c>
    </row>
    <row r="91" spans="1:83" ht="15" hidden="1" x14ac:dyDescent="0.2">
      <c r="A91" s="46"/>
      <c r="B91" s="49"/>
      <c r="C91" s="46" t="s">
        <v>634</v>
      </c>
      <c r="D91" s="59" t="s">
        <v>383</v>
      </c>
      <c r="E91" s="56"/>
      <c r="F91" s="49"/>
      <c r="G91" s="49">
        <f>Source!V235</f>
        <v>0</v>
      </c>
      <c r="H91" s="49"/>
      <c r="I91" s="49"/>
      <c r="J91" s="49"/>
      <c r="K91" s="49"/>
      <c r="L91" s="53">
        <f>SUMIF(CE92:CE93, 1, L92:L93)</f>
        <v>0</v>
      </c>
      <c r="CE91">
        <v>1</v>
      </c>
    </row>
    <row r="92" spans="1:83" ht="57" x14ac:dyDescent="0.2">
      <c r="A92" s="47"/>
      <c r="B92" s="47" t="s">
        <v>395</v>
      </c>
      <c r="C92" s="47" t="s">
        <v>397</v>
      </c>
      <c r="D92" s="59" t="s">
        <v>389</v>
      </c>
      <c r="E92" s="49">
        <v>8</v>
      </c>
      <c r="F92" s="49"/>
      <c r="G92" s="49">
        <f>SmtRes!CX8</f>
        <v>2.5760000000000001</v>
      </c>
      <c r="H92" s="50">
        <f>SmtRes!CZ8</f>
        <v>115.43</v>
      </c>
      <c r="I92" s="60">
        <f>SmtRes!AJ8</f>
        <v>1.52</v>
      </c>
      <c r="J92" s="50">
        <f>ROUND(H92*I92, 2)</f>
        <v>175.45</v>
      </c>
      <c r="K92" s="60"/>
      <c r="L92" s="50">
        <f>SmtRes!DG8</f>
        <v>451.96</v>
      </c>
    </row>
    <row r="93" spans="1:83" ht="42.75" x14ac:dyDescent="0.2">
      <c r="A93" s="47"/>
      <c r="B93" s="47" t="s">
        <v>398</v>
      </c>
      <c r="C93" s="61" t="s">
        <v>400</v>
      </c>
      <c r="D93" s="62" t="s">
        <v>389</v>
      </c>
      <c r="E93" s="63">
        <v>8</v>
      </c>
      <c r="F93" s="63"/>
      <c r="G93" s="63">
        <f>SmtRes!CX9</f>
        <v>2.5760000000000001</v>
      </c>
      <c r="H93" s="64"/>
      <c r="I93" s="65"/>
      <c r="J93" s="64">
        <f>SmtRes!CZ9</f>
        <v>2.92</v>
      </c>
      <c r="K93" s="65"/>
      <c r="L93" s="64">
        <f>SmtRes!DG9</f>
        <v>7.52</v>
      </c>
    </row>
    <row r="94" spans="1:83" ht="15" x14ac:dyDescent="0.2">
      <c r="A94" s="47"/>
      <c r="B94" s="47"/>
      <c r="C94" s="66" t="s">
        <v>635</v>
      </c>
      <c r="D94" s="59"/>
      <c r="E94" s="49"/>
      <c r="F94" s="49"/>
      <c r="G94" s="49"/>
      <c r="H94" s="50"/>
      <c r="I94" s="60"/>
      <c r="J94" s="50"/>
      <c r="K94" s="60"/>
      <c r="L94" s="50">
        <f>L88+L90+L91</f>
        <v>1730.68</v>
      </c>
    </row>
    <row r="95" spans="1:83" ht="14.25" x14ac:dyDescent="0.2">
      <c r="A95" s="47"/>
      <c r="B95" s="47"/>
      <c r="C95" s="47" t="s">
        <v>636</v>
      </c>
      <c r="D95" s="59"/>
      <c r="E95" s="49"/>
      <c r="F95" s="49"/>
      <c r="G95" s="49"/>
      <c r="H95" s="50"/>
      <c r="I95" s="60"/>
      <c r="J95" s="50"/>
      <c r="K95" s="60"/>
      <c r="L95" s="50">
        <f>SUM(AR87:AR98)+SUM(AS87:AS98)+SUM(AT87:AT98)+SUM(AU87:AU98)+SUM(AV87:AV98)</f>
        <v>1271.2</v>
      </c>
    </row>
    <row r="96" spans="1:83" ht="14.25" x14ac:dyDescent="0.2">
      <c r="A96" s="47"/>
      <c r="B96" s="47" t="s">
        <v>94</v>
      </c>
      <c r="C96" s="47" t="s">
        <v>637</v>
      </c>
      <c r="D96" s="59" t="s">
        <v>638</v>
      </c>
      <c r="E96" s="49">
        <f>Source!BZ235</f>
        <v>89</v>
      </c>
      <c r="F96" s="49"/>
      <c r="G96" s="49">
        <f>Source!AT235</f>
        <v>89</v>
      </c>
      <c r="H96" s="50"/>
      <c r="I96" s="60"/>
      <c r="J96" s="50"/>
      <c r="K96" s="60"/>
      <c r="L96" s="50">
        <f>SUM(AZ87:AZ98)</f>
        <v>1131.3699999999999</v>
      </c>
    </row>
    <row r="97" spans="1:83" ht="14.25" x14ac:dyDescent="0.2">
      <c r="A97" s="61"/>
      <c r="B97" s="61" t="s">
        <v>95</v>
      </c>
      <c r="C97" s="61" t="s">
        <v>639</v>
      </c>
      <c r="D97" s="62" t="s">
        <v>638</v>
      </c>
      <c r="E97" s="63">
        <f>Source!CA235</f>
        <v>49</v>
      </c>
      <c r="F97" s="63"/>
      <c r="G97" s="63">
        <f>Source!AU235</f>
        <v>49</v>
      </c>
      <c r="H97" s="64"/>
      <c r="I97" s="65"/>
      <c r="J97" s="64"/>
      <c r="K97" s="65"/>
      <c r="L97" s="64">
        <f>SUM(BA87:BA98)</f>
        <v>622.89</v>
      </c>
    </row>
    <row r="98" spans="1:83" ht="15" x14ac:dyDescent="0.2">
      <c r="C98" s="90" t="s">
        <v>640</v>
      </c>
      <c r="D98" s="90"/>
      <c r="E98" s="90"/>
      <c r="F98" s="90"/>
      <c r="G98" s="90"/>
      <c r="H98" s="90"/>
      <c r="I98" s="91">
        <f>IF(E87&lt;&gt;0,K98/E87, 0)</f>
        <v>10822.795031055901</v>
      </c>
      <c r="J98" s="91"/>
      <c r="K98" s="91">
        <f>L88+L90+L96+L97+L91</f>
        <v>3484.94</v>
      </c>
      <c r="L98" s="91"/>
      <c r="AD98">
        <f>ROUND((Source!AT235/100)*((ROUND(SUMIF(SmtRes!AQ7:'SmtRes'!AQ9,"=1",SmtRes!AD7:'SmtRes'!AD9)*Source!I235, 2)+ROUND(SUMIF(SmtRes!AQ7:'SmtRes'!AQ9,"=1",SmtRes!AC7:'SmtRes'!AC9)*Source!I235, 2))), 2)</f>
        <v>79.5</v>
      </c>
      <c r="AE98">
        <f>ROUND((Source!AU235/100)*((ROUND(SUMIF(SmtRes!AQ7:'SmtRes'!AQ9,"=1",SmtRes!AD7:'SmtRes'!AD9)*Source!I235, 2)+ROUND(SUMIF(SmtRes!AQ7:'SmtRes'!AQ9,"=1",SmtRes!AC7:'SmtRes'!AC9)*Source!I235, 2))), 2)</f>
        <v>43.77</v>
      </c>
      <c r="AN98" s="55">
        <f>L88+L90+L96+L97+L91</f>
        <v>3484.94</v>
      </c>
      <c r="AO98" s="55">
        <f>L90</f>
        <v>459.47999999999996</v>
      </c>
      <c r="AQ98" t="s">
        <v>641</v>
      </c>
      <c r="AR98" s="55">
        <f>L88</f>
        <v>1271.2</v>
      </c>
      <c r="AT98" s="55">
        <f>L91</f>
        <v>0</v>
      </c>
      <c r="AV98" t="s">
        <v>641</v>
      </c>
      <c r="AW98">
        <f>0</f>
        <v>0</v>
      </c>
      <c r="AZ98">
        <f>Source!X235</f>
        <v>1131.3699999999999</v>
      </c>
      <c r="BA98">
        <f>Source!Y235</f>
        <v>622.89</v>
      </c>
      <c r="CD98">
        <v>1</v>
      </c>
    </row>
    <row r="99" spans="1:83" ht="106.5" x14ac:dyDescent="0.2">
      <c r="A99" s="58" t="s">
        <v>104</v>
      </c>
      <c r="B99" s="47" t="s">
        <v>644</v>
      </c>
      <c r="C99" s="47" t="s">
        <v>645</v>
      </c>
      <c r="D99" s="59" t="str">
        <f>Source!H236</f>
        <v>100 м2</v>
      </c>
      <c r="E99" s="49">
        <f>Source!K236</f>
        <v>0.32200000000000001</v>
      </c>
      <c r="F99" s="49"/>
      <c r="G99" s="49">
        <f>Source!I236</f>
        <v>0.32200000000000001</v>
      </c>
      <c r="H99" s="50"/>
      <c r="I99" s="60"/>
      <c r="J99" s="50"/>
      <c r="K99" s="60"/>
      <c r="L99" s="50"/>
    </row>
    <row r="100" spans="1:83" ht="38.25" x14ac:dyDescent="0.2">
      <c r="B100" s="67" t="str">
        <f>CONCATENATE("Поправка: ", Source!EO236)</f>
        <v>Поправка: Попр.Коэффициент кратности</v>
      </c>
      <c r="C100" s="67" t="str">
        <f>Source!CN236</f>
        <v>Поправка:до толщ.30мм</v>
      </c>
    </row>
    <row r="101" spans="1:83" ht="15" x14ac:dyDescent="0.2">
      <c r="A101" s="46"/>
      <c r="B101" s="49">
        <v>1</v>
      </c>
      <c r="C101" s="46" t="s">
        <v>631</v>
      </c>
      <c r="D101" s="59" t="s">
        <v>383</v>
      </c>
      <c r="E101" s="56"/>
      <c r="F101" s="49"/>
      <c r="G101" s="49">
        <f>Source!U236</f>
        <v>2.29264</v>
      </c>
      <c r="H101" s="49"/>
      <c r="I101" s="49"/>
      <c r="J101" s="49"/>
      <c r="K101" s="49"/>
      <c r="L101" s="53">
        <f>SUM(L102:L102)-SUMIF(CE102:CE102, 1, L102:L102)</f>
        <v>636.04999999999995</v>
      </c>
    </row>
    <row r="102" spans="1:83" ht="14.25" x14ac:dyDescent="0.2">
      <c r="A102" s="47"/>
      <c r="B102" s="47" t="s">
        <v>393</v>
      </c>
      <c r="C102" s="47" t="s">
        <v>394</v>
      </c>
      <c r="D102" s="59" t="s">
        <v>383</v>
      </c>
      <c r="E102" s="49">
        <v>3.56</v>
      </c>
      <c r="F102" s="49">
        <f>ROUND(2,7)</f>
        <v>2</v>
      </c>
      <c r="G102" s="49">
        <f>SmtRes!CX10</f>
        <v>2.29264</v>
      </c>
      <c r="H102" s="50"/>
      <c r="I102" s="60"/>
      <c r="J102" s="50">
        <f>SmtRes!CZ10</f>
        <v>277.43</v>
      </c>
      <c r="K102" s="60"/>
      <c r="L102" s="50">
        <f>SmtRes!DI10</f>
        <v>636.04999999999995</v>
      </c>
    </row>
    <row r="103" spans="1:83" ht="15" x14ac:dyDescent="0.2">
      <c r="A103" s="46"/>
      <c r="B103" s="49">
        <v>2</v>
      </c>
      <c r="C103" s="46" t="s">
        <v>632</v>
      </c>
      <c r="D103" s="59"/>
      <c r="E103" s="56"/>
      <c r="F103" s="49"/>
      <c r="G103" s="49"/>
      <c r="H103" s="49"/>
      <c r="I103" s="49"/>
      <c r="J103" s="49"/>
      <c r="K103" s="49"/>
      <c r="L103" s="53">
        <f>SUM(L104:L106)-SUMIF(CE104:CE106, 1, L104:L106)</f>
        <v>229.73999999999998</v>
      </c>
    </row>
    <row r="104" spans="1:83" ht="15" hidden="1" x14ac:dyDescent="0.2">
      <c r="A104" s="46"/>
      <c r="B104" s="49"/>
      <c r="C104" s="46" t="s">
        <v>634</v>
      </c>
      <c r="D104" s="59" t="s">
        <v>383</v>
      </c>
      <c r="E104" s="56"/>
      <c r="F104" s="49"/>
      <c r="G104" s="49">
        <f>Source!V236</f>
        <v>0</v>
      </c>
      <c r="H104" s="49"/>
      <c r="I104" s="49"/>
      <c r="J104" s="49"/>
      <c r="K104" s="49"/>
      <c r="L104" s="53">
        <f>SUMIF(CE105:CE106, 1, L105:L106)</f>
        <v>0</v>
      </c>
      <c r="CE104">
        <v>1</v>
      </c>
    </row>
    <row r="105" spans="1:83" ht="57" x14ac:dyDescent="0.2">
      <c r="A105" s="47"/>
      <c r="B105" s="47" t="s">
        <v>395</v>
      </c>
      <c r="C105" s="47" t="s">
        <v>397</v>
      </c>
      <c r="D105" s="59" t="s">
        <v>389</v>
      </c>
      <c r="E105" s="49">
        <v>2</v>
      </c>
      <c r="F105" s="49">
        <f>ROUND(2,7)</f>
        <v>2</v>
      </c>
      <c r="G105" s="49">
        <f>SmtRes!CX11</f>
        <v>1.288</v>
      </c>
      <c r="H105" s="50">
        <f>SmtRes!CZ11</f>
        <v>115.43</v>
      </c>
      <c r="I105" s="60">
        <f>SmtRes!AJ11</f>
        <v>1.52</v>
      </c>
      <c r="J105" s="50">
        <f>ROUND(H105*I105, 2)</f>
        <v>175.45</v>
      </c>
      <c r="K105" s="60"/>
      <c r="L105" s="50">
        <f>SmtRes!DG11</f>
        <v>225.98</v>
      </c>
    </row>
    <row r="106" spans="1:83" ht="42.75" x14ac:dyDescent="0.2">
      <c r="A106" s="47"/>
      <c r="B106" s="47" t="s">
        <v>398</v>
      </c>
      <c r="C106" s="61" t="s">
        <v>400</v>
      </c>
      <c r="D106" s="62" t="s">
        <v>389</v>
      </c>
      <c r="E106" s="63">
        <v>2</v>
      </c>
      <c r="F106" s="63">
        <f>ROUND(2,7)</f>
        <v>2</v>
      </c>
      <c r="G106" s="63">
        <f>SmtRes!CX12</f>
        <v>1.288</v>
      </c>
      <c r="H106" s="64"/>
      <c r="I106" s="65"/>
      <c r="J106" s="64">
        <f>SmtRes!CZ12</f>
        <v>2.92</v>
      </c>
      <c r="K106" s="65"/>
      <c r="L106" s="64">
        <f>SmtRes!DG12</f>
        <v>3.76</v>
      </c>
    </row>
    <row r="107" spans="1:83" ht="15" x14ac:dyDescent="0.2">
      <c r="A107" s="47"/>
      <c r="B107" s="47"/>
      <c r="C107" s="66" t="s">
        <v>635</v>
      </c>
      <c r="D107" s="59"/>
      <c r="E107" s="49"/>
      <c r="F107" s="49"/>
      <c r="G107" s="49"/>
      <c r="H107" s="50"/>
      <c r="I107" s="60"/>
      <c r="J107" s="50"/>
      <c r="K107" s="60"/>
      <c r="L107" s="50">
        <f>L101+L103+L104</f>
        <v>865.79</v>
      </c>
    </row>
    <row r="108" spans="1:83" ht="14.25" x14ac:dyDescent="0.2">
      <c r="A108" s="47"/>
      <c r="B108" s="47"/>
      <c r="C108" s="47" t="s">
        <v>636</v>
      </c>
      <c r="D108" s="59"/>
      <c r="E108" s="49"/>
      <c r="F108" s="49"/>
      <c r="G108" s="49"/>
      <c r="H108" s="50"/>
      <c r="I108" s="60"/>
      <c r="J108" s="50"/>
      <c r="K108" s="60"/>
      <c r="L108" s="50">
        <f>SUM(AR99:AR111)+SUM(AS99:AS111)+SUM(AT99:AT111)+SUM(AU99:AU111)+SUM(AV99:AV111)</f>
        <v>636.04999999999995</v>
      </c>
    </row>
    <row r="109" spans="1:83" ht="14.25" x14ac:dyDescent="0.2">
      <c r="A109" s="47"/>
      <c r="B109" s="47" t="s">
        <v>94</v>
      </c>
      <c r="C109" s="47" t="s">
        <v>637</v>
      </c>
      <c r="D109" s="59" t="s">
        <v>638</v>
      </c>
      <c r="E109" s="49">
        <f>Source!BZ236</f>
        <v>89</v>
      </c>
      <c r="F109" s="49"/>
      <c r="G109" s="49">
        <f>Source!AT236</f>
        <v>89</v>
      </c>
      <c r="H109" s="50"/>
      <c r="I109" s="60"/>
      <c r="J109" s="50"/>
      <c r="K109" s="60"/>
      <c r="L109" s="50">
        <f>SUM(AZ99:AZ111)</f>
        <v>566.08000000000004</v>
      </c>
    </row>
    <row r="110" spans="1:83" ht="14.25" x14ac:dyDescent="0.2">
      <c r="A110" s="61"/>
      <c r="B110" s="61" t="s">
        <v>95</v>
      </c>
      <c r="C110" s="61" t="s">
        <v>639</v>
      </c>
      <c r="D110" s="62" t="s">
        <v>638</v>
      </c>
      <c r="E110" s="63">
        <f>Source!CA236</f>
        <v>49</v>
      </c>
      <c r="F110" s="63"/>
      <c r="G110" s="63">
        <f>Source!AU236</f>
        <v>49</v>
      </c>
      <c r="H110" s="64"/>
      <c r="I110" s="65"/>
      <c r="J110" s="64"/>
      <c r="K110" s="65"/>
      <c r="L110" s="64">
        <f>SUM(BA99:BA111)</f>
        <v>311.66000000000003</v>
      </c>
    </row>
    <row r="111" spans="1:83" ht="15" x14ac:dyDescent="0.2">
      <c r="C111" s="90" t="s">
        <v>640</v>
      </c>
      <c r="D111" s="90"/>
      <c r="E111" s="90"/>
      <c r="F111" s="90"/>
      <c r="G111" s="90"/>
      <c r="H111" s="90"/>
      <c r="I111" s="91">
        <f>IF(E99&lt;&gt;0,K111/E99, 0)</f>
        <v>5414.6894409937886</v>
      </c>
      <c r="J111" s="91"/>
      <c r="K111" s="91">
        <f>L101+L103+L109+L110+L104</f>
        <v>1743.53</v>
      </c>
      <c r="L111" s="91"/>
      <c r="AD111">
        <f>ROUND((Source!AT236/100)*((ROUND(SUMIF(SmtRes!AQ10:'SmtRes'!AQ12,"=1",SmtRes!AD10:'SmtRes'!AD12)*Source!I236, 2)+ROUND(SUMIF(SmtRes!AQ10:'SmtRes'!AQ12,"=1",SmtRes!AC10:'SmtRes'!AC12)*Source!I236, 2))), 2)</f>
        <v>79.5</v>
      </c>
      <c r="AE111">
        <f>ROUND((Source!AU236/100)*((ROUND(SUMIF(SmtRes!AQ10:'SmtRes'!AQ12,"=1",SmtRes!AD10:'SmtRes'!AD12)*Source!I236, 2)+ROUND(SUMIF(SmtRes!AQ10:'SmtRes'!AQ12,"=1",SmtRes!AC10:'SmtRes'!AC12)*Source!I236, 2))), 2)</f>
        <v>43.77</v>
      </c>
      <c r="AN111" s="55">
        <f>L101+L103+L109+L110+L104</f>
        <v>1743.53</v>
      </c>
      <c r="AO111" s="55">
        <f>L103</f>
        <v>229.73999999999998</v>
      </c>
      <c r="AQ111" t="s">
        <v>641</v>
      </c>
      <c r="AR111" s="55">
        <f>L101</f>
        <v>636.04999999999995</v>
      </c>
      <c r="AT111" s="55">
        <f>L104</f>
        <v>0</v>
      </c>
      <c r="AV111" t="s">
        <v>641</v>
      </c>
      <c r="AW111">
        <f>0</f>
        <v>0</v>
      </c>
      <c r="AZ111">
        <f>Source!X236</f>
        <v>566.08000000000004</v>
      </c>
      <c r="BA111">
        <f>Source!Y236</f>
        <v>311.66000000000003</v>
      </c>
      <c r="CD111">
        <v>1</v>
      </c>
    </row>
    <row r="112" spans="1:83" ht="105" x14ac:dyDescent="0.2">
      <c r="A112" s="58" t="s">
        <v>111</v>
      </c>
      <c r="B112" s="47" t="s">
        <v>646</v>
      </c>
      <c r="C112" s="47" t="s">
        <v>647</v>
      </c>
      <c r="D112" s="59" t="str">
        <f>Source!H237</f>
        <v>100 м2</v>
      </c>
      <c r="E112" s="49">
        <f>Source!K237</f>
        <v>0.32200000000000001</v>
      </c>
      <c r="F112" s="49"/>
      <c r="G112" s="49">
        <f>Source!I237</f>
        <v>0.32200000000000001</v>
      </c>
      <c r="H112" s="50"/>
      <c r="I112" s="60"/>
      <c r="J112" s="50"/>
      <c r="K112" s="60"/>
      <c r="L112" s="50"/>
    </row>
    <row r="113" spans="1:83" ht="76.5" x14ac:dyDescent="0.2">
      <c r="B113" s="67" t="str">
        <f>CONCATENATE("Поправка: ", Source!EO237)</f>
        <v>Поправка: Попр.421/пр_2020_п.58_пп.б</v>
      </c>
      <c r="C113" s="67" t="str">
        <f>Source!CN237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114" spans="1:83" ht="15" x14ac:dyDescent="0.2">
      <c r="A114" s="46"/>
      <c r="B114" s="49">
        <v>1</v>
      </c>
      <c r="C114" s="46" t="s">
        <v>631</v>
      </c>
      <c r="D114" s="59" t="s">
        <v>383</v>
      </c>
      <c r="E114" s="56"/>
      <c r="F114" s="49"/>
      <c r="G114" s="49">
        <f>Source!U237</f>
        <v>13.18268</v>
      </c>
      <c r="H114" s="49"/>
      <c r="I114" s="49"/>
      <c r="J114" s="49"/>
      <c r="K114" s="49"/>
      <c r="L114" s="53">
        <f>SUM(L115:L115)-SUMIF(CE115:CE115, 1, L115:L115)</f>
        <v>3657.27</v>
      </c>
    </row>
    <row r="115" spans="1:83" ht="14.25" x14ac:dyDescent="0.2">
      <c r="A115" s="47"/>
      <c r="B115" s="47" t="s">
        <v>393</v>
      </c>
      <c r="C115" s="47" t="s">
        <v>394</v>
      </c>
      <c r="D115" s="59" t="s">
        <v>383</v>
      </c>
      <c r="E115" s="49">
        <v>35.6</v>
      </c>
      <c r="F115" s="49">
        <f>ROUND(1.15,7)</f>
        <v>1.1499999999999999</v>
      </c>
      <c r="G115" s="49">
        <f>SmtRes!CX13</f>
        <v>13.18268</v>
      </c>
      <c r="H115" s="50"/>
      <c r="I115" s="60"/>
      <c r="J115" s="50">
        <f>SmtRes!CZ13</f>
        <v>277.43</v>
      </c>
      <c r="K115" s="60"/>
      <c r="L115" s="50">
        <f>SmtRes!DI13</f>
        <v>3657.27</v>
      </c>
    </row>
    <row r="116" spans="1:83" ht="15" x14ac:dyDescent="0.2">
      <c r="A116" s="46"/>
      <c r="B116" s="49">
        <v>2</v>
      </c>
      <c r="C116" s="46" t="s">
        <v>632</v>
      </c>
      <c r="D116" s="59"/>
      <c r="E116" s="56"/>
      <c r="F116" s="49"/>
      <c r="G116" s="49"/>
      <c r="H116" s="49"/>
      <c r="I116" s="49"/>
      <c r="J116" s="49"/>
      <c r="K116" s="49"/>
      <c r="L116" s="53">
        <f>SUM(L117:L120)-SUMIF(CE117:CE120, 1, L117:L120)</f>
        <v>71.759999999999934</v>
      </c>
    </row>
    <row r="117" spans="1:83" ht="15" x14ac:dyDescent="0.2">
      <c r="A117" s="46"/>
      <c r="B117" s="49"/>
      <c r="C117" s="46" t="s">
        <v>634</v>
      </c>
      <c r="D117" s="59" t="s">
        <v>383</v>
      </c>
      <c r="E117" s="56"/>
      <c r="F117" s="49"/>
      <c r="G117" s="49">
        <f>Source!V237</f>
        <v>0.51117500000000005</v>
      </c>
      <c r="H117" s="49"/>
      <c r="I117" s="49"/>
      <c r="J117" s="49"/>
      <c r="K117" s="49"/>
      <c r="L117" s="53">
        <f>SUMIF(CE118:CE120, 1, L118:L120)</f>
        <v>152.04</v>
      </c>
      <c r="CE117">
        <v>1</v>
      </c>
    </row>
    <row r="118" spans="1:83" ht="42.75" x14ac:dyDescent="0.2">
      <c r="A118" s="47"/>
      <c r="B118" s="47" t="s">
        <v>386</v>
      </c>
      <c r="C118" s="47" t="s">
        <v>388</v>
      </c>
      <c r="D118" s="59" t="s">
        <v>389</v>
      </c>
      <c r="E118" s="49">
        <v>1.27</v>
      </c>
      <c r="F118" s="49">
        <f>ROUND(1.25,7)</f>
        <v>1.25</v>
      </c>
      <c r="G118" s="49">
        <f>SmtRes!CX15</f>
        <v>0.51117500000000005</v>
      </c>
      <c r="H118" s="50">
        <f>SmtRes!CZ15</f>
        <v>37.32</v>
      </c>
      <c r="I118" s="60">
        <f>SmtRes!AJ15</f>
        <v>1.48</v>
      </c>
      <c r="J118" s="50">
        <f>ROUND(H118*I118, 2)</f>
        <v>55.23</v>
      </c>
      <c r="K118" s="60"/>
      <c r="L118" s="50">
        <f>SmtRes!DG15</f>
        <v>28.23</v>
      </c>
    </row>
    <row r="119" spans="1:83" ht="28.5" x14ac:dyDescent="0.2">
      <c r="A119" s="47"/>
      <c r="B119" s="47" t="s">
        <v>390</v>
      </c>
      <c r="C119" s="47" t="s">
        <v>633</v>
      </c>
      <c r="D119" s="59" t="s">
        <v>383</v>
      </c>
      <c r="E119" s="49">
        <f>SmtRes!DO15*SmtRes!AT15</f>
        <v>1.27</v>
      </c>
      <c r="F119" s="49">
        <f>ROUND(1.25,7)</f>
        <v>1.25</v>
      </c>
      <c r="G119" s="49">
        <f>ROUND(E119*F119*G112, 7)</f>
        <v>0.51117500000000005</v>
      </c>
      <c r="H119" s="50"/>
      <c r="I119" s="60"/>
      <c r="J119" s="50">
        <f>ROUND(SmtRes!AG15/SmtRes!DO15, 2)</f>
        <v>297.43</v>
      </c>
      <c r="K119" s="60"/>
      <c r="L119" s="50">
        <f>SmtRes!DH15</f>
        <v>152.04</v>
      </c>
      <c r="CE119">
        <v>1</v>
      </c>
    </row>
    <row r="120" spans="1:83" ht="14.25" x14ac:dyDescent="0.2">
      <c r="A120" s="47"/>
      <c r="B120" s="47" t="s">
        <v>401</v>
      </c>
      <c r="C120" s="47" t="s">
        <v>403</v>
      </c>
      <c r="D120" s="59" t="s">
        <v>389</v>
      </c>
      <c r="E120" s="49">
        <v>7.82</v>
      </c>
      <c r="F120" s="49">
        <f>ROUND(1.25,7)</f>
        <v>1.25</v>
      </c>
      <c r="G120" s="49">
        <f>SmtRes!CX16</f>
        <v>3.1475499999999998</v>
      </c>
      <c r="H120" s="50">
        <f>SmtRes!CZ16</f>
        <v>8.5399999999999991</v>
      </c>
      <c r="I120" s="60">
        <f>SmtRes!AJ16</f>
        <v>1.62</v>
      </c>
      <c r="J120" s="50">
        <f>ROUND(H120*I120, 2)</f>
        <v>13.83</v>
      </c>
      <c r="K120" s="60"/>
      <c r="L120" s="50">
        <f>SmtRes!DG16</f>
        <v>43.53</v>
      </c>
    </row>
    <row r="121" spans="1:83" ht="15" x14ac:dyDescent="0.2">
      <c r="A121" s="46"/>
      <c r="B121" s="49">
        <v>4</v>
      </c>
      <c r="C121" s="46" t="s">
        <v>648</v>
      </c>
      <c r="D121" s="59"/>
      <c r="E121" s="56"/>
      <c r="F121" s="49"/>
      <c r="G121" s="49"/>
      <c r="H121" s="49"/>
      <c r="I121" s="49"/>
      <c r="J121" s="49"/>
      <c r="K121" s="49"/>
      <c r="L121" s="53">
        <f>SUM(L122:L122)-SUMIF(CE122:CE122, 1, L122:L122)</f>
        <v>23.34</v>
      </c>
    </row>
    <row r="122" spans="1:83" ht="14.25" x14ac:dyDescent="0.2">
      <c r="A122" s="47"/>
      <c r="B122" s="47" t="s">
        <v>404</v>
      </c>
      <c r="C122" s="47" t="s">
        <v>406</v>
      </c>
      <c r="D122" s="59" t="s">
        <v>134</v>
      </c>
      <c r="E122" s="49">
        <v>3.5</v>
      </c>
      <c r="F122" s="49"/>
      <c r="G122" s="49">
        <f>SmtRes!CX17</f>
        <v>1.127</v>
      </c>
      <c r="H122" s="50">
        <f>SmtRes!CZ17</f>
        <v>35.71</v>
      </c>
      <c r="I122" s="60">
        <f>SmtRes!AI17</f>
        <v>0.57999999999999996</v>
      </c>
      <c r="J122" s="50">
        <f>ROUND(H122*I122, 2)</f>
        <v>20.71</v>
      </c>
      <c r="K122" s="60"/>
      <c r="L122" s="50">
        <f>SmtRes!DF17</f>
        <v>23.34</v>
      </c>
    </row>
    <row r="123" spans="1:83" ht="28.5" x14ac:dyDescent="0.2">
      <c r="A123" s="47"/>
      <c r="B123" s="47" t="str">
        <f>EtalonRes!I22</f>
        <v>04.3.01.09</v>
      </c>
      <c r="C123" s="61" t="str">
        <f>EtalonRes!K22</f>
        <v>Раствор готовый кладочный тяжелый цементный</v>
      </c>
      <c r="D123" s="62" t="str">
        <f>EtalonRes!O22</f>
        <v>м3</v>
      </c>
      <c r="E123" s="63">
        <f>EtalonRes!X22</f>
        <v>2.04</v>
      </c>
      <c r="F123" s="63"/>
      <c r="G123" s="63">
        <f>ROUND(EtalonRes!AG22*Source!I237, 7)</f>
        <v>0.65688000000000002</v>
      </c>
      <c r="H123" s="64"/>
      <c r="I123" s="65"/>
      <c r="J123" s="64"/>
      <c r="K123" s="65"/>
      <c r="L123" s="64"/>
    </row>
    <row r="124" spans="1:83" ht="15" x14ac:dyDescent="0.2">
      <c r="A124" s="47"/>
      <c r="B124" s="47"/>
      <c r="C124" s="66" t="s">
        <v>635</v>
      </c>
      <c r="D124" s="59"/>
      <c r="E124" s="49"/>
      <c r="F124" s="49"/>
      <c r="G124" s="49"/>
      <c r="H124" s="50"/>
      <c r="I124" s="60"/>
      <c r="J124" s="50"/>
      <c r="K124" s="60"/>
      <c r="L124" s="50">
        <f>L114+L116+L117+L121</f>
        <v>3904.41</v>
      </c>
    </row>
    <row r="125" spans="1:83" ht="14.25" x14ac:dyDescent="0.2">
      <c r="A125" s="47"/>
      <c r="B125" s="47"/>
      <c r="C125" s="47" t="s">
        <v>636</v>
      </c>
      <c r="D125" s="59"/>
      <c r="E125" s="49"/>
      <c r="F125" s="49"/>
      <c r="G125" s="49"/>
      <c r="H125" s="50"/>
      <c r="I125" s="60"/>
      <c r="J125" s="50"/>
      <c r="K125" s="60"/>
      <c r="L125" s="50">
        <f>SUM(AR112:AR128)+SUM(AS112:AS128)+SUM(AT112:AT128)+SUM(AU112:AU128)+SUM(AV112:AV128)</f>
        <v>3809.31</v>
      </c>
    </row>
    <row r="126" spans="1:83" ht="14.25" x14ac:dyDescent="0.2">
      <c r="A126" s="47"/>
      <c r="B126" s="47" t="s">
        <v>122</v>
      </c>
      <c r="C126" s="47" t="s">
        <v>637</v>
      </c>
      <c r="D126" s="59" t="s">
        <v>638</v>
      </c>
      <c r="E126" s="49">
        <f>Source!BZ237</f>
        <v>112</v>
      </c>
      <c r="F126" s="49">
        <f>ROUND(0.9,7)</f>
        <v>0.9</v>
      </c>
      <c r="G126" s="49">
        <f>Source!AT237</f>
        <v>100.8</v>
      </c>
      <c r="H126" s="50"/>
      <c r="I126" s="60"/>
      <c r="J126" s="50"/>
      <c r="K126" s="60"/>
      <c r="L126" s="50">
        <f>SUM(AZ112:AZ128)</f>
        <v>3839.78</v>
      </c>
    </row>
    <row r="127" spans="1:83" ht="14.25" x14ac:dyDescent="0.2">
      <c r="A127" s="61"/>
      <c r="B127" s="61" t="s">
        <v>123</v>
      </c>
      <c r="C127" s="61" t="s">
        <v>639</v>
      </c>
      <c r="D127" s="62" t="s">
        <v>638</v>
      </c>
      <c r="E127" s="63">
        <f>Source!CA237</f>
        <v>65</v>
      </c>
      <c r="F127" s="63">
        <f>ROUND(0.85,7)</f>
        <v>0.85</v>
      </c>
      <c r="G127" s="63">
        <f>Source!AU237</f>
        <v>55.25</v>
      </c>
      <c r="H127" s="64"/>
      <c r="I127" s="65"/>
      <c r="J127" s="64"/>
      <c r="K127" s="65"/>
      <c r="L127" s="64">
        <f>SUM(BA112:BA128)</f>
        <v>2104.64</v>
      </c>
    </row>
    <row r="128" spans="1:83" ht="15" x14ac:dyDescent="0.2">
      <c r="C128" s="90" t="s">
        <v>640</v>
      </c>
      <c r="D128" s="90"/>
      <c r="E128" s="90"/>
      <c r="F128" s="90"/>
      <c r="G128" s="90"/>
      <c r="H128" s="90"/>
      <c r="I128" s="91">
        <f>IF(E112&lt;&gt;0,K128/E112, 0)</f>
        <v>30586.428571428569</v>
      </c>
      <c r="J128" s="91"/>
      <c r="K128" s="91">
        <f>L114+L116+L121+L126+L127+L117</f>
        <v>9848.83</v>
      </c>
      <c r="L128" s="91"/>
      <c r="AD128">
        <f>ROUND((Source!AT237/100)*((ROUND(SUMIF(SmtRes!AQ13:'SmtRes'!AQ17,"=1",SmtRes!AD13:'SmtRes'!AD17)*Source!I237, 2)+ROUND(SUMIF(SmtRes!AQ13:'SmtRes'!AQ17,"=1",SmtRes!AC13:'SmtRes'!AC17)*Source!I237, 2))), 2)</f>
        <v>186.58</v>
      </c>
      <c r="AE128">
        <f>ROUND((Source!AU237/100)*((ROUND(SUMIF(SmtRes!AQ13:'SmtRes'!AQ17,"=1",SmtRes!AD13:'SmtRes'!AD17)*Source!I237, 2)+ROUND(SUMIF(SmtRes!AQ13:'SmtRes'!AQ17,"=1",SmtRes!AC13:'SmtRes'!AC17)*Source!I237, 2))), 2)</f>
        <v>102.27</v>
      </c>
      <c r="AN128" s="55">
        <f>L114+L116+L121+L126+L127+L117</f>
        <v>9848.83</v>
      </c>
      <c r="AO128" s="55">
        <f>L116</f>
        <v>71.759999999999934</v>
      </c>
      <c r="AQ128" t="s">
        <v>641</v>
      </c>
      <c r="AR128" s="55">
        <f>L114</f>
        <v>3657.27</v>
      </c>
      <c r="AT128" s="55">
        <f>L117</f>
        <v>152.04</v>
      </c>
      <c r="AV128" t="s">
        <v>641</v>
      </c>
      <c r="AW128" s="55">
        <f>L121</f>
        <v>23.34</v>
      </c>
      <c r="AZ128">
        <f>Source!X237</f>
        <v>3839.78</v>
      </c>
      <c r="BA128">
        <f>Source!Y237</f>
        <v>2104.64</v>
      </c>
      <c r="CD128">
        <v>1</v>
      </c>
    </row>
    <row r="129" spans="1:83" ht="132" x14ac:dyDescent="0.2">
      <c r="A129" s="58" t="s">
        <v>124</v>
      </c>
      <c r="B129" s="47" t="s">
        <v>649</v>
      </c>
      <c r="C129" s="47" t="s">
        <v>650</v>
      </c>
      <c r="D129" s="59" t="str">
        <f>Source!H238</f>
        <v>100 м2</v>
      </c>
      <c r="E129" s="49">
        <f>Source!K238</f>
        <v>0.32200000000000001</v>
      </c>
      <c r="F129" s="49"/>
      <c r="G129" s="49">
        <f>Source!I238</f>
        <v>0.32200000000000001</v>
      </c>
      <c r="H129" s="50"/>
      <c r="I129" s="60"/>
      <c r="J129" s="50"/>
      <c r="K129" s="60"/>
      <c r="L129" s="50"/>
    </row>
    <row r="130" spans="1:83" ht="89.25" x14ac:dyDescent="0.2">
      <c r="B130" s="67" t="str">
        <f>CONCATENATE("Поправка: ", Source!EO238)</f>
        <v>Поправка: Попр.Коэффициент кратности Попр.421/пр_2020_п.58_пп.б</v>
      </c>
      <c r="C130" s="67" t="str">
        <f>Source!CN238</f>
        <v>Поправка:До толщины 30мм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131" spans="1:83" ht="15" x14ac:dyDescent="0.2">
      <c r="A131" s="46"/>
      <c r="B131" s="49">
        <v>1</v>
      </c>
      <c r="C131" s="46" t="s">
        <v>631</v>
      </c>
      <c r="D131" s="59" t="s">
        <v>383</v>
      </c>
      <c r="E131" s="56"/>
      <c r="F131" s="49"/>
      <c r="G131" s="49">
        <f>Source!U238</f>
        <v>0.32586399999999999</v>
      </c>
      <c r="H131" s="49"/>
      <c r="I131" s="49"/>
      <c r="J131" s="49"/>
      <c r="K131" s="49"/>
      <c r="L131" s="53">
        <f>SUM(L132:L132)-SUMIF(CE132:CE132, 1, L132:L132)</f>
        <v>90.4</v>
      </c>
    </row>
    <row r="132" spans="1:83" ht="14.25" x14ac:dyDescent="0.2">
      <c r="A132" s="47"/>
      <c r="B132" s="47" t="s">
        <v>393</v>
      </c>
      <c r="C132" s="47" t="s">
        <v>394</v>
      </c>
      <c r="D132" s="59" t="s">
        <v>383</v>
      </c>
      <c r="E132" s="49">
        <v>0.44</v>
      </c>
      <c r="F132" s="49">
        <f>ROUND(2*1.15,7)</f>
        <v>2.2999999999999998</v>
      </c>
      <c r="G132" s="49">
        <f>SmtRes!CX18</f>
        <v>0.32586399999999999</v>
      </c>
      <c r="H132" s="50"/>
      <c r="I132" s="60"/>
      <c r="J132" s="50">
        <f>SmtRes!CZ18</f>
        <v>277.43</v>
      </c>
      <c r="K132" s="60"/>
      <c r="L132" s="50">
        <f>SmtRes!DI18</f>
        <v>90.4</v>
      </c>
    </row>
    <row r="133" spans="1:83" ht="15" x14ac:dyDescent="0.2">
      <c r="A133" s="46"/>
      <c r="B133" s="49">
        <v>2</v>
      </c>
      <c r="C133" s="46" t="s">
        <v>632</v>
      </c>
      <c r="D133" s="59"/>
      <c r="E133" s="56"/>
      <c r="F133" s="49"/>
      <c r="G133" s="49"/>
      <c r="H133" s="49"/>
      <c r="I133" s="49"/>
      <c r="J133" s="49"/>
      <c r="K133" s="49"/>
      <c r="L133" s="53">
        <f>SUM(L134:L137)-SUMIF(CE134:CE137, 1, L134:L137)</f>
        <v>31.610000000000014</v>
      </c>
    </row>
    <row r="134" spans="1:83" ht="15" x14ac:dyDescent="0.2">
      <c r="A134" s="46"/>
      <c r="B134" s="49"/>
      <c r="C134" s="46" t="s">
        <v>634</v>
      </c>
      <c r="D134" s="59" t="s">
        <v>383</v>
      </c>
      <c r="E134" s="56"/>
      <c r="F134" s="49"/>
      <c r="G134" s="49">
        <f>Source!V238</f>
        <v>0.16905000000000001</v>
      </c>
      <c r="H134" s="49"/>
      <c r="I134" s="49"/>
      <c r="J134" s="49"/>
      <c r="K134" s="49"/>
      <c r="L134" s="53">
        <f>SUMIF(CE135:CE137, 1, L135:L137)</f>
        <v>50.28</v>
      </c>
      <c r="CE134">
        <v>1</v>
      </c>
    </row>
    <row r="135" spans="1:83" ht="42.75" x14ac:dyDescent="0.2">
      <c r="A135" s="47"/>
      <c r="B135" s="47" t="s">
        <v>386</v>
      </c>
      <c r="C135" s="47" t="s">
        <v>388</v>
      </c>
      <c r="D135" s="59" t="s">
        <v>389</v>
      </c>
      <c r="E135" s="49">
        <v>0.21</v>
      </c>
      <c r="F135" s="49">
        <f>ROUND(2*1.25,7)</f>
        <v>2.5</v>
      </c>
      <c r="G135" s="49">
        <f>SmtRes!CX20</f>
        <v>0.16905000000000001</v>
      </c>
      <c r="H135" s="50">
        <f>SmtRes!CZ20</f>
        <v>37.32</v>
      </c>
      <c r="I135" s="60">
        <f>SmtRes!AJ20</f>
        <v>1.48</v>
      </c>
      <c r="J135" s="50">
        <f>ROUND(H135*I135, 2)</f>
        <v>55.23</v>
      </c>
      <c r="K135" s="60"/>
      <c r="L135" s="50">
        <f>SmtRes!DG20</f>
        <v>9.34</v>
      </c>
    </row>
    <row r="136" spans="1:83" ht="28.5" x14ac:dyDescent="0.2">
      <c r="A136" s="47"/>
      <c r="B136" s="47" t="s">
        <v>390</v>
      </c>
      <c r="C136" s="47" t="s">
        <v>633</v>
      </c>
      <c r="D136" s="59" t="s">
        <v>383</v>
      </c>
      <c r="E136" s="49">
        <f>SmtRes!DO20*SmtRes!AT20</f>
        <v>0.21</v>
      </c>
      <c r="F136" s="49">
        <f>ROUND(2*1.25,7)</f>
        <v>2.5</v>
      </c>
      <c r="G136" s="49">
        <f>ROUND(E136*F136*G129, 7)</f>
        <v>0.16905000000000001</v>
      </c>
      <c r="H136" s="50"/>
      <c r="I136" s="60"/>
      <c r="J136" s="50">
        <f>ROUND(SmtRes!AG20/SmtRes!DO20, 2)</f>
        <v>297.43</v>
      </c>
      <c r="K136" s="60"/>
      <c r="L136" s="50">
        <f>SmtRes!DH20</f>
        <v>50.28</v>
      </c>
      <c r="CE136">
        <v>1</v>
      </c>
    </row>
    <row r="137" spans="1:83" ht="14.25" x14ac:dyDescent="0.2">
      <c r="A137" s="47"/>
      <c r="B137" s="47" t="s">
        <v>401</v>
      </c>
      <c r="C137" s="47" t="s">
        <v>403</v>
      </c>
      <c r="D137" s="59" t="s">
        <v>389</v>
      </c>
      <c r="E137" s="49">
        <v>2</v>
      </c>
      <c r="F137" s="49">
        <f>ROUND(2*1.25,7)</f>
        <v>2.5</v>
      </c>
      <c r="G137" s="49">
        <f>SmtRes!CX21</f>
        <v>1.61</v>
      </c>
      <c r="H137" s="50">
        <f>SmtRes!CZ21</f>
        <v>8.5399999999999991</v>
      </c>
      <c r="I137" s="60">
        <f>SmtRes!AJ21</f>
        <v>1.62</v>
      </c>
      <c r="J137" s="50">
        <f>ROUND(H137*I137, 2)</f>
        <v>13.83</v>
      </c>
      <c r="K137" s="60"/>
      <c r="L137" s="50">
        <f>SmtRes!DG21</f>
        <v>22.27</v>
      </c>
    </row>
    <row r="138" spans="1:83" ht="28.5" x14ac:dyDescent="0.2">
      <c r="A138" s="47"/>
      <c r="B138" s="47" t="str">
        <f>EtalonRes!I27</f>
        <v>04.3.01.09</v>
      </c>
      <c r="C138" s="61" t="str">
        <f>EtalonRes!K27</f>
        <v>Раствор готовый кладочный тяжелый цементный</v>
      </c>
      <c r="D138" s="62" t="str">
        <f>EtalonRes!O27</f>
        <v>м3</v>
      </c>
      <c r="E138" s="63">
        <f>EtalonRes!X27</f>
        <v>0.51</v>
      </c>
      <c r="F138" s="63">
        <f>ROUND(2,7)</f>
        <v>2</v>
      </c>
      <c r="G138" s="63">
        <f>ROUND(EtalonRes!AG27*Source!I238, 7)</f>
        <v>0.32844000000000001</v>
      </c>
      <c r="H138" s="64"/>
      <c r="I138" s="65"/>
      <c r="J138" s="64"/>
      <c r="K138" s="65"/>
      <c r="L138" s="64"/>
    </row>
    <row r="139" spans="1:83" ht="15" x14ac:dyDescent="0.2">
      <c r="A139" s="47"/>
      <c r="B139" s="47"/>
      <c r="C139" s="66" t="s">
        <v>635</v>
      </c>
      <c r="D139" s="59"/>
      <c r="E139" s="49"/>
      <c r="F139" s="49"/>
      <c r="G139" s="49"/>
      <c r="H139" s="50"/>
      <c r="I139" s="60"/>
      <c r="J139" s="50"/>
      <c r="K139" s="60"/>
      <c r="L139" s="50">
        <f>L131+L133+L134</f>
        <v>172.29000000000002</v>
      </c>
    </row>
    <row r="140" spans="1:83" ht="14.25" x14ac:dyDescent="0.2">
      <c r="A140" s="47"/>
      <c r="B140" s="47"/>
      <c r="C140" s="47" t="s">
        <v>636</v>
      </c>
      <c r="D140" s="59"/>
      <c r="E140" s="49"/>
      <c r="F140" s="49"/>
      <c r="G140" s="49"/>
      <c r="H140" s="50"/>
      <c r="I140" s="60"/>
      <c r="J140" s="50"/>
      <c r="K140" s="60"/>
      <c r="L140" s="50">
        <f>SUM(AR129:AR143)+SUM(AS129:AS143)+SUM(AT129:AT143)+SUM(AU129:AU143)+SUM(AV129:AV143)</f>
        <v>140.68</v>
      </c>
    </row>
    <row r="141" spans="1:83" ht="14.25" x14ac:dyDescent="0.2">
      <c r="A141" s="47"/>
      <c r="B141" s="47" t="s">
        <v>122</v>
      </c>
      <c r="C141" s="47" t="s">
        <v>637</v>
      </c>
      <c r="D141" s="59" t="s">
        <v>638</v>
      </c>
      <c r="E141" s="49">
        <f>Source!BZ238</f>
        <v>112</v>
      </c>
      <c r="F141" s="49">
        <f>ROUND(0.9,7)</f>
        <v>0.9</v>
      </c>
      <c r="G141" s="49">
        <f>Source!AT238</f>
        <v>100.8</v>
      </c>
      <c r="H141" s="50"/>
      <c r="I141" s="60"/>
      <c r="J141" s="50"/>
      <c r="K141" s="60"/>
      <c r="L141" s="50">
        <f>SUM(AZ129:AZ143)</f>
        <v>141.81</v>
      </c>
    </row>
    <row r="142" spans="1:83" ht="14.25" x14ac:dyDescent="0.2">
      <c r="A142" s="61"/>
      <c r="B142" s="61" t="s">
        <v>123</v>
      </c>
      <c r="C142" s="61" t="s">
        <v>639</v>
      </c>
      <c r="D142" s="62" t="s">
        <v>638</v>
      </c>
      <c r="E142" s="63">
        <f>Source!CA238</f>
        <v>65</v>
      </c>
      <c r="F142" s="63">
        <f>ROUND(0.85,7)</f>
        <v>0.85</v>
      </c>
      <c r="G142" s="63">
        <f>Source!AU238</f>
        <v>55.25</v>
      </c>
      <c r="H142" s="64"/>
      <c r="I142" s="65"/>
      <c r="J142" s="64"/>
      <c r="K142" s="65"/>
      <c r="L142" s="64">
        <f>SUM(BA129:BA143)</f>
        <v>77.73</v>
      </c>
    </row>
    <row r="143" spans="1:83" ht="15" x14ac:dyDescent="0.2">
      <c r="C143" s="90" t="s">
        <v>640</v>
      </c>
      <c r="D143" s="90"/>
      <c r="E143" s="90"/>
      <c r="F143" s="90"/>
      <c r="G143" s="90"/>
      <c r="H143" s="90"/>
      <c r="I143" s="91">
        <f>IF(E129&lt;&gt;0,K143/E129, 0)</f>
        <v>1216.8633540372671</v>
      </c>
      <c r="J143" s="91"/>
      <c r="K143" s="91">
        <f>L131+L133+L141+L142+L134</f>
        <v>391.83000000000004</v>
      </c>
      <c r="L143" s="91"/>
      <c r="AD143">
        <f>ROUND((Source!AT238/100)*((ROUND(SUMIF(SmtRes!AQ18:'SmtRes'!AQ21,"=1",SmtRes!AD18:'SmtRes'!AD21)*Source!I238, 2)+ROUND(SUMIF(SmtRes!AQ18:'SmtRes'!AQ21,"=1",SmtRes!AC18:'SmtRes'!AC21)*Source!I238, 2))), 2)</f>
        <v>186.58</v>
      </c>
      <c r="AE143">
        <f>ROUND((Source!AU238/100)*((ROUND(SUMIF(SmtRes!AQ18:'SmtRes'!AQ21,"=1",SmtRes!AD18:'SmtRes'!AD21)*Source!I238, 2)+ROUND(SUMIF(SmtRes!AQ18:'SmtRes'!AQ21,"=1",SmtRes!AC18:'SmtRes'!AC21)*Source!I238, 2))), 2)</f>
        <v>102.27</v>
      </c>
      <c r="AN143" s="55">
        <f>L131+L133+L141+L142+L134</f>
        <v>391.83000000000004</v>
      </c>
      <c r="AO143" s="55">
        <f>L133</f>
        <v>31.610000000000014</v>
      </c>
      <c r="AQ143" t="s">
        <v>641</v>
      </c>
      <c r="AR143" s="55">
        <f>L131</f>
        <v>90.4</v>
      </c>
      <c r="AT143" s="55">
        <f>L134</f>
        <v>50.28</v>
      </c>
      <c r="AV143" t="s">
        <v>641</v>
      </c>
      <c r="AW143">
        <f>0</f>
        <v>0</v>
      </c>
      <c r="AZ143">
        <f>Source!X238</f>
        <v>141.81</v>
      </c>
      <c r="BA143">
        <f>Source!Y238</f>
        <v>77.73</v>
      </c>
      <c r="CD143">
        <v>1</v>
      </c>
    </row>
    <row r="144" spans="1:83" ht="28.5" x14ac:dyDescent="0.2">
      <c r="A144" s="68" t="s">
        <v>19</v>
      </c>
      <c r="B144" s="61" t="str">
        <f>Source!F239</f>
        <v>04.3.01.09-0015</v>
      </c>
      <c r="C144" s="61" t="str">
        <f>Source!G239</f>
        <v>Раствор готовый кладочный, цементный, М150</v>
      </c>
      <c r="D144" s="62" t="str">
        <f>Source!H239</f>
        <v>м3</v>
      </c>
      <c r="E144" s="63">
        <f>Source!K239</f>
        <v>0.99</v>
      </c>
      <c r="F144" s="63"/>
      <c r="G144" s="63">
        <f>Source!I239</f>
        <v>0.99</v>
      </c>
      <c r="H144" s="64">
        <f>Source!AL239</f>
        <v>3948.62</v>
      </c>
      <c r="I144" s="65">
        <f>IF(Source!BC239&lt;&gt; 0, Source!BC239, 1)</f>
        <v>1.22</v>
      </c>
      <c r="J144" s="64">
        <f>ROUND(H144*I144, 2)</f>
        <v>4817.32</v>
      </c>
      <c r="K144" s="65"/>
      <c r="L144" s="64">
        <f>Source!P239</f>
        <v>4769.1499999999996</v>
      </c>
    </row>
    <row r="145" spans="1:83" ht="15" x14ac:dyDescent="0.2">
      <c r="C145" s="90" t="s">
        <v>640</v>
      </c>
      <c r="D145" s="90"/>
      <c r="E145" s="90"/>
      <c r="F145" s="90"/>
      <c r="G145" s="90"/>
      <c r="H145" s="90"/>
      <c r="I145" s="91">
        <f>IF(E144&lt;&gt;0,K145/E144, 0)</f>
        <v>4817.3232323232323</v>
      </c>
      <c r="J145" s="91"/>
      <c r="K145" s="91">
        <f>L144</f>
        <v>4769.1499999999996</v>
      </c>
      <c r="L145" s="91"/>
      <c r="AD145">
        <f>ROUND((Source!AT239/100)*((ROUND(ROUND(Source!AO239,2)*Source!I239, 2)+ROUND(ROUND(Source!AN239,2)*Source!I239, 2))), 2)</f>
        <v>0</v>
      </c>
      <c r="AE145">
        <f>ROUND((Source!AU239/100)*((ROUND(ROUND(Source!AO239,2)*Source!I239, 2)+ROUND(ROUND(Source!AN239,2)*Source!I239, 2))), 2)</f>
        <v>0</v>
      </c>
      <c r="AN145" s="55">
        <f>L144</f>
        <v>4769.1499999999996</v>
      </c>
      <c r="AO145">
        <f>0</f>
        <v>0</v>
      </c>
      <c r="AQ145" t="s">
        <v>641</v>
      </c>
      <c r="AR145">
        <f>0</f>
        <v>0</v>
      </c>
      <c r="AT145">
        <f>0</f>
        <v>0</v>
      </c>
      <c r="AV145" t="s">
        <v>641</v>
      </c>
      <c r="AW145" s="55">
        <f>L144</f>
        <v>4769.1499999999996</v>
      </c>
      <c r="AZ145">
        <f>Source!X239</f>
        <v>0</v>
      </c>
      <c r="BA145">
        <f>Source!Y239</f>
        <v>0</v>
      </c>
      <c r="CD145">
        <v>1</v>
      </c>
    </row>
    <row r="146" spans="1:83" ht="105" x14ac:dyDescent="0.2">
      <c r="A146" s="58" t="s">
        <v>75</v>
      </c>
      <c r="B146" s="47" t="s">
        <v>651</v>
      </c>
      <c r="C146" s="47" t="s">
        <v>652</v>
      </c>
      <c r="D146" s="59" t="str">
        <f>Source!H240</f>
        <v>100 м2</v>
      </c>
      <c r="E146" s="49">
        <f>Source!K240</f>
        <v>0.32200000000000001</v>
      </c>
      <c r="F146" s="49"/>
      <c r="G146" s="49">
        <f>Source!I240</f>
        <v>0.32200000000000001</v>
      </c>
      <c r="H146" s="50"/>
      <c r="I146" s="60"/>
      <c r="J146" s="50"/>
      <c r="K146" s="60"/>
      <c r="L146" s="50"/>
    </row>
    <row r="147" spans="1:83" ht="76.5" x14ac:dyDescent="0.2">
      <c r="B147" s="67" t="str">
        <f>CONCATENATE("Поправка: ", Source!EO240)</f>
        <v>Поправка: Попр.421/пр_2020_п.58_пп.б</v>
      </c>
      <c r="C147" s="67" t="str">
        <f>Source!CN240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148" spans="1:83" ht="15" x14ac:dyDescent="0.2">
      <c r="A148" s="46"/>
      <c r="B148" s="49">
        <v>1</v>
      </c>
      <c r="C148" s="46" t="s">
        <v>631</v>
      </c>
      <c r="D148" s="59" t="s">
        <v>383</v>
      </c>
      <c r="E148" s="56"/>
      <c r="F148" s="49"/>
      <c r="G148" s="49">
        <f>Source!U240</f>
        <v>14.14546</v>
      </c>
      <c r="H148" s="49"/>
      <c r="I148" s="49"/>
      <c r="J148" s="49"/>
      <c r="K148" s="49"/>
      <c r="L148" s="53">
        <f>SUM(L149:L149)-SUMIF(CE149:CE149, 1, L149:L149)</f>
        <v>4101.1899999999996</v>
      </c>
    </row>
    <row r="149" spans="1:83" ht="14.25" x14ac:dyDescent="0.2">
      <c r="A149" s="47"/>
      <c r="B149" s="47" t="s">
        <v>407</v>
      </c>
      <c r="C149" s="47" t="s">
        <v>408</v>
      </c>
      <c r="D149" s="59" t="s">
        <v>383</v>
      </c>
      <c r="E149" s="49">
        <v>38.200000000000003</v>
      </c>
      <c r="F149" s="49">
        <f>ROUND(1.15,7)</f>
        <v>1.1499999999999999</v>
      </c>
      <c r="G149" s="49">
        <f>SmtRes!CX22</f>
        <v>14.14546</v>
      </c>
      <c r="H149" s="50"/>
      <c r="I149" s="60"/>
      <c r="J149" s="50">
        <f>SmtRes!CZ22</f>
        <v>289.93</v>
      </c>
      <c r="K149" s="60"/>
      <c r="L149" s="50">
        <f>SmtRes!DI22</f>
        <v>4101.1899999999996</v>
      </c>
    </row>
    <row r="150" spans="1:83" ht="15" x14ac:dyDescent="0.2">
      <c r="A150" s="46"/>
      <c r="B150" s="49">
        <v>2</v>
      </c>
      <c r="C150" s="46" t="s">
        <v>632</v>
      </c>
      <c r="D150" s="59"/>
      <c r="E150" s="56"/>
      <c r="F150" s="49"/>
      <c r="G150" s="49"/>
      <c r="H150" s="49"/>
      <c r="I150" s="49"/>
      <c r="J150" s="49"/>
      <c r="K150" s="49"/>
      <c r="L150" s="53">
        <f>SUM(L151:L155)-SUMIF(CE151:CE155, 1, L151:L155)</f>
        <v>130.74</v>
      </c>
    </row>
    <row r="151" spans="1:83" ht="15" x14ac:dyDescent="0.2">
      <c r="A151" s="46"/>
      <c r="B151" s="49"/>
      <c r="C151" s="46" t="s">
        <v>634</v>
      </c>
      <c r="D151" s="59" t="s">
        <v>383</v>
      </c>
      <c r="E151" s="56"/>
      <c r="F151" s="49"/>
      <c r="G151" s="49">
        <f>Source!V240</f>
        <v>0.34212500000000001</v>
      </c>
      <c r="H151" s="49"/>
      <c r="I151" s="49"/>
      <c r="J151" s="49"/>
      <c r="K151" s="49"/>
      <c r="L151" s="53">
        <f>SUMIF(CE152:CE155, 1, L152:L155)</f>
        <v>109.30000000000001</v>
      </c>
      <c r="CE151">
        <v>1</v>
      </c>
    </row>
    <row r="152" spans="1:83" ht="42.75" x14ac:dyDescent="0.2">
      <c r="A152" s="47"/>
      <c r="B152" s="47" t="s">
        <v>386</v>
      </c>
      <c r="C152" s="47" t="s">
        <v>388</v>
      </c>
      <c r="D152" s="59" t="s">
        <v>389</v>
      </c>
      <c r="E152" s="49">
        <v>0.35</v>
      </c>
      <c r="F152" s="49">
        <f>ROUND(1.25,7)</f>
        <v>1.25</v>
      </c>
      <c r="G152" s="49">
        <f>SmtRes!CX24</f>
        <v>0.140875</v>
      </c>
      <c r="H152" s="50">
        <f>SmtRes!CZ24</f>
        <v>37.32</v>
      </c>
      <c r="I152" s="60">
        <f>SmtRes!AJ24</f>
        <v>1.48</v>
      </c>
      <c r="J152" s="50">
        <f>ROUND(H152*I152, 2)</f>
        <v>55.23</v>
      </c>
      <c r="K152" s="60"/>
      <c r="L152" s="50">
        <f>SmtRes!DG24</f>
        <v>7.78</v>
      </c>
    </row>
    <row r="153" spans="1:83" ht="28.5" x14ac:dyDescent="0.2">
      <c r="A153" s="47"/>
      <c r="B153" s="47" t="s">
        <v>390</v>
      </c>
      <c r="C153" s="47" t="s">
        <v>633</v>
      </c>
      <c r="D153" s="59" t="s">
        <v>383</v>
      </c>
      <c r="E153" s="49">
        <f>SmtRes!DO24*SmtRes!AT24</f>
        <v>0.35</v>
      </c>
      <c r="F153" s="49">
        <f>ROUND(1.25,7)</f>
        <v>1.25</v>
      </c>
      <c r="G153" s="49">
        <f>ROUND(E153*F153*G146, 7)</f>
        <v>0.140875</v>
      </c>
      <c r="H153" s="50"/>
      <c r="I153" s="60"/>
      <c r="J153" s="50">
        <f>ROUND(SmtRes!AG24/SmtRes!DO24, 2)</f>
        <v>297.43</v>
      </c>
      <c r="K153" s="60"/>
      <c r="L153" s="50">
        <f>SmtRes!DH24</f>
        <v>41.9</v>
      </c>
      <c r="CE153">
        <v>1</v>
      </c>
    </row>
    <row r="154" spans="1:83" ht="28.5" x14ac:dyDescent="0.2">
      <c r="A154" s="47"/>
      <c r="B154" s="47" t="s">
        <v>409</v>
      </c>
      <c r="C154" s="47" t="s">
        <v>411</v>
      </c>
      <c r="D154" s="59" t="s">
        <v>389</v>
      </c>
      <c r="E154" s="49">
        <v>0.5</v>
      </c>
      <c r="F154" s="49">
        <f>ROUND(1.25,7)</f>
        <v>1.25</v>
      </c>
      <c r="G154" s="49">
        <f>SmtRes!CX25</f>
        <v>0.20125000000000001</v>
      </c>
      <c r="H154" s="50"/>
      <c r="I154" s="60"/>
      <c r="J154" s="50">
        <f>SmtRes!CZ25</f>
        <v>611</v>
      </c>
      <c r="K154" s="60"/>
      <c r="L154" s="50">
        <f>SmtRes!DG25</f>
        <v>122.96</v>
      </c>
    </row>
    <row r="155" spans="1:83" ht="28.5" x14ac:dyDescent="0.2">
      <c r="A155" s="47"/>
      <c r="B155" s="47" t="s">
        <v>412</v>
      </c>
      <c r="C155" s="47" t="s">
        <v>653</v>
      </c>
      <c r="D155" s="59" t="s">
        <v>383</v>
      </c>
      <c r="E155" s="49">
        <f>SmtRes!DO25*SmtRes!AT25</f>
        <v>0.5</v>
      </c>
      <c r="F155" s="49">
        <f>ROUND(1.25,7)</f>
        <v>1.25</v>
      </c>
      <c r="G155" s="49">
        <f>ROUND(E155*F155*G146, 7)</f>
        <v>0.20125000000000001</v>
      </c>
      <c r="H155" s="50"/>
      <c r="I155" s="60"/>
      <c r="J155" s="50">
        <f>ROUND(SmtRes!AG25/SmtRes!DO25, 2)</f>
        <v>334.92</v>
      </c>
      <c r="K155" s="60"/>
      <c r="L155" s="50">
        <f>SmtRes!DH25</f>
        <v>67.400000000000006</v>
      </c>
      <c r="CE155">
        <v>1</v>
      </c>
    </row>
    <row r="156" spans="1:83" ht="15" x14ac:dyDescent="0.2">
      <c r="A156" s="46"/>
      <c r="B156" s="49">
        <v>4</v>
      </c>
      <c r="C156" s="46" t="s">
        <v>648</v>
      </c>
      <c r="D156" s="59"/>
      <c r="E156" s="56"/>
      <c r="F156" s="49"/>
      <c r="G156" s="49"/>
      <c r="H156" s="49"/>
      <c r="I156" s="49"/>
      <c r="J156" s="49"/>
      <c r="K156" s="49"/>
      <c r="L156" s="53">
        <f>SUM(L157:L157)-SUMIF(CE157:CE157, 1, L157:L157)</f>
        <v>13.46</v>
      </c>
    </row>
    <row r="157" spans="1:83" ht="14.25" x14ac:dyDescent="0.2">
      <c r="A157" s="47"/>
      <c r="B157" s="47" t="s">
        <v>413</v>
      </c>
      <c r="C157" s="47" t="s">
        <v>415</v>
      </c>
      <c r="D157" s="59" t="s">
        <v>217</v>
      </c>
      <c r="E157" s="49">
        <v>0.5</v>
      </c>
      <c r="F157" s="49"/>
      <c r="G157" s="49">
        <f>SmtRes!CX26</f>
        <v>0.161</v>
      </c>
      <c r="H157" s="50">
        <f>SmtRes!CZ26</f>
        <v>56.11</v>
      </c>
      <c r="I157" s="60">
        <f>SmtRes!AI26</f>
        <v>1.49</v>
      </c>
      <c r="J157" s="50">
        <f>ROUND(H157*I157, 2)</f>
        <v>83.6</v>
      </c>
      <c r="K157" s="60"/>
      <c r="L157" s="50">
        <f>SmtRes!DF26</f>
        <v>13.46</v>
      </c>
    </row>
    <row r="158" spans="1:83" ht="14.25" x14ac:dyDescent="0.2">
      <c r="A158" s="47"/>
      <c r="B158" s="47" t="str">
        <f>EtalonRes!I32</f>
        <v>01.6.03.04</v>
      </c>
      <c r="C158" s="47" t="str">
        <f>EtalonRes!K32</f>
        <v>Линолеум</v>
      </c>
      <c r="D158" s="59" t="str">
        <f>EtalonRes!O32</f>
        <v>м2</v>
      </c>
      <c r="E158" s="49">
        <f>EtalonRes!X32</f>
        <v>102</v>
      </c>
      <c r="F158" s="49"/>
      <c r="G158" s="49">
        <f>ROUND(EtalonRes!AG32*Source!I240, 7)</f>
        <v>32.844000000000001</v>
      </c>
      <c r="H158" s="50"/>
      <c r="I158" s="60"/>
      <c r="J158" s="50"/>
      <c r="K158" s="60"/>
      <c r="L158" s="50"/>
    </row>
    <row r="159" spans="1:83" ht="14.25" x14ac:dyDescent="0.2">
      <c r="A159" s="47"/>
      <c r="B159" s="47" t="str">
        <f>EtalonRes!I34</f>
        <v>14.1.02.04</v>
      </c>
      <c r="C159" s="61" t="str">
        <f>EtalonRes!K34</f>
        <v>Состав клеящий</v>
      </c>
      <c r="D159" s="62" t="str">
        <f>EtalonRes!O34</f>
        <v>кг</v>
      </c>
      <c r="E159" s="63">
        <f>EtalonRes!X34</f>
        <v>50</v>
      </c>
      <c r="F159" s="63"/>
      <c r="G159" s="63">
        <f>ROUND(EtalonRes!AG34*Source!I240, 7)</f>
        <v>16.100000000000001</v>
      </c>
      <c r="H159" s="64"/>
      <c r="I159" s="65"/>
      <c r="J159" s="64"/>
      <c r="K159" s="65"/>
      <c r="L159" s="64"/>
    </row>
    <row r="160" spans="1:83" ht="15" x14ac:dyDescent="0.2">
      <c r="A160" s="47"/>
      <c r="B160" s="47"/>
      <c r="C160" s="66" t="s">
        <v>635</v>
      </c>
      <c r="D160" s="59"/>
      <c r="E160" s="49"/>
      <c r="F160" s="49"/>
      <c r="G160" s="49"/>
      <c r="H160" s="50"/>
      <c r="I160" s="60"/>
      <c r="J160" s="50"/>
      <c r="K160" s="60"/>
      <c r="L160" s="50">
        <f>L148+L150+L151+L156</f>
        <v>4354.6899999999996</v>
      </c>
    </row>
    <row r="161" spans="1:83" ht="14.25" x14ac:dyDescent="0.2">
      <c r="A161" s="47"/>
      <c r="B161" s="47"/>
      <c r="C161" s="47" t="s">
        <v>636</v>
      </c>
      <c r="D161" s="59"/>
      <c r="E161" s="49"/>
      <c r="F161" s="49"/>
      <c r="G161" s="49"/>
      <c r="H161" s="50"/>
      <c r="I161" s="60"/>
      <c r="J161" s="50"/>
      <c r="K161" s="60"/>
      <c r="L161" s="50">
        <f>SUM(AR146:AR164)+SUM(AS146:AS164)+SUM(AT146:AT164)+SUM(AU146:AU164)+SUM(AV146:AV164)</f>
        <v>4210.49</v>
      </c>
    </row>
    <row r="162" spans="1:83" ht="14.25" x14ac:dyDescent="0.2">
      <c r="A162" s="47"/>
      <c r="B162" s="47" t="s">
        <v>122</v>
      </c>
      <c r="C162" s="47" t="s">
        <v>637</v>
      </c>
      <c r="D162" s="59" t="s">
        <v>638</v>
      </c>
      <c r="E162" s="49">
        <f>Source!BZ240</f>
        <v>112</v>
      </c>
      <c r="F162" s="49">
        <f>ROUND(0.9,7)</f>
        <v>0.9</v>
      </c>
      <c r="G162" s="49">
        <f>Source!AT240</f>
        <v>100.8</v>
      </c>
      <c r="H162" s="50"/>
      <c r="I162" s="60"/>
      <c r="J162" s="50"/>
      <c r="K162" s="60"/>
      <c r="L162" s="50">
        <f>SUM(AZ146:AZ164)</f>
        <v>4244.17</v>
      </c>
    </row>
    <row r="163" spans="1:83" ht="14.25" x14ac:dyDescent="0.2">
      <c r="A163" s="61"/>
      <c r="B163" s="61" t="s">
        <v>123</v>
      </c>
      <c r="C163" s="61" t="s">
        <v>639</v>
      </c>
      <c r="D163" s="62" t="s">
        <v>638</v>
      </c>
      <c r="E163" s="63">
        <f>Source!CA240</f>
        <v>65</v>
      </c>
      <c r="F163" s="63">
        <f>ROUND(0.85,7)</f>
        <v>0.85</v>
      </c>
      <c r="G163" s="63">
        <f>Source!AU240</f>
        <v>55.25</v>
      </c>
      <c r="H163" s="64"/>
      <c r="I163" s="65"/>
      <c r="J163" s="64"/>
      <c r="K163" s="65"/>
      <c r="L163" s="64">
        <f>SUM(BA146:BA164)</f>
        <v>2326.3000000000002</v>
      </c>
    </row>
    <row r="164" spans="1:83" ht="15" x14ac:dyDescent="0.2">
      <c r="C164" s="90" t="s">
        <v>640</v>
      </c>
      <c r="D164" s="90"/>
      <c r="E164" s="90"/>
      <c r="F164" s="90"/>
      <c r="G164" s="90"/>
      <c r="H164" s="90"/>
      <c r="I164" s="91">
        <f>IF(E146&lt;&gt;0,K164/E146, 0)</f>
        <v>33929.068322981366</v>
      </c>
      <c r="J164" s="91"/>
      <c r="K164" s="91">
        <f>L148+L150+L156+L162+L163+L151</f>
        <v>10925.16</v>
      </c>
      <c r="L164" s="91"/>
      <c r="AD164">
        <f>ROUND((Source!AT240/100)*((ROUND(SUMIF(SmtRes!AQ22:'SmtRes'!AQ26,"=1",SmtRes!AD22:'SmtRes'!AD26)*Source!I240, 2)+ROUND(SUMIF(SmtRes!AQ22:'SmtRes'!AQ26,"=1",SmtRes!AC22:'SmtRes'!AC26)*Source!I240, 2))), 2)</f>
        <v>299.36</v>
      </c>
      <c r="AE164">
        <f>ROUND((Source!AU240/100)*((ROUND(SUMIF(SmtRes!AQ22:'SmtRes'!AQ26,"=1",SmtRes!AD22:'SmtRes'!AD26)*Source!I240, 2)+ROUND(SUMIF(SmtRes!AQ22:'SmtRes'!AQ26,"=1",SmtRes!AC22:'SmtRes'!AC26)*Source!I240, 2))), 2)</f>
        <v>164.08</v>
      </c>
      <c r="AN164" s="55">
        <f>L148+L150+L156+L162+L163+L151</f>
        <v>10925.16</v>
      </c>
      <c r="AO164" s="55">
        <f>L150</f>
        <v>130.74</v>
      </c>
      <c r="AQ164" t="s">
        <v>641</v>
      </c>
      <c r="AR164" s="55">
        <f>L148</f>
        <v>4101.1899999999996</v>
      </c>
      <c r="AT164" s="55">
        <f>L151</f>
        <v>109.30000000000001</v>
      </c>
      <c r="AV164" t="s">
        <v>641</v>
      </c>
      <c r="AW164" s="55">
        <f>L156</f>
        <v>13.46</v>
      </c>
      <c r="AZ164">
        <f>Source!X240</f>
        <v>4244.17</v>
      </c>
      <c r="BA164">
        <f>Source!Y240</f>
        <v>2326.3000000000002</v>
      </c>
      <c r="CD164">
        <v>1</v>
      </c>
    </row>
    <row r="165" spans="1:83" ht="57" x14ac:dyDescent="0.2">
      <c r="A165" s="68" t="s">
        <v>142</v>
      </c>
      <c r="B165" s="61" t="str">
        <f>Source!F241</f>
        <v>01.6.03.04-0120</v>
      </c>
      <c r="C165" s="61" t="str">
        <f>Source!G241</f>
        <v>Линолеум ПВХ без подосновы, класс износостойкости 34/43, класс пожарной опасности КМ2 (Г1, В2, Д2, Т2, РП1), толщина 2 мм, вес 2950 г/м2</v>
      </c>
      <c r="D165" s="62" t="str">
        <f>Source!H241</f>
        <v>м2</v>
      </c>
      <c r="E165" s="63">
        <f>Source!K241</f>
        <v>32.840000000000003</v>
      </c>
      <c r="F165" s="63"/>
      <c r="G165" s="63">
        <f>Source!I241</f>
        <v>32.840000000000003</v>
      </c>
      <c r="H165" s="64">
        <f>Source!AL241</f>
        <v>874.44</v>
      </c>
      <c r="I165" s="65">
        <f>IF(Source!BC241&lt;&gt; 0, Source!BC241, 1)</f>
        <v>1.19</v>
      </c>
      <c r="J165" s="64">
        <f>ROUND(H165*I165, 2)</f>
        <v>1040.58</v>
      </c>
      <c r="K165" s="65"/>
      <c r="L165" s="64">
        <f>Source!P241</f>
        <v>34172.65</v>
      </c>
    </row>
    <row r="166" spans="1:83" ht="15" x14ac:dyDescent="0.2">
      <c r="C166" s="90" t="s">
        <v>640</v>
      </c>
      <c r="D166" s="90"/>
      <c r="E166" s="90"/>
      <c r="F166" s="90"/>
      <c r="G166" s="90"/>
      <c r="H166" s="90"/>
      <c r="I166" s="91">
        <f>IF(E165&lt;&gt;0,K166/E165, 0)</f>
        <v>1040.5800852618756</v>
      </c>
      <c r="J166" s="91"/>
      <c r="K166" s="91">
        <f>L165</f>
        <v>34172.65</v>
      </c>
      <c r="L166" s="91"/>
      <c r="AD166">
        <f>ROUND((Source!AT241/100)*((ROUND(ROUND(Source!AO241,2)*Source!I241, 2)+ROUND(ROUND(Source!AN241,2)*Source!I241, 2))), 2)</f>
        <v>0</v>
      </c>
      <c r="AE166">
        <f>ROUND((Source!AU241/100)*((ROUND(ROUND(Source!AO241,2)*Source!I241, 2)+ROUND(ROUND(Source!AN241,2)*Source!I241, 2))), 2)</f>
        <v>0</v>
      </c>
      <c r="AN166" s="55">
        <f>L165</f>
        <v>34172.65</v>
      </c>
      <c r="AO166">
        <f>0</f>
        <v>0</v>
      </c>
      <c r="AQ166" t="s">
        <v>641</v>
      </c>
      <c r="AR166">
        <f>0</f>
        <v>0</v>
      </c>
      <c r="AT166">
        <f>0</f>
        <v>0</v>
      </c>
      <c r="AV166" t="s">
        <v>641</v>
      </c>
      <c r="AW166" s="55">
        <f>L165</f>
        <v>34172.65</v>
      </c>
      <c r="AZ166">
        <f>Source!X241</f>
        <v>0</v>
      </c>
      <c r="BA166">
        <f>Source!Y241</f>
        <v>0</v>
      </c>
      <c r="CD166">
        <v>1</v>
      </c>
    </row>
    <row r="167" spans="1:83" ht="14.25" x14ac:dyDescent="0.2">
      <c r="A167" s="68" t="s">
        <v>79</v>
      </c>
      <c r="B167" s="61" t="str">
        <f>Source!F242</f>
        <v>14.1.02.04-0101</v>
      </c>
      <c r="C167" s="61" t="str">
        <f>Source!G242</f>
        <v>Клей-мастика, марка Бустилат</v>
      </c>
      <c r="D167" s="62" t="str">
        <f>Source!H242</f>
        <v>т</v>
      </c>
      <c r="E167" s="63">
        <f>Source!K242</f>
        <v>1.61E-2</v>
      </c>
      <c r="F167" s="63"/>
      <c r="G167" s="63">
        <f>Source!I242</f>
        <v>1.61E-2</v>
      </c>
      <c r="H167" s="64">
        <f>Source!AL242</f>
        <v>51112.25</v>
      </c>
      <c r="I167" s="65">
        <f>IF(Source!BC242&lt;&gt; 0, Source!BC242, 1)</f>
        <v>1.56</v>
      </c>
      <c r="J167" s="64">
        <f>ROUND(H167*I167, 2)</f>
        <v>79735.11</v>
      </c>
      <c r="K167" s="65"/>
      <c r="L167" s="64">
        <f>Source!P242</f>
        <v>1283.74</v>
      </c>
    </row>
    <row r="168" spans="1:83" ht="15" x14ac:dyDescent="0.2">
      <c r="C168" s="90" t="s">
        <v>640</v>
      </c>
      <c r="D168" s="90"/>
      <c r="E168" s="90"/>
      <c r="F168" s="90"/>
      <c r="G168" s="90"/>
      <c r="H168" s="90"/>
      <c r="I168" s="91">
        <f>IF(E167&lt;&gt;0,K168/E167, 0)</f>
        <v>79735.403726708071</v>
      </c>
      <c r="J168" s="91"/>
      <c r="K168" s="91">
        <f>L167</f>
        <v>1283.74</v>
      </c>
      <c r="L168" s="91"/>
      <c r="AD168">
        <f>ROUND((Source!AT242/100)*((ROUND(ROUND(Source!AO242,2)*Source!I242, 2)+ROUND(ROUND(Source!AN242,2)*Source!I242, 2))), 2)</f>
        <v>0</v>
      </c>
      <c r="AE168">
        <f>ROUND((Source!AU242/100)*((ROUND(ROUND(Source!AO242,2)*Source!I242, 2)+ROUND(ROUND(Source!AN242,2)*Source!I242, 2))), 2)</f>
        <v>0</v>
      </c>
      <c r="AN168" s="55">
        <f>L167</f>
        <v>1283.74</v>
      </c>
      <c r="AO168">
        <f>0</f>
        <v>0</v>
      </c>
      <c r="AQ168" t="s">
        <v>641</v>
      </c>
      <c r="AR168">
        <f>0</f>
        <v>0</v>
      </c>
      <c r="AT168">
        <f>0</f>
        <v>0</v>
      </c>
      <c r="AV168" t="s">
        <v>641</v>
      </c>
      <c r="AW168" s="55">
        <f>L167</f>
        <v>1283.74</v>
      </c>
      <c r="AZ168">
        <f>Source!X242</f>
        <v>0</v>
      </c>
      <c r="BA168">
        <f>Source!Y242</f>
        <v>0</v>
      </c>
      <c r="CD168">
        <v>1</v>
      </c>
    </row>
    <row r="169" spans="1:83" ht="119.25" x14ac:dyDescent="0.2">
      <c r="A169" s="58" t="s">
        <v>81</v>
      </c>
      <c r="B169" s="47" t="s">
        <v>654</v>
      </c>
      <c r="C169" s="47" t="s">
        <v>655</v>
      </c>
      <c r="D169" s="59" t="str">
        <f>Source!H243</f>
        <v>100 м</v>
      </c>
      <c r="E169" s="49">
        <f>Source!K243</f>
        <v>0.42399999999999999</v>
      </c>
      <c r="F169" s="49"/>
      <c r="G169" s="49">
        <f>Source!I243</f>
        <v>0.42399999999999999</v>
      </c>
      <c r="H169" s="50"/>
      <c r="I169" s="60"/>
      <c r="J169" s="50"/>
      <c r="K169" s="60"/>
      <c r="L169" s="50"/>
    </row>
    <row r="170" spans="1:83" ht="76.5" x14ac:dyDescent="0.2">
      <c r="B170" s="67" t="str">
        <f>CONCATENATE("Поправка: ", Source!EO243)</f>
        <v>Поправка: Попр.421/пр_2020_п.58_пп.б</v>
      </c>
      <c r="C170" s="67" t="str">
        <f>Source!CN243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171" spans="1:83" ht="15" x14ac:dyDescent="0.2">
      <c r="A171" s="46"/>
      <c r="B171" s="49">
        <v>1</v>
      </c>
      <c r="C171" s="46" t="s">
        <v>631</v>
      </c>
      <c r="D171" s="59" t="s">
        <v>383</v>
      </c>
      <c r="E171" s="56"/>
      <c r="F171" s="49"/>
      <c r="G171" s="49">
        <f>Source!U243</f>
        <v>3.2571680000000001</v>
      </c>
      <c r="H171" s="49"/>
      <c r="I171" s="49"/>
      <c r="J171" s="49"/>
      <c r="K171" s="49"/>
      <c r="L171" s="53">
        <f>SUM(L172:L172)-SUMIF(CE172:CE172, 1, L172:L172)</f>
        <v>1042.03</v>
      </c>
    </row>
    <row r="172" spans="1:83" ht="14.25" x14ac:dyDescent="0.2">
      <c r="A172" s="47"/>
      <c r="B172" s="47" t="s">
        <v>416</v>
      </c>
      <c r="C172" s="47" t="s">
        <v>417</v>
      </c>
      <c r="D172" s="59" t="s">
        <v>383</v>
      </c>
      <c r="E172" s="49">
        <v>6.68</v>
      </c>
      <c r="F172" s="49">
        <f>ROUND(1.15,7)</f>
        <v>1.1499999999999999</v>
      </c>
      <c r="G172" s="49">
        <f>SmtRes!CX27</f>
        <v>3.2571680000000001</v>
      </c>
      <c r="H172" s="50"/>
      <c r="I172" s="60"/>
      <c r="J172" s="50">
        <f>SmtRes!CZ27</f>
        <v>319.92</v>
      </c>
      <c r="K172" s="60"/>
      <c r="L172" s="50">
        <f>SmtRes!DI27</f>
        <v>1042.03</v>
      </c>
    </row>
    <row r="173" spans="1:83" ht="15" x14ac:dyDescent="0.2">
      <c r="A173" s="46"/>
      <c r="B173" s="49">
        <v>2</v>
      </c>
      <c r="C173" s="46" t="s">
        <v>632</v>
      </c>
      <c r="D173" s="59"/>
      <c r="E173" s="56"/>
      <c r="F173" s="49"/>
      <c r="G173" s="49"/>
      <c r="H173" s="49"/>
      <c r="I173" s="49"/>
      <c r="J173" s="49"/>
      <c r="K173" s="49"/>
      <c r="L173" s="53">
        <f>SUM(L174:L178)-SUMIF(CE174:CE178, 1, L174:L178)</f>
        <v>9.8600000000000012</v>
      </c>
    </row>
    <row r="174" spans="1:83" ht="15" x14ac:dyDescent="0.2">
      <c r="A174" s="46"/>
      <c r="B174" s="49"/>
      <c r="C174" s="46" t="s">
        <v>634</v>
      </c>
      <c r="D174" s="59" t="s">
        <v>383</v>
      </c>
      <c r="E174" s="56"/>
      <c r="F174" s="49"/>
      <c r="G174" s="49">
        <f>Source!V243</f>
        <v>1.8550000000000001E-2</v>
      </c>
      <c r="H174" s="49"/>
      <c r="I174" s="49"/>
      <c r="J174" s="49"/>
      <c r="K174" s="49"/>
      <c r="L174" s="53">
        <f>SUMIF(CE175:CE178, 1, L175:L178)</f>
        <v>6.12</v>
      </c>
      <c r="CE174">
        <v>1</v>
      </c>
    </row>
    <row r="175" spans="1:83" ht="42.75" x14ac:dyDescent="0.2">
      <c r="A175" s="47"/>
      <c r="B175" s="47" t="s">
        <v>386</v>
      </c>
      <c r="C175" s="47" t="s">
        <v>388</v>
      </c>
      <c r="D175" s="59" t="s">
        <v>389</v>
      </c>
      <c r="E175" s="49">
        <v>5.0000000000000001E-3</v>
      </c>
      <c r="F175" s="49">
        <f>ROUND(1.25,7)</f>
        <v>1.25</v>
      </c>
      <c r="G175" s="49">
        <f>SmtRes!CX29</f>
        <v>2.65E-3</v>
      </c>
      <c r="H175" s="50">
        <f>SmtRes!CZ29</f>
        <v>37.32</v>
      </c>
      <c r="I175" s="60">
        <f>SmtRes!AJ29</f>
        <v>1.48</v>
      </c>
      <c r="J175" s="50">
        <f>ROUND(H175*I175, 2)</f>
        <v>55.23</v>
      </c>
      <c r="K175" s="60"/>
      <c r="L175" s="50">
        <f>SmtRes!DG29</f>
        <v>0.15</v>
      </c>
    </row>
    <row r="176" spans="1:83" ht="28.5" x14ac:dyDescent="0.2">
      <c r="A176" s="47"/>
      <c r="B176" s="47" t="s">
        <v>390</v>
      </c>
      <c r="C176" s="47" t="s">
        <v>633</v>
      </c>
      <c r="D176" s="59" t="s">
        <v>383</v>
      </c>
      <c r="E176" s="49">
        <f>SmtRes!DO29*SmtRes!AT29</f>
        <v>5.0000000000000001E-3</v>
      </c>
      <c r="F176" s="49">
        <f>ROUND(1.25,7)</f>
        <v>1.25</v>
      </c>
      <c r="G176" s="49">
        <f>ROUND(E176*F176*G169, 7)</f>
        <v>2.65E-3</v>
      </c>
      <c r="H176" s="50"/>
      <c r="I176" s="60"/>
      <c r="J176" s="50">
        <f>ROUND(SmtRes!AG29/SmtRes!DO29, 2)</f>
        <v>297.43</v>
      </c>
      <c r="K176" s="60"/>
      <c r="L176" s="50">
        <f>SmtRes!DH29</f>
        <v>0.79</v>
      </c>
      <c r="CE176">
        <v>1</v>
      </c>
    </row>
    <row r="177" spans="1:83" ht="28.5" x14ac:dyDescent="0.2">
      <c r="A177" s="47"/>
      <c r="B177" s="47" t="s">
        <v>409</v>
      </c>
      <c r="C177" s="47" t="s">
        <v>411</v>
      </c>
      <c r="D177" s="59" t="s">
        <v>389</v>
      </c>
      <c r="E177" s="49">
        <v>0.03</v>
      </c>
      <c r="F177" s="49">
        <f>ROUND(1.25,7)</f>
        <v>1.25</v>
      </c>
      <c r="G177" s="49">
        <f>SmtRes!CX30</f>
        <v>1.5900000000000001E-2</v>
      </c>
      <c r="H177" s="50"/>
      <c r="I177" s="60"/>
      <c r="J177" s="50">
        <f>SmtRes!CZ30</f>
        <v>611</v>
      </c>
      <c r="K177" s="60"/>
      <c r="L177" s="50">
        <f>SmtRes!DG30</f>
        <v>9.7100000000000009</v>
      </c>
    </row>
    <row r="178" spans="1:83" ht="28.5" x14ac:dyDescent="0.2">
      <c r="A178" s="47"/>
      <c r="B178" s="47" t="s">
        <v>412</v>
      </c>
      <c r="C178" s="47" t="s">
        <v>653</v>
      </c>
      <c r="D178" s="59" t="s">
        <v>383</v>
      </c>
      <c r="E178" s="49">
        <f>SmtRes!DO30*SmtRes!AT30</f>
        <v>0.03</v>
      </c>
      <c r="F178" s="49">
        <f>ROUND(1.25,7)</f>
        <v>1.25</v>
      </c>
      <c r="G178" s="49">
        <f>ROUND(E178*F178*G169, 7)</f>
        <v>1.5900000000000001E-2</v>
      </c>
      <c r="H178" s="50"/>
      <c r="I178" s="60"/>
      <c r="J178" s="50">
        <f>ROUND(SmtRes!AG30/SmtRes!DO30, 2)</f>
        <v>334.92</v>
      </c>
      <c r="K178" s="60"/>
      <c r="L178" s="50">
        <f>SmtRes!DH30</f>
        <v>5.33</v>
      </c>
      <c r="CE178">
        <v>1</v>
      </c>
    </row>
    <row r="179" spans="1:83" ht="15" x14ac:dyDescent="0.2">
      <c r="A179" s="46"/>
      <c r="B179" s="49">
        <v>4</v>
      </c>
      <c r="C179" s="46" t="s">
        <v>648</v>
      </c>
      <c r="D179" s="59"/>
      <c r="E179" s="56"/>
      <c r="F179" s="49"/>
      <c r="G179" s="49"/>
      <c r="H179" s="49"/>
      <c r="I179" s="49"/>
      <c r="J179" s="49"/>
      <c r="K179" s="49"/>
      <c r="L179" s="53">
        <f>SUM(L180:L185)-SUMIF(CE180:CE185, 1, L180:L185)</f>
        <v>729.16</v>
      </c>
    </row>
    <row r="180" spans="1:83" ht="14.25" x14ac:dyDescent="0.2">
      <c r="A180" s="47"/>
      <c r="B180" s="47" t="s">
        <v>418</v>
      </c>
      <c r="C180" s="47" t="s">
        <v>420</v>
      </c>
      <c r="D180" s="59" t="s">
        <v>421</v>
      </c>
      <c r="E180" s="49">
        <v>2.5407999999999999</v>
      </c>
      <c r="F180" s="49"/>
      <c r="G180" s="49">
        <f>SmtRes!CX31</f>
        <v>1.0772991999999999</v>
      </c>
      <c r="H180" s="50"/>
      <c r="I180" s="60"/>
      <c r="J180" s="50">
        <f>SmtRes!CZ31</f>
        <v>7.94</v>
      </c>
      <c r="K180" s="60"/>
      <c r="L180" s="50">
        <f>SmtRes!DF31</f>
        <v>8.5500000000000007</v>
      </c>
    </row>
    <row r="181" spans="1:83" ht="28.5" x14ac:dyDescent="0.2">
      <c r="A181" s="47"/>
      <c r="B181" s="47" t="s">
        <v>422</v>
      </c>
      <c r="C181" s="47" t="s">
        <v>424</v>
      </c>
      <c r="D181" s="59" t="s">
        <v>425</v>
      </c>
      <c r="E181" s="49">
        <v>0.26300000000000001</v>
      </c>
      <c r="F181" s="49"/>
      <c r="G181" s="49">
        <f>SmtRes!CX32</f>
        <v>0.111512</v>
      </c>
      <c r="H181" s="50">
        <f>SmtRes!CZ32</f>
        <v>174.13</v>
      </c>
      <c r="I181" s="60">
        <f>SmtRes!AI32</f>
        <v>1.28</v>
      </c>
      <c r="J181" s="50">
        <f>ROUND(H181*I181, 2)</f>
        <v>222.89</v>
      </c>
      <c r="K181" s="60"/>
      <c r="L181" s="50">
        <f>SmtRes!DF32</f>
        <v>24.85</v>
      </c>
    </row>
    <row r="182" spans="1:83" ht="71.25" x14ac:dyDescent="0.2">
      <c r="A182" s="47"/>
      <c r="B182" s="47" t="s">
        <v>426</v>
      </c>
      <c r="C182" s="47" t="s">
        <v>428</v>
      </c>
      <c r="D182" s="59" t="s">
        <v>222</v>
      </c>
      <c r="E182" s="49">
        <v>2.63</v>
      </c>
      <c r="F182" s="49"/>
      <c r="G182" s="49">
        <f>SmtRes!CX33</f>
        <v>1.1151199999999999</v>
      </c>
      <c r="H182" s="50">
        <f>SmtRes!CZ33</f>
        <v>88.86</v>
      </c>
      <c r="I182" s="60">
        <f>SmtRes!AI33</f>
        <v>1.28</v>
      </c>
      <c r="J182" s="50">
        <f>ROUND(H182*I182, 2)</f>
        <v>113.74</v>
      </c>
      <c r="K182" s="60"/>
      <c r="L182" s="50">
        <f>SmtRes!DF33</f>
        <v>126.83</v>
      </c>
    </row>
    <row r="183" spans="1:83" ht="28.5" x14ac:dyDescent="0.2">
      <c r="A183" s="47"/>
      <c r="B183" s="47" t="s">
        <v>429</v>
      </c>
      <c r="C183" s="47" t="s">
        <v>431</v>
      </c>
      <c r="D183" s="59" t="s">
        <v>222</v>
      </c>
      <c r="E183" s="49">
        <v>0.16</v>
      </c>
      <c r="F183" s="49"/>
      <c r="G183" s="49">
        <f>SmtRes!CX34</f>
        <v>6.7839999999999998E-2</v>
      </c>
      <c r="H183" s="50">
        <f>SmtRes!CZ34</f>
        <v>1815.16</v>
      </c>
      <c r="I183" s="60">
        <f>SmtRes!AI34</f>
        <v>1.28</v>
      </c>
      <c r="J183" s="50">
        <f>ROUND(H183*I183, 2)</f>
        <v>2323.4</v>
      </c>
      <c r="K183" s="60"/>
      <c r="L183" s="50">
        <f>SmtRes!DF34</f>
        <v>157.62</v>
      </c>
    </row>
    <row r="184" spans="1:83" ht="28.5" x14ac:dyDescent="0.2">
      <c r="A184" s="47"/>
      <c r="B184" s="47" t="s">
        <v>432</v>
      </c>
      <c r="C184" s="47" t="s">
        <v>434</v>
      </c>
      <c r="D184" s="59" t="s">
        <v>222</v>
      </c>
      <c r="E184" s="49">
        <v>0.4</v>
      </c>
      <c r="F184" s="49"/>
      <c r="G184" s="49">
        <f>SmtRes!CX35</f>
        <v>0.1696</v>
      </c>
      <c r="H184" s="50">
        <f>SmtRes!CZ35</f>
        <v>1448.4</v>
      </c>
      <c r="I184" s="60">
        <f>SmtRes!AI35</f>
        <v>1.28</v>
      </c>
      <c r="J184" s="50">
        <f>ROUND(H184*I184, 2)</f>
        <v>1853.95</v>
      </c>
      <c r="K184" s="60"/>
      <c r="L184" s="50">
        <f>SmtRes!DF35</f>
        <v>314.43</v>
      </c>
    </row>
    <row r="185" spans="1:83" ht="28.5" x14ac:dyDescent="0.2">
      <c r="A185" s="47"/>
      <c r="B185" s="47" t="s">
        <v>435</v>
      </c>
      <c r="C185" s="47" t="s">
        <v>437</v>
      </c>
      <c r="D185" s="59" t="s">
        <v>222</v>
      </c>
      <c r="E185" s="49">
        <v>0.14000000000000001</v>
      </c>
      <c r="F185" s="49"/>
      <c r="G185" s="49">
        <f>SmtRes!CX36</f>
        <v>5.9360000000000003E-2</v>
      </c>
      <c r="H185" s="50">
        <f>SmtRes!CZ36</f>
        <v>1275.1199999999999</v>
      </c>
      <c r="I185" s="60">
        <f>SmtRes!AI36</f>
        <v>1.28</v>
      </c>
      <c r="J185" s="50">
        <f>ROUND(H185*I185, 2)</f>
        <v>1632.15</v>
      </c>
      <c r="K185" s="60"/>
      <c r="L185" s="50">
        <f>SmtRes!DF36</f>
        <v>96.88</v>
      </c>
    </row>
    <row r="186" spans="1:83" ht="14.25" x14ac:dyDescent="0.2">
      <c r="A186" s="47"/>
      <c r="B186" s="47" t="str">
        <f>EtalonRes!I42</f>
        <v>11.3.03.06</v>
      </c>
      <c r="C186" s="61" t="str">
        <f>EtalonRes!K42</f>
        <v>Плинтуса для полов пластиковые</v>
      </c>
      <c r="D186" s="62" t="str">
        <f>EtalonRes!O42</f>
        <v>м</v>
      </c>
      <c r="E186" s="63">
        <f>EtalonRes!X42</f>
        <v>101</v>
      </c>
      <c r="F186" s="63"/>
      <c r="G186" s="63">
        <f>ROUND(EtalonRes!AG42*Source!I243, 7)</f>
        <v>42.823999999999998</v>
      </c>
      <c r="H186" s="64"/>
      <c r="I186" s="65"/>
      <c r="J186" s="64"/>
      <c r="K186" s="65"/>
      <c r="L186" s="64"/>
    </row>
    <row r="187" spans="1:83" ht="15" x14ac:dyDescent="0.2">
      <c r="A187" s="47"/>
      <c r="B187" s="47"/>
      <c r="C187" s="66" t="s">
        <v>635</v>
      </c>
      <c r="D187" s="59"/>
      <c r="E187" s="49"/>
      <c r="F187" s="49"/>
      <c r="G187" s="49"/>
      <c r="H187" s="50"/>
      <c r="I187" s="60"/>
      <c r="J187" s="50"/>
      <c r="K187" s="60"/>
      <c r="L187" s="50">
        <f>L171+L173+L174+L179</f>
        <v>1787.1699999999996</v>
      </c>
    </row>
    <row r="188" spans="1:83" ht="14.25" x14ac:dyDescent="0.2">
      <c r="A188" s="47"/>
      <c r="B188" s="47"/>
      <c r="C188" s="47" t="s">
        <v>636</v>
      </c>
      <c r="D188" s="59"/>
      <c r="E188" s="49"/>
      <c r="F188" s="49"/>
      <c r="G188" s="49"/>
      <c r="H188" s="50"/>
      <c r="I188" s="60"/>
      <c r="J188" s="50"/>
      <c r="K188" s="60"/>
      <c r="L188" s="50">
        <f>SUM(AR169:AR191)+SUM(AS169:AS191)+SUM(AT169:AT191)+SUM(AU169:AU191)+SUM(AV169:AV191)</f>
        <v>1048.1499999999999</v>
      </c>
    </row>
    <row r="189" spans="1:83" ht="14.25" x14ac:dyDescent="0.2">
      <c r="A189" s="47"/>
      <c r="B189" s="47" t="s">
        <v>122</v>
      </c>
      <c r="C189" s="47" t="s">
        <v>637</v>
      </c>
      <c r="D189" s="59" t="s">
        <v>638</v>
      </c>
      <c r="E189" s="49">
        <f>Source!BZ243</f>
        <v>112</v>
      </c>
      <c r="F189" s="49">
        <f>ROUND(0.9,7)</f>
        <v>0.9</v>
      </c>
      <c r="G189" s="49">
        <f>Source!AT243</f>
        <v>100.8</v>
      </c>
      <c r="H189" s="50"/>
      <c r="I189" s="60"/>
      <c r="J189" s="50"/>
      <c r="K189" s="60"/>
      <c r="L189" s="50">
        <f>SUM(AZ169:AZ191)</f>
        <v>1056.54</v>
      </c>
    </row>
    <row r="190" spans="1:83" ht="14.25" x14ac:dyDescent="0.2">
      <c r="A190" s="61"/>
      <c r="B190" s="61" t="s">
        <v>123</v>
      </c>
      <c r="C190" s="61" t="s">
        <v>639</v>
      </c>
      <c r="D190" s="62" t="s">
        <v>638</v>
      </c>
      <c r="E190" s="63">
        <f>Source!CA243</f>
        <v>65</v>
      </c>
      <c r="F190" s="63">
        <f>ROUND(0.85,7)</f>
        <v>0.85</v>
      </c>
      <c r="G190" s="63">
        <f>Source!AU243</f>
        <v>55.25</v>
      </c>
      <c r="H190" s="64"/>
      <c r="I190" s="65"/>
      <c r="J190" s="64"/>
      <c r="K190" s="65"/>
      <c r="L190" s="64">
        <f>SUM(BA169:BA191)</f>
        <v>579.1</v>
      </c>
    </row>
    <row r="191" spans="1:83" ht="15" x14ac:dyDescent="0.2">
      <c r="C191" s="90" t="s">
        <v>640</v>
      </c>
      <c r="D191" s="90"/>
      <c r="E191" s="90"/>
      <c r="F191" s="90"/>
      <c r="G191" s="90"/>
      <c r="H191" s="90"/>
      <c r="I191" s="91">
        <f>IF(E169&lt;&gt;0,K191/E169, 0)</f>
        <v>8072.6650943396216</v>
      </c>
      <c r="J191" s="91"/>
      <c r="K191" s="91">
        <f>L171+L173+L179+L189+L190+L174</f>
        <v>3422.8099999999995</v>
      </c>
      <c r="L191" s="91"/>
      <c r="AD191">
        <f>ROUND((Source!AT243/100)*((ROUND(SUMIF(SmtRes!AQ27:'SmtRes'!AQ36,"=1",SmtRes!AD27:'SmtRes'!AD36)*Source!I243, 2)+ROUND(SUMIF(SmtRes!AQ27:'SmtRes'!AQ36,"=1",SmtRes!AC27:'SmtRes'!AC36)*Source!I243, 2))), 2)</f>
        <v>407</v>
      </c>
      <c r="AE191">
        <f>ROUND((Source!AU243/100)*((ROUND(SUMIF(SmtRes!AQ27:'SmtRes'!AQ36,"=1",SmtRes!AD27:'SmtRes'!AD36)*Source!I243, 2)+ROUND(SUMIF(SmtRes!AQ27:'SmtRes'!AQ36,"=1",SmtRes!AC27:'SmtRes'!AC36)*Source!I243, 2))), 2)</f>
        <v>223.08</v>
      </c>
      <c r="AN191" s="55">
        <f>L171+L173+L179+L189+L190+L174</f>
        <v>3422.8099999999995</v>
      </c>
      <c r="AO191" s="55">
        <f>L173</f>
        <v>9.8600000000000012</v>
      </c>
      <c r="AQ191" t="s">
        <v>641</v>
      </c>
      <c r="AR191" s="55">
        <f>L171</f>
        <v>1042.03</v>
      </c>
      <c r="AT191" s="55">
        <f>L174</f>
        <v>6.12</v>
      </c>
      <c r="AV191" t="s">
        <v>641</v>
      </c>
      <c r="AW191" s="55">
        <f>L179</f>
        <v>729.16</v>
      </c>
      <c r="AZ191">
        <f>Source!X243</f>
        <v>1056.54</v>
      </c>
      <c r="BA191">
        <f>Source!Y243</f>
        <v>579.1</v>
      </c>
      <c r="CD191">
        <v>1</v>
      </c>
    </row>
    <row r="192" spans="1:83" ht="28.5" x14ac:dyDescent="0.2">
      <c r="A192" s="68" t="s">
        <v>83</v>
      </c>
      <c r="B192" s="61" t="str">
        <f>Source!F244</f>
        <v>11.3.03.06-0002</v>
      </c>
      <c r="C192" s="61" t="str">
        <f>Source!G244</f>
        <v>Плинтус для полов из ПВХ, с кабель-каналом, размеры 22х49 мм</v>
      </c>
      <c r="D192" s="62" t="str">
        <f>Source!H244</f>
        <v>м</v>
      </c>
      <c r="E192" s="63">
        <f>Source!K244</f>
        <v>42.82</v>
      </c>
      <c r="F192" s="63"/>
      <c r="G192" s="63">
        <f>Source!I244</f>
        <v>42.82</v>
      </c>
      <c r="H192" s="64">
        <f>Source!AL244</f>
        <v>29.45</v>
      </c>
      <c r="I192" s="65">
        <f>IF(Source!BC244&lt;&gt; 0, Source!BC244, 1)</f>
        <v>1.28</v>
      </c>
      <c r="J192" s="64">
        <f>ROUND(H192*I192, 2)</f>
        <v>37.700000000000003</v>
      </c>
      <c r="K192" s="65"/>
      <c r="L192" s="64">
        <f>Source!P244</f>
        <v>1614.31</v>
      </c>
    </row>
    <row r="193" spans="1:82" ht="15" x14ac:dyDescent="0.2">
      <c r="C193" s="90" t="s">
        <v>640</v>
      </c>
      <c r="D193" s="90"/>
      <c r="E193" s="90"/>
      <c r="F193" s="90"/>
      <c r="G193" s="90"/>
      <c r="H193" s="90"/>
      <c r="I193" s="91">
        <f>IF(E192&lt;&gt;0,K193/E192, 0)</f>
        <v>37.699906585707609</v>
      </c>
      <c r="J193" s="91"/>
      <c r="K193" s="91">
        <f>L192</f>
        <v>1614.31</v>
      </c>
      <c r="L193" s="91"/>
      <c r="AD193">
        <f>ROUND((Source!AT244/100)*((ROUND(ROUND(Source!AO244,2)*Source!I244, 2)+ROUND(ROUND(Source!AN244,2)*Source!I244, 2))), 2)</f>
        <v>0</v>
      </c>
      <c r="AE193">
        <f>ROUND((Source!AU244/100)*((ROUND(ROUND(Source!AO244,2)*Source!I244, 2)+ROUND(ROUND(Source!AN244,2)*Source!I244, 2))), 2)</f>
        <v>0</v>
      </c>
      <c r="AN193" s="55">
        <f>L192</f>
        <v>1614.31</v>
      </c>
      <c r="AO193">
        <f>0</f>
        <v>0</v>
      </c>
      <c r="AQ193" t="s">
        <v>641</v>
      </c>
      <c r="AR193">
        <f>0</f>
        <v>0</v>
      </c>
      <c r="AT193">
        <f>0</f>
        <v>0</v>
      </c>
      <c r="AV193" t="s">
        <v>641</v>
      </c>
      <c r="AW193" s="55">
        <f>L192</f>
        <v>1614.31</v>
      </c>
      <c r="AZ193">
        <f>Source!X244</f>
        <v>0</v>
      </c>
      <c r="BA193">
        <f>Source!Y244</f>
        <v>0</v>
      </c>
      <c r="CD193">
        <v>1</v>
      </c>
    </row>
    <row r="194" spans="1:82" ht="105" x14ac:dyDescent="0.2">
      <c r="A194" s="58" t="s">
        <v>159</v>
      </c>
      <c r="B194" s="47" t="s">
        <v>656</v>
      </c>
      <c r="C194" s="47" t="s">
        <v>657</v>
      </c>
      <c r="D194" s="59" t="str">
        <f>Source!H245</f>
        <v>100 м</v>
      </c>
      <c r="E194" s="49">
        <f>Source!K245</f>
        <v>4.4999999999999998E-2</v>
      </c>
      <c r="F194" s="49"/>
      <c r="G194" s="49">
        <f>Source!I245</f>
        <v>4.4999999999999998E-2</v>
      </c>
      <c r="H194" s="50"/>
      <c r="I194" s="60"/>
      <c r="J194" s="50"/>
      <c r="K194" s="60"/>
      <c r="L194" s="50"/>
    </row>
    <row r="195" spans="1:82" ht="76.5" x14ac:dyDescent="0.2">
      <c r="B195" s="67" t="str">
        <f>CONCATENATE("Поправка: ", Source!EO245)</f>
        <v>Поправка: Попр.421/пр_2020_п.58_пп.б</v>
      </c>
      <c r="C195" s="67" t="str">
        <f>Source!CN245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196" spans="1:82" ht="15" x14ac:dyDescent="0.2">
      <c r="A196" s="46"/>
      <c r="B196" s="49">
        <v>1</v>
      </c>
      <c r="C196" s="46" t="s">
        <v>631</v>
      </c>
      <c r="D196" s="59" t="s">
        <v>383</v>
      </c>
      <c r="E196" s="56"/>
      <c r="F196" s="49"/>
      <c r="G196" s="49">
        <f>Source!U245</f>
        <v>0.86112</v>
      </c>
      <c r="H196" s="49"/>
      <c r="I196" s="49"/>
      <c r="J196" s="49"/>
      <c r="K196" s="49"/>
      <c r="L196" s="53">
        <f>SUM(L197:L197)-SUMIF(CE197:CE197, 1, L197:L197)</f>
        <v>256.12</v>
      </c>
    </row>
    <row r="197" spans="1:82" ht="14.25" x14ac:dyDescent="0.2">
      <c r="A197" s="47"/>
      <c r="B197" s="47" t="s">
        <v>391</v>
      </c>
      <c r="C197" s="47" t="s">
        <v>392</v>
      </c>
      <c r="D197" s="59" t="s">
        <v>383</v>
      </c>
      <c r="E197" s="49">
        <v>16.64</v>
      </c>
      <c r="F197" s="49">
        <f>ROUND(1.15,7)</f>
        <v>1.1499999999999999</v>
      </c>
      <c r="G197" s="49">
        <f>SmtRes!CX37</f>
        <v>0.86112</v>
      </c>
      <c r="H197" s="50"/>
      <c r="I197" s="60"/>
      <c r="J197" s="50">
        <f>SmtRes!CZ37</f>
        <v>297.43</v>
      </c>
      <c r="K197" s="60"/>
      <c r="L197" s="50">
        <f>SmtRes!DI37</f>
        <v>256.12</v>
      </c>
    </row>
    <row r="198" spans="1:82" ht="15" x14ac:dyDescent="0.2">
      <c r="A198" s="46"/>
      <c r="B198" s="49">
        <v>4</v>
      </c>
      <c r="C198" s="46" t="s">
        <v>648</v>
      </c>
      <c r="D198" s="59"/>
      <c r="E198" s="56"/>
      <c r="F198" s="49"/>
      <c r="G198" s="49"/>
      <c r="H198" s="49"/>
      <c r="I198" s="49"/>
      <c r="J198" s="49"/>
      <c r="K198" s="49"/>
      <c r="L198" s="53">
        <f>SUM(L199:L200)-SUMIF(CE199:CE200, 1, L199:L200)</f>
        <v>36.75</v>
      </c>
    </row>
    <row r="199" spans="1:82" ht="14.25" x14ac:dyDescent="0.2">
      <c r="A199" s="47"/>
      <c r="B199" s="47" t="s">
        <v>418</v>
      </c>
      <c r="C199" s="47" t="s">
        <v>420</v>
      </c>
      <c r="D199" s="59" t="s">
        <v>421</v>
      </c>
      <c r="E199" s="49">
        <v>6.8760000000000003</v>
      </c>
      <c r="F199" s="49"/>
      <c r="G199" s="49">
        <f>SmtRes!CX38</f>
        <v>0.30941999999999997</v>
      </c>
      <c r="H199" s="50"/>
      <c r="I199" s="60"/>
      <c r="J199" s="50">
        <f>SmtRes!CZ38</f>
        <v>7.94</v>
      </c>
      <c r="K199" s="60"/>
      <c r="L199" s="50">
        <f>SmtRes!DF38</f>
        <v>2.46</v>
      </c>
    </row>
    <row r="200" spans="1:82" ht="71.25" x14ac:dyDescent="0.2">
      <c r="A200" s="47"/>
      <c r="B200" s="47" t="s">
        <v>426</v>
      </c>
      <c r="C200" s="47" t="s">
        <v>428</v>
      </c>
      <c r="D200" s="59" t="s">
        <v>222</v>
      </c>
      <c r="E200" s="49">
        <v>6.7</v>
      </c>
      <c r="F200" s="49"/>
      <c r="G200" s="49">
        <f>SmtRes!CX39</f>
        <v>0.30149999999999999</v>
      </c>
      <c r="H200" s="50">
        <f>SmtRes!CZ39</f>
        <v>88.86</v>
      </c>
      <c r="I200" s="60">
        <f>SmtRes!AI39</f>
        <v>1.28</v>
      </c>
      <c r="J200" s="50">
        <f>ROUND(H200*I200, 2)</f>
        <v>113.74</v>
      </c>
      <c r="K200" s="60"/>
      <c r="L200" s="50">
        <f>SmtRes!DF39</f>
        <v>34.29</v>
      </c>
    </row>
    <row r="201" spans="1:82" ht="42.75" x14ac:dyDescent="0.2">
      <c r="A201" s="47"/>
      <c r="B201" s="47" t="str">
        <f>EtalonRes!I49</f>
        <v>09.2.03.02</v>
      </c>
      <c r="C201" s="61" t="str">
        <f>EtalonRes!K49</f>
        <v>Профили стыкоперекрывающие из алюминиевых сплавов (порожки) с покрытием</v>
      </c>
      <c r="D201" s="62" t="str">
        <f>EtalonRes!O49</f>
        <v>м</v>
      </c>
      <c r="E201" s="63">
        <f>EtalonRes!X49</f>
        <v>105</v>
      </c>
      <c r="F201" s="63"/>
      <c r="G201" s="63">
        <f>ROUND(EtalonRes!AG49*Source!I245, 7)</f>
        <v>4.7249999999999996</v>
      </c>
      <c r="H201" s="64"/>
      <c r="I201" s="65"/>
      <c r="J201" s="64"/>
      <c r="K201" s="65"/>
      <c r="L201" s="64"/>
    </row>
    <row r="202" spans="1:82" ht="15" x14ac:dyDescent="0.2">
      <c r="A202" s="47"/>
      <c r="B202" s="47"/>
      <c r="C202" s="66" t="s">
        <v>635</v>
      </c>
      <c r="D202" s="59"/>
      <c r="E202" s="49"/>
      <c r="F202" s="49"/>
      <c r="G202" s="49"/>
      <c r="H202" s="50"/>
      <c r="I202" s="60"/>
      <c r="J202" s="50"/>
      <c r="K202" s="60"/>
      <c r="L202" s="50">
        <f>L196+L198</f>
        <v>292.87</v>
      </c>
    </row>
    <row r="203" spans="1:82" ht="14.25" x14ac:dyDescent="0.2">
      <c r="A203" s="47"/>
      <c r="B203" s="47"/>
      <c r="C203" s="47" t="s">
        <v>636</v>
      </c>
      <c r="D203" s="59"/>
      <c r="E203" s="49"/>
      <c r="F203" s="49"/>
      <c r="G203" s="49"/>
      <c r="H203" s="50"/>
      <c r="I203" s="60"/>
      <c r="J203" s="50"/>
      <c r="K203" s="60"/>
      <c r="L203" s="50">
        <f>SUM(AR194:AR206)+SUM(AS194:AS206)+SUM(AT194:AT206)+SUM(AU194:AU206)+SUM(AV194:AV206)</f>
        <v>256.12</v>
      </c>
    </row>
    <row r="204" spans="1:82" ht="14.25" x14ac:dyDescent="0.2">
      <c r="A204" s="47"/>
      <c r="B204" s="47" t="s">
        <v>122</v>
      </c>
      <c r="C204" s="47" t="s">
        <v>637</v>
      </c>
      <c r="D204" s="59" t="s">
        <v>638</v>
      </c>
      <c r="E204" s="49">
        <f>Source!BZ245</f>
        <v>112</v>
      </c>
      <c r="F204" s="49">
        <f>ROUND(0.9,7)</f>
        <v>0.9</v>
      </c>
      <c r="G204" s="49">
        <f>Source!AT245</f>
        <v>100.8</v>
      </c>
      <c r="H204" s="50"/>
      <c r="I204" s="60"/>
      <c r="J204" s="50"/>
      <c r="K204" s="60"/>
      <c r="L204" s="50">
        <f>SUM(AZ194:AZ206)</f>
        <v>258.17</v>
      </c>
    </row>
    <row r="205" spans="1:82" ht="14.25" x14ac:dyDescent="0.2">
      <c r="A205" s="61"/>
      <c r="B205" s="61" t="s">
        <v>123</v>
      </c>
      <c r="C205" s="61" t="s">
        <v>639</v>
      </c>
      <c r="D205" s="62" t="s">
        <v>638</v>
      </c>
      <c r="E205" s="63">
        <f>Source!CA245</f>
        <v>65</v>
      </c>
      <c r="F205" s="63">
        <f>ROUND(0.85,7)</f>
        <v>0.85</v>
      </c>
      <c r="G205" s="63">
        <f>Source!AU245</f>
        <v>55.25</v>
      </c>
      <c r="H205" s="64"/>
      <c r="I205" s="65"/>
      <c r="J205" s="64"/>
      <c r="K205" s="65"/>
      <c r="L205" s="64">
        <f>SUM(BA194:BA206)</f>
        <v>141.51</v>
      </c>
    </row>
    <row r="206" spans="1:82" ht="15" x14ac:dyDescent="0.2">
      <c r="C206" s="90" t="s">
        <v>640</v>
      </c>
      <c r="D206" s="90"/>
      <c r="E206" s="90"/>
      <c r="F206" s="90"/>
      <c r="G206" s="90"/>
      <c r="H206" s="90"/>
      <c r="I206" s="91">
        <f>IF(E194&lt;&gt;0,K206/E194, 0)</f>
        <v>15390</v>
      </c>
      <c r="J206" s="91"/>
      <c r="K206" s="91">
        <f>L196+L198+L204+L205</f>
        <v>692.55</v>
      </c>
      <c r="L206" s="91"/>
      <c r="AD206">
        <f>ROUND((Source!AT245/100)*((ROUND(SUMIF(SmtRes!AQ37:'SmtRes'!AQ39,"=1",SmtRes!AD37:'SmtRes'!AD39)*Source!I245, 2)+ROUND(SUMIF(SmtRes!AQ37:'SmtRes'!AQ39,"=1",SmtRes!AC37:'SmtRes'!AC39)*Source!I245, 2))), 2)</f>
        <v>13.49</v>
      </c>
      <c r="AE206">
        <f>ROUND((Source!AU245/100)*((ROUND(SUMIF(SmtRes!AQ37:'SmtRes'!AQ39,"=1",SmtRes!AD37:'SmtRes'!AD39)*Source!I245, 2)+ROUND(SUMIF(SmtRes!AQ37:'SmtRes'!AQ39,"=1",SmtRes!AC37:'SmtRes'!AC39)*Source!I245, 2))), 2)</f>
        <v>7.39</v>
      </c>
      <c r="AN206" s="55">
        <f>L196+L198+L204+L205</f>
        <v>692.55</v>
      </c>
      <c r="AO206">
        <f>0</f>
        <v>0</v>
      </c>
      <c r="AQ206" t="s">
        <v>641</v>
      </c>
      <c r="AR206" s="55">
        <f>L196</f>
        <v>256.12</v>
      </c>
      <c r="AT206">
        <f>0</f>
        <v>0</v>
      </c>
      <c r="AV206" t="s">
        <v>641</v>
      </c>
      <c r="AW206" s="55">
        <f>L198</f>
        <v>36.75</v>
      </c>
      <c r="AZ206">
        <f>Source!X245</f>
        <v>258.17</v>
      </c>
      <c r="BA206">
        <f>Source!Y245</f>
        <v>141.51</v>
      </c>
      <c r="CD206">
        <v>1</v>
      </c>
    </row>
    <row r="207" spans="1:82" ht="42.75" x14ac:dyDescent="0.2">
      <c r="A207" s="68" t="s">
        <v>163</v>
      </c>
      <c r="B207" s="61" t="str">
        <f>Source!F246</f>
        <v>09.2.03.02-0016</v>
      </c>
      <c r="C207" s="61" t="str">
        <f>Source!G246</f>
        <v>Профиль стыкоперекрывающий из алюминиевых сплавов (порожки) с покрытием, ширина 30 мм, длина 0,9 м</v>
      </c>
      <c r="D207" s="62" t="str">
        <f>Source!H246</f>
        <v>ШТ</v>
      </c>
      <c r="E207" s="63">
        <f>Source!K246</f>
        <v>5</v>
      </c>
      <c r="F207" s="63"/>
      <c r="G207" s="63">
        <f>Source!I246</f>
        <v>5</v>
      </c>
      <c r="H207" s="64">
        <f>Source!AL246</f>
        <v>91.86</v>
      </c>
      <c r="I207" s="65">
        <f>IF(Source!BC246&lt;&gt; 0, Source!BC246, 1)</f>
        <v>1.25</v>
      </c>
      <c r="J207" s="64">
        <f>ROUND(H207*I207, 2)</f>
        <v>114.83</v>
      </c>
      <c r="K207" s="65"/>
      <c r="L207" s="64">
        <f>Source!P246</f>
        <v>574.15</v>
      </c>
    </row>
    <row r="208" spans="1:82" ht="15" x14ac:dyDescent="0.2">
      <c r="C208" s="90" t="s">
        <v>640</v>
      </c>
      <c r="D208" s="90"/>
      <c r="E208" s="90"/>
      <c r="F208" s="90"/>
      <c r="G208" s="90"/>
      <c r="H208" s="90"/>
      <c r="I208" s="91">
        <f>IF(E207&lt;&gt;0,K208/E207, 0)</f>
        <v>114.83</v>
      </c>
      <c r="J208" s="91"/>
      <c r="K208" s="91">
        <f>L207</f>
        <v>574.15</v>
      </c>
      <c r="L208" s="91"/>
      <c r="AD208">
        <f>ROUND((Source!AT246/100)*((ROUND(ROUND(Source!AO246,2)*Source!I246, 2)+ROUND(ROUND(Source!AN246,2)*Source!I246, 2))), 2)</f>
        <v>0</v>
      </c>
      <c r="AE208">
        <f>ROUND((Source!AU246/100)*((ROUND(ROUND(Source!AO246,2)*Source!I246, 2)+ROUND(ROUND(Source!AN246,2)*Source!I246, 2))), 2)</f>
        <v>0</v>
      </c>
      <c r="AN208" s="55">
        <f>L207</f>
        <v>574.15</v>
      </c>
      <c r="AO208">
        <f>0</f>
        <v>0</v>
      </c>
      <c r="AQ208" t="s">
        <v>641</v>
      </c>
      <c r="AR208">
        <f>0</f>
        <v>0</v>
      </c>
      <c r="AT208">
        <f>0</f>
        <v>0</v>
      </c>
      <c r="AV208" t="s">
        <v>641</v>
      </c>
      <c r="AW208" s="55">
        <f>L207</f>
        <v>574.15</v>
      </c>
      <c r="AZ208">
        <f>Source!X246</f>
        <v>0</v>
      </c>
      <c r="BA208">
        <f>Source!Y246</f>
        <v>0</v>
      </c>
      <c r="CD208">
        <v>1</v>
      </c>
    </row>
    <row r="209" spans="1:83" ht="14.25" x14ac:dyDescent="0.2">
      <c r="C209" s="57" t="str">
        <f>Source!G247</f>
        <v>Стены и перегородки</v>
      </c>
    </row>
    <row r="210" spans="1:83" ht="28.5" x14ac:dyDescent="0.2">
      <c r="A210" s="58" t="s">
        <v>77</v>
      </c>
      <c r="B210" s="47" t="s">
        <v>658</v>
      </c>
      <c r="C210" s="47" t="str">
        <f>Source!G248</f>
        <v>Разборка облицовки стен: из керамических глазурованных плиток</v>
      </c>
      <c r="D210" s="59" t="str">
        <f>Source!H248</f>
        <v>100 м2</v>
      </c>
      <c r="E210" s="49">
        <f>Source!K248</f>
        <v>0.745</v>
      </c>
      <c r="F210" s="49"/>
      <c r="G210" s="49">
        <f>Source!I248</f>
        <v>0.745</v>
      </c>
      <c r="H210" s="50"/>
      <c r="I210" s="60"/>
      <c r="J210" s="50"/>
      <c r="K210" s="60"/>
      <c r="L210" s="50"/>
    </row>
    <row r="211" spans="1:83" ht="15" x14ac:dyDescent="0.2">
      <c r="A211" s="46"/>
      <c r="B211" s="49">
        <v>1</v>
      </c>
      <c r="C211" s="46" t="s">
        <v>631</v>
      </c>
      <c r="D211" s="59" t="s">
        <v>383</v>
      </c>
      <c r="E211" s="56"/>
      <c r="F211" s="49"/>
      <c r="G211" s="49">
        <f>Source!U248</f>
        <v>55.353499999999997</v>
      </c>
      <c r="H211" s="49"/>
      <c r="I211" s="49"/>
      <c r="J211" s="49"/>
      <c r="K211" s="49"/>
      <c r="L211" s="53">
        <f>SUM(L212:L212)-SUMIF(CE212:CE212, 1, L212:L212)</f>
        <v>15218.34</v>
      </c>
    </row>
    <row r="212" spans="1:83" ht="14.25" x14ac:dyDescent="0.2">
      <c r="A212" s="47"/>
      <c r="B212" s="47" t="s">
        <v>438</v>
      </c>
      <c r="C212" s="47" t="s">
        <v>439</v>
      </c>
      <c r="D212" s="59" t="s">
        <v>383</v>
      </c>
      <c r="E212" s="49">
        <v>74.3</v>
      </c>
      <c r="F212" s="49"/>
      <c r="G212" s="49">
        <f>SmtRes!CX40</f>
        <v>55.353499999999997</v>
      </c>
      <c r="H212" s="50"/>
      <c r="I212" s="60"/>
      <c r="J212" s="50">
        <f>SmtRes!CZ40</f>
        <v>274.93</v>
      </c>
      <c r="K212" s="60"/>
      <c r="L212" s="50">
        <f>SmtRes!DI40</f>
        <v>15218.34</v>
      </c>
    </row>
    <row r="213" spans="1:83" ht="15" x14ac:dyDescent="0.2">
      <c r="A213" s="46"/>
      <c r="B213" s="49">
        <v>2</v>
      </c>
      <c r="C213" s="46" t="s">
        <v>632</v>
      </c>
      <c r="D213" s="59"/>
      <c r="E213" s="56"/>
      <c r="F213" s="49"/>
      <c r="G213" s="49"/>
      <c r="H213" s="49"/>
      <c r="I213" s="49"/>
      <c r="J213" s="49"/>
      <c r="K213" s="49"/>
      <c r="L213" s="53">
        <f>SUM(L214:L218)-SUMIF(CE214:CE218, 1, L214:L218)</f>
        <v>235.9</v>
      </c>
    </row>
    <row r="214" spans="1:83" ht="15" x14ac:dyDescent="0.2">
      <c r="A214" s="46"/>
      <c r="B214" s="49"/>
      <c r="C214" s="46" t="s">
        <v>634</v>
      </c>
      <c r="D214" s="59" t="s">
        <v>383</v>
      </c>
      <c r="E214" s="56"/>
      <c r="F214" s="49"/>
      <c r="G214" s="49">
        <f>Source!V248</f>
        <v>0.26074999999999998</v>
      </c>
      <c r="H214" s="49"/>
      <c r="I214" s="49"/>
      <c r="J214" s="49"/>
      <c r="K214" s="49"/>
      <c r="L214" s="53">
        <f>SUMIF(CE215:CE218, 1, L215:L218)</f>
        <v>77.55</v>
      </c>
      <c r="CE214">
        <v>1</v>
      </c>
    </row>
    <row r="215" spans="1:83" ht="42.75" x14ac:dyDescent="0.2">
      <c r="A215" s="47"/>
      <c r="B215" s="47" t="s">
        <v>386</v>
      </c>
      <c r="C215" s="47" t="s">
        <v>388</v>
      </c>
      <c r="D215" s="59" t="s">
        <v>389</v>
      </c>
      <c r="E215" s="49">
        <v>0.35</v>
      </c>
      <c r="F215" s="49"/>
      <c r="G215" s="49">
        <f>SmtRes!CX42</f>
        <v>0.26074999999999998</v>
      </c>
      <c r="H215" s="50">
        <f>SmtRes!CZ42</f>
        <v>37.32</v>
      </c>
      <c r="I215" s="60">
        <f>SmtRes!AJ42</f>
        <v>1.48</v>
      </c>
      <c r="J215" s="50">
        <f>ROUND(H215*I215, 2)</f>
        <v>55.23</v>
      </c>
      <c r="K215" s="60"/>
      <c r="L215" s="50">
        <f>SmtRes!DG42</f>
        <v>14.4</v>
      </c>
    </row>
    <row r="216" spans="1:83" ht="28.5" x14ac:dyDescent="0.2">
      <c r="A216" s="47"/>
      <c r="B216" s="47" t="s">
        <v>390</v>
      </c>
      <c r="C216" s="47" t="s">
        <v>633</v>
      </c>
      <c r="D216" s="59" t="s">
        <v>383</v>
      </c>
      <c r="E216" s="49">
        <f>SmtRes!DO42*SmtRes!AT42</f>
        <v>0.35</v>
      </c>
      <c r="F216" s="49"/>
      <c r="G216" s="49">
        <f>ROUND(E216*G210, 7)</f>
        <v>0.26074999999999998</v>
      </c>
      <c r="H216" s="50"/>
      <c r="I216" s="60"/>
      <c r="J216" s="50">
        <f>ROUND(SmtRes!AG42/SmtRes!DO42, 2)</f>
        <v>297.43</v>
      </c>
      <c r="K216" s="60"/>
      <c r="L216" s="50">
        <f>SmtRes!DH42</f>
        <v>77.55</v>
      </c>
      <c r="CE216">
        <v>1</v>
      </c>
    </row>
    <row r="217" spans="1:83" ht="57" x14ac:dyDescent="0.2">
      <c r="A217" s="47"/>
      <c r="B217" s="47" t="s">
        <v>395</v>
      </c>
      <c r="C217" s="47" t="s">
        <v>397</v>
      </c>
      <c r="D217" s="59" t="s">
        <v>389</v>
      </c>
      <c r="E217" s="49">
        <v>1.64</v>
      </c>
      <c r="F217" s="49"/>
      <c r="G217" s="49">
        <f>SmtRes!CX43</f>
        <v>1.2218</v>
      </c>
      <c r="H217" s="50">
        <f>SmtRes!CZ43</f>
        <v>115.43</v>
      </c>
      <c r="I217" s="60">
        <f>SmtRes!AJ43</f>
        <v>1.52</v>
      </c>
      <c r="J217" s="50">
        <f>ROUND(H217*I217, 2)</f>
        <v>175.45</v>
      </c>
      <c r="K217" s="60"/>
      <c r="L217" s="50">
        <f>SmtRes!DG43</f>
        <v>214.36</v>
      </c>
    </row>
    <row r="218" spans="1:83" ht="42.75" x14ac:dyDescent="0.2">
      <c r="A218" s="47"/>
      <c r="B218" s="47" t="s">
        <v>398</v>
      </c>
      <c r="C218" s="61" t="s">
        <v>400</v>
      </c>
      <c r="D218" s="62" t="s">
        <v>389</v>
      </c>
      <c r="E218" s="63">
        <v>3.28</v>
      </c>
      <c r="F218" s="63"/>
      <c r="G218" s="63">
        <f>SmtRes!CX44</f>
        <v>2.4436</v>
      </c>
      <c r="H218" s="64"/>
      <c r="I218" s="65"/>
      <c r="J218" s="64">
        <f>SmtRes!CZ44</f>
        <v>2.92</v>
      </c>
      <c r="K218" s="65"/>
      <c r="L218" s="64">
        <f>SmtRes!DG44</f>
        <v>7.14</v>
      </c>
    </row>
    <row r="219" spans="1:83" ht="15" x14ac:dyDescent="0.2">
      <c r="A219" s="47"/>
      <c r="B219" s="47"/>
      <c r="C219" s="66" t="s">
        <v>635</v>
      </c>
      <c r="D219" s="59"/>
      <c r="E219" s="49"/>
      <c r="F219" s="49"/>
      <c r="G219" s="49"/>
      <c r="H219" s="50"/>
      <c r="I219" s="60"/>
      <c r="J219" s="50"/>
      <c r="K219" s="60"/>
      <c r="L219" s="50">
        <f>L211+L213+L214</f>
        <v>15531.789999999999</v>
      </c>
    </row>
    <row r="220" spans="1:83" ht="14.25" x14ac:dyDescent="0.2">
      <c r="A220" s="47"/>
      <c r="B220" s="47"/>
      <c r="C220" s="47" t="s">
        <v>636</v>
      </c>
      <c r="D220" s="59"/>
      <c r="E220" s="49"/>
      <c r="F220" s="49"/>
      <c r="G220" s="49"/>
      <c r="H220" s="50"/>
      <c r="I220" s="60"/>
      <c r="J220" s="50"/>
      <c r="K220" s="60"/>
      <c r="L220" s="50">
        <f>SUM(AR210:AR223)+SUM(AS210:AS223)+SUM(AT210:AT223)+SUM(AU210:AU223)+SUM(AV210:AV223)</f>
        <v>15295.89</v>
      </c>
    </row>
    <row r="221" spans="1:83" ht="28.5" x14ac:dyDescent="0.2">
      <c r="A221" s="47"/>
      <c r="B221" s="47" t="s">
        <v>175</v>
      </c>
      <c r="C221" s="47" t="s">
        <v>659</v>
      </c>
      <c r="D221" s="59" t="s">
        <v>638</v>
      </c>
      <c r="E221" s="49">
        <f>Source!BZ248</f>
        <v>90</v>
      </c>
      <c r="F221" s="49"/>
      <c r="G221" s="49">
        <f>Source!AT248</f>
        <v>90</v>
      </c>
      <c r="H221" s="50"/>
      <c r="I221" s="60"/>
      <c r="J221" s="50"/>
      <c r="K221" s="60"/>
      <c r="L221" s="50">
        <f>SUM(AZ210:AZ223)</f>
        <v>13766.3</v>
      </c>
    </row>
    <row r="222" spans="1:83" ht="28.5" x14ac:dyDescent="0.2">
      <c r="A222" s="61"/>
      <c r="B222" s="61" t="s">
        <v>176</v>
      </c>
      <c r="C222" s="61" t="s">
        <v>660</v>
      </c>
      <c r="D222" s="62" t="s">
        <v>638</v>
      </c>
      <c r="E222" s="63">
        <f>Source!CA248</f>
        <v>45</v>
      </c>
      <c r="F222" s="63"/>
      <c r="G222" s="63">
        <f>Source!AU248</f>
        <v>45</v>
      </c>
      <c r="H222" s="64"/>
      <c r="I222" s="65"/>
      <c r="J222" s="64"/>
      <c r="K222" s="65"/>
      <c r="L222" s="64">
        <f>SUM(BA210:BA223)</f>
        <v>6883.15</v>
      </c>
    </row>
    <row r="223" spans="1:83" ht="15" x14ac:dyDescent="0.2">
      <c r="C223" s="90" t="s">
        <v>640</v>
      </c>
      <c r="D223" s="90"/>
      <c r="E223" s="90"/>
      <c r="F223" s="90"/>
      <c r="G223" s="90"/>
      <c r="H223" s="90"/>
      <c r="I223" s="91">
        <f>IF(E210&lt;&gt;0,K223/E210, 0)</f>
        <v>48565.422818791951</v>
      </c>
      <c r="J223" s="91"/>
      <c r="K223" s="91">
        <f>L211+L213+L221+L222+L214</f>
        <v>36181.240000000005</v>
      </c>
      <c r="L223" s="91"/>
      <c r="AD223">
        <f>ROUND((Source!AT248/100)*((ROUND(SUMIF(SmtRes!AQ40:'SmtRes'!AQ44,"=1",SmtRes!AD40:'SmtRes'!AD44)*Source!I248, 2)+ROUND(SUMIF(SmtRes!AQ40:'SmtRes'!AQ44,"=1",SmtRes!AC40:'SmtRes'!AC44)*Source!I248, 2))), 2)</f>
        <v>383.77</v>
      </c>
      <c r="AE223">
        <f>ROUND((Source!AU248/100)*((ROUND(SUMIF(SmtRes!AQ40:'SmtRes'!AQ44,"=1",SmtRes!AD40:'SmtRes'!AD44)*Source!I248, 2)+ROUND(SUMIF(SmtRes!AQ40:'SmtRes'!AQ44,"=1",SmtRes!AC40:'SmtRes'!AC44)*Source!I248, 2))), 2)</f>
        <v>191.88</v>
      </c>
      <c r="AN223" s="55">
        <f>L211+L213+L221+L222+L214</f>
        <v>36181.240000000005</v>
      </c>
      <c r="AO223" s="55">
        <f>L213</f>
        <v>235.9</v>
      </c>
      <c r="AQ223" t="s">
        <v>641</v>
      </c>
      <c r="AR223" s="55">
        <f>L211</f>
        <v>15218.34</v>
      </c>
      <c r="AT223" s="55">
        <f>L214</f>
        <v>77.55</v>
      </c>
      <c r="AV223" t="s">
        <v>641</v>
      </c>
      <c r="AW223">
        <f>0</f>
        <v>0</v>
      </c>
      <c r="AZ223">
        <f>Source!X248</f>
        <v>13766.3</v>
      </c>
      <c r="BA223">
        <f>Source!Y248</f>
        <v>6883.15</v>
      </c>
      <c r="CD223">
        <v>1</v>
      </c>
    </row>
    <row r="224" spans="1:83" ht="28.5" x14ac:dyDescent="0.2">
      <c r="A224" s="58" t="s">
        <v>177</v>
      </c>
      <c r="B224" s="47" t="s">
        <v>661</v>
      </c>
      <c r="C224" s="47" t="str">
        <f>Source!G249</f>
        <v>Отбивка штукатурки с поверхностей: стен и потолков кирпичных</v>
      </c>
      <c r="D224" s="59" t="str">
        <f>Source!H249</f>
        <v>100 м2</v>
      </c>
      <c r="E224" s="49">
        <f>Source!K249</f>
        <v>0.61</v>
      </c>
      <c r="F224" s="49"/>
      <c r="G224" s="49">
        <f>Source!I249</f>
        <v>0.61</v>
      </c>
      <c r="H224" s="50"/>
      <c r="I224" s="60"/>
      <c r="J224" s="50"/>
      <c r="K224" s="60"/>
      <c r="L224" s="50"/>
    </row>
    <row r="225" spans="1:83" ht="15" x14ac:dyDescent="0.2">
      <c r="A225" s="46"/>
      <c r="B225" s="49">
        <v>1</v>
      </c>
      <c r="C225" s="46" t="s">
        <v>631</v>
      </c>
      <c r="D225" s="59" t="s">
        <v>383</v>
      </c>
      <c r="E225" s="56"/>
      <c r="F225" s="49"/>
      <c r="G225" s="49">
        <f>Source!U249</f>
        <v>13.920199999999999</v>
      </c>
      <c r="H225" s="49"/>
      <c r="I225" s="49"/>
      <c r="J225" s="49"/>
      <c r="K225" s="49"/>
      <c r="L225" s="53">
        <f>SUM(L226:L226)-SUMIF(CE226:CE226, 1, L226:L226)</f>
        <v>3792.28</v>
      </c>
    </row>
    <row r="226" spans="1:83" ht="14.25" x14ac:dyDescent="0.2">
      <c r="A226" s="47"/>
      <c r="B226" s="47" t="s">
        <v>381</v>
      </c>
      <c r="C226" s="61" t="s">
        <v>382</v>
      </c>
      <c r="D226" s="62" t="s">
        <v>383</v>
      </c>
      <c r="E226" s="63">
        <v>22.82</v>
      </c>
      <c r="F226" s="63"/>
      <c r="G226" s="63">
        <f>SmtRes!CX45</f>
        <v>13.920199999999999</v>
      </c>
      <c r="H226" s="64"/>
      <c r="I226" s="65"/>
      <c r="J226" s="64">
        <f>SmtRes!CZ45</f>
        <v>272.43</v>
      </c>
      <c r="K226" s="65"/>
      <c r="L226" s="64">
        <f>SmtRes!DI45</f>
        <v>3792.28</v>
      </c>
    </row>
    <row r="227" spans="1:83" ht="15" x14ac:dyDescent="0.2">
      <c r="A227" s="47"/>
      <c r="B227" s="47"/>
      <c r="C227" s="66" t="s">
        <v>635</v>
      </c>
      <c r="D227" s="59"/>
      <c r="E227" s="49"/>
      <c r="F227" s="49"/>
      <c r="G227" s="49"/>
      <c r="H227" s="50"/>
      <c r="I227" s="60"/>
      <c r="J227" s="50"/>
      <c r="K227" s="60"/>
      <c r="L227" s="50">
        <f>L225</f>
        <v>3792.28</v>
      </c>
    </row>
    <row r="228" spans="1:83" ht="14.25" x14ac:dyDescent="0.2">
      <c r="A228" s="47"/>
      <c r="B228" s="47"/>
      <c r="C228" s="47" t="s">
        <v>636</v>
      </c>
      <c r="D228" s="59"/>
      <c r="E228" s="49"/>
      <c r="F228" s="49"/>
      <c r="G228" s="49"/>
      <c r="H228" s="50"/>
      <c r="I228" s="60"/>
      <c r="J228" s="50"/>
      <c r="K228" s="60"/>
      <c r="L228" s="50">
        <f>SUM(AR224:AR231)+SUM(AS224:AS231)+SUM(AT224:AT231)+SUM(AU224:AU231)+SUM(AV224:AV231)</f>
        <v>3792.28</v>
      </c>
    </row>
    <row r="229" spans="1:83" ht="71.25" x14ac:dyDescent="0.2">
      <c r="A229" s="47"/>
      <c r="B229" s="47" t="s">
        <v>184</v>
      </c>
      <c r="C229" s="47" t="s">
        <v>662</v>
      </c>
      <c r="D229" s="59" t="s">
        <v>638</v>
      </c>
      <c r="E229" s="49">
        <f>Source!BZ249</f>
        <v>91</v>
      </c>
      <c r="F229" s="49"/>
      <c r="G229" s="49">
        <f>Source!AT249</f>
        <v>91</v>
      </c>
      <c r="H229" s="50"/>
      <c r="I229" s="60"/>
      <c r="J229" s="50"/>
      <c r="K229" s="60"/>
      <c r="L229" s="50">
        <f>SUM(AZ224:AZ231)</f>
        <v>3450.97</v>
      </c>
    </row>
    <row r="230" spans="1:83" ht="71.25" x14ac:dyDescent="0.2">
      <c r="A230" s="61"/>
      <c r="B230" s="61" t="s">
        <v>185</v>
      </c>
      <c r="C230" s="61" t="s">
        <v>663</v>
      </c>
      <c r="D230" s="62" t="s">
        <v>638</v>
      </c>
      <c r="E230" s="63">
        <f>Source!CA249</f>
        <v>52</v>
      </c>
      <c r="F230" s="63"/>
      <c r="G230" s="63">
        <f>Source!AU249</f>
        <v>52</v>
      </c>
      <c r="H230" s="64"/>
      <c r="I230" s="65"/>
      <c r="J230" s="64"/>
      <c r="K230" s="65"/>
      <c r="L230" s="64">
        <f>SUM(BA224:BA231)</f>
        <v>1971.99</v>
      </c>
    </row>
    <row r="231" spans="1:83" ht="15" x14ac:dyDescent="0.2">
      <c r="C231" s="90" t="s">
        <v>640</v>
      </c>
      <c r="D231" s="90"/>
      <c r="E231" s="90"/>
      <c r="F231" s="90"/>
      <c r="G231" s="90"/>
      <c r="H231" s="90"/>
      <c r="I231" s="91">
        <f>IF(E224&lt;&gt;0,K231/E224, 0)</f>
        <v>15106.950819672131</v>
      </c>
      <c r="J231" s="91"/>
      <c r="K231" s="91">
        <f>L225+L229+L230</f>
        <v>9215.24</v>
      </c>
      <c r="L231" s="91"/>
      <c r="AD231">
        <f>ROUND((Source!AT249/100)*((ROUND(SUMIF(SmtRes!AQ45:'SmtRes'!AQ45,"=1",SmtRes!AD45:'SmtRes'!AD45)*Source!I249, 2)+ROUND(SUMIF(SmtRes!AQ45:'SmtRes'!AQ45,"=1",SmtRes!AC45:'SmtRes'!AC45)*Source!I249, 2))), 2)</f>
        <v>151.22</v>
      </c>
      <c r="AE231">
        <f>ROUND((Source!AU249/100)*((ROUND(SUMIF(SmtRes!AQ45:'SmtRes'!AQ45,"=1",SmtRes!AD45:'SmtRes'!AD45)*Source!I249, 2)+ROUND(SUMIF(SmtRes!AQ45:'SmtRes'!AQ45,"=1",SmtRes!AC45:'SmtRes'!AC45)*Source!I249, 2))), 2)</f>
        <v>86.41</v>
      </c>
      <c r="AN231" s="55">
        <f>L225+L229+L230</f>
        <v>9215.24</v>
      </c>
      <c r="AO231">
        <f>0</f>
        <v>0</v>
      </c>
      <c r="AQ231" t="s">
        <v>641</v>
      </c>
      <c r="AR231" s="55">
        <f>L225</f>
        <v>3792.28</v>
      </c>
      <c r="AT231">
        <f>0</f>
        <v>0</v>
      </c>
      <c r="AV231" t="s">
        <v>641</v>
      </c>
      <c r="AW231">
        <f>0</f>
        <v>0</v>
      </c>
      <c r="AZ231">
        <f>Source!X249</f>
        <v>3450.97</v>
      </c>
      <c r="BA231">
        <f>Source!Y249</f>
        <v>1971.99</v>
      </c>
      <c r="CD231">
        <v>1</v>
      </c>
    </row>
    <row r="232" spans="1:83" ht="133.5" x14ac:dyDescent="0.2">
      <c r="A232" s="58" t="s">
        <v>186</v>
      </c>
      <c r="B232" s="47" t="s">
        <v>664</v>
      </c>
      <c r="C232" s="47" t="s">
        <v>665</v>
      </c>
      <c r="D232" s="59" t="str">
        <f>Source!H250</f>
        <v>100 м2</v>
      </c>
      <c r="E232" s="49">
        <f>Source!K250</f>
        <v>0.61</v>
      </c>
      <c r="F232" s="49"/>
      <c r="G232" s="49">
        <f>Source!I250</f>
        <v>0.61</v>
      </c>
      <c r="H232" s="50"/>
      <c r="I232" s="60"/>
      <c r="J232" s="50"/>
      <c r="K232" s="60"/>
      <c r="L232" s="50"/>
    </row>
    <row r="233" spans="1:83" ht="76.5" x14ac:dyDescent="0.2">
      <c r="B233" s="67" t="str">
        <f>CONCATENATE("Поправка: ", Source!EO250)</f>
        <v>Поправка: Попр.421/пр_2020_п.58_пп.б</v>
      </c>
      <c r="C233" s="67" t="str">
        <f>Source!CN250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234" spans="1:83" ht="15" x14ac:dyDescent="0.2">
      <c r="A234" s="46"/>
      <c r="B234" s="49">
        <v>1</v>
      </c>
      <c r="C234" s="46" t="s">
        <v>631</v>
      </c>
      <c r="D234" s="59" t="s">
        <v>383</v>
      </c>
      <c r="E234" s="56"/>
      <c r="F234" s="49"/>
      <c r="G234" s="49">
        <f>Source!U250</f>
        <v>51.911000000000001</v>
      </c>
      <c r="H234" s="49"/>
      <c r="I234" s="49"/>
      <c r="J234" s="49"/>
      <c r="K234" s="49"/>
      <c r="L234" s="53">
        <f>SUM(L235:L235)-SUMIF(CE235:CE235, 1, L235:L235)</f>
        <v>16996.7</v>
      </c>
    </row>
    <row r="235" spans="1:83" ht="14.25" x14ac:dyDescent="0.2">
      <c r="A235" s="47"/>
      <c r="B235" s="47" t="s">
        <v>440</v>
      </c>
      <c r="C235" s="47" t="s">
        <v>441</v>
      </c>
      <c r="D235" s="59" t="s">
        <v>383</v>
      </c>
      <c r="E235" s="49">
        <v>74</v>
      </c>
      <c r="F235" s="49">
        <f>ROUND(1.15,7)</f>
        <v>1.1499999999999999</v>
      </c>
      <c r="G235" s="49">
        <f>SmtRes!CX46</f>
        <v>51.911000000000001</v>
      </c>
      <c r="H235" s="50"/>
      <c r="I235" s="60"/>
      <c r="J235" s="50">
        <f>SmtRes!CZ46</f>
        <v>327.42</v>
      </c>
      <c r="K235" s="60"/>
      <c r="L235" s="50">
        <f>SmtRes!DI46</f>
        <v>16996.7</v>
      </c>
    </row>
    <row r="236" spans="1:83" ht="15" x14ac:dyDescent="0.2">
      <c r="A236" s="46"/>
      <c r="B236" s="49">
        <v>2</v>
      </c>
      <c r="C236" s="46" t="s">
        <v>632</v>
      </c>
      <c r="D236" s="59"/>
      <c r="E236" s="56"/>
      <c r="F236" s="49"/>
      <c r="G236" s="49"/>
      <c r="H236" s="49"/>
      <c r="I236" s="49"/>
      <c r="J236" s="49"/>
      <c r="K236" s="49"/>
      <c r="L236" s="53">
        <f>SUM(L237:L241)-SUMIF(CE237:CE241, 1, L237:L241)</f>
        <v>92.709999999999582</v>
      </c>
    </row>
    <row r="237" spans="1:83" ht="15" x14ac:dyDescent="0.2">
      <c r="A237" s="46"/>
      <c r="B237" s="49"/>
      <c r="C237" s="46" t="s">
        <v>634</v>
      </c>
      <c r="D237" s="59" t="s">
        <v>383</v>
      </c>
      <c r="E237" s="56"/>
      <c r="F237" s="49"/>
      <c r="G237" s="49">
        <f>Source!V250</f>
        <v>4.2242500000000005</v>
      </c>
      <c r="H237" s="49"/>
      <c r="I237" s="49"/>
      <c r="J237" s="49"/>
      <c r="K237" s="49"/>
      <c r="L237" s="53">
        <f>SUMIF(CE238:CE241, 1, L238:L241)</f>
        <v>1256.4100000000001</v>
      </c>
      <c r="CE237">
        <v>1</v>
      </c>
    </row>
    <row r="238" spans="1:83" ht="42.75" x14ac:dyDescent="0.2">
      <c r="A238" s="47"/>
      <c r="B238" s="47" t="s">
        <v>386</v>
      </c>
      <c r="C238" s="47" t="s">
        <v>388</v>
      </c>
      <c r="D238" s="59" t="s">
        <v>389</v>
      </c>
      <c r="E238" s="49">
        <v>0.84</v>
      </c>
      <c r="F238" s="49">
        <f>ROUND(1.25,7)</f>
        <v>1.25</v>
      </c>
      <c r="G238" s="49">
        <f>SmtRes!CX48</f>
        <v>0.64049999999999996</v>
      </c>
      <c r="H238" s="50">
        <f>SmtRes!CZ48</f>
        <v>37.32</v>
      </c>
      <c r="I238" s="60">
        <f>SmtRes!AJ48</f>
        <v>1.48</v>
      </c>
      <c r="J238" s="50">
        <f>ROUND(H238*I238, 2)</f>
        <v>55.23</v>
      </c>
      <c r="K238" s="60"/>
      <c r="L238" s="50">
        <f>SmtRes!DG48</f>
        <v>35.369999999999997</v>
      </c>
    </row>
    <row r="239" spans="1:83" ht="28.5" x14ac:dyDescent="0.2">
      <c r="A239" s="47"/>
      <c r="B239" s="47" t="s">
        <v>390</v>
      </c>
      <c r="C239" s="47" t="s">
        <v>633</v>
      </c>
      <c r="D239" s="59" t="s">
        <v>383</v>
      </c>
      <c r="E239" s="49">
        <f>SmtRes!DO48*SmtRes!AT48</f>
        <v>0.84</v>
      </c>
      <c r="F239" s="49">
        <f>ROUND(1.25,7)</f>
        <v>1.25</v>
      </c>
      <c r="G239" s="49">
        <f>ROUND(E239*F239*G232, 7)</f>
        <v>0.64049999999999996</v>
      </c>
      <c r="H239" s="50"/>
      <c r="I239" s="60"/>
      <c r="J239" s="50">
        <f>ROUND(SmtRes!AG48/SmtRes!DO48, 2)</f>
        <v>297.43</v>
      </c>
      <c r="K239" s="60"/>
      <c r="L239" s="50">
        <f>SmtRes!DH48</f>
        <v>190.5</v>
      </c>
      <c r="CE239">
        <v>1</v>
      </c>
    </row>
    <row r="240" spans="1:83" ht="28.5" x14ac:dyDescent="0.2">
      <c r="A240" s="47"/>
      <c r="B240" s="47" t="s">
        <v>442</v>
      </c>
      <c r="C240" s="47" t="s">
        <v>444</v>
      </c>
      <c r="D240" s="59" t="s">
        <v>389</v>
      </c>
      <c r="E240" s="49">
        <v>4.7</v>
      </c>
      <c r="F240" s="49">
        <f>ROUND(1.25,7)</f>
        <v>1.25</v>
      </c>
      <c r="G240" s="49">
        <f>SmtRes!CX49</f>
        <v>3.5837500000000002</v>
      </c>
      <c r="H240" s="50">
        <f>SmtRes!CZ49</f>
        <v>10.81</v>
      </c>
      <c r="I240" s="60">
        <f>SmtRes!AJ49</f>
        <v>1.48</v>
      </c>
      <c r="J240" s="50">
        <f>ROUND(H240*I240, 2)</f>
        <v>16</v>
      </c>
      <c r="K240" s="60"/>
      <c r="L240" s="50">
        <f>SmtRes!DG49</f>
        <v>57.34</v>
      </c>
    </row>
    <row r="241" spans="1:83" ht="28.5" x14ac:dyDescent="0.2">
      <c r="A241" s="47"/>
      <c r="B241" s="47" t="s">
        <v>390</v>
      </c>
      <c r="C241" s="47" t="s">
        <v>633</v>
      </c>
      <c r="D241" s="59" t="s">
        <v>383</v>
      </c>
      <c r="E241" s="49">
        <f>SmtRes!DO49*SmtRes!AT49</f>
        <v>4.7</v>
      </c>
      <c r="F241" s="49">
        <f>ROUND(1.25,7)</f>
        <v>1.25</v>
      </c>
      <c r="G241" s="49">
        <f>ROUND(E241*F241*G232, 7)</f>
        <v>3.5837500000000002</v>
      </c>
      <c r="H241" s="50"/>
      <c r="I241" s="60"/>
      <c r="J241" s="50">
        <f>ROUND(SmtRes!AG49/SmtRes!DO49, 2)</f>
        <v>297.43</v>
      </c>
      <c r="K241" s="60"/>
      <c r="L241" s="50">
        <f>SmtRes!DH49</f>
        <v>1065.9100000000001</v>
      </c>
      <c r="CE241">
        <v>1</v>
      </c>
    </row>
    <row r="242" spans="1:83" ht="15" x14ac:dyDescent="0.2">
      <c r="A242" s="46"/>
      <c r="B242" s="49">
        <v>4</v>
      </c>
      <c r="C242" s="46" t="s">
        <v>648</v>
      </c>
      <c r="D242" s="59"/>
      <c r="E242" s="56"/>
      <c r="F242" s="49"/>
      <c r="G242" s="49"/>
      <c r="H242" s="49"/>
      <c r="I242" s="49"/>
      <c r="J242" s="49"/>
      <c r="K242" s="49"/>
      <c r="L242" s="53">
        <f>SUM(L243:L246)-SUMIF(CE243:CE246, 1, L243:L246)</f>
        <v>6124.15</v>
      </c>
    </row>
    <row r="243" spans="1:83" ht="28.5" x14ac:dyDescent="0.2">
      <c r="A243" s="47"/>
      <c r="B243" s="47" t="s">
        <v>445</v>
      </c>
      <c r="C243" s="47" t="s">
        <v>447</v>
      </c>
      <c r="D243" s="59" t="s">
        <v>149</v>
      </c>
      <c r="E243" s="49">
        <v>1.2E-4</v>
      </c>
      <c r="F243" s="49"/>
      <c r="G243" s="49">
        <f>SmtRes!CX50</f>
        <v>7.3200000000000004E-5</v>
      </c>
      <c r="H243" s="50">
        <f>SmtRes!CZ50</f>
        <v>76630.399999999994</v>
      </c>
      <c r="I243" s="60">
        <f>SmtRes!AI50</f>
        <v>1.28</v>
      </c>
      <c r="J243" s="50">
        <f>ROUND(H243*I243, 2)</f>
        <v>98086.91</v>
      </c>
      <c r="K243" s="60"/>
      <c r="L243" s="50">
        <f>SmtRes!DF50</f>
        <v>7.18</v>
      </c>
    </row>
    <row r="244" spans="1:83" ht="14.25" x14ac:dyDescent="0.2">
      <c r="A244" s="47"/>
      <c r="B244" s="47" t="s">
        <v>448</v>
      </c>
      <c r="C244" s="47" t="s">
        <v>450</v>
      </c>
      <c r="D244" s="59" t="s">
        <v>149</v>
      </c>
      <c r="E244" s="49">
        <v>6.0000000000000001E-3</v>
      </c>
      <c r="F244" s="49"/>
      <c r="G244" s="49">
        <f>SmtRes!CX51</f>
        <v>3.6600000000000001E-3</v>
      </c>
      <c r="H244" s="50">
        <f>SmtRes!CZ51</f>
        <v>4338.2700000000004</v>
      </c>
      <c r="I244" s="60">
        <f>SmtRes!AI51</f>
        <v>1.37</v>
      </c>
      <c r="J244" s="50">
        <f>ROUND(H244*I244, 2)</f>
        <v>5943.43</v>
      </c>
      <c r="K244" s="60"/>
      <c r="L244" s="50">
        <f>SmtRes!DF51</f>
        <v>21.75</v>
      </c>
    </row>
    <row r="245" spans="1:83" ht="28.5" x14ac:dyDescent="0.2">
      <c r="A245" s="47"/>
      <c r="B245" s="47" t="s">
        <v>451</v>
      </c>
      <c r="C245" s="47" t="s">
        <v>453</v>
      </c>
      <c r="D245" s="59" t="s">
        <v>134</v>
      </c>
      <c r="E245" s="49">
        <v>1.87</v>
      </c>
      <c r="F245" s="49"/>
      <c r="G245" s="49">
        <f>SmtRes!CX52</f>
        <v>1.1407</v>
      </c>
      <c r="H245" s="50">
        <f>SmtRes!CZ52</f>
        <v>3392.36</v>
      </c>
      <c r="I245" s="60">
        <f>SmtRes!AI52</f>
        <v>1.22</v>
      </c>
      <c r="J245" s="50">
        <f>ROUND(H245*I245, 2)</f>
        <v>4138.68</v>
      </c>
      <c r="K245" s="60"/>
      <c r="L245" s="50">
        <f>SmtRes!DF52</f>
        <v>4720.99</v>
      </c>
    </row>
    <row r="246" spans="1:83" ht="42.75" x14ac:dyDescent="0.2">
      <c r="A246" s="47"/>
      <c r="B246" s="47" t="s">
        <v>454</v>
      </c>
      <c r="C246" s="61" t="s">
        <v>456</v>
      </c>
      <c r="D246" s="62" t="s">
        <v>145</v>
      </c>
      <c r="E246" s="63">
        <v>5.54</v>
      </c>
      <c r="F246" s="63"/>
      <c r="G246" s="63">
        <f>SmtRes!CX53</f>
        <v>3.3794</v>
      </c>
      <c r="H246" s="64">
        <f>SmtRes!CZ53</f>
        <v>353.61</v>
      </c>
      <c r="I246" s="65">
        <f>SmtRes!AI53</f>
        <v>1.1499999999999999</v>
      </c>
      <c r="J246" s="64">
        <f>ROUND(H246*I246, 2)</f>
        <v>406.65</v>
      </c>
      <c r="K246" s="65"/>
      <c r="L246" s="64">
        <f>SmtRes!DF53</f>
        <v>1374.23</v>
      </c>
    </row>
    <row r="247" spans="1:83" ht="15" x14ac:dyDescent="0.2">
      <c r="A247" s="47"/>
      <c r="B247" s="47"/>
      <c r="C247" s="66" t="s">
        <v>635</v>
      </c>
      <c r="D247" s="59"/>
      <c r="E247" s="49"/>
      <c r="F247" s="49"/>
      <c r="G247" s="49"/>
      <c r="H247" s="50"/>
      <c r="I247" s="60"/>
      <c r="J247" s="50"/>
      <c r="K247" s="60"/>
      <c r="L247" s="50">
        <f>L234+L236+L237+L242</f>
        <v>24469.97</v>
      </c>
    </row>
    <row r="248" spans="1:83" ht="14.25" x14ac:dyDescent="0.2">
      <c r="A248" s="47"/>
      <c r="B248" s="47"/>
      <c r="C248" s="47" t="s">
        <v>636</v>
      </c>
      <c r="D248" s="59"/>
      <c r="E248" s="49"/>
      <c r="F248" s="49"/>
      <c r="G248" s="49"/>
      <c r="H248" s="50"/>
      <c r="I248" s="60"/>
      <c r="J248" s="50"/>
      <c r="K248" s="60"/>
      <c r="L248" s="50">
        <f>SUM(AR232:AR251)+SUM(AS232:AS251)+SUM(AT232:AT251)+SUM(AU232:AU251)+SUM(AV232:AV251)</f>
        <v>18253.11</v>
      </c>
    </row>
    <row r="249" spans="1:83" ht="14.25" x14ac:dyDescent="0.2">
      <c r="A249" s="47"/>
      <c r="B249" s="47" t="s">
        <v>192</v>
      </c>
      <c r="C249" s="47" t="s">
        <v>666</v>
      </c>
      <c r="D249" s="59" t="s">
        <v>638</v>
      </c>
      <c r="E249" s="49">
        <f>Source!BZ250</f>
        <v>100</v>
      </c>
      <c r="F249" s="49">
        <f>ROUND(0.9,7)</f>
        <v>0.9</v>
      </c>
      <c r="G249" s="49">
        <f>Source!AT250</f>
        <v>90</v>
      </c>
      <c r="H249" s="50"/>
      <c r="I249" s="60"/>
      <c r="J249" s="50"/>
      <c r="K249" s="60"/>
      <c r="L249" s="50">
        <f>SUM(AZ232:AZ251)</f>
        <v>16427.8</v>
      </c>
    </row>
    <row r="250" spans="1:83" ht="14.25" x14ac:dyDescent="0.2">
      <c r="A250" s="61"/>
      <c r="B250" s="61" t="s">
        <v>193</v>
      </c>
      <c r="C250" s="61" t="s">
        <v>667</v>
      </c>
      <c r="D250" s="62" t="s">
        <v>638</v>
      </c>
      <c r="E250" s="63">
        <f>Source!CA250</f>
        <v>49</v>
      </c>
      <c r="F250" s="63">
        <f>ROUND(0.85,7)</f>
        <v>0.85</v>
      </c>
      <c r="G250" s="63">
        <f>Source!AU250</f>
        <v>41.65</v>
      </c>
      <c r="H250" s="64"/>
      <c r="I250" s="65"/>
      <c r="J250" s="64"/>
      <c r="K250" s="65"/>
      <c r="L250" s="64">
        <f>SUM(BA232:BA251)</f>
        <v>7602.42</v>
      </c>
    </row>
    <row r="251" spans="1:83" ht="15" x14ac:dyDescent="0.2">
      <c r="C251" s="90" t="s">
        <v>640</v>
      </c>
      <c r="D251" s="90"/>
      <c r="E251" s="90"/>
      <c r="F251" s="90"/>
      <c r="G251" s="90"/>
      <c r="H251" s="90"/>
      <c r="I251" s="91">
        <f>IF(E232&lt;&gt;0,K251/E232, 0)</f>
        <v>79508.508196721319</v>
      </c>
      <c r="J251" s="91"/>
      <c r="K251" s="91">
        <f>L234+L236+L242+L249+L250+L237</f>
        <v>48500.19</v>
      </c>
      <c r="L251" s="91"/>
      <c r="AD251">
        <f>ROUND((Source!AT250/100)*((ROUND(SUMIF(SmtRes!AQ46:'SmtRes'!AQ53,"=1",SmtRes!AD46:'SmtRes'!AD53)*Source!I250, 2)+ROUND(SUMIF(SmtRes!AQ46:'SmtRes'!AQ53,"=1",SmtRes!AC46:'SmtRes'!AC53)*Source!I250, 2))), 2)</f>
        <v>506.33</v>
      </c>
      <c r="AE251">
        <f>ROUND((Source!AU250/100)*((ROUND(SUMIF(SmtRes!AQ46:'SmtRes'!AQ53,"=1",SmtRes!AD46:'SmtRes'!AD53)*Source!I250, 2)+ROUND(SUMIF(SmtRes!AQ46:'SmtRes'!AQ53,"=1",SmtRes!AC46:'SmtRes'!AC53)*Source!I250, 2))), 2)</f>
        <v>234.32</v>
      </c>
      <c r="AN251" s="55">
        <f>L234+L236+L242+L249+L250+L237</f>
        <v>48500.19</v>
      </c>
      <c r="AO251" s="55">
        <f>L236</f>
        <v>92.709999999999582</v>
      </c>
      <c r="AQ251" t="s">
        <v>641</v>
      </c>
      <c r="AR251" s="55">
        <f>L234</f>
        <v>16996.7</v>
      </c>
      <c r="AT251" s="55">
        <f>L237</f>
        <v>1256.4100000000001</v>
      </c>
      <c r="AV251" t="s">
        <v>641</v>
      </c>
      <c r="AW251" s="55">
        <f>L242</f>
        <v>6124.15</v>
      </c>
      <c r="AZ251">
        <f>Source!X250</f>
        <v>16427.8</v>
      </c>
      <c r="BA251">
        <f>Source!Y250</f>
        <v>7602.42</v>
      </c>
      <c r="CD251">
        <v>1</v>
      </c>
    </row>
    <row r="252" spans="1:83" ht="119.25" x14ac:dyDescent="0.2">
      <c r="A252" s="58" t="s">
        <v>194</v>
      </c>
      <c r="B252" s="47" t="s">
        <v>668</v>
      </c>
      <c r="C252" s="47" t="s">
        <v>669</v>
      </c>
      <c r="D252" s="59" t="str">
        <f>Source!H251</f>
        <v>100 м2</v>
      </c>
      <c r="E252" s="49">
        <f>Source!K251</f>
        <v>0.05</v>
      </c>
      <c r="F252" s="49"/>
      <c r="G252" s="49">
        <f>Source!I251</f>
        <v>0.05</v>
      </c>
      <c r="H252" s="50"/>
      <c r="I252" s="60"/>
      <c r="J252" s="50"/>
      <c r="K252" s="60"/>
      <c r="L252" s="50"/>
    </row>
    <row r="253" spans="1:83" ht="76.5" x14ac:dyDescent="0.2">
      <c r="B253" s="67" t="str">
        <f>CONCATENATE("Поправка: ", Source!EO251)</f>
        <v>Поправка: Попр.421/пр_2020_п.58_пп.б</v>
      </c>
      <c r="C253" s="67" t="str">
        <f>Source!CN251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254" spans="1:83" ht="15" x14ac:dyDescent="0.2">
      <c r="A254" s="46"/>
      <c r="B254" s="49">
        <v>1</v>
      </c>
      <c r="C254" s="46" t="s">
        <v>631</v>
      </c>
      <c r="D254" s="59" t="s">
        <v>383</v>
      </c>
      <c r="E254" s="56"/>
      <c r="F254" s="49"/>
      <c r="G254" s="49">
        <f>Source!U251</f>
        <v>4.6442750000000004</v>
      </c>
      <c r="H254" s="49"/>
      <c r="I254" s="49"/>
      <c r="J254" s="49"/>
      <c r="K254" s="49"/>
      <c r="L254" s="53">
        <f>SUM(L255:L255)-SUMIF(CE255:CE255, 1, L255:L255)</f>
        <v>1451.01</v>
      </c>
    </row>
    <row r="255" spans="1:83" ht="14.25" x14ac:dyDescent="0.2">
      <c r="A255" s="47"/>
      <c r="B255" s="47" t="s">
        <v>457</v>
      </c>
      <c r="C255" s="47" t="s">
        <v>458</v>
      </c>
      <c r="D255" s="59" t="s">
        <v>383</v>
      </c>
      <c r="E255" s="49">
        <v>80.77</v>
      </c>
      <c r="F255" s="49">
        <f>ROUND(1.15,7)</f>
        <v>1.1499999999999999</v>
      </c>
      <c r="G255" s="49">
        <f>SmtRes!CX54</f>
        <v>4.6442750000000004</v>
      </c>
      <c r="H255" s="50"/>
      <c r="I255" s="60"/>
      <c r="J255" s="50">
        <f>SmtRes!CZ54</f>
        <v>312.43</v>
      </c>
      <c r="K255" s="60"/>
      <c r="L255" s="50">
        <f>SmtRes!DI54</f>
        <v>1451.01</v>
      </c>
    </row>
    <row r="256" spans="1:83" ht="15" x14ac:dyDescent="0.2">
      <c r="A256" s="46"/>
      <c r="B256" s="49">
        <v>2</v>
      </c>
      <c r="C256" s="46" t="s">
        <v>632</v>
      </c>
      <c r="D256" s="59"/>
      <c r="E256" s="56"/>
      <c r="F256" s="49"/>
      <c r="G256" s="49"/>
      <c r="H256" s="49"/>
      <c r="I256" s="49"/>
      <c r="J256" s="49"/>
      <c r="K256" s="49"/>
      <c r="L256" s="53">
        <f>SUM(L257:L259)-SUMIF(CE257:CE259, 1, L257:L259)</f>
        <v>0.35000000000000053</v>
      </c>
    </row>
    <row r="257" spans="1:83" ht="15" x14ac:dyDescent="0.2">
      <c r="A257" s="46"/>
      <c r="B257" s="49"/>
      <c r="C257" s="46" t="s">
        <v>634</v>
      </c>
      <c r="D257" s="59" t="s">
        <v>383</v>
      </c>
      <c r="E257" s="56"/>
      <c r="F257" s="49"/>
      <c r="G257" s="49">
        <f>Source!V251</f>
        <v>8.7500000000000008E-3</v>
      </c>
      <c r="H257" s="49"/>
      <c r="I257" s="49"/>
      <c r="J257" s="49"/>
      <c r="K257" s="49"/>
      <c r="L257" s="53">
        <f>SUMIF(CE258:CE259, 1, L258:L259)</f>
        <v>2.6</v>
      </c>
      <c r="CE257">
        <v>1</v>
      </c>
    </row>
    <row r="258" spans="1:83" ht="42.75" x14ac:dyDescent="0.2">
      <c r="A258" s="47"/>
      <c r="B258" s="47" t="s">
        <v>459</v>
      </c>
      <c r="C258" s="47" t="s">
        <v>461</v>
      </c>
      <c r="D258" s="59" t="s">
        <v>389</v>
      </c>
      <c r="E258" s="49">
        <v>0.14000000000000001</v>
      </c>
      <c r="F258" s="49">
        <f>ROUND(1.25,7)</f>
        <v>1.25</v>
      </c>
      <c r="G258" s="49">
        <f>SmtRes!CX56</f>
        <v>8.7500000000000008E-3</v>
      </c>
      <c r="H258" s="50">
        <f>SmtRes!CZ56</f>
        <v>27.25</v>
      </c>
      <c r="I258" s="60">
        <f>SmtRes!AJ56</f>
        <v>1.48</v>
      </c>
      <c r="J258" s="50">
        <f>ROUND(H258*I258, 2)</f>
        <v>40.33</v>
      </c>
      <c r="K258" s="60"/>
      <c r="L258" s="50">
        <f>SmtRes!DG56</f>
        <v>0.35</v>
      </c>
    </row>
    <row r="259" spans="1:83" ht="28.5" x14ac:dyDescent="0.2">
      <c r="A259" s="47"/>
      <c r="B259" s="47" t="s">
        <v>390</v>
      </c>
      <c r="C259" s="47" t="s">
        <v>633</v>
      </c>
      <c r="D259" s="59" t="s">
        <v>383</v>
      </c>
      <c r="E259" s="49">
        <f>SmtRes!DO56*SmtRes!AT56</f>
        <v>0.14000000000000001</v>
      </c>
      <c r="F259" s="49">
        <f>ROUND(1.25,7)</f>
        <v>1.25</v>
      </c>
      <c r="G259" s="49">
        <f>ROUND(E259*F259*G252, 7)</f>
        <v>8.7500000000000008E-3</v>
      </c>
      <c r="H259" s="50"/>
      <c r="I259" s="60"/>
      <c r="J259" s="50">
        <f>ROUND(SmtRes!AG56/SmtRes!DO56, 2)</f>
        <v>297.43</v>
      </c>
      <c r="K259" s="60"/>
      <c r="L259" s="50">
        <f>SmtRes!DH56</f>
        <v>2.6</v>
      </c>
      <c r="CE259">
        <v>1</v>
      </c>
    </row>
    <row r="260" spans="1:83" ht="15" x14ac:dyDescent="0.2">
      <c r="A260" s="46"/>
      <c r="B260" s="49">
        <v>4</v>
      </c>
      <c r="C260" s="46" t="s">
        <v>648</v>
      </c>
      <c r="D260" s="59"/>
      <c r="E260" s="56"/>
      <c r="F260" s="49"/>
      <c r="G260" s="49"/>
      <c r="H260" s="49"/>
      <c r="I260" s="49"/>
      <c r="J260" s="49"/>
      <c r="K260" s="49"/>
      <c r="L260" s="53">
        <f>SUM(L261:L274)-SUMIF(CE261:CE274, 1, L261:L274)</f>
        <v>1049.53</v>
      </c>
    </row>
    <row r="261" spans="1:83" ht="14.25" x14ac:dyDescent="0.2">
      <c r="A261" s="47"/>
      <c r="B261" s="47" t="s">
        <v>404</v>
      </c>
      <c r="C261" s="47" t="s">
        <v>406</v>
      </c>
      <c r="D261" s="59" t="s">
        <v>134</v>
      </c>
      <c r="E261" s="49">
        <v>3.5000000000000003E-2</v>
      </c>
      <c r="F261" s="49"/>
      <c r="G261" s="49">
        <f>SmtRes!CX57</f>
        <v>1.75E-3</v>
      </c>
      <c r="H261" s="50">
        <f>SmtRes!CZ57</f>
        <v>35.71</v>
      </c>
      <c r="I261" s="60">
        <f>SmtRes!AI57</f>
        <v>0.57999999999999996</v>
      </c>
      <c r="J261" s="50">
        <f>ROUND(H261*I261, 2)</f>
        <v>20.71</v>
      </c>
      <c r="K261" s="60"/>
      <c r="L261" s="50">
        <f>SmtRes!DF57</f>
        <v>0.04</v>
      </c>
    </row>
    <row r="262" spans="1:83" ht="14.25" x14ac:dyDescent="0.2">
      <c r="A262" s="47"/>
      <c r="B262" s="47" t="s">
        <v>418</v>
      </c>
      <c r="C262" s="47" t="s">
        <v>420</v>
      </c>
      <c r="D262" s="59" t="s">
        <v>421</v>
      </c>
      <c r="E262" s="49">
        <v>2.1132</v>
      </c>
      <c r="F262" s="49"/>
      <c r="G262" s="49">
        <f>SmtRes!CX58</f>
        <v>0.10566</v>
      </c>
      <c r="H262" s="50"/>
      <c r="I262" s="60"/>
      <c r="J262" s="50">
        <f>SmtRes!CZ58</f>
        <v>7.94</v>
      </c>
      <c r="K262" s="60"/>
      <c r="L262" s="50">
        <f>SmtRes!DF58</f>
        <v>0.84</v>
      </c>
    </row>
    <row r="263" spans="1:83" ht="28.5" x14ac:dyDescent="0.2">
      <c r="A263" s="47"/>
      <c r="B263" s="47" t="s">
        <v>462</v>
      </c>
      <c r="C263" s="47" t="s">
        <v>464</v>
      </c>
      <c r="D263" s="59" t="s">
        <v>157</v>
      </c>
      <c r="E263" s="49">
        <v>93.81</v>
      </c>
      <c r="F263" s="49"/>
      <c r="G263" s="49">
        <f>SmtRes!CX59</f>
        <v>4.6905000000000001</v>
      </c>
      <c r="H263" s="50">
        <f>SmtRes!CZ59</f>
        <v>4.82</v>
      </c>
      <c r="I263" s="60">
        <f>SmtRes!AI59</f>
        <v>1.53</v>
      </c>
      <c r="J263" s="50">
        <f t="shared" ref="J263:J274" si="0">ROUND(H263*I263, 2)</f>
        <v>7.37</v>
      </c>
      <c r="K263" s="60"/>
      <c r="L263" s="50">
        <f>SmtRes!DF59</f>
        <v>34.57</v>
      </c>
    </row>
    <row r="264" spans="1:83" ht="57" x14ac:dyDescent="0.2">
      <c r="A264" s="47"/>
      <c r="B264" s="47" t="s">
        <v>465</v>
      </c>
      <c r="C264" s="47" t="s">
        <v>467</v>
      </c>
      <c r="D264" s="59" t="s">
        <v>157</v>
      </c>
      <c r="E264" s="49">
        <v>130</v>
      </c>
      <c r="F264" s="49"/>
      <c r="G264" s="49">
        <f>SmtRes!CX60</f>
        <v>6.5</v>
      </c>
      <c r="H264" s="50">
        <f>SmtRes!CZ60</f>
        <v>2.6</v>
      </c>
      <c r="I264" s="60">
        <f>SmtRes!AI60</f>
        <v>0.97</v>
      </c>
      <c r="J264" s="50">
        <f t="shared" si="0"/>
        <v>2.52</v>
      </c>
      <c r="K264" s="60"/>
      <c r="L264" s="50">
        <f>SmtRes!DF60</f>
        <v>16.38</v>
      </c>
    </row>
    <row r="265" spans="1:83" ht="99.75" x14ac:dyDescent="0.2">
      <c r="A265" s="47"/>
      <c r="B265" s="47" t="s">
        <v>468</v>
      </c>
      <c r="C265" s="47" t="s">
        <v>470</v>
      </c>
      <c r="D265" s="59" t="s">
        <v>153</v>
      </c>
      <c r="E265" s="49">
        <v>0.33329999999999999</v>
      </c>
      <c r="F265" s="49"/>
      <c r="G265" s="49">
        <f>SmtRes!CX61</f>
        <v>1.6664999999999999E-2</v>
      </c>
      <c r="H265" s="50">
        <f>SmtRes!CZ61</f>
        <v>1955.23</v>
      </c>
      <c r="I265" s="60">
        <f>SmtRes!AI61</f>
        <v>1.53</v>
      </c>
      <c r="J265" s="50">
        <f t="shared" si="0"/>
        <v>2991.5</v>
      </c>
      <c r="K265" s="60"/>
      <c r="L265" s="50">
        <f>SmtRes!DF61</f>
        <v>49.85</v>
      </c>
    </row>
    <row r="266" spans="1:83" ht="42.75" x14ac:dyDescent="0.2">
      <c r="A266" s="47"/>
      <c r="B266" s="47" t="s">
        <v>471</v>
      </c>
      <c r="C266" s="47" t="s">
        <v>473</v>
      </c>
      <c r="D266" s="59" t="s">
        <v>222</v>
      </c>
      <c r="E266" s="49">
        <v>3.53</v>
      </c>
      <c r="F266" s="49"/>
      <c r="G266" s="49">
        <f>SmtRes!CX62</f>
        <v>0.17649999999999999</v>
      </c>
      <c r="H266" s="50">
        <f>SmtRes!CZ62</f>
        <v>52.34</v>
      </c>
      <c r="I266" s="60">
        <f>SmtRes!AI62</f>
        <v>1.33</v>
      </c>
      <c r="J266" s="50">
        <f t="shared" si="0"/>
        <v>69.61</v>
      </c>
      <c r="K266" s="60"/>
      <c r="L266" s="50">
        <f>SmtRes!DF62</f>
        <v>12.29</v>
      </c>
    </row>
    <row r="267" spans="1:83" ht="71.25" x14ac:dyDescent="0.2">
      <c r="A267" s="47"/>
      <c r="B267" s="47" t="s">
        <v>474</v>
      </c>
      <c r="C267" s="47" t="s">
        <v>476</v>
      </c>
      <c r="D267" s="59" t="s">
        <v>222</v>
      </c>
      <c r="E267" s="49">
        <v>4.29</v>
      </c>
      <c r="F267" s="49"/>
      <c r="G267" s="49">
        <f>SmtRes!CX63</f>
        <v>0.2145</v>
      </c>
      <c r="H267" s="50">
        <f>SmtRes!CZ63</f>
        <v>22.93</v>
      </c>
      <c r="I267" s="60">
        <f>SmtRes!AI63</f>
        <v>1.28</v>
      </c>
      <c r="J267" s="50">
        <f t="shared" si="0"/>
        <v>29.35</v>
      </c>
      <c r="K267" s="60"/>
      <c r="L267" s="50">
        <f>SmtRes!DF63</f>
        <v>6.3</v>
      </c>
    </row>
    <row r="268" spans="1:83" ht="71.25" x14ac:dyDescent="0.2">
      <c r="A268" s="47"/>
      <c r="B268" s="47" t="s">
        <v>477</v>
      </c>
      <c r="C268" s="47" t="s">
        <v>479</v>
      </c>
      <c r="D268" s="59" t="s">
        <v>222</v>
      </c>
      <c r="E268" s="49">
        <v>16.670000000000002</v>
      </c>
      <c r="F268" s="49"/>
      <c r="G268" s="49">
        <f>SmtRes!CX64</f>
        <v>0.83350000000000002</v>
      </c>
      <c r="H268" s="50">
        <f>SmtRes!CZ64</f>
        <v>22.84</v>
      </c>
      <c r="I268" s="60">
        <f>SmtRes!AI64</f>
        <v>1.28</v>
      </c>
      <c r="J268" s="50">
        <f t="shared" si="0"/>
        <v>29.24</v>
      </c>
      <c r="K268" s="60"/>
      <c r="L268" s="50">
        <f>SmtRes!DF64</f>
        <v>24.37</v>
      </c>
    </row>
    <row r="269" spans="1:83" ht="71.25" x14ac:dyDescent="0.2">
      <c r="A269" s="47"/>
      <c r="B269" s="47" t="s">
        <v>480</v>
      </c>
      <c r="C269" s="47" t="s">
        <v>482</v>
      </c>
      <c r="D269" s="59" t="s">
        <v>157</v>
      </c>
      <c r="E269" s="49">
        <v>80.95</v>
      </c>
      <c r="F269" s="49"/>
      <c r="G269" s="49">
        <f>SmtRes!CX65</f>
        <v>4.0475000000000003</v>
      </c>
      <c r="H269" s="50">
        <f>SmtRes!CZ65</f>
        <v>44.16</v>
      </c>
      <c r="I269" s="60">
        <f>SmtRes!AI65</f>
        <v>0.9</v>
      </c>
      <c r="J269" s="50">
        <f t="shared" si="0"/>
        <v>39.74</v>
      </c>
      <c r="K269" s="60"/>
      <c r="L269" s="50">
        <f>SmtRes!DF65</f>
        <v>160.85</v>
      </c>
    </row>
    <row r="270" spans="1:83" ht="42.75" x14ac:dyDescent="0.2">
      <c r="A270" s="47"/>
      <c r="B270" s="47" t="s">
        <v>483</v>
      </c>
      <c r="C270" s="47" t="s">
        <v>485</v>
      </c>
      <c r="D270" s="59" t="s">
        <v>157</v>
      </c>
      <c r="E270" s="49">
        <v>171.83</v>
      </c>
      <c r="F270" s="49"/>
      <c r="G270" s="49">
        <f>SmtRes!CX66</f>
        <v>8.5914999999999999</v>
      </c>
      <c r="H270" s="50">
        <f>SmtRes!CZ66</f>
        <v>64.44</v>
      </c>
      <c r="I270" s="60">
        <f>SmtRes!AI66</f>
        <v>0.9</v>
      </c>
      <c r="J270" s="50">
        <f t="shared" si="0"/>
        <v>58</v>
      </c>
      <c r="K270" s="60"/>
      <c r="L270" s="50">
        <f>SmtRes!DF66</f>
        <v>498.31</v>
      </c>
    </row>
    <row r="271" spans="1:83" ht="71.25" x14ac:dyDescent="0.2">
      <c r="A271" s="47"/>
      <c r="B271" s="47" t="s">
        <v>486</v>
      </c>
      <c r="C271" s="47" t="s">
        <v>488</v>
      </c>
      <c r="D271" s="59" t="s">
        <v>222</v>
      </c>
      <c r="E271" s="49">
        <v>2.14</v>
      </c>
      <c r="F271" s="49"/>
      <c r="G271" s="49">
        <f>SmtRes!CX67</f>
        <v>0.107</v>
      </c>
      <c r="H271" s="50">
        <f>SmtRes!CZ67</f>
        <v>864.86</v>
      </c>
      <c r="I271" s="60">
        <f>SmtRes!AI67</f>
        <v>1.5</v>
      </c>
      <c r="J271" s="50">
        <f t="shared" si="0"/>
        <v>1297.29</v>
      </c>
      <c r="K271" s="60"/>
      <c r="L271" s="50">
        <f>SmtRes!DF67</f>
        <v>138.81</v>
      </c>
    </row>
    <row r="272" spans="1:83" ht="57" x14ac:dyDescent="0.2">
      <c r="A272" s="47"/>
      <c r="B272" s="47" t="s">
        <v>489</v>
      </c>
      <c r="C272" s="47" t="s">
        <v>491</v>
      </c>
      <c r="D272" s="59" t="s">
        <v>222</v>
      </c>
      <c r="E272" s="49">
        <v>0.36</v>
      </c>
      <c r="F272" s="49"/>
      <c r="G272" s="49">
        <f>SmtRes!CX68</f>
        <v>1.7999999999999999E-2</v>
      </c>
      <c r="H272" s="50">
        <f>SmtRes!CZ68</f>
        <v>2013.47</v>
      </c>
      <c r="I272" s="60">
        <f>SmtRes!AI68</f>
        <v>1.5</v>
      </c>
      <c r="J272" s="50">
        <f t="shared" si="0"/>
        <v>3020.21</v>
      </c>
      <c r="K272" s="60"/>
      <c r="L272" s="50">
        <f>SmtRes!DF68</f>
        <v>54.36</v>
      </c>
    </row>
    <row r="273" spans="1:83" ht="42.75" x14ac:dyDescent="0.2">
      <c r="A273" s="47"/>
      <c r="B273" s="47" t="s">
        <v>215</v>
      </c>
      <c r="C273" s="47" t="s">
        <v>216</v>
      </c>
      <c r="D273" s="59" t="s">
        <v>217</v>
      </c>
      <c r="E273" s="49">
        <v>0.56999999999999995</v>
      </c>
      <c r="F273" s="49"/>
      <c r="G273" s="49">
        <f>SmtRes!CX69</f>
        <v>2.8500000000000001E-2</v>
      </c>
      <c r="H273" s="50">
        <f>SmtRes!CZ69</f>
        <v>68.290000000000006</v>
      </c>
      <c r="I273" s="60">
        <f>SmtRes!AI69</f>
        <v>1.55</v>
      </c>
      <c r="J273" s="50">
        <f t="shared" si="0"/>
        <v>105.85</v>
      </c>
      <c r="K273" s="60"/>
      <c r="L273" s="50">
        <f>SmtRes!DF69</f>
        <v>3.02</v>
      </c>
    </row>
    <row r="274" spans="1:83" ht="71.25" x14ac:dyDescent="0.2">
      <c r="A274" s="47"/>
      <c r="B274" s="47" t="s">
        <v>492</v>
      </c>
      <c r="C274" s="47" t="s">
        <v>494</v>
      </c>
      <c r="D274" s="59" t="s">
        <v>217</v>
      </c>
      <c r="E274" s="49">
        <v>41.4</v>
      </c>
      <c r="F274" s="49"/>
      <c r="G274" s="49">
        <f>SmtRes!CX70</f>
        <v>2.0699999999999998</v>
      </c>
      <c r="H274" s="50">
        <f>SmtRes!CZ70</f>
        <v>17.34</v>
      </c>
      <c r="I274" s="60">
        <f>SmtRes!AI70</f>
        <v>1.38</v>
      </c>
      <c r="J274" s="50">
        <f t="shared" si="0"/>
        <v>23.93</v>
      </c>
      <c r="K274" s="60"/>
      <c r="L274" s="50">
        <f>SmtRes!DF70</f>
        <v>49.54</v>
      </c>
    </row>
    <row r="275" spans="1:83" ht="14.25" x14ac:dyDescent="0.2">
      <c r="A275" s="47"/>
      <c r="B275" s="47" t="str">
        <f>EtalonRes!I69</f>
        <v>01.6.01.02</v>
      </c>
      <c r="C275" s="61" t="str">
        <f>EtalonRes!K69</f>
        <v>Листы гипсокартонные</v>
      </c>
      <c r="D275" s="62" t="str">
        <f>EtalonRes!O69</f>
        <v>м2</v>
      </c>
      <c r="E275" s="63">
        <f>EtalonRes!X69</f>
        <v>105</v>
      </c>
      <c r="F275" s="63"/>
      <c r="G275" s="63">
        <f>ROUND(EtalonRes!AG69*Source!I251, 7)</f>
        <v>5.25</v>
      </c>
      <c r="H275" s="64"/>
      <c r="I275" s="65"/>
      <c r="J275" s="64"/>
      <c r="K275" s="65"/>
      <c r="L275" s="64"/>
    </row>
    <row r="276" spans="1:83" ht="15" x14ac:dyDescent="0.2">
      <c r="A276" s="47"/>
      <c r="B276" s="47"/>
      <c r="C276" s="66" t="s">
        <v>635</v>
      </c>
      <c r="D276" s="59"/>
      <c r="E276" s="49"/>
      <c r="F276" s="49"/>
      <c r="G276" s="49"/>
      <c r="H276" s="50"/>
      <c r="I276" s="60"/>
      <c r="J276" s="50"/>
      <c r="K276" s="60"/>
      <c r="L276" s="50">
        <f>L254+L256+L257+L260</f>
        <v>2503.4899999999998</v>
      </c>
    </row>
    <row r="277" spans="1:83" ht="14.25" x14ac:dyDescent="0.2">
      <c r="A277" s="47"/>
      <c r="B277" s="47"/>
      <c r="C277" s="47" t="s">
        <v>636</v>
      </c>
      <c r="D277" s="59"/>
      <c r="E277" s="49"/>
      <c r="F277" s="49"/>
      <c r="G277" s="49"/>
      <c r="H277" s="50"/>
      <c r="I277" s="60"/>
      <c r="J277" s="50"/>
      <c r="K277" s="60"/>
      <c r="L277" s="50">
        <f>SUM(AR252:AR280)+SUM(AS252:AS280)+SUM(AT252:AT280)+SUM(AU252:AU280)+SUM(AV252:AV280)</f>
        <v>1453.61</v>
      </c>
    </row>
    <row r="278" spans="1:83" ht="14.25" x14ac:dyDescent="0.2">
      <c r="A278" s="47"/>
      <c r="B278" s="47" t="s">
        <v>200</v>
      </c>
      <c r="C278" s="47" t="s">
        <v>670</v>
      </c>
      <c r="D278" s="59" t="s">
        <v>638</v>
      </c>
      <c r="E278" s="49">
        <f>Source!BZ251</f>
        <v>108</v>
      </c>
      <c r="F278" s="49">
        <f>ROUND(0.9,7)</f>
        <v>0.9</v>
      </c>
      <c r="G278" s="49">
        <f>Source!AT251</f>
        <v>97.2</v>
      </c>
      <c r="H278" s="50"/>
      <c r="I278" s="60"/>
      <c r="J278" s="50"/>
      <c r="K278" s="60"/>
      <c r="L278" s="50">
        <f>SUM(AZ252:AZ280)</f>
        <v>1412.91</v>
      </c>
    </row>
    <row r="279" spans="1:83" ht="14.25" x14ac:dyDescent="0.2">
      <c r="A279" s="61"/>
      <c r="B279" s="61" t="s">
        <v>201</v>
      </c>
      <c r="C279" s="61" t="s">
        <v>671</v>
      </c>
      <c r="D279" s="62" t="s">
        <v>638</v>
      </c>
      <c r="E279" s="63">
        <f>Source!CA251</f>
        <v>55</v>
      </c>
      <c r="F279" s="63">
        <f>ROUND(0.85,7)</f>
        <v>0.85</v>
      </c>
      <c r="G279" s="63">
        <f>Source!AU251</f>
        <v>46.75</v>
      </c>
      <c r="H279" s="64"/>
      <c r="I279" s="65"/>
      <c r="J279" s="64"/>
      <c r="K279" s="65"/>
      <c r="L279" s="64">
        <f>SUM(BA252:BA280)</f>
        <v>679.56</v>
      </c>
    </row>
    <row r="280" spans="1:83" ht="15" x14ac:dyDescent="0.2">
      <c r="C280" s="90" t="s">
        <v>640</v>
      </c>
      <c r="D280" s="90"/>
      <c r="E280" s="90"/>
      <c r="F280" s="90"/>
      <c r="G280" s="90"/>
      <c r="H280" s="90"/>
      <c r="I280" s="91">
        <f>IF(E252&lt;&gt;0,K280/E252, 0)</f>
        <v>91919.200000000012</v>
      </c>
      <c r="J280" s="91"/>
      <c r="K280" s="91">
        <f>L254+L256+L260+L278+L279+L257</f>
        <v>4595.9600000000009</v>
      </c>
      <c r="L280" s="91"/>
      <c r="AD280">
        <f>ROUND((Source!AT251/100)*((ROUND(SUMIF(SmtRes!AQ54:'SmtRes'!AQ70,"=1",SmtRes!AD54:'SmtRes'!AD70)*Source!I251, 2)+ROUND(SUMIF(SmtRes!AQ54:'SmtRes'!AQ70,"=1",SmtRes!AC54:'SmtRes'!AC70)*Source!I251, 2))), 2)</f>
        <v>29.64</v>
      </c>
      <c r="AE280">
        <f>ROUND((Source!AU251/100)*((ROUND(SUMIF(SmtRes!AQ54:'SmtRes'!AQ70,"=1",SmtRes!AD54:'SmtRes'!AD70)*Source!I251, 2)+ROUND(SUMIF(SmtRes!AQ54:'SmtRes'!AQ70,"=1",SmtRes!AC54:'SmtRes'!AC70)*Source!I251, 2))), 2)</f>
        <v>14.25</v>
      </c>
      <c r="AN280" s="55">
        <f>L254+L256+L260+L278+L279+L257</f>
        <v>4595.9600000000009</v>
      </c>
      <c r="AO280" s="55">
        <f>L256</f>
        <v>0.35000000000000053</v>
      </c>
      <c r="AQ280" t="s">
        <v>641</v>
      </c>
      <c r="AR280" s="55">
        <f>L254</f>
        <v>1451.01</v>
      </c>
      <c r="AT280" s="55">
        <f>L257</f>
        <v>2.6</v>
      </c>
      <c r="AV280" t="s">
        <v>641</v>
      </c>
      <c r="AW280" s="55">
        <f>L260</f>
        <v>1049.53</v>
      </c>
      <c r="AZ280">
        <f>Source!X251</f>
        <v>1412.91</v>
      </c>
      <c r="BA280">
        <f>Source!Y251</f>
        <v>679.56</v>
      </c>
      <c r="CD280">
        <v>1</v>
      </c>
    </row>
    <row r="281" spans="1:83" ht="28.5" x14ac:dyDescent="0.2">
      <c r="A281" s="68" t="s">
        <v>202</v>
      </c>
      <c r="B281" s="61" t="str">
        <f>Source!F252</f>
        <v>01.6.01.02-0006</v>
      </c>
      <c r="C281" s="61" t="str">
        <f>Source!G252</f>
        <v>Листы гипсокартонные ГКЛ, толщина 12,5 мм</v>
      </c>
      <c r="D281" s="62" t="str">
        <f>Source!H252</f>
        <v>м2</v>
      </c>
      <c r="E281" s="63">
        <f>Source!K252</f>
        <v>5.25</v>
      </c>
      <c r="F281" s="63"/>
      <c r="G281" s="63">
        <f>Source!I252</f>
        <v>5.25</v>
      </c>
      <c r="H281" s="64">
        <f>Source!AL252</f>
        <v>92.12</v>
      </c>
      <c r="I281" s="65">
        <f>IF(Source!BC252&lt;&gt; 0, Source!BC252, 1)</f>
        <v>1.2</v>
      </c>
      <c r="J281" s="64">
        <f>ROUND(H281*I281, 2)</f>
        <v>110.54</v>
      </c>
      <c r="K281" s="65"/>
      <c r="L281" s="64">
        <f>Source!P252</f>
        <v>580.34</v>
      </c>
    </row>
    <row r="282" spans="1:83" ht="15" x14ac:dyDescent="0.2">
      <c r="C282" s="90" t="s">
        <v>640</v>
      </c>
      <c r="D282" s="90"/>
      <c r="E282" s="90"/>
      <c r="F282" s="90"/>
      <c r="G282" s="90"/>
      <c r="H282" s="90"/>
      <c r="I282" s="91">
        <f>IF(E281&lt;&gt;0,K282/E281, 0)</f>
        <v>110.54095238095239</v>
      </c>
      <c r="J282" s="91"/>
      <c r="K282" s="91">
        <f>L281</f>
        <v>580.34</v>
      </c>
      <c r="L282" s="91"/>
      <c r="AD282">
        <f>ROUND((Source!AT252/100)*((ROUND(ROUND(Source!AO252,2)*Source!I252, 2)+ROUND(ROUND(Source!AN252,2)*Source!I252, 2))), 2)</f>
        <v>0</v>
      </c>
      <c r="AE282">
        <f>ROUND((Source!AU252/100)*((ROUND(ROUND(Source!AO252,2)*Source!I252, 2)+ROUND(ROUND(Source!AN252,2)*Source!I252, 2))), 2)</f>
        <v>0</v>
      </c>
      <c r="AN282" s="55">
        <f>L281</f>
        <v>580.34</v>
      </c>
      <c r="AO282">
        <f>0</f>
        <v>0</v>
      </c>
      <c r="AQ282" t="s">
        <v>641</v>
      </c>
      <c r="AR282">
        <f>0</f>
        <v>0</v>
      </c>
      <c r="AT282">
        <f>0</f>
        <v>0</v>
      </c>
      <c r="AV282" t="s">
        <v>641</v>
      </c>
      <c r="AW282" s="55">
        <f>L281</f>
        <v>580.34</v>
      </c>
      <c r="AZ282">
        <f>Source!X252</f>
        <v>0</v>
      </c>
      <c r="BA282">
        <f>Source!Y252</f>
        <v>0</v>
      </c>
      <c r="CD282">
        <v>1</v>
      </c>
    </row>
    <row r="283" spans="1:83" ht="119.25" x14ac:dyDescent="0.2">
      <c r="A283" s="58" t="s">
        <v>206</v>
      </c>
      <c r="B283" s="47" t="s">
        <v>672</v>
      </c>
      <c r="C283" s="47" t="s">
        <v>673</v>
      </c>
      <c r="D283" s="59" t="str">
        <f>Source!H253</f>
        <v>100 м2</v>
      </c>
      <c r="E283" s="49">
        <f>Source!K253</f>
        <v>1.4650000000000001</v>
      </c>
      <c r="F283" s="49"/>
      <c r="G283" s="49">
        <f>Source!I253</f>
        <v>1.4650000000000001</v>
      </c>
      <c r="H283" s="50"/>
      <c r="I283" s="60"/>
      <c r="J283" s="50"/>
      <c r="K283" s="60"/>
      <c r="L283" s="50"/>
    </row>
    <row r="284" spans="1:83" ht="76.5" x14ac:dyDescent="0.2">
      <c r="B284" s="67" t="str">
        <f>CONCATENATE("Поправка: ", Source!EO253)</f>
        <v>Поправка: Попр.421/пр_2020_п.58_пп.б</v>
      </c>
      <c r="C284" s="67" t="str">
        <f>Source!CN253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285" spans="1:83" ht="15" x14ac:dyDescent="0.2">
      <c r="A285" s="46"/>
      <c r="B285" s="49">
        <v>1</v>
      </c>
      <c r="C285" s="46" t="s">
        <v>631</v>
      </c>
      <c r="D285" s="59" t="s">
        <v>383</v>
      </c>
      <c r="E285" s="56"/>
      <c r="F285" s="49"/>
      <c r="G285" s="49">
        <f>Source!U253</f>
        <v>73.387709999999998</v>
      </c>
      <c r="H285" s="49"/>
      <c r="I285" s="49"/>
      <c r="J285" s="49"/>
      <c r="K285" s="49"/>
      <c r="L285" s="53">
        <f>SUM(L286:L286)-SUMIF(CE286:CE286, 1, L286:L286)</f>
        <v>22378.11</v>
      </c>
    </row>
    <row r="286" spans="1:83" ht="14.25" x14ac:dyDescent="0.2">
      <c r="A286" s="47"/>
      <c r="B286" s="47" t="s">
        <v>495</v>
      </c>
      <c r="C286" s="47" t="s">
        <v>496</v>
      </c>
      <c r="D286" s="59" t="s">
        <v>383</v>
      </c>
      <c r="E286" s="49">
        <v>43.56</v>
      </c>
      <c r="F286" s="49">
        <f>ROUND(1.15,7)</f>
        <v>1.1499999999999999</v>
      </c>
      <c r="G286" s="49">
        <f>SmtRes!CX71</f>
        <v>73.387709999999998</v>
      </c>
      <c r="H286" s="50"/>
      <c r="I286" s="60"/>
      <c r="J286" s="50">
        <f>SmtRes!CZ71</f>
        <v>304.93</v>
      </c>
      <c r="K286" s="60"/>
      <c r="L286" s="50">
        <f>SmtRes!DI71</f>
        <v>22378.11</v>
      </c>
    </row>
    <row r="287" spans="1:83" ht="15" x14ac:dyDescent="0.2">
      <c r="A287" s="46"/>
      <c r="B287" s="49">
        <v>2</v>
      </c>
      <c r="C287" s="46" t="s">
        <v>632</v>
      </c>
      <c r="D287" s="59"/>
      <c r="E287" s="56"/>
      <c r="F287" s="49"/>
      <c r="G287" s="49"/>
      <c r="H287" s="49"/>
      <c r="I287" s="49"/>
      <c r="J287" s="49"/>
      <c r="K287" s="49"/>
      <c r="L287" s="53">
        <f>SUM(L288:L292)-SUMIF(CE288:CE292, 1, L288:L292)</f>
        <v>169.48999999999998</v>
      </c>
    </row>
    <row r="288" spans="1:83" ht="15" x14ac:dyDescent="0.2">
      <c r="A288" s="46"/>
      <c r="B288" s="49"/>
      <c r="C288" s="46" t="s">
        <v>634</v>
      </c>
      <c r="D288" s="59" t="s">
        <v>383</v>
      </c>
      <c r="E288" s="56"/>
      <c r="F288" s="49"/>
      <c r="G288" s="49">
        <f>Source!V253</f>
        <v>0.31131249999999999</v>
      </c>
      <c r="H288" s="49"/>
      <c r="I288" s="49"/>
      <c r="J288" s="49"/>
      <c r="K288" s="49"/>
      <c r="L288" s="53">
        <f>SUMIF(CE289:CE292, 1, L289:L292)</f>
        <v>102.89</v>
      </c>
      <c r="CE288">
        <v>1</v>
      </c>
    </row>
    <row r="289" spans="1:83" ht="42.75" x14ac:dyDescent="0.2">
      <c r="A289" s="47"/>
      <c r="B289" s="47" t="s">
        <v>497</v>
      </c>
      <c r="C289" s="47" t="s">
        <v>499</v>
      </c>
      <c r="D289" s="59" t="s">
        <v>389</v>
      </c>
      <c r="E289" s="49">
        <v>0.02</v>
      </c>
      <c r="F289" s="49">
        <f>ROUND(1.25,7)</f>
        <v>1.25</v>
      </c>
      <c r="G289" s="49">
        <f>SmtRes!CX73</f>
        <v>3.6624999999999998E-2</v>
      </c>
      <c r="H289" s="50">
        <f>SmtRes!CZ73</f>
        <v>30.61</v>
      </c>
      <c r="I289" s="60">
        <f>SmtRes!AJ73</f>
        <v>1.48</v>
      </c>
      <c r="J289" s="50">
        <f>ROUND(H289*I289, 2)</f>
        <v>45.3</v>
      </c>
      <c r="K289" s="60"/>
      <c r="L289" s="50">
        <f>SmtRes!DG73</f>
        <v>1.66</v>
      </c>
    </row>
    <row r="290" spans="1:83" ht="28.5" x14ac:dyDescent="0.2">
      <c r="A290" s="47"/>
      <c r="B290" s="47" t="s">
        <v>390</v>
      </c>
      <c r="C290" s="47" t="s">
        <v>633</v>
      </c>
      <c r="D290" s="59" t="s">
        <v>383</v>
      </c>
      <c r="E290" s="49">
        <f>SmtRes!DO73*SmtRes!AT73</f>
        <v>0.02</v>
      </c>
      <c r="F290" s="49">
        <f>ROUND(1.25,7)</f>
        <v>1.25</v>
      </c>
      <c r="G290" s="49">
        <f>ROUND(E290*F290*G283, 7)</f>
        <v>3.6624999999999998E-2</v>
      </c>
      <c r="H290" s="50"/>
      <c r="I290" s="60"/>
      <c r="J290" s="50">
        <f>ROUND(SmtRes!AG73/SmtRes!DO73, 2)</f>
        <v>297.43</v>
      </c>
      <c r="K290" s="60"/>
      <c r="L290" s="50">
        <f>SmtRes!DH73</f>
        <v>10.89</v>
      </c>
      <c r="CE290">
        <v>1</v>
      </c>
    </row>
    <row r="291" spans="1:83" ht="28.5" x14ac:dyDescent="0.2">
      <c r="A291" s="47"/>
      <c r="B291" s="47" t="s">
        <v>409</v>
      </c>
      <c r="C291" s="47" t="s">
        <v>411</v>
      </c>
      <c r="D291" s="59" t="s">
        <v>389</v>
      </c>
      <c r="E291" s="49">
        <v>0.15</v>
      </c>
      <c r="F291" s="49">
        <f>ROUND(1.25,7)</f>
        <v>1.25</v>
      </c>
      <c r="G291" s="49">
        <f>SmtRes!CX74</f>
        <v>0.27468749999999997</v>
      </c>
      <c r="H291" s="50"/>
      <c r="I291" s="60"/>
      <c r="J291" s="50">
        <f>SmtRes!CZ74</f>
        <v>611</v>
      </c>
      <c r="K291" s="60"/>
      <c r="L291" s="50">
        <f>SmtRes!DG74</f>
        <v>167.83</v>
      </c>
    </row>
    <row r="292" spans="1:83" ht="28.5" x14ac:dyDescent="0.2">
      <c r="A292" s="47"/>
      <c r="B292" s="47" t="s">
        <v>412</v>
      </c>
      <c r="C292" s="47" t="s">
        <v>653</v>
      </c>
      <c r="D292" s="59" t="s">
        <v>383</v>
      </c>
      <c r="E292" s="49">
        <f>SmtRes!DO74*SmtRes!AT74</f>
        <v>0.15</v>
      </c>
      <c r="F292" s="49">
        <f>ROUND(1.25,7)</f>
        <v>1.25</v>
      </c>
      <c r="G292" s="49">
        <f>ROUND(E292*F292*G283, 7)</f>
        <v>0.27468749999999997</v>
      </c>
      <c r="H292" s="50"/>
      <c r="I292" s="60"/>
      <c r="J292" s="50">
        <f>ROUND(SmtRes!AG74/SmtRes!DO74, 2)</f>
        <v>334.92</v>
      </c>
      <c r="K292" s="60"/>
      <c r="L292" s="50">
        <f>SmtRes!DH74</f>
        <v>92</v>
      </c>
      <c r="CE292">
        <v>1</v>
      </c>
    </row>
    <row r="293" spans="1:83" ht="15" x14ac:dyDescent="0.2">
      <c r="A293" s="46"/>
      <c r="B293" s="49">
        <v>4</v>
      </c>
      <c r="C293" s="46" t="s">
        <v>648</v>
      </c>
      <c r="D293" s="59"/>
      <c r="E293" s="56"/>
      <c r="F293" s="49"/>
      <c r="G293" s="49"/>
      <c r="H293" s="49"/>
      <c r="I293" s="49"/>
      <c r="J293" s="49"/>
      <c r="K293" s="49"/>
      <c r="L293" s="53">
        <f>SUM(L294:L296)-SUMIF(CE294:CE296, 1, L294:L296)</f>
        <v>6719.28</v>
      </c>
    </row>
    <row r="294" spans="1:83" ht="28.5" x14ac:dyDescent="0.2">
      <c r="A294" s="47"/>
      <c r="B294" s="47" t="s">
        <v>500</v>
      </c>
      <c r="C294" s="47" t="s">
        <v>502</v>
      </c>
      <c r="D294" s="59" t="s">
        <v>145</v>
      </c>
      <c r="E294" s="49">
        <v>0.84</v>
      </c>
      <c r="F294" s="49"/>
      <c r="G294" s="49">
        <f>SmtRes!CX75</f>
        <v>1.2305999999999999</v>
      </c>
      <c r="H294" s="50">
        <f>SmtRes!CZ75</f>
        <v>531.44000000000005</v>
      </c>
      <c r="I294" s="60">
        <f>SmtRes!AI75</f>
        <v>1.23</v>
      </c>
      <c r="J294" s="50">
        <f>ROUND(H294*I294, 2)</f>
        <v>653.66999999999996</v>
      </c>
      <c r="K294" s="60"/>
      <c r="L294" s="50">
        <f>SmtRes!DF75</f>
        <v>804.41</v>
      </c>
    </row>
    <row r="295" spans="1:83" ht="14.25" x14ac:dyDescent="0.2">
      <c r="A295" s="47"/>
      <c r="B295" s="47" t="s">
        <v>413</v>
      </c>
      <c r="C295" s="47" t="s">
        <v>415</v>
      </c>
      <c r="D295" s="59" t="s">
        <v>217</v>
      </c>
      <c r="E295" s="49">
        <v>0.31</v>
      </c>
      <c r="F295" s="49"/>
      <c r="G295" s="49">
        <f>SmtRes!CX76</f>
        <v>0.45415</v>
      </c>
      <c r="H295" s="50">
        <f>SmtRes!CZ76</f>
        <v>56.11</v>
      </c>
      <c r="I295" s="60">
        <f>SmtRes!AI76</f>
        <v>1.49</v>
      </c>
      <c r="J295" s="50">
        <f>ROUND(H295*I295, 2)</f>
        <v>83.6</v>
      </c>
      <c r="K295" s="60"/>
      <c r="L295" s="50">
        <f>SmtRes!DF76</f>
        <v>37.97</v>
      </c>
    </row>
    <row r="296" spans="1:83" ht="14.25" x14ac:dyDescent="0.2">
      <c r="A296" s="47"/>
      <c r="B296" s="47" t="s">
        <v>503</v>
      </c>
      <c r="C296" s="47" t="s">
        <v>505</v>
      </c>
      <c r="D296" s="59" t="s">
        <v>149</v>
      </c>
      <c r="E296" s="49">
        <v>5.0999999999999997E-2</v>
      </c>
      <c r="F296" s="49"/>
      <c r="G296" s="49">
        <f>SmtRes!CX77</f>
        <v>7.4715000000000004E-2</v>
      </c>
      <c r="H296" s="50">
        <f>SmtRes!CZ77</f>
        <v>52790.33</v>
      </c>
      <c r="I296" s="60">
        <f>SmtRes!AI77</f>
        <v>1.49</v>
      </c>
      <c r="J296" s="50">
        <f>ROUND(H296*I296, 2)</f>
        <v>78657.59</v>
      </c>
      <c r="K296" s="60"/>
      <c r="L296" s="50">
        <f>SmtRes!DF77</f>
        <v>5876.9</v>
      </c>
    </row>
    <row r="297" spans="1:83" ht="14.25" x14ac:dyDescent="0.2">
      <c r="A297" s="47"/>
      <c r="B297" s="47" t="str">
        <f>EtalonRes!I90</f>
        <v>14.3.02.01</v>
      </c>
      <c r="C297" s="47" t="str">
        <f>EtalonRes!K90</f>
        <v>Краска акриловая</v>
      </c>
      <c r="D297" s="59" t="str">
        <f>EtalonRes!O90</f>
        <v>т</v>
      </c>
      <c r="E297" s="49">
        <f>EtalonRes!X90</f>
        <v>0.03</v>
      </c>
      <c r="F297" s="49"/>
      <c r="G297" s="49">
        <f>ROUND(EtalonRes!AG90*Source!I253, 7)</f>
        <v>4.3950000000000003E-2</v>
      </c>
      <c r="H297" s="50"/>
      <c r="I297" s="60"/>
      <c r="J297" s="50"/>
      <c r="K297" s="60"/>
      <c r="L297" s="50"/>
    </row>
    <row r="298" spans="1:83" ht="14.25" x14ac:dyDescent="0.2">
      <c r="A298" s="47"/>
      <c r="B298" s="47" t="str">
        <f>EtalonRes!I91</f>
        <v>14.4.01.02</v>
      </c>
      <c r="C298" s="61" t="str">
        <f>EtalonRes!K91</f>
        <v>Грунтовка</v>
      </c>
      <c r="D298" s="62" t="str">
        <f>EtalonRes!O91</f>
        <v>т</v>
      </c>
      <c r="E298" s="63">
        <f>EtalonRes!X91</f>
        <v>0.02</v>
      </c>
      <c r="F298" s="63"/>
      <c r="G298" s="63">
        <f>ROUND(EtalonRes!AG91*Source!I253, 7)</f>
        <v>2.93E-2</v>
      </c>
      <c r="H298" s="64"/>
      <c r="I298" s="65"/>
      <c r="J298" s="64"/>
      <c r="K298" s="65"/>
      <c r="L298" s="64"/>
    </row>
    <row r="299" spans="1:83" ht="15" x14ac:dyDescent="0.2">
      <c r="A299" s="47"/>
      <c r="B299" s="47"/>
      <c r="C299" s="66" t="s">
        <v>635</v>
      </c>
      <c r="D299" s="59"/>
      <c r="E299" s="49"/>
      <c r="F299" s="49"/>
      <c r="G299" s="49"/>
      <c r="H299" s="50"/>
      <c r="I299" s="60"/>
      <c r="J299" s="50"/>
      <c r="K299" s="60"/>
      <c r="L299" s="50">
        <f>L285+L287+L288+L293</f>
        <v>29369.77</v>
      </c>
    </row>
    <row r="300" spans="1:83" ht="14.25" x14ac:dyDescent="0.2">
      <c r="A300" s="47"/>
      <c r="B300" s="47"/>
      <c r="C300" s="47" t="s">
        <v>636</v>
      </c>
      <c r="D300" s="59"/>
      <c r="E300" s="49"/>
      <c r="F300" s="49"/>
      <c r="G300" s="49"/>
      <c r="H300" s="50"/>
      <c r="I300" s="60"/>
      <c r="J300" s="50"/>
      <c r="K300" s="60"/>
      <c r="L300" s="50">
        <f>SUM(AR283:AR303)+SUM(AS283:AS303)+SUM(AT283:AT303)+SUM(AU283:AU303)+SUM(AV283:AV303)</f>
        <v>22481</v>
      </c>
    </row>
    <row r="301" spans="1:83" ht="14.25" x14ac:dyDescent="0.2">
      <c r="A301" s="47"/>
      <c r="B301" s="47" t="s">
        <v>192</v>
      </c>
      <c r="C301" s="47" t="s">
        <v>666</v>
      </c>
      <c r="D301" s="59" t="s">
        <v>638</v>
      </c>
      <c r="E301" s="49">
        <f>Source!BZ253</f>
        <v>100</v>
      </c>
      <c r="F301" s="49">
        <f>ROUND(0.9,7)</f>
        <v>0.9</v>
      </c>
      <c r="G301" s="49">
        <f>Source!AT253</f>
        <v>90</v>
      </c>
      <c r="H301" s="50"/>
      <c r="I301" s="60"/>
      <c r="J301" s="50"/>
      <c r="K301" s="60"/>
      <c r="L301" s="50">
        <f>SUM(AZ283:AZ303)</f>
        <v>20232.900000000001</v>
      </c>
    </row>
    <row r="302" spans="1:83" ht="14.25" x14ac:dyDescent="0.2">
      <c r="A302" s="61"/>
      <c r="B302" s="61" t="s">
        <v>193</v>
      </c>
      <c r="C302" s="61" t="s">
        <v>667</v>
      </c>
      <c r="D302" s="62" t="s">
        <v>638</v>
      </c>
      <c r="E302" s="63">
        <f>Source!CA253</f>
        <v>49</v>
      </c>
      <c r="F302" s="63">
        <f>ROUND(0.85,7)</f>
        <v>0.85</v>
      </c>
      <c r="G302" s="63">
        <f>Source!AU253</f>
        <v>41.65</v>
      </c>
      <c r="H302" s="64"/>
      <c r="I302" s="65"/>
      <c r="J302" s="64"/>
      <c r="K302" s="65"/>
      <c r="L302" s="64">
        <f>SUM(BA283:BA303)</f>
        <v>9363.34</v>
      </c>
    </row>
    <row r="303" spans="1:83" ht="15" x14ac:dyDescent="0.2">
      <c r="C303" s="90" t="s">
        <v>640</v>
      </c>
      <c r="D303" s="90"/>
      <c r="E303" s="90"/>
      <c r="F303" s="90"/>
      <c r="G303" s="90"/>
      <c r="H303" s="90"/>
      <c r="I303" s="91">
        <f>IF(E283&lt;&gt;0,K303/E283, 0)</f>
        <v>40249.836177474397</v>
      </c>
      <c r="J303" s="91"/>
      <c r="K303" s="91">
        <f>L285+L287+L293+L301+L302+L288</f>
        <v>58966.009999999995</v>
      </c>
      <c r="L303" s="91"/>
      <c r="AD303">
        <f>ROUND((Source!AT253/100)*((ROUND(SUMIF(SmtRes!AQ71:'SmtRes'!AQ77,"=1",SmtRes!AD71:'SmtRes'!AD77)*Source!I253, 2)+ROUND(SUMIF(SmtRes!AQ71:'SmtRes'!AQ77,"=1",SmtRes!AC71:'SmtRes'!AC77)*Source!I253, 2))), 2)</f>
        <v>1235.8</v>
      </c>
      <c r="AE303">
        <f>ROUND((Source!AU253/100)*((ROUND(SUMIF(SmtRes!AQ71:'SmtRes'!AQ77,"=1",SmtRes!AD71:'SmtRes'!AD77)*Source!I253, 2)+ROUND(SUMIF(SmtRes!AQ71:'SmtRes'!AQ77,"=1",SmtRes!AC71:'SmtRes'!AC77)*Source!I253, 2))), 2)</f>
        <v>571.9</v>
      </c>
      <c r="AN303" s="55">
        <f>L285+L287+L293+L301+L302+L288</f>
        <v>58966.009999999995</v>
      </c>
      <c r="AO303" s="55">
        <f>L287</f>
        <v>169.48999999999998</v>
      </c>
      <c r="AQ303" t="s">
        <v>641</v>
      </c>
      <c r="AR303" s="55">
        <f>L285</f>
        <v>22378.11</v>
      </c>
      <c r="AT303" s="55">
        <f>L288</f>
        <v>102.89</v>
      </c>
      <c r="AV303" t="s">
        <v>641</v>
      </c>
      <c r="AW303" s="55">
        <f>L293</f>
        <v>6719.28</v>
      </c>
      <c r="AZ303">
        <f>Source!X253</f>
        <v>20232.900000000001</v>
      </c>
      <c r="BA303">
        <f>Source!Y253</f>
        <v>9363.34</v>
      </c>
      <c r="CD303">
        <v>1</v>
      </c>
    </row>
    <row r="304" spans="1:83" ht="28.5" x14ac:dyDescent="0.2">
      <c r="A304" s="68" t="s">
        <v>210</v>
      </c>
      <c r="B304" s="61" t="str">
        <f>Source!F254</f>
        <v>14.3.02.01-0381</v>
      </c>
      <c r="C304" s="61" t="str">
        <f>Source!G254</f>
        <v>Краска водно-дисперсионная акрилатная ВД-АК-201</v>
      </c>
      <c r="D304" s="62" t="str">
        <f>Source!H254</f>
        <v>т</v>
      </c>
      <c r="E304" s="63">
        <f>Source!K254</f>
        <v>4.3950000000000003E-2</v>
      </c>
      <c r="F304" s="63"/>
      <c r="G304" s="63">
        <f>Source!I254</f>
        <v>4.3950000000000003E-2</v>
      </c>
      <c r="H304" s="64">
        <f>Source!AL254</f>
        <v>64105.1</v>
      </c>
      <c r="I304" s="65">
        <f>IF(Source!BC254&lt;&gt; 0, Source!BC254, 1)</f>
        <v>1.83</v>
      </c>
      <c r="J304" s="64">
        <f>ROUND(H304*I304, 2)</f>
        <v>117312.33</v>
      </c>
      <c r="K304" s="65"/>
      <c r="L304" s="64">
        <f>Source!P254</f>
        <v>5155.88</v>
      </c>
    </row>
    <row r="305" spans="1:83" ht="15" x14ac:dyDescent="0.2">
      <c r="C305" s="90" t="s">
        <v>640</v>
      </c>
      <c r="D305" s="90"/>
      <c r="E305" s="90"/>
      <c r="F305" s="90"/>
      <c r="G305" s="90"/>
      <c r="H305" s="90"/>
      <c r="I305" s="91">
        <f>IF(E304&lt;&gt;0,K305/E304, 0)</f>
        <v>117312.40045506257</v>
      </c>
      <c r="J305" s="91"/>
      <c r="K305" s="91">
        <f>L304</f>
        <v>5155.88</v>
      </c>
      <c r="L305" s="91"/>
      <c r="AD305">
        <f>ROUND((Source!AT254/100)*((ROUND(ROUND(Source!AO254,2)*Source!I254, 2)+ROUND(ROUND(Source!AN254,2)*Source!I254, 2))), 2)</f>
        <v>0</v>
      </c>
      <c r="AE305">
        <f>ROUND((Source!AU254/100)*((ROUND(ROUND(Source!AO254,2)*Source!I254, 2)+ROUND(ROUND(Source!AN254,2)*Source!I254, 2))), 2)</f>
        <v>0</v>
      </c>
      <c r="AN305" s="55">
        <f>L304</f>
        <v>5155.88</v>
      </c>
      <c r="AO305">
        <f>0</f>
        <v>0</v>
      </c>
      <c r="AQ305" t="s">
        <v>641</v>
      </c>
      <c r="AR305">
        <f>0</f>
        <v>0</v>
      </c>
      <c r="AT305">
        <f>0</f>
        <v>0</v>
      </c>
      <c r="AV305" t="s">
        <v>641</v>
      </c>
      <c r="AW305" s="55">
        <f>L304</f>
        <v>5155.88</v>
      </c>
      <c r="AZ305">
        <f>Source!X254</f>
        <v>0</v>
      </c>
      <c r="BA305">
        <f>Source!Y254</f>
        <v>0</v>
      </c>
      <c r="CD305">
        <v>1</v>
      </c>
    </row>
    <row r="306" spans="1:83" ht="42.75" x14ac:dyDescent="0.2">
      <c r="A306" s="68" t="s">
        <v>214</v>
      </c>
      <c r="B306" s="61" t="str">
        <f>Source!F255</f>
        <v>14.4.01.02-0012</v>
      </c>
      <c r="C306" s="61" t="str">
        <f>Source!G255</f>
        <v>Грунтовка укрепляющая, глубокого проникновения, быстросохнущая, паропроницаемая</v>
      </c>
      <c r="D306" s="62" t="str">
        <f>Source!H255</f>
        <v>кг</v>
      </c>
      <c r="E306" s="63">
        <f>Source!K255</f>
        <v>29.3</v>
      </c>
      <c r="F306" s="63"/>
      <c r="G306" s="63">
        <f>Source!I255</f>
        <v>29.3</v>
      </c>
      <c r="H306" s="64">
        <f>Source!AL255</f>
        <v>68.290000000000006</v>
      </c>
      <c r="I306" s="65">
        <f>IF(Source!BC255&lt;&gt; 0, Source!BC255, 1)</f>
        <v>1.55</v>
      </c>
      <c r="J306" s="64">
        <f>ROUND(H306*I306, 2)</f>
        <v>105.85</v>
      </c>
      <c r="K306" s="65"/>
      <c r="L306" s="64">
        <f>Source!P255</f>
        <v>3101.41</v>
      </c>
    </row>
    <row r="307" spans="1:83" ht="15" x14ac:dyDescent="0.2">
      <c r="C307" s="90" t="s">
        <v>640</v>
      </c>
      <c r="D307" s="90"/>
      <c r="E307" s="90"/>
      <c r="F307" s="90"/>
      <c r="G307" s="90"/>
      <c r="H307" s="90"/>
      <c r="I307" s="91">
        <f>IF(E306&lt;&gt;0,K307/E306, 0)</f>
        <v>105.85017064846416</v>
      </c>
      <c r="J307" s="91"/>
      <c r="K307" s="91">
        <f>L306</f>
        <v>3101.41</v>
      </c>
      <c r="L307" s="91"/>
      <c r="AD307">
        <f>ROUND((Source!AT255/100)*((ROUND(ROUND(Source!AO255,2)*Source!I255, 2)+ROUND(ROUND(Source!AN255,2)*Source!I255, 2))), 2)</f>
        <v>0</v>
      </c>
      <c r="AE307">
        <f>ROUND((Source!AU255/100)*((ROUND(ROUND(Source!AO255,2)*Source!I255, 2)+ROUND(ROUND(Source!AN255,2)*Source!I255, 2))), 2)</f>
        <v>0</v>
      </c>
      <c r="AN307" s="55">
        <f>L306</f>
        <v>3101.41</v>
      </c>
      <c r="AO307">
        <f>0</f>
        <v>0</v>
      </c>
      <c r="AQ307" t="s">
        <v>641</v>
      </c>
      <c r="AR307">
        <f>0</f>
        <v>0</v>
      </c>
      <c r="AT307">
        <f>0</f>
        <v>0</v>
      </c>
      <c r="AV307" t="s">
        <v>641</v>
      </c>
      <c r="AW307" s="55">
        <f>L306</f>
        <v>3101.41</v>
      </c>
      <c r="AZ307">
        <f>Source!X255</f>
        <v>0</v>
      </c>
      <c r="BA307">
        <f>Source!Y255</f>
        <v>0</v>
      </c>
      <c r="CD307">
        <v>1</v>
      </c>
    </row>
    <row r="308" spans="1:83" ht="119.25" x14ac:dyDescent="0.2">
      <c r="A308" s="58" t="s">
        <v>219</v>
      </c>
      <c r="B308" s="47" t="s">
        <v>674</v>
      </c>
      <c r="C308" s="47" t="s">
        <v>675</v>
      </c>
      <c r="D308" s="59" t="str">
        <f>Source!H256</f>
        <v>100 ШТ</v>
      </c>
      <c r="E308" s="49">
        <f>Source!K256</f>
        <v>0.04</v>
      </c>
      <c r="F308" s="49"/>
      <c r="G308" s="49">
        <f>Source!I256</f>
        <v>0.04</v>
      </c>
      <c r="H308" s="50"/>
      <c r="I308" s="60"/>
      <c r="J308" s="50"/>
      <c r="K308" s="60"/>
      <c r="L308" s="50"/>
    </row>
    <row r="309" spans="1:83" ht="76.5" x14ac:dyDescent="0.2">
      <c r="B309" s="67" t="str">
        <f>CONCATENATE("Поправка: ", Source!EO256)</f>
        <v>Поправка: Попр.421/пр_2020_п.58_пп.б</v>
      </c>
      <c r="C309" s="67" t="str">
        <f>Source!CN256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310" spans="1:83" ht="15" x14ac:dyDescent="0.2">
      <c r="A310" s="46"/>
      <c r="B310" s="49">
        <v>1</v>
      </c>
      <c r="C310" s="46" t="s">
        <v>631</v>
      </c>
      <c r="D310" s="59" t="s">
        <v>383</v>
      </c>
      <c r="E310" s="56"/>
      <c r="F310" s="49"/>
      <c r="G310" s="49">
        <f>Source!U256</f>
        <v>1.1408</v>
      </c>
      <c r="H310" s="49"/>
      <c r="I310" s="49"/>
      <c r="J310" s="49"/>
      <c r="K310" s="49"/>
      <c r="L310" s="53">
        <f>SUM(L311:L311)-SUMIF(CE311:CE311, 1, L311:L311)</f>
        <v>339.31</v>
      </c>
    </row>
    <row r="311" spans="1:83" ht="14.25" x14ac:dyDescent="0.2">
      <c r="A311" s="47"/>
      <c r="B311" s="47" t="s">
        <v>391</v>
      </c>
      <c r="C311" s="47" t="s">
        <v>392</v>
      </c>
      <c r="D311" s="59" t="s">
        <v>383</v>
      </c>
      <c r="E311" s="49">
        <v>24.8</v>
      </c>
      <c r="F311" s="49">
        <f>ROUND(1.15,7)</f>
        <v>1.1499999999999999</v>
      </c>
      <c r="G311" s="49">
        <f>SmtRes!CX78</f>
        <v>1.1408</v>
      </c>
      <c r="H311" s="50"/>
      <c r="I311" s="60"/>
      <c r="J311" s="50">
        <f>SmtRes!CZ78</f>
        <v>297.43</v>
      </c>
      <c r="K311" s="60"/>
      <c r="L311" s="50">
        <f>SmtRes!DI78</f>
        <v>339.31</v>
      </c>
    </row>
    <row r="312" spans="1:83" ht="15" x14ac:dyDescent="0.2">
      <c r="A312" s="46"/>
      <c r="B312" s="49">
        <v>2</v>
      </c>
      <c r="C312" s="46" t="s">
        <v>632</v>
      </c>
      <c r="D312" s="59"/>
      <c r="E312" s="56"/>
      <c r="F312" s="49"/>
      <c r="G312" s="49"/>
      <c r="H312" s="49"/>
      <c r="I312" s="49"/>
      <c r="J312" s="49"/>
      <c r="K312" s="49"/>
      <c r="L312" s="53">
        <f>SUM(L313:L317)-SUMIF(CE313:CE317, 1, L313:L317)</f>
        <v>0.62000000000000011</v>
      </c>
    </row>
    <row r="313" spans="1:83" ht="15" x14ac:dyDescent="0.2">
      <c r="A313" s="46"/>
      <c r="B313" s="49"/>
      <c r="C313" s="46" t="s">
        <v>634</v>
      </c>
      <c r="D313" s="59" t="s">
        <v>383</v>
      </c>
      <c r="E313" s="56"/>
      <c r="F313" s="49"/>
      <c r="G313" s="49">
        <f>Source!V256</f>
        <v>1.15E-3</v>
      </c>
      <c r="H313" s="49"/>
      <c r="I313" s="49"/>
      <c r="J313" s="49"/>
      <c r="K313" s="49"/>
      <c r="L313" s="53">
        <f>SUMIF(CE314:CE317, 1, L314:L317)</f>
        <v>0.37</v>
      </c>
      <c r="CE313">
        <v>1</v>
      </c>
    </row>
    <row r="314" spans="1:83" ht="42.75" x14ac:dyDescent="0.2">
      <c r="A314" s="47"/>
      <c r="B314" s="47" t="s">
        <v>386</v>
      </c>
      <c r="C314" s="47" t="s">
        <v>388</v>
      </c>
      <c r="D314" s="59" t="s">
        <v>389</v>
      </c>
      <c r="E314" s="49">
        <v>3.0000000000000001E-3</v>
      </c>
      <c r="F314" s="49">
        <f>ROUND(1.25,7)</f>
        <v>1.25</v>
      </c>
      <c r="G314" s="49">
        <f>SmtRes!CX80</f>
        <v>1.4999999999999999E-4</v>
      </c>
      <c r="H314" s="50">
        <f>SmtRes!CZ80</f>
        <v>37.32</v>
      </c>
      <c r="I314" s="60">
        <f>SmtRes!AJ80</f>
        <v>1.48</v>
      </c>
      <c r="J314" s="50">
        <f>ROUND(H314*I314, 2)</f>
        <v>55.23</v>
      </c>
      <c r="K314" s="60"/>
      <c r="L314" s="50">
        <f>SmtRes!DG80</f>
        <v>0.01</v>
      </c>
    </row>
    <row r="315" spans="1:83" ht="28.5" x14ac:dyDescent="0.2">
      <c r="A315" s="47"/>
      <c r="B315" s="47" t="s">
        <v>390</v>
      </c>
      <c r="C315" s="47" t="s">
        <v>633</v>
      </c>
      <c r="D315" s="59" t="s">
        <v>383</v>
      </c>
      <c r="E315" s="49">
        <f>SmtRes!DO80*SmtRes!AT80</f>
        <v>3.0000000000000001E-3</v>
      </c>
      <c r="F315" s="49">
        <f>ROUND(1.25,7)</f>
        <v>1.25</v>
      </c>
      <c r="G315" s="49">
        <f>ROUND(E315*F315*G308, 7)</f>
        <v>1.4999999999999999E-4</v>
      </c>
      <c r="H315" s="50"/>
      <c r="I315" s="60"/>
      <c r="J315" s="50">
        <f>ROUND(SmtRes!AG80/SmtRes!DO80, 2)</f>
        <v>297.43</v>
      </c>
      <c r="K315" s="60"/>
      <c r="L315" s="50">
        <f>SmtRes!DH80</f>
        <v>0.04</v>
      </c>
      <c r="CE315">
        <v>1</v>
      </c>
    </row>
    <row r="316" spans="1:83" ht="28.5" x14ac:dyDescent="0.2">
      <c r="A316" s="47"/>
      <c r="B316" s="47" t="s">
        <v>409</v>
      </c>
      <c r="C316" s="47" t="s">
        <v>411</v>
      </c>
      <c r="D316" s="59" t="s">
        <v>389</v>
      </c>
      <c r="E316" s="49">
        <v>0.02</v>
      </c>
      <c r="F316" s="49">
        <f>ROUND(1.25,7)</f>
        <v>1.25</v>
      </c>
      <c r="G316" s="49">
        <f>SmtRes!CX81</f>
        <v>1E-3</v>
      </c>
      <c r="H316" s="50"/>
      <c r="I316" s="60"/>
      <c r="J316" s="50">
        <f>SmtRes!CZ81</f>
        <v>611</v>
      </c>
      <c r="K316" s="60"/>
      <c r="L316" s="50">
        <f>SmtRes!DG81</f>
        <v>0.61</v>
      </c>
    </row>
    <row r="317" spans="1:83" ht="28.5" x14ac:dyDescent="0.2">
      <c r="A317" s="47"/>
      <c r="B317" s="47" t="s">
        <v>412</v>
      </c>
      <c r="C317" s="47" t="s">
        <v>653</v>
      </c>
      <c r="D317" s="59" t="s">
        <v>383</v>
      </c>
      <c r="E317" s="49">
        <f>SmtRes!DO81*SmtRes!AT81</f>
        <v>0.02</v>
      </c>
      <c r="F317" s="49">
        <f>ROUND(1.25,7)</f>
        <v>1.25</v>
      </c>
      <c r="G317" s="49">
        <f>ROUND(E317*F317*G308, 7)</f>
        <v>1E-3</v>
      </c>
      <c r="H317" s="50"/>
      <c r="I317" s="60"/>
      <c r="J317" s="50">
        <f>ROUND(SmtRes!AG81/SmtRes!DO81, 2)</f>
        <v>334.92</v>
      </c>
      <c r="K317" s="60"/>
      <c r="L317" s="50">
        <f>SmtRes!DH81</f>
        <v>0.33</v>
      </c>
      <c r="CE317">
        <v>1</v>
      </c>
    </row>
    <row r="318" spans="1:83" ht="15" x14ac:dyDescent="0.2">
      <c r="A318" s="46"/>
      <c r="B318" s="49">
        <v>4</v>
      </c>
      <c r="C318" s="46" t="s">
        <v>648</v>
      </c>
      <c r="D318" s="59"/>
      <c r="E318" s="56"/>
      <c r="F318" s="49"/>
      <c r="G318" s="49"/>
      <c r="H318" s="49"/>
      <c r="I318" s="49"/>
      <c r="J318" s="49"/>
      <c r="K318" s="49"/>
      <c r="L318" s="53">
        <f>SUM(L319:L320)-SUMIF(CE319:CE320, 1, L319:L320)</f>
        <v>83.82</v>
      </c>
    </row>
    <row r="319" spans="1:83" ht="42.75" x14ac:dyDescent="0.2">
      <c r="A319" s="47"/>
      <c r="B319" s="47" t="s">
        <v>471</v>
      </c>
      <c r="C319" s="47" t="s">
        <v>473</v>
      </c>
      <c r="D319" s="59" t="s">
        <v>222</v>
      </c>
      <c r="E319" s="49">
        <v>4.04</v>
      </c>
      <c r="F319" s="49"/>
      <c r="G319" s="49">
        <f>SmtRes!CX82</f>
        <v>0.16159999999999999</v>
      </c>
      <c r="H319" s="50">
        <f>SmtRes!CZ82</f>
        <v>52.34</v>
      </c>
      <c r="I319" s="60">
        <f>SmtRes!AI82</f>
        <v>1.33</v>
      </c>
      <c r="J319" s="50">
        <f>ROUND(H319*I319, 2)</f>
        <v>69.61</v>
      </c>
      <c r="K319" s="60"/>
      <c r="L319" s="50">
        <f>SmtRes!DF82</f>
        <v>11.25</v>
      </c>
    </row>
    <row r="320" spans="1:83" ht="42.75" x14ac:dyDescent="0.2">
      <c r="A320" s="47"/>
      <c r="B320" s="47" t="s">
        <v>506</v>
      </c>
      <c r="C320" s="47" t="s">
        <v>508</v>
      </c>
      <c r="D320" s="59" t="s">
        <v>509</v>
      </c>
      <c r="E320" s="49">
        <v>2.1267</v>
      </c>
      <c r="F320" s="49"/>
      <c r="G320" s="49">
        <f>SmtRes!CX83</f>
        <v>8.5068000000000005E-2</v>
      </c>
      <c r="H320" s="50">
        <f>SmtRes!CZ83</f>
        <v>768.53</v>
      </c>
      <c r="I320" s="60">
        <f>SmtRes!AI83</f>
        <v>1.1100000000000001</v>
      </c>
      <c r="J320" s="50">
        <f>ROUND(H320*I320, 2)</f>
        <v>853.07</v>
      </c>
      <c r="K320" s="60"/>
      <c r="L320" s="50">
        <f>SmtRes!DF83</f>
        <v>72.569999999999993</v>
      </c>
    </row>
    <row r="321" spans="1:83" ht="14.25" x14ac:dyDescent="0.2">
      <c r="A321" s="47"/>
      <c r="B321" s="47" t="str">
        <f>EtalonRes!I98</f>
        <v>01.7.17.09</v>
      </c>
      <c r="C321" s="47" t="str">
        <f>EtalonRes!K98</f>
        <v>Сверла, буры</v>
      </c>
      <c r="D321" s="59" t="str">
        <f>EtalonRes!O98</f>
        <v>ШТ</v>
      </c>
      <c r="E321" s="49">
        <f>EtalonRes!X98</f>
        <v>0</v>
      </c>
      <c r="F321" s="49"/>
      <c r="G321" s="49">
        <f>ROUND(EtalonRes!AG98*Source!I256, 7)</f>
        <v>0</v>
      </c>
      <c r="H321" s="50"/>
      <c r="I321" s="60"/>
      <c r="J321" s="50"/>
      <c r="K321" s="60"/>
      <c r="L321" s="50"/>
    </row>
    <row r="322" spans="1:83" ht="28.5" x14ac:dyDescent="0.2">
      <c r="A322" s="47"/>
      <c r="B322" s="47" t="str">
        <f>EtalonRes!I100</f>
        <v>19.2.03.07</v>
      </c>
      <c r="C322" s="61" t="str">
        <f>EtalonRes!K100</f>
        <v>Решетка вентиляционная пластмассовая</v>
      </c>
      <c r="D322" s="62" t="str">
        <f>EtalonRes!O100</f>
        <v>ШТ</v>
      </c>
      <c r="E322" s="63">
        <f>EtalonRes!X100</f>
        <v>100</v>
      </c>
      <c r="F322" s="63"/>
      <c r="G322" s="63">
        <f>ROUND(EtalonRes!AG100*Source!I256, 7)</f>
        <v>4</v>
      </c>
      <c r="H322" s="64"/>
      <c r="I322" s="65"/>
      <c r="J322" s="64"/>
      <c r="K322" s="65"/>
      <c r="L322" s="64"/>
    </row>
    <row r="323" spans="1:83" ht="15" x14ac:dyDescent="0.2">
      <c r="A323" s="47"/>
      <c r="B323" s="47"/>
      <c r="C323" s="66" t="s">
        <v>635</v>
      </c>
      <c r="D323" s="59"/>
      <c r="E323" s="49"/>
      <c r="F323" s="49"/>
      <c r="G323" s="49"/>
      <c r="H323" s="50"/>
      <c r="I323" s="60"/>
      <c r="J323" s="50"/>
      <c r="K323" s="60"/>
      <c r="L323" s="50">
        <f>L310+L312+L313+L318</f>
        <v>424.12</v>
      </c>
    </row>
    <row r="324" spans="1:83" ht="14.25" x14ac:dyDescent="0.2">
      <c r="A324" s="47"/>
      <c r="B324" s="47"/>
      <c r="C324" s="47" t="s">
        <v>636</v>
      </c>
      <c r="D324" s="59"/>
      <c r="E324" s="49"/>
      <c r="F324" s="49"/>
      <c r="G324" s="49"/>
      <c r="H324" s="50"/>
      <c r="I324" s="60"/>
      <c r="J324" s="50"/>
      <c r="K324" s="60"/>
      <c r="L324" s="50">
        <f>SUM(AR308:AR327)+SUM(AS308:AS327)+SUM(AT308:AT327)+SUM(AU308:AU327)+SUM(AV308:AV327)</f>
        <v>339.68</v>
      </c>
    </row>
    <row r="325" spans="1:83" ht="71.25" x14ac:dyDescent="0.2">
      <c r="A325" s="47"/>
      <c r="B325" s="47" t="s">
        <v>227</v>
      </c>
      <c r="C325" s="47" t="s">
        <v>676</v>
      </c>
      <c r="D325" s="59" t="s">
        <v>638</v>
      </c>
      <c r="E325" s="49">
        <f>Source!BZ256</f>
        <v>121</v>
      </c>
      <c r="F325" s="49">
        <f>ROUND(0.9,7)</f>
        <v>0.9</v>
      </c>
      <c r="G325" s="49">
        <f>Source!AT256</f>
        <v>108.9</v>
      </c>
      <c r="H325" s="50"/>
      <c r="I325" s="60"/>
      <c r="J325" s="50"/>
      <c r="K325" s="60"/>
      <c r="L325" s="50">
        <f>SUM(AZ308:AZ327)</f>
        <v>369.91</v>
      </c>
    </row>
    <row r="326" spans="1:83" ht="71.25" x14ac:dyDescent="0.2">
      <c r="A326" s="61"/>
      <c r="B326" s="61" t="s">
        <v>228</v>
      </c>
      <c r="C326" s="61" t="s">
        <v>677</v>
      </c>
      <c r="D326" s="62" t="s">
        <v>638</v>
      </c>
      <c r="E326" s="63">
        <f>Source!CA256</f>
        <v>72</v>
      </c>
      <c r="F326" s="63">
        <f>ROUND(0.85,7)</f>
        <v>0.85</v>
      </c>
      <c r="G326" s="63">
        <f>Source!AU256</f>
        <v>61.2</v>
      </c>
      <c r="H326" s="64"/>
      <c r="I326" s="65"/>
      <c r="J326" s="64"/>
      <c r="K326" s="65"/>
      <c r="L326" s="64">
        <f>SUM(BA308:BA327)</f>
        <v>207.88</v>
      </c>
    </row>
    <row r="327" spans="1:83" ht="15" x14ac:dyDescent="0.2">
      <c r="C327" s="90" t="s">
        <v>640</v>
      </c>
      <c r="D327" s="90"/>
      <c r="E327" s="90"/>
      <c r="F327" s="90"/>
      <c r="G327" s="90"/>
      <c r="H327" s="90"/>
      <c r="I327" s="91">
        <f>IF(E308&lt;&gt;0,K327/E308, 0)</f>
        <v>25047.75</v>
      </c>
      <c r="J327" s="91"/>
      <c r="K327" s="91">
        <f>L310+L312+L318+L325+L326+L313</f>
        <v>1001.9100000000001</v>
      </c>
      <c r="L327" s="91"/>
      <c r="AD327">
        <f>ROUND((Source!AT256/100)*((ROUND(SUMIF(SmtRes!AQ78:'SmtRes'!AQ83,"=1",SmtRes!AD78:'SmtRes'!AD83)*Source!I256, 2)+ROUND(SUMIF(SmtRes!AQ78:'SmtRes'!AQ83,"=1",SmtRes!AC78:'SmtRes'!AC83)*Source!I256, 2))), 2)</f>
        <v>40.5</v>
      </c>
      <c r="AE327">
        <f>ROUND((Source!AU256/100)*((ROUND(SUMIF(SmtRes!AQ78:'SmtRes'!AQ83,"=1",SmtRes!AD78:'SmtRes'!AD83)*Source!I256, 2)+ROUND(SUMIF(SmtRes!AQ78:'SmtRes'!AQ83,"=1",SmtRes!AC78:'SmtRes'!AC83)*Source!I256, 2))), 2)</f>
        <v>22.76</v>
      </c>
      <c r="AN327" s="55">
        <f>L310+L312+L318+L325+L326+L313</f>
        <v>1001.9100000000001</v>
      </c>
      <c r="AO327" s="55">
        <f>L312</f>
        <v>0.62000000000000011</v>
      </c>
      <c r="AQ327" t="s">
        <v>641</v>
      </c>
      <c r="AR327" s="55">
        <f>L310</f>
        <v>339.31</v>
      </c>
      <c r="AT327" s="55">
        <f>L313</f>
        <v>0.37</v>
      </c>
      <c r="AV327" t="s">
        <v>641</v>
      </c>
      <c r="AW327" s="55">
        <f>L318</f>
        <v>83.82</v>
      </c>
      <c r="AZ327">
        <f>Source!X256</f>
        <v>369.91</v>
      </c>
      <c r="BA327">
        <f>Source!Y256</f>
        <v>207.88</v>
      </c>
      <c r="CD327">
        <v>1</v>
      </c>
    </row>
    <row r="328" spans="1:83" ht="28.5" x14ac:dyDescent="0.2">
      <c r="A328" s="68" t="s">
        <v>229</v>
      </c>
      <c r="B328" s="61" t="str">
        <f>Source!F257</f>
        <v>19.2.03.07-0010</v>
      </c>
      <c r="C328" s="61" t="str">
        <f>Source!G257</f>
        <v>Решетка вентиляционная разъемная пластмассовая, размеры 200х300 мм</v>
      </c>
      <c r="D328" s="62" t="str">
        <f>Source!H257</f>
        <v>ШТ</v>
      </c>
      <c r="E328" s="63">
        <f>Source!K257</f>
        <v>4</v>
      </c>
      <c r="F328" s="63"/>
      <c r="G328" s="63">
        <f>Source!I257</f>
        <v>4</v>
      </c>
      <c r="H328" s="64">
        <f>Source!AL257</f>
        <v>93.15</v>
      </c>
      <c r="I328" s="65">
        <f>IF(Source!BC257&lt;&gt; 0, Source!BC257, 1)</f>
        <v>1.1000000000000001</v>
      </c>
      <c r="J328" s="64">
        <f>ROUND(H328*I328, 2)</f>
        <v>102.47</v>
      </c>
      <c r="K328" s="65"/>
      <c r="L328" s="64">
        <f>Source!P257</f>
        <v>409.88</v>
      </c>
    </row>
    <row r="329" spans="1:83" ht="15" x14ac:dyDescent="0.2">
      <c r="C329" s="90" t="s">
        <v>640</v>
      </c>
      <c r="D329" s="90"/>
      <c r="E329" s="90"/>
      <c r="F329" s="90"/>
      <c r="G329" s="90"/>
      <c r="H329" s="90"/>
      <c r="I329" s="91">
        <f>IF(E328&lt;&gt;0,K329/E328, 0)</f>
        <v>102.47</v>
      </c>
      <c r="J329" s="91"/>
      <c r="K329" s="91">
        <f>L328</f>
        <v>409.88</v>
      </c>
      <c r="L329" s="91"/>
      <c r="AD329">
        <f>ROUND((Source!AT257/100)*((ROUND(ROUND(Source!AO257,2)*Source!I257, 2)+ROUND(ROUND(Source!AN257,2)*Source!I257, 2))), 2)</f>
        <v>0</v>
      </c>
      <c r="AE329">
        <f>ROUND((Source!AU257/100)*((ROUND(ROUND(Source!AO257,2)*Source!I257, 2)+ROUND(ROUND(Source!AN257,2)*Source!I257, 2))), 2)</f>
        <v>0</v>
      </c>
      <c r="AN329" s="55">
        <f>L328</f>
        <v>409.88</v>
      </c>
      <c r="AO329">
        <f>0</f>
        <v>0</v>
      </c>
      <c r="AQ329" t="s">
        <v>641</v>
      </c>
      <c r="AR329">
        <f>0</f>
        <v>0</v>
      </c>
      <c r="AT329">
        <f>0</f>
        <v>0</v>
      </c>
      <c r="AV329" t="s">
        <v>641</v>
      </c>
      <c r="AW329" s="55">
        <f>L328</f>
        <v>409.88</v>
      </c>
      <c r="AZ329">
        <f>Source!X257</f>
        <v>0</v>
      </c>
      <c r="BA329">
        <f>Source!Y257</f>
        <v>0</v>
      </c>
      <c r="CD329">
        <v>1</v>
      </c>
    </row>
    <row r="330" spans="1:83" ht="42.75" x14ac:dyDescent="0.2">
      <c r="A330" s="58" t="s">
        <v>233</v>
      </c>
      <c r="B330" s="47" t="s">
        <v>678</v>
      </c>
      <c r="C330" s="47" t="str">
        <f>Source!G258</f>
        <v>Окраска масляными составами ранее окрашенных поверхностей труб: стальных за 2 раза</v>
      </c>
      <c r="D330" s="59" t="str">
        <f>Source!H258</f>
        <v>100 м2</v>
      </c>
      <c r="E330" s="49">
        <f>Source!K258</f>
        <v>1.44E-2</v>
      </c>
      <c r="F330" s="49"/>
      <c r="G330" s="49">
        <f>Source!I258</f>
        <v>1.44E-2</v>
      </c>
      <c r="H330" s="50"/>
      <c r="I330" s="60"/>
      <c r="J330" s="50"/>
      <c r="K330" s="60"/>
      <c r="L330" s="50"/>
    </row>
    <row r="331" spans="1:83" ht="15" x14ac:dyDescent="0.2">
      <c r="A331" s="46"/>
      <c r="B331" s="49">
        <v>1</v>
      </c>
      <c r="C331" s="46" t="s">
        <v>631</v>
      </c>
      <c r="D331" s="59" t="s">
        <v>383</v>
      </c>
      <c r="E331" s="56"/>
      <c r="F331" s="49"/>
      <c r="G331" s="49">
        <f>Source!U258</f>
        <v>1.06704</v>
      </c>
      <c r="H331" s="49"/>
      <c r="I331" s="49"/>
      <c r="J331" s="49"/>
      <c r="K331" s="49"/>
      <c r="L331" s="53">
        <f>SUM(L332:L332)-SUMIF(CE332:CE332, 1, L332:L332)</f>
        <v>301.36</v>
      </c>
    </row>
    <row r="332" spans="1:83" ht="14.25" x14ac:dyDescent="0.2">
      <c r="A332" s="47"/>
      <c r="B332" s="47" t="s">
        <v>510</v>
      </c>
      <c r="C332" s="47" t="s">
        <v>511</v>
      </c>
      <c r="D332" s="59" t="s">
        <v>383</v>
      </c>
      <c r="E332" s="49">
        <v>74.099999999999994</v>
      </c>
      <c r="F332" s="49"/>
      <c r="G332" s="49">
        <f>SmtRes!CX84</f>
        <v>1.06704</v>
      </c>
      <c r="H332" s="50"/>
      <c r="I332" s="60"/>
      <c r="J332" s="50">
        <f>SmtRes!CZ84</f>
        <v>282.43</v>
      </c>
      <c r="K332" s="60"/>
      <c r="L332" s="50">
        <f>SmtRes!DI84</f>
        <v>301.36</v>
      </c>
    </row>
    <row r="333" spans="1:83" ht="15" x14ac:dyDescent="0.2">
      <c r="A333" s="46"/>
      <c r="B333" s="49">
        <v>2</v>
      </c>
      <c r="C333" s="46" t="s">
        <v>632</v>
      </c>
      <c r="D333" s="59"/>
      <c r="E333" s="56"/>
      <c r="F333" s="49"/>
      <c r="G333" s="49"/>
      <c r="H333" s="49"/>
      <c r="I333" s="49"/>
      <c r="J333" s="49"/>
      <c r="K333" s="49"/>
      <c r="L333" s="53">
        <f>SUM(L334:L336)-SUMIF(CE334:CE336, 1, L334:L336)</f>
        <v>0.09</v>
      </c>
    </row>
    <row r="334" spans="1:83" ht="15" x14ac:dyDescent="0.2">
      <c r="A334" s="46"/>
      <c r="B334" s="49"/>
      <c r="C334" s="46" t="s">
        <v>634</v>
      </c>
      <c r="D334" s="59" t="s">
        <v>383</v>
      </c>
      <c r="E334" s="56"/>
      <c r="F334" s="49"/>
      <c r="G334" s="49">
        <f>Source!V258</f>
        <v>1.44E-4</v>
      </c>
      <c r="H334" s="49"/>
      <c r="I334" s="49"/>
      <c r="J334" s="49"/>
      <c r="K334" s="49"/>
      <c r="L334" s="53">
        <f>SUMIF(CE335:CE336, 1, L335:L336)</f>
        <v>0.05</v>
      </c>
      <c r="CE334">
        <v>1</v>
      </c>
    </row>
    <row r="335" spans="1:83" ht="28.5" x14ac:dyDescent="0.2">
      <c r="A335" s="47"/>
      <c r="B335" s="47" t="s">
        <v>409</v>
      </c>
      <c r="C335" s="47" t="s">
        <v>411</v>
      </c>
      <c r="D335" s="59" t="s">
        <v>389</v>
      </c>
      <c r="E335" s="49">
        <v>0.01</v>
      </c>
      <c r="F335" s="49"/>
      <c r="G335" s="49">
        <f>SmtRes!CX86</f>
        <v>1.44E-4</v>
      </c>
      <c r="H335" s="50"/>
      <c r="I335" s="60"/>
      <c r="J335" s="50">
        <f>SmtRes!CZ86</f>
        <v>611</v>
      </c>
      <c r="K335" s="60"/>
      <c r="L335" s="50">
        <f>SmtRes!DG86</f>
        <v>0.09</v>
      </c>
    </row>
    <row r="336" spans="1:83" ht="28.5" x14ac:dyDescent="0.2">
      <c r="A336" s="47"/>
      <c r="B336" s="47" t="s">
        <v>412</v>
      </c>
      <c r="C336" s="47" t="s">
        <v>653</v>
      </c>
      <c r="D336" s="59" t="s">
        <v>383</v>
      </c>
      <c r="E336" s="49">
        <f>SmtRes!DO86*SmtRes!AT86</f>
        <v>0.01</v>
      </c>
      <c r="F336" s="49"/>
      <c r="G336" s="49">
        <f>ROUND(E336*G330, 7)</f>
        <v>1.44E-4</v>
      </c>
      <c r="H336" s="50"/>
      <c r="I336" s="60"/>
      <c r="J336" s="50">
        <f>ROUND(SmtRes!AG86/SmtRes!DO86, 2)</f>
        <v>334.92</v>
      </c>
      <c r="K336" s="60"/>
      <c r="L336" s="50">
        <f>SmtRes!DH86</f>
        <v>0.05</v>
      </c>
      <c r="CE336">
        <v>1</v>
      </c>
    </row>
    <row r="337" spans="1:83" ht="15" x14ac:dyDescent="0.2">
      <c r="A337" s="46"/>
      <c r="B337" s="49">
        <v>4</v>
      </c>
      <c r="C337" s="46" t="s">
        <v>648</v>
      </c>
      <c r="D337" s="59"/>
      <c r="E337" s="56"/>
      <c r="F337" s="49"/>
      <c r="G337" s="49"/>
      <c r="H337" s="49"/>
      <c r="I337" s="49"/>
      <c r="J337" s="49"/>
      <c r="K337" s="49"/>
      <c r="L337" s="53">
        <f>SUM(L338:L339)-SUMIF(CE338:CE339, 1, L338:L339)</f>
        <v>9.85</v>
      </c>
    </row>
    <row r="338" spans="1:83" ht="14.25" x14ac:dyDescent="0.2">
      <c r="A338" s="47"/>
      <c r="B338" s="47" t="s">
        <v>413</v>
      </c>
      <c r="C338" s="47" t="s">
        <v>415</v>
      </c>
      <c r="D338" s="59" t="s">
        <v>217</v>
      </c>
      <c r="E338" s="49">
        <v>0.1</v>
      </c>
      <c r="F338" s="49"/>
      <c r="G338" s="49">
        <f>SmtRes!CX87</f>
        <v>1.4400000000000001E-3</v>
      </c>
      <c r="H338" s="50">
        <f>SmtRes!CZ87</f>
        <v>56.11</v>
      </c>
      <c r="I338" s="60">
        <f>SmtRes!AI87</f>
        <v>1.49</v>
      </c>
      <c r="J338" s="50">
        <f>ROUND(H338*I338, 2)</f>
        <v>83.6</v>
      </c>
      <c r="K338" s="60"/>
      <c r="L338" s="50">
        <f>SmtRes!DF87</f>
        <v>0.12</v>
      </c>
    </row>
    <row r="339" spans="1:83" ht="57" x14ac:dyDescent="0.2">
      <c r="A339" s="47"/>
      <c r="B339" s="47" t="s">
        <v>512</v>
      </c>
      <c r="C339" s="47" t="s">
        <v>514</v>
      </c>
      <c r="D339" s="59" t="s">
        <v>149</v>
      </c>
      <c r="E339" s="49">
        <v>8.8999999999999999E-3</v>
      </c>
      <c r="F339" s="49"/>
      <c r="G339" s="49">
        <f>SmtRes!CX88</f>
        <v>1.282E-4</v>
      </c>
      <c r="H339" s="50">
        <f>SmtRes!CZ88</f>
        <v>60697.21</v>
      </c>
      <c r="I339" s="60">
        <f>SmtRes!AI88</f>
        <v>1.25</v>
      </c>
      <c r="J339" s="50">
        <f>ROUND(H339*I339, 2)</f>
        <v>75871.509999999995</v>
      </c>
      <c r="K339" s="60"/>
      <c r="L339" s="50">
        <f>SmtRes!DF88</f>
        <v>9.73</v>
      </c>
    </row>
    <row r="340" spans="1:83" ht="28.5" x14ac:dyDescent="0.2">
      <c r="A340" s="47"/>
      <c r="B340" s="47" t="str">
        <f>EtalonRes!I105</f>
        <v>14.4.02.04</v>
      </c>
      <c r="C340" s="61" t="str">
        <f>EtalonRes!K105</f>
        <v>Краски для внутренних работ масляные готовые к применению</v>
      </c>
      <c r="D340" s="62" t="str">
        <f>EtalonRes!O105</f>
        <v>т</v>
      </c>
      <c r="E340" s="63">
        <f>EtalonRes!X105</f>
        <v>1.61E-2</v>
      </c>
      <c r="F340" s="63"/>
      <c r="G340" s="63">
        <f>ROUND(EtalonRes!AG105*Source!I258, 7)</f>
        <v>2.318E-4</v>
      </c>
      <c r="H340" s="64"/>
      <c r="I340" s="65"/>
      <c r="J340" s="64"/>
      <c r="K340" s="65"/>
      <c r="L340" s="64"/>
    </row>
    <row r="341" spans="1:83" ht="15" x14ac:dyDescent="0.2">
      <c r="A341" s="47"/>
      <c r="B341" s="47"/>
      <c r="C341" s="66" t="s">
        <v>635</v>
      </c>
      <c r="D341" s="59"/>
      <c r="E341" s="49"/>
      <c r="F341" s="49"/>
      <c r="G341" s="49"/>
      <c r="H341" s="50"/>
      <c r="I341" s="60"/>
      <c r="J341" s="50"/>
      <c r="K341" s="60"/>
      <c r="L341" s="50">
        <f>L331+L333+L334+L337</f>
        <v>311.35000000000002</v>
      </c>
    </row>
    <row r="342" spans="1:83" ht="14.25" x14ac:dyDescent="0.2">
      <c r="A342" s="47"/>
      <c r="B342" s="47"/>
      <c r="C342" s="47" t="s">
        <v>636</v>
      </c>
      <c r="D342" s="59"/>
      <c r="E342" s="49"/>
      <c r="F342" s="49"/>
      <c r="G342" s="49"/>
      <c r="H342" s="50"/>
      <c r="I342" s="60"/>
      <c r="J342" s="50"/>
      <c r="K342" s="60"/>
      <c r="L342" s="50">
        <f>SUM(AR330:AR345)+SUM(AS330:AS345)+SUM(AT330:AT345)+SUM(AU330:AU345)+SUM(AV330:AV345)</f>
        <v>301.41000000000003</v>
      </c>
    </row>
    <row r="343" spans="1:83" ht="14.25" x14ac:dyDescent="0.2">
      <c r="A343" s="47"/>
      <c r="B343" s="47" t="s">
        <v>239</v>
      </c>
      <c r="C343" s="47" t="s">
        <v>679</v>
      </c>
      <c r="D343" s="59" t="s">
        <v>638</v>
      </c>
      <c r="E343" s="49">
        <f>Source!BZ258</f>
        <v>90</v>
      </c>
      <c r="F343" s="49"/>
      <c r="G343" s="49">
        <f>Source!AT258</f>
        <v>90</v>
      </c>
      <c r="H343" s="50"/>
      <c r="I343" s="60"/>
      <c r="J343" s="50"/>
      <c r="K343" s="60"/>
      <c r="L343" s="50">
        <f>SUM(AZ330:AZ345)</f>
        <v>271.27</v>
      </c>
    </row>
    <row r="344" spans="1:83" ht="14.25" x14ac:dyDescent="0.2">
      <c r="A344" s="61"/>
      <c r="B344" s="61" t="s">
        <v>240</v>
      </c>
      <c r="C344" s="61" t="s">
        <v>680</v>
      </c>
      <c r="D344" s="62" t="s">
        <v>638</v>
      </c>
      <c r="E344" s="63">
        <f>Source!CA258</f>
        <v>46</v>
      </c>
      <c r="F344" s="63"/>
      <c r="G344" s="63">
        <f>Source!AU258</f>
        <v>46</v>
      </c>
      <c r="H344" s="64"/>
      <c r="I344" s="65"/>
      <c r="J344" s="64"/>
      <c r="K344" s="65"/>
      <c r="L344" s="64">
        <f>SUM(BA330:BA345)</f>
        <v>138.65</v>
      </c>
    </row>
    <row r="345" spans="1:83" ht="15" x14ac:dyDescent="0.2">
      <c r="C345" s="90" t="s">
        <v>640</v>
      </c>
      <c r="D345" s="90"/>
      <c r="E345" s="90"/>
      <c r="F345" s="90"/>
      <c r="G345" s="90"/>
      <c r="H345" s="90"/>
      <c r="I345" s="91">
        <f>IF(E330&lt;&gt;0,K345/E330, 0)</f>
        <v>50088.194444444438</v>
      </c>
      <c r="J345" s="91"/>
      <c r="K345" s="91">
        <f>L331+L333+L337+L343+L344+L334</f>
        <v>721.26999999999987</v>
      </c>
      <c r="L345" s="91"/>
      <c r="AD345">
        <f>ROUND((Source!AT258/100)*((ROUND(SUMIF(SmtRes!AQ84:'SmtRes'!AQ88,"=1",SmtRes!AD84:'SmtRes'!AD88)*Source!I258, 2)+ROUND(SUMIF(SmtRes!AQ84:'SmtRes'!AQ88,"=1",SmtRes!AC84:'SmtRes'!AC88)*Source!I258, 2))), 2)</f>
        <v>8</v>
      </c>
      <c r="AE345">
        <f>ROUND((Source!AU258/100)*((ROUND(SUMIF(SmtRes!AQ84:'SmtRes'!AQ88,"=1",SmtRes!AD84:'SmtRes'!AD88)*Source!I258, 2)+ROUND(SUMIF(SmtRes!AQ84:'SmtRes'!AQ88,"=1",SmtRes!AC84:'SmtRes'!AC88)*Source!I258, 2))), 2)</f>
        <v>4.09</v>
      </c>
      <c r="AN345" s="55">
        <f>L331+L333+L337+L343+L344+L334</f>
        <v>721.26999999999987</v>
      </c>
      <c r="AO345" s="55">
        <f>L333</f>
        <v>0.09</v>
      </c>
      <c r="AQ345" t="s">
        <v>641</v>
      </c>
      <c r="AR345" s="55">
        <f>L331</f>
        <v>301.36</v>
      </c>
      <c r="AT345" s="55">
        <f>L334</f>
        <v>0.05</v>
      </c>
      <c r="AV345" t="s">
        <v>641</v>
      </c>
      <c r="AW345" s="55">
        <f>L337</f>
        <v>9.85</v>
      </c>
      <c r="AZ345">
        <f>Source!X258</f>
        <v>271.27</v>
      </c>
      <c r="BA345">
        <f>Source!Y258</f>
        <v>138.65</v>
      </c>
      <c r="CD345">
        <v>1</v>
      </c>
    </row>
    <row r="346" spans="1:83" ht="14.25" x14ac:dyDescent="0.2">
      <c r="A346" s="68" t="s">
        <v>241</v>
      </c>
      <c r="B346" s="61" t="str">
        <f>Source!F259</f>
        <v>14.4.02.04-0232</v>
      </c>
      <c r="C346" s="61" t="str">
        <f>Source!G259</f>
        <v>Краска масляная МА-22, цветная</v>
      </c>
      <c r="D346" s="62" t="str">
        <f>Source!H259</f>
        <v>т</v>
      </c>
      <c r="E346" s="63">
        <f>Source!K259</f>
        <v>2.0000000000000001E-4</v>
      </c>
      <c r="F346" s="63"/>
      <c r="G346" s="63">
        <f>Source!I259</f>
        <v>2.0000000000000001E-4</v>
      </c>
      <c r="H346" s="64">
        <f>Source!AL259</f>
        <v>69026.02</v>
      </c>
      <c r="I346" s="65">
        <f>IF(Source!BC259&lt;&gt; 0, Source!BC259, 1)</f>
        <v>1.43</v>
      </c>
      <c r="J346" s="64">
        <f>ROUND(H346*I346, 2)</f>
        <v>98707.21</v>
      </c>
      <c r="K346" s="65"/>
      <c r="L346" s="64">
        <f>Source!P259</f>
        <v>19.739999999999998</v>
      </c>
    </row>
    <row r="347" spans="1:83" ht="15" x14ac:dyDescent="0.2">
      <c r="C347" s="90" t="s">
        <v>640</v>
      </c>
      <c r="D347" s="90"/>
      <c r="E347" s="90"/>
      <c r="F347" s="90"/>
      <c r="G347" s="90"/>
      <c r="H347" s="90"/>
      <c r="I347" s="91">
        <f>IF(E346&lt;&gt;0,K347/E346, 0)</f>
        <v>98699.999999999985</v>
      </c>
      <c r="J347" s="91"/>
      <c r="K347" s="91">
        <f>L346</f>
        <v>19.739999999999998</v>
      </c>
      <c r="L347" s="91"/>
      <c r="AD347">
        <f>ROUND((Source!AT259/100)*((ROUND(ROUND(Source!AO259,2)*Source!I259, 2)+ROUND(ROUND(Source!AN259,2)*Source!I259, 2))), 2)</f>
        <v>0</v>
      </c>
      <c r="AE347">
        <f>ROUND((Source!AU259/100)*((ROUND(ROUND(Source!AO259,2)*Source!I259, 2)+ROUND(ROUND(Source!AN259,2)*Source!I259, 2))), 2)</f>
        <v>0</v>
      </c>
      <c r="AN347" s="55">
        <f>L346</f>
        <v>19.739999999999998</v>
      </c>
      <c r="AO347">
        <f>0</f>
        <v>0</v>
      </c>
      <c r="AQ347" t="s">
        <v>641</v>
      </c>
      <c r="AR347">
        <f>0</f>
        <v>0</v>
      </c>
      <c r="AT347">
        <f>0</f>
        <v>0</v>
      </c>
      <c r="AV347" t="s">
        <v>641</v>
      </c>
      <c r="AW347" s="55">
        <f>L346</f>
        <v>19.739999999999998</v>
      </c>
      <c r="AZ347">
        <f>Source!X259</f>
        <v>0</v>
      </c>
      <c r="BA347">
        <f>Source!Y259</f>
        <v>0</v>
      </c>
      <c r="CD347">
        <v>1</v>
      </c>
    </row>
    <row r="348" spans="1:83" ht="42.75" x14ac:dyDescent="0.2">
      <c r="A348" s="58" t="s">
        <v>245</v>
      </c>
      <c r="B348" s="47" t="s">
        <v>681</v>
      </c>
      <c r="C348" s="47" t="str">
        <f>Source!G260</f>
        <v>Окраска масляными составами ранее окрашенных поверхностей радиаторов и ребристых труб отопления: за 2 раза</v>
      </c>
      <c r="D348" s="59" t="str">
        <f>Source!H260</f>
        <v>100 м2</v>
      </c>
      <c r="E348" s="49">
        <f>Source!K260</f>
        <v>0.02</v>
      </c>
      <c r="F348" s="49"/>
      <c r="G348" s="49">
        <f>Source!I260</f>
        <v>0.02</v>
      </c>
      <c r="H348" s="50"/>
      <c r="I348" s="60"/>
      <c r="J348" s="50"/>
      <c r="K348" s="60"/>
      <c r="L348" s="50"/>
    </row>
    <row r="349" spans="1:83" ht="15" x14ac:dyDescent="0.2">
      <c r="A349" s="46"/>
      <c r="B349" s="49">
        <v>1</v>
      </c>
      <c r="C349" s="46" t="s">
        <v>631</v>
      </c>
      <c r="D349" s="59" t="s">
        <v>383</v>
      </c>
      <c r="E349" s="56"/>
      <c r="F349" s="49"/>
      <c r="G349" s="49">
        <f>Source!U260</f>
        <v>1.268</v>
      </c>
      <c r="H349" s="49"/>
      <c r="I349" s="49"/>
      <c r="J349" s="49"/>
      <c r="K349" s="49"/>
      <c r="L349" s="53">
        <f>SUM(L350:L350)-SUMIF(CE350:CE350, 1, L350:L350)</f>
        <v>386.65</v>
      </c>
    </row>
    <row r="350" spans="1:83" ht="14.25" x14ac:dyDescent="0.2">
      <c r="A350" s="47"/>
      <c r="B350" s="47" t="s">
        <v>495</v>
      </c>
      <c r="C350" s="47" t="s">
        <v>496</v>
      </c>
      <c r="D350" s="59" t="s">
        <v>383</v>
      </c>
      <c r="E350" s="49">
        <v>63.4</v>
      </c>
      <c r="F350" s="49"/>
      <c r="G350" s="49">
        <f>SmtRes!CX89</f>
        <v>1.268</v>
      </c>
      <c r="H350" s="50"/>
      <c r="I350" s="60"/>
      <c r="J350" s="50">
        <f>SmtRes!CZ89</f>
        <v>304.93</v>
      </c>
      <c r="K350" s="60"/>
      <c r="L350" s="50">
        <f>SmtRes!DI89</f>
        <v>386.65</v>
      </c>
    </row>
    <row r="351" spans="1:83" ht="15" x14ac:dyDescent="0.2">
      <c r="A351" s="46"/>
      <c r="B351" s="49">
        <v>2</v>
      </c>
      <c r="C351" s="46" t="s">
        <v>632</v>
      </c>
      <c r="D351" s="59"/>
      <c r="E351" s="56"/>
      <c r="F351" s="49"/>
      <c r="G351" s="49"/>
      <c r="H351" s="49"/>
      <c r="I351" s="49"/>
      <c r="J351" s="49"/>
      <c r="K351" s="49"/>
      <c r="L351" s="53">
        <f>SUM(L352:L354)-SUMIF(CE352:CE354, 1, L352:L354)</f>
        <v>0.12</v>
      </c>
    </row>
    <row r="352" spans="1:83" ht="15" x14ac:dyDescent="0.2">
      <c r="A352" s="46"/>
      <c r="B352" s="49"/>
      <c r="C352" s="46" t="s">
        <v>634</v>
      </c>
      <c r="D352" s="59" t="s">
        <v>383</v>
      </c>
      <c r="E352" s="56"/>
      <c r="F352" s="49"/>
      <c r="G352" s="49">
        <f>Source!V260</f>
        <v>2.0000000000000001E-4</v>
      </c>
      <c r="H352" s="49"/>
      <c r="I352" s="49"/>
      <c r="J352" s="49"/>
      <c r="K352" s="49"/>
      <c r="L352" s="53">
        <f>SUMIF(CE353:CE354, 1, L353:L354)</f>
        <v>7.0000000000000007E-2</v>
      </c>
      <c r="CE352">
        <v>1</v>
      </c>
    </row>
    <row r="353" spans="1:83" ht="28.5" x14ac:dyDescent="0.2">
      <c r="A353" s="47"/>
      <c r="B353" s="47" t="s">
        <v>409</v>
      </c>
      <c r="C353" s="47" t="s">
        <v>411</v>
      </c>
      <c r="D353" s="59" t="s">
        <v>389</v>
      </c>
      <c r="E353" s="49">
        <v>0.01</v>
      </c>
      <c r="F353" s="49"/>
      <c r="G353" s="49">
        <f>SmtRes!CX91</f>
        <v>2.0000000000000001E-4</v>
      </c>
      <c r="H353" s="50"/>
      <c r="I353" s="60"/>
      <c r="J353" s="50">
        <f>SmtRes!CZ91</f>
        <v>611</v>
      </c>
      <c r="K353" s="60"/>
      <c r="L353" s="50">
        <f>SmtRes!DG91</f>
        <v>0.12</v>
      </c>
    </row>
    <row r="354" spans="1:83" ht="28.5" x14ac:dyDescent="0.2">
      <c r="A354" s="47"/>
      <c r="B354" s="47" t="s">
        <v>412</v>
      </c>
      <c r="C354" s="47" t="s">
        <v>653</v>
      </c>
      <c r="D354" s="59" t="s">
        <v>383</v>
      </c>
      <c r="E354" s="49">
        <f>SmtRes!DO91*SmtRes!AT91</f>
        <v>0.01</v>
      </c>
      <c r="F354" s="49"/>
      <c r="G354" s="49">
        <f>ROUND(E354*G348, 7)</f>
        <v>2.0000000000000001E-4</v>
      </c>
      <c r="H354" s="50"/>
      <c r="I354" s="60"/>
      <c r="J354" s="50">
        <f>ROUND(SmtRes!AG91/SmtRes!DO91, 2)</f>
        <v>334.92</v>
      </c>
      <c r="K354" s="60"/>
      <c r="L354" s="50">
        <f>SmtRes!DH91</f>
        <v>7.0000000000000007E-2</v>
      </c>
      <c r="CE354">
        <v>1</v>
      </c>
    </row>
    <row r="355" spans="1:83" ht="15" x14ac:dyDescent="0.2">
      <c r="A355" s="46"/>
      <c r="B355" s="49">
        <v>4</v>
      </c>
      <c r="C355" s="46" t="s">
        <v>648</v>
      </c>
      <c r="D355" s="59"/>
      <c r="E355" s="56"/>
      <c r="F355" s="49"/>
      <c r="G355" s="49"/>
      <c r="H355" s="49"/>
      <c r="I355" s="49"/>
      <c r="J355" s="49"/>
      <c r="K355" s="49"/>
      <c r="L355" s="53">
        <f>SUM(L356:L357)-SUMIF(CE356:CE357, 1, L356:L357)</f>
        <v>13.22</v>
      </c>
    </row>
    <row r="356" spans="1:83" ht="14.25" x14ac:dyDescent="0.2">
      <c r="A356" s="47"/>
      <c r="B356" s="47" t="s">
        <v>413</v>
      </c>
      <c r="C356" s="47" t="s">
        <v>415</v>
      </c>
      <c r="D356" s="59" t="s">
        <v>217</v>
      </c>
      <c r="E356" s="49">
        <v>0.1</v>
      </c>
      <c r="F356" s="49"/>
      <c r="G356" s="49">
        <f>SmtRes!CX92</f>
        <v>2E-3</v>
      </c>
      <c r="H356" s="50">
        <f>SmtRes!CZ92</f>
        <v>56.11</v>
      </c>
      <c r="I356" s="60">
        <f>SmtRes!AI92</f>
        <v>1.49</v>
      </c>
      <c r="J356" s="50">
        <f>ROUND(H356*I356, 2)</f>
        <v>83.6</v>
      </c>
      <c r="K356" s="60"/>
      <c r="L356" s="50">
        <f>SmtRes!DF92</f>
        <v>0.17</v>
      </c>
    </row>
    <row r="357" spans="1:83" ht="57" x14ac:dyDescent="0.2">
      <c r="A357" s="47"/>
      <c r="B357" s="47" t="s">
        <v>512</v>
      </c>
      <c r="C357" s="47" t="s">
        <v>514</v>
      </c>
      <c r="D357" s="59" t="s">
        <v>149</v>
      </c>
      <c r="E357" s="49">
        <v>8.6E-3</v>
      </c>
      <c r="F357" s="49"/>
      <c r="G357" s="49">
        <f>SmtRes!CX93</f>
        <v>1.7200000000000001E-4</v>
      </c>
      <c r="H357" s="50">
        <f>SmtRes!CZ93</f>
        <v>60697.21</v>
      </c>
      <c r="I357" s="60">
        <f>SmtRes!AI93</f>
        <v>1.25</v>
      </c>
      <c r="J357" s="50">
        <f>ROUND(H357*I357, 2)</f>
        <v>75871.509999999995</v>
      </c>
      <c r="K357" s="60"/>
      <c r="L357" s="50">
        <f>SmtRes!DF93</f>
        <v>13.05</v>
      </c>
    </row>
    <row r="358" spans="1:83" ht="28.5" x14ac:dyDescent="0.2">
      <c r="A358" s="47"/>
      <c r="B358" s="47" t="str">
        <f>EtalonRes!I111</f>
        <v>14.4.02.04</v>
      </c>
      <c r="C358" s="61" t="str">
        <f>EtalonRes!K111</f>
        <v>Краски для внутренних работ масляные готовые к применению</v>
      </c>
      <c r="D358" s="62" t="str">
        <f>EtalonRes!O111</f>
        <v>т</v>
      </c>
      <c r="E358" s="63">
        <f>EtalonRes!X111</f>
        <v>1.61E-2</v>
      </c>
      <c r="F358" s="63"/>
      <c r="G358" s="63">
        <f>ROUND(EtalonRes!AG111*Source!I260, 7)</f>
        <v>3.2200000000000002E-4</v>
      </c>
      <c r="H358" s="64"/>
      <c r="I358" s="65"/>
      <c r="J358" s="64"/>
      <c r="K358" s="65"/>
      <c r="L358" s="64"/>
    </row>
    <row r="359" spans="1:83" ht="15" x14ac:dyDescent="0.2">
      <c r="A359" s="47"/>
      <c r="B359" s="47"/>
      <c r="C359" s="66" t="s">
        <v>635</v>
      </c>
      <c r="D359" s="59"/>
      <c r="E359" s="49"/>
      <c r="F359" s="49"/>
      <c r="G359" s="49"/>
      <c r="H359" s="50"/>
      <c r="I359" s="60"/>
      <c r="J359" s="50"/>
      <c r="K359" s="60"/>
      <c r="L359" s="50">
        <f>L349+L351+L352+L355</f>
        <v>400.06</v>
      </c>
    </row>
    <row r="360" spans="1:83" ht="14.25" x14ac:dyDescent="0.2">
      <c r="A360" s="47"/>
      <c r="B360" s="47"/>
      <c r="C360" s="47" t="s">
        <v>636</v>
      </c>
      <c r="D360" s="59"/>
      <c r="E360" s="49"/>
      <c r="F360" s="49"/>
      <c r="G360" s="49"/>
      <c r="H360" s="50"/>
      <c r="I360" s="60"/>
      <c r="J360" s="50"/>
      <c r="K360" s="60"/>
      <c r="L360" s="50">
        <f>SUM(AR348:AR363)+SUM(AS348:AS363)+SUM(AT348:AT363)+SUM(AU348:AU363)+SUM(AV348:AV363)</f>
        <v>386.71999999999997</v>
      </c>
    </row>
    <row r="361" spans="1:83" ht="14.25" x14ac:dyDescent="0.2">
      <c r="A361" s="47"/>
      <c r="B361" s="47" t="s">
        <v>239</v>
      </c>
      <c r="C361" s="47" t="s">
        <v>679</v>
      </c>
      <c r="D361" s="59" t="s">
        <v>638</v>
      </c>
      <c r="E361" s="49">
        <f>Source!BZ260</f>
        <v>90</v>
      </c>
      <c r="F361" s="49"/>
      <c r="G361" s="49">
        <f>Source!AT260</f>
        <v>90</v>
      </c>
      <c r="H361" s="50"/>
      <c r="I361" s="60"/>
      <c r="J361" s="50"/>
      <c r="K361" s="60"/>
      <c r="L361" s="50">
        <f>SUM(AZ348:AZ363)</f>
        <v>348.05</v>
      </c>
    </row>
    <row r="362" spans="1:83" ht="14.25" x14ac:dyDescent="0.2">
      <c r="A362" s="61"/>
      <c r="B362" s="61" t="s">
        <v>240</v>
      </c>
      <c r="C362" s="61" t="s">
        <v>680</v>
      </c>
      <c r="D362" s="62" t="s">
        <v>638</v>
      </c>
      <c r="E362" s="63">
        <f>Source!CA260</f>
        <v>46</v>
      </c>
      <c r="F362" s="63"/>
      <c r="G362" s="63">
        <f>Source!AU260</f>
        <v>46</v>
      </c>
      <c r="H362" s="64"/>
      <c r="I362" s="65"/>
      <c r="J362" s="64"/>
      <c r="K362" s="65"/>
      <c r="L362" s="64">
        <f>SUM(BA348:BA363)</f>
        <v>177.89</v>
      </c>
    </row>
    <row r="363" spans="1:83" ht="15" x14ac:dyDescent="0.2">
      <c r="C363" s="90" t="s">
        <v>640</v>
      </c>
      <c r="D363" s="90"/>
      <c r="E363" s="90"/>
      <c r="F363" s="90"/>
      <c r="G363" s="90"/>
      <c r="H363" s="90"/>
      <c r="I363" s="91">
        <f>IF(E348&lt;&gt;0,K363/E348, 0)</f>
        <v>46300</v>
      </c>
      <c r="J363" s="91"/>
      <c r="K363" s="91">
        <f>L349+L351+L355+L361+L362+L352</f>
        <v>926</v>
      </c>
      <c r="L363" s="91"/>
      <c r="AD363">
        <f>ROUND((Source!AT260/100)*((ROUND(SUMIF(SmtRes!AQ89:'SmtRes'!AQ93,"=1",SmtRes!AD89:'SmtRes'!AD93)*Source!I260, 2)+ROUND(SUMIF(SmtRes!AQ89:'SmtRes'!AQ93,"=1",SmtRes!AC89:'SmtRes'!AC93)*Source!I260, 2))), 2)</f>
        <v>11.52</v>
      </c>
      <c r="AE363">
        <f>ROUND((Source!AU260/100)*((ROUND(SUMIF(SmtRes!AQ89:'SmtRes'!AQ93,"=1",SmtRes!AD89:'SmtRes'!AD93)*Source!I260, 2)+ROUND(SUMIF(SmtRes!AQ89:'SmtRes'!AQ93,"=1",SmtRes!AC89:'SmtRes'!AC93)*Source!I260, 2))), 2)</f>
        <v>5.89</v>
      </c>
      <c r="AN363" s="55">
        <f>L349+L351+L355+L361+L362+L352</f>
        <v>926</v>
      </c>
      <c r="AO363" s="55">
        <f>L351</f>
        <v>0.12</v>
      </c>
      <c r="AQ363" t="s">
        <v>641</v>
      </c>
      <c r="AR363" s="55">
        <f>L349</f>
        <v>386.65</v>
      </c>
      <c r="AT363" s="55">
        <f>L352</f>
        <v>7.0000000000000007E-2</v>
      </c>
      <c r="AV363" t="s">
        <v>641</v>
      </c>
      <c r="AW363" s="55">
        <f>L355</f>
        <v>13.22</v>
      </c>
      <c r="AZ363">
        <f>Source!X260</f>
        <v>348.05</v>
      </c>
      <c r="BA363">
        <f>Source!Y260</f>
        <v>177.89</v>
      </c>
      <c r="CD363">
        <v>1</v>
      </c>
    </row>
    <row r="364" spans="1:83" ht="14.25" x14ac:dyDescent="0.2">
      <c r="A364" s="68" t="s">
        <v>249</v>
      </c>
      <c r="B364" s="61" t="str">
        <f>Source!F261</f>
        <v>14.4.02.04-0232</v>
      </c>
      <c r="C364" s="61" t="str">
        <f>Source!G261</f>
        <v>Краска масляная МА-22, цветная</v>
      </c>
      <c r="D364" s="62" t="str">
        <f>Source!H261</f>
        <v>т</v>
      </c>
      <c r="E364" s="63">
        <f>Source!K261</f>
        <v>3.2200000000000002E-4</v>
      </c>
      <c r="F364" s="63"/>
      <c r="G364" s="63">
        <f>Source!I261</f>
        <v>3.2200000000000002E-4</v>
      </c>
      <c r="H364" s="64">
        <f>Source!AL261</f>
        <v>69026.02</v>
      </c>
      <c r="I364" s="65">
        <f>IF(Source!BC261&lt;&gt; 0, Source!BC261, 1)</f>
        <v>1.43</v>
      </c>
      <c r="J364" s="64">
        <f>ROUND(H364*I364, 2)</f>
        <v>98707.21</v>
      </c>
      <c r="K364" s="65"/>
      <c r="L364" s="64">
        <f>Source!P261</f>
        <v>31.78</v>
      </c>
    </row>
    <row r="365" spans="1:83" ht="15" x14ac:dyDescent="0.2">
      <c r="C365" s="90" t="s">
        <v>640</v>
      </c>
      <c r="D365" s="90"/>
      <c r="E365" s="90"/>
      <c r="F365" s="90"/>
      <c r="G365" s="90"/>
      <c r="H365" s="90"/>
      <c r="I365" s="91">
        <f>IF(E364&lt;&gt;0,K365/E364, 0)</f>
        <v>98695.65217391304</v>
      </c>
      <c r="J365" s="91"/>
      <c r="K365" s="91">
        <f>L364</f>
        <v>31.78</v>
      </c>
      <c r="L365" s="91"/>
      <c r="AD365">
        <f>ROUND((Source!AT261/100)*((ROUND(ROUND(Source!AO261,2)*Source!I261, 2)+ROUND(ROUND(Source!AN261,2)*Source!I261, 2))), 2)</f>
        <v>0</v>
      </c>
      <c r="AE365">
        <f>ROUND((Source!AU261/100)*((ROUND(ROUND(Source!AO261,2)*Source!I261, 2)+ROUND(ROUND(Source!AN261,2)*Source!I261, 2))), 2)</f>
        <v>0</v>
      </c>
      <c r="AN365" s="55">
        <f>L364</f>
        <v>31.78</v>
      </c>
      <c r="AO365">
        <f>0</f>
        <v>0</v>
      </c>
      <c r="AQ365" t="s">
        <v>641</v>
      </c>
      <c r="AR365">
        <f>0</f>
        <v>0</v>
      </c>
      <c r="AT365">
        <f>0</f>
        <v>0</v>
      </c>
      <c r="AV365" t="s">
        <v>641</v>
      </c>
      <c r="AW365" s="55">
        <f>L364</f>
        <v>31.78</v>
      </c>
      <c r="AZ365">
        <f>Source!X261</f>
        <v>0</v>
      </c>
      <c r="BA365">
        <f>Source!Y261</f>
        <v>0</v>
      </c>
      <c r="CD365">
        <v>1</v>
      </c>
    </row>
    <row r="366" spans="1:83" ht="14.25" x14ac:dyDescent="0.2">
      <c r="C366" s="57" t="str">
        <f>Source!G262</f>
        <v>Потолок</v>
      </c>
    </row>
    <row r="367" spans="1:83" ht="105" x14ac:dyDescent="0.2">
      <c r="A367" s="58" t="s">
        <v>251</v>
      </c>
      <c r="B367" s="47" t="s">
        <v>682</v>
      </c>
      <c r="C367" s="47" t="s">
        <v>683</v>
      </c>
      <c r="D367" s="59" t="str">
        <f>Source!H263</f>
        <v>100 м2</v>
      </c>
      <c r="E367" s="49">
        <f>Source!K263</f>
        <v>0.31</v>
      </c>
      <c r="F367" s="49"/>
      <c r="G367" s="49">
        <f>Source!I263</f>
        <v>0.31</v>
      </c>
      <c r="H367" s="50"/>
      <c r="I367" s="60"/>
      <c r="J367" s="50"/>
      <c r="K367" s="60"/>
      <c r="L367" s="50"/>
    </row>
    <row r="368" spans="1:83" ht="76.5" x14ac:dyDescent="0.2">
      <c r="B368" s="67" t="str">
        <f>CONCATENATE("Поправка: ", Source!EO263)</f>
        <v>Поправка: Попр.421/пр_2020_п.58_пп.б</v>
      </c>
      <c r="C368" s="67" t="str">
        <f>Source!CN263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369" spans="1:83" ht="15" x14ac:dyDescent="0.2">
      <c r="A369" s="46"/>
      <c r="B369" s="49">
        <v>1</v>
      </c>
      <c r="C369" s="46" t="s">
        <v>631</v>
      </c>
      <c r="D369" s="59" t="s">
        <v>383</v>
      </c>
      <c r="E369" s="56"/>
      <c r="F369" s="49"/>
      <c r="G369" s="49">
        <f>Source!U263</f>
        <v>36.526989999999998</v>
      </c>
      <c r="H369" s="49"/>
      <c r="I369" s="49"/>
      <c r="J369" s="49"/>
      <c r="K369" s="49"/>
      <c r="L369" s="53">
        <f>SUM(L370:L370)-SUMIF(CE370:CE370, 1, L370:L370)</f>
        <v>11959.67</v>
      </c>
    </row>
    <row r="370" spans="1:83" ht="14.25" x14ac:dyDescent="0.2">
      <c r="A370" s="47"/>
      <c r="B370" s="47" t="s">
        <v>440</v>
      </c>
      <c r="C370" s="47" t="s">
        <v>441</v>
      </c>
      <c r="D370" s="59" t="s">
        <v>383</v>
      </c>
      <c r="E370" s="49">
        <v>102.46</v>
      </c>
      <c r="F370" s="49">
        <f>ROUND(1.15,7)</f>
        <v>1.1499999999999999</v>
      </c>
      <c r="G370" s="49">
        <f>SmtRes!CX94</f>
        <v>36.526989999999998</v>
      </c>
      <c r="H370" s="50"/>
      <c r="I370" s="60"/>
      <c r="J370" s="50">
        <f>SmtRes!CZ94</f>
        <v>327.42</v>
      </c>
      <c r="K370" s="60"/>
      <c r="L370" s="50">
        <f>SmtRes!DI94</f>
        <v>11959.67</v>
      </c>
    </row>
    <row r="371" spans="1:83" ht="15" x14ac:dyDescent="0.2">
      <c r="A371" s="46"/>
      <c r="B371" s="49">
        <v>2</v>
      </c>
      <c r="C371" s="46" t="s">
        <v>632</v>
      </c>
      <c r="D371" s="59"/>
      <c r="E371" s="56"/>
      <c r="F371" s="49"/>
      <c r="G371" s="49"/>
      <c r="H371" s="49"/>
      <c r="I371" s="49"/>
      <c r="J371" s="49"/>
      <c r="K371" s="49"/>
      <c r="L371" s="53">
        <f>SUM(L372:L376)-SUMIF(CE372:CE376, 1, L372:L376)</f>
        <v>1100.6399999999999</v>
      </c>
    </row>
    <row r="372" spans="1:83" ht="15" x14ac:dyDescent="0.2">
      <c r="A372" s="46"/>
      <c r="B372" s="49"/>
      <c r="C372" s="46" t="s">
        <v>634</v>
      </c>
      <c r="D372" s="59" t="s">
        <v>383</v>
      </c>
      <c r="E372" s="56"/>
      <c r="F372" s="49"/>
      <c r="G372" s="49">
        <f>Source!V263</f>
        <v>2.0692500000000003</v>
      </c>
      <c r="H372" s="49"/>
      <c r="I372" s="49"/>
      <c r="J372" s="49"/>
      <c r="K372" s="49"/>
      <c r="L372" s="53">
        <f>SUMIF(CE373:CE376, 1, L373:L376)</f>
        <v>681.99</v>
      </c>
      <c r="CE372">
        <v>1</v>
      </c>
    </row>
    <row r="373" spans="1:83" ht="42.75" x14ac:dyDescent="0.2">
      <c r="A373" s="47"/>
      <c r="B373" s="47" t="s">
        <v>386</v>
      </c>
      <c r="C373" s="47" t="s">
        <v>388</v>
      </c>
      <c r="D373" s="59" t="s">
        <v>389</v>
      </c>
      <c r="E373" s="49">
        <v>0.76</v>
      </c>
      <c r="F373" s="49">
        <f>ROUND(1.25,7)</f>
        <v>1.25</v>
      </c>
      <c r="G373" s="49">
        <f>SmtRes!CX96</f>
        <v>0.29449999999999998</v>
      </c>
      <c r="H373" s="50">
        <f>SmtRes!CZ96</f>
        <v>37.32</v>
      </c>
      <c r="I373" s="60">
        <f>SmtRes!AJ96</f>
        <v>1.48</v>
      </c>
      <c r="J373" s="50">
        <f>ROUND(H373*I373, 2)</f>
        <v>55.23</v>
      </c>
      <c r="K373" s="60"/>
      <c r="L373" s="50">
        <f>SmtRes!DG96</f>
        <v>16.27</v>
      </c>
    </row>
    <row r="374" spans="1:83" ht="28.5" x14ac:dyDescent="0.2">
      <c r="A374" s="47"/>
      <c r="B374" s="47" t="s">
        <v>390</v>
      </c>
      <c r="C374" s="47" t="s">
        <v>633</v>
      </c>
      <c r="D374" s="59" t="s">
        <v>383</v>
      </c>
      <c r="E374" s="49">
        <f>SmtRes!DO96*SmtRes!AT96</f>
        <v>0.76</v>
      </c>
      <c r="F374" s="49">
        <f>ROUND(1.25,7)</f>
        <v>1.25</v>
      </c>
      <c r="G374" s="49">
        <f>ROUND(E374*F374*G367, 7)</f>
        <v>0.29449999999999998</v>
      </c>
      <c r="H374" s="50"/>
      <c r="I374" s="60"/>
      <c r="J374" s="50">
        <f>ROUND(SmtRes!AG96/SmtRes!DO96, 2)</f>
        <v>297.43</v>
      </c>
      <c r="K374" s="60"/>
      <c r="L374" s="50">
        <f>SmtRes!DH96</f>
        <v>87.59</v>
      </c>
      <c r="CE374">
        <v>1</v>
      </c>
    </row>
    <row r="375" spans="1:83" ht="28.5" x14ac:dyDescent="0.2">
      <c r="A375" s="47"/>
      <c r="B375" s="47" t="s">
        <v>409</v>
      </c>
      <c r="C375" s="47" t="s">
        <v>411</v>
      </c>
      <c r="D375" s="59" t="s">
        <v>389</v>
      </c>
      <c r="E375" s="49">
        <v>4.58</v>
      </c>
      <c r="F375" s="49">
        <f>ROUND(1.25,7)</f>
        <v>1.25</v>
      </c>
      <c r="G375" s="49">
        <f>SmtRes!CX97</f>
        <v>1.77475</v>
      </c>
      <c r="H375" s="50"/>
      <c r="I375" s="60"/>
      <c r="J375" s="50">
        <f>SmtRes!CZ97</f>
        <v>611</v>
      </c>
      <c r="K375" s="60"/>
      <c r="L375" s="50">
        <f>SmtRes!DG97</f>
        <v>1084.3699999999999</v>
      </c>
    </row>
    <row r="376" spans="1:83" ht="28.5" x14ac:dyDescent="0.2">
      <c r="A376" s="47"/>
      <c r="B376" s="47" t="s">
        <v>412</v>
      </c>
      <c r="C376" s="47" t="s">
        <v>653</v>
      </c>
      <c r="D376" s="59" t="s">
        <v>383</v>
      </c>
      <c r="E376" s="49">
        <f>SmtRes!DO97*SmtRes!AT97</f>
        <v>4.58</v>
      </c>
      <c r="F376" s="49">
        <f>ROUND(1.25,7)</f>
        <v>1.25</v>
      </c>
      <c r="G376" s="49">
        <f>ROUND(E376*F376*G367, 7)</f>
        <v>1.77475</v>
      </c>
      <c r="H376" s="50"/>
      <c r="I376" s="60"/>
      <c r="J376" s="50">
        <f>ROUND(SmtRes!AG97/SmtRes!DO97, 2)</f>
        <v>334.92</v>
      </c>
      <c r="K376" s="60"/>
      <c r="L376" s="50">
        <f>SmtRes!DH97</f>
        <v>594.4</v>
      </c>
      <c r="CE376">
        <v>1</v>
      </c>
    </row>
    <row r="377" spans="1:83" ht="15" x14ac:dyDescent="0.2">
      <c r="A377" s="46"/>
      <c r="B377" s="49">
        <v>4</v>
      </c>
      <c r="C377" s="46" t="s">
        <v>648</v>
      </c>
      <c r="D377" s="59"/>
      <c r="E377" s="56"/>
      <c r="F377" s="49"/>
      <c r="G377" s="49"/>
      <c r="H377" s="49"/>
      <c r="I377" s="49"/>
      <c r="J377" s="49"/>
      <c r="K377" s="49"/>
      <c r="L377" s="53">
        <f>SUM(L378:L378)-SUMIF(CE378:CE378, 1, L378:L378)</f>
        <v>6.85</v>
      </c>
    </row>
    <row r="378" spans="1:83" ht="14.25" x14ac:dyDescent="0.2">
      <c r="A378" s="47"/>
      <c r="B378" s="47" t="s">
        <v>418</v>
      </c>
      <c r="C378" s="47" t="s">
        <v>420</v>
      </c>
      <c r="D378" s="59" t="s">
        <v>421</v>
      </c>
      <c r="E378" s="49">
        <v>2.782</v>
      </c>
      <c r="F378" s="49"/>
      <c r="G378" s="49">
        <f>SmtRes!CX98</f>
        <v>0.86241999999999996</v>
      </c>
      <c r="H378" s="50"/>
      <c r="I378" s="60"/>
      <c r="J378" s="50">
        <f>SmtRes!CZ98</f>
        <v>7.94</v>
      </c>
      <c r="K378" s="60"/>
      <c r="L378" s="50">
        <f>SmtRes!DF98</f>
        <v>6.85</v>
      </c>
    </row>
    <row r="379" spans="1:83" ht="14.25" x14ac:dyDescent="0.2">
      <c r="A379" s="47"/>
      <c r="B379" s="47" t="str">
        <f>EtalonRes!I117</f>
        <v>01.6.04.02</v>
      </c>
      <c r="C379" s="61" t="str">
        <f>EtalonRes!K117</f>
        <v>Панели потолочные с комплектующими</v>
      </c>
      <c r="D379" s="62" t="str">
        <f>EtalonRes!O117</f>
        <v>м2</v>
      </c>
      <c r="E379" s="63">
        <f>EtalonRes!X117</f>
        <v>103</v>
      </c>
      <c r="F379" s="63"/>
      <c r="G379" s="63">
        <f>ROUND(EtalonRes!AG117*Source!I263, 7)</f>
        <v>31.93</v>
      </c>
      <c r="H379" s="64"/>
      <c r="I379" s="65"/>
      <c r="J379" s="64"/>
      <c r="K379" s="65"/>
      <c r="L379" s="64"/>
    </row>
    <row r="380" spans="1:83" ht="15" x14ac:dyDescent="0.2">
      <c r="A380" s="47"/>
      <c r="B380" s="47"/>
      <c r="C380" s="66" t="s">
        <v>635</v>
      </c>
      <c r="D380" s="59"/>
      <c r="E380" s="49"/>
      <c r="F380" s="49"/>
      <c r="G380" s="49"/>
      <c r="H380" s="50"/>
      <c r="I380" s="60"/>
      <c r="J380" s="50"/>
      <c r="K380" s="60"/>
      <c r="L380" s="50">
        <f>L369+L371+L372+L377</f>
        <v>13749.15</v>
      </c>
    </row>
    <row r="381" spans="1:83" ht="14.25" x14ac:dyDescent="0.2">
      <c r="A381" s="47"/>
      <c r="B381" s="47"/>
      <c r="C381" s="47" t="s">
        <v>636</v>
      </c>
      <c r="D381" s="59"/>
      <c r="E381" s="49"/>
      <c r="F381" s="49"/>
      <c r="G381" s="49"/>
      <c r="H381" s="50"/>
      <c r="I381" s="60"/>
      <c r="J381" s="50"/>
      <c r="K381" s="60"/>
      <c r="L381" s="50">
        <f>SUM(AR367:AR384)+SUM(AS367:AS384)+SUM(AT367:AT384)+SUM(AU367:AU384)+SUM(AV367:AV384)</f>
        <v>12641.66</v>
      </c>
    </row>
    <row r="382" spans="1:83" ht="14.25" x14ac:dyDescent="0.2">
      <c r="A382" s="47"/>
      <c r="B382" s="47" t="s">
        <v>192</v>
      </c>
      <c r="C382" s="47" t="s">
        <v>666</v>
      </c>
      <c r="D382" s="59" t="s">
        <v>638</v>
      </c>
      <c r="E382" s="49">
        <f>Source!BZ263</f>
        <v>100</v>
      </c>
      <c r="F382" s="49">
        <f>ROUND(0.9,7)</f>
        <v>0.9</v>
      </c>
      <c r="G382" s="49">
        <f>Source!AT263</f>
        <v>90</v>
      </c>
      <c r="H382" s="50"/>
      <c r="I382" s="60"/>
      <c r="J382" s="50"/>
      <c r="K382" s="60"/>
      <c r="L382" s="50">
        <f>SUM(AZ367:AZ384)</f>
        <v>11377.49</v>
      </c>
    </row>
    <row r="383" spans="1:83" ht="14.25" x14ac:dyDescent="0.2">
      <c r="A383" s="61"/>
      <c r="B383" s="61" t="s">
        <v>193</v>
      </c>
      <c r="C383" s="61" t="s">
        <v>667</v>
      </c>
      <c r="D383" s="62" t="s">
        <v>638</v>
      </c>
      <c r="E383" s="63">
        <f>Source!CA263</f>
        <v>49</v>
      </c>
      <c r="F383" s="63">
        <f>ROUND(0.85,7)</f>
        <v>0.85</v>
      </c>
      <c r="G383" s="63">
        <f>Source!AU263</f>
        <v>41.65</v>
      </c>
      <c r="H383" s="64"/>
      <c r="I383" s="65"/>
      <c r="J383" s="64"/>
      <c r="K383" s="65"/>
      <c r="L383" s="64">
        <f>SUM(BA367:BA384)</f>
        <v>5265.25</v>
      </c>
    </row>
    <row r="384" spans="1:83" ht="15" x14ac:dyDescent="0.2">
      <c r="C384" s="90" t="s">
        <v>640</v>
      </c>
      <c r="D384" s="90"/>
      <c r="E384" s="90"/>
      <c r="F384" s="90"/>
      <c r="G384" s="90"/>
      <c r="H384" s="90"/>
      <c r="I384" s="91">
        <f>IF(E367&lt;&gt;0,K384/E367, 0)</f>
        <v>98038.354838709682</v>
      </c>
      <c r="J384" s="91"/>
      <c r="K384" s="91">
        <f>L369+L371+L377+L382+L383+L372</f>
        <v>30391.890000000003</v>
      </c>
      <c r="L384" s="91"/>
      <c r="AD384">
        <f>ROUND((Source!AT263/100)*((ROUND(SUMIF(SmtRes!AQ94:'SmtRes'!AQ98,"=1",SmtRes!AD94:'SmtRes'!AD98)*Source!I263, 2)+ROUND(SUMIF(SmtRes!AQ94:'SmtRes'!AQ98,"=1",SmtRes!AC94:'SmtRes'!AC98)*Source!I263, 2))), 2)</f>
        <v>267.77999999999997</v>
      </c>
      <c r="AE384">
        <f>ROUND((Source!AU263/100)*((ROUND(SUMIF(SmtRes!AQ94:'SmtRes'!AQ98,"=1",SmtRes!AD94:'SmtRes'!AD98)*Source!I263, 2)+ROUND(SUMIF(SmtRes!AQ94:'SmtRes'!AQ98,"=1",SmtRes!AC94:'SmtRes'!AC98)*Source!I263, 2))), 2)</f>
        <v>123.92</v>
      </c>
      <c r="AN384" s="55">
        <f>L369+L371+L377+L382+L383+L372</f>
        <v>30391.890000000003</v>
      </c>
      <c r="AO384" s="55">
        <f>L371</f>
        <v>1100.6399999999999</v>
      </c>
      <c r="AQ384" t="s">
        <v>641</v>
      </c>
      <c r="AR384" s="55">
        <f>L369</f>
        <v>11959.67</v>
      </c>
      <c r="AT384" s="55">
        <f>L372</f>
        <v>681.99</v>
      </c>
      <c r="AV384" t="s">
        <v>641</v>
      </c>
      <c r="AW384" s="55">
        <f>L377</f>
        <v>6.85</v>
      </c>
      <c r="AZ384">
        <f>Source!X263</f>
        <v>11377.49</v>
      </c>
      <c r="BA384">
        <f>Source!Y263</f>
        <v>5265.25</v>
      </c>
      <c r="CD384">
        <v>1</v>
      </c>
    </row>
    <row r="385" spans="1:83" ht="99.75" x14ac:dyDescent="0.2">
      <c r="A385" s="68" t="s">
        <v>255</v>
      </c>
      <c r="B385" s="61" t="str">
        <f>Source!F264</f>
        <v>01.6.04.01-0033</v>
      </c>
      <c r="C385" s="61" t="str">
        <f>Source!G264</f>
        <v>Панели потолочные акустические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C-D, толщина 15-17 мм</v>
      </c>
      <c r="D385" s="62" t="str">
        <f>Source!H264</f>
        <v>м2</v>
      </c>
      <c r="E385" s="63">
        <f>Source!K264</f>
        <v>31.93</v>
      </c>
      <c r="F385" s="63"/>
      <c r="G385" s="63">
        <f>Source!I264</f>
        <v>31.93</v>
      </c>
      <c r="H385" s="64">
        <f>Source!AL264</f>
        <v>955.95</v>
      </c>
      <c r="I385" s="65">
        <f>IF(Source!BC264&lt;&gt; 0, Source!BC264, 1)</f>
        <v>1.71</v>
      </c>
      <c r="J385" s="64">
        <f>ROUND(H385*I385, 2)</f>
        <v>1634.67</v>
      </c>
      <c r="K385" s="65"/>
      <c r="L385" s="64">
        <f>Source!P264</f>
        <v>52195.01</v>
      </c>
    </row>
    <row r="386" spans="1:83" ht="15" x14ac:dyDescent="0.2">
      <c r="C386" s="90" t="s">
        <v>640</v>
      </c>
      <c r="D386" s="90"/>
      <c r="E386" s="90"/>
      <c r="F386" s="90"/>
      <c r="G386" s="90"/>
      <c r="H386" s="90"/>
      <c r="I386" s="91">
        <f>IF(E385&lt;&gt;0,K386/E385, 0)</f>
        <v>1634.6699029126214</v>
      </c>
      <c r="J386" s="91"/>
      <c r="K386" s="91">
        <f>L385</f>
        <v>52195.01</v>
      </c>
      <c r="L386" s="91"/>
      <c r="AD386">
        <f>ROUND((Source!AT264/100)*((ROUND(ROUND(Source!AO264,2)*Source!I264, 2)+ROUND(ROUND(Source!AN264,2)*Source!I264, 2))), 2)</f>
        <v>0</v>
      </c>
      <c r="AE386">
        <f>ROUND((Source!AU264/100)*((ROUND(ROUND(Source!AO264,2)*Source!I264, 2)+ROUND(ROUND(Source!AN264,2)*Source!I264, 2))), 2)</f>
        <v>0</v>
      </c>
      <c r="AN386" s="55">
        <f>L385</f>
        <v>52195.01</v>
      </c>
      <c r="AO386">
        <f>0</f>
        <v>0</v>
      </c>
      <c r="AQ386" t="s">
        <v>641</v>
      </c>
      <c r="AR386">
        <f>0</f>
        <v>0</v>
      </c>
      <c r="AT386">
        <f>0</f>
        <v>0</v>
      </c>
      <c r="AV386" t="s">
        <v>641</v>
      </c>
      <c r="AW386" s="55">
        <f>L385</f>
        <v>52195.01</v>
      </c>
      <c r="AZ386">
        <f>Source!X264</f>
        <v>0</v>
      </c>
      <c r="BA386">
        <f>Source!Y264</f>
        <v>0</v>
      </c>
      <c r="CD386">
        <v>1</v>
      </c>
    </row>
    <row r="387" spans="1:83" ht="14.25" x14ac:dyDescent="0.2">
      <c r="C387" s="57" t="str">
        <f>Source!G265</f>
        <v>Двери</v>
      </c>
    </row>
    <row r="388" spans="1:83" ht="28.5" x14ac:dyDescent="0.2">
      <c r="A388" s="58" t="s">
        <v>260</v>
      </c>
      <c r="B388" s="47" t="s">
        <v>684</v>
      </c>
      <c r="C388" s="47" t="str">
        <f>Source!G266</f>
        <v>Разборка деревянных заполнений проемов: дверных и воротных</v>
      </c>
      <c r="D388" s="59" t="str">
        <f>Source!H266</f>
        <v>100 м2</v>
      </c>
      <c r="E388" s="49">
        <f>Source!K266</f>
        <v>5.67E-2</v>
      </c>
      <c r="F388" s="49"/>
      <c r="G388" s="49">
        <f>Source!I266</f>
        <v>5.67E-2</v>
      </c>
      <c r="H388" s="50"/>
      <c r="I388" s="60"/>
      <c r="J388" s="50"/>
      <c r="K388" s="60"/>
      <c r="L388" s="50"/>
    </row>
    <row r="389" spans="1:83" ht="15" x14ac:dyDescent="0.2">
      <c r="A389" s="46"/>
      <c r="B389" s="49">
        <v>1</v>
      </c>
      <c r="C389" s="46" t="s">
        <v>631</v>
      </c>
      <c r="D389" s="59" t="s">
        <v>383</v>
      </c>
      <c r="E389" s="56"/>
      <c r="F389" s="49"/>
      <c r="G389" s="49">
        <f>Source!U266</f>
        <v>5.1682050000000004</v>
      </c>
      <c r="H389" s="49"/>
      <c r="I389" s="49"/>
      <c r="J389" s="49"/>
      <c r="K389" s="49"/>
      <c r="L389" s="53">
        <f>SUM(L390:L390)-SUMIF(CE390:CE390, 1, L390:L390)</f>
        <v>1459.66</v>
      </c>
    </row>
    <row r="390" spans="1:83" ht="14.25" x14ac:dyDescent="0.2">
      <c r="A390" s="47"/>
      <c r="B390" s="47" t="s">
        <v>510</v>
      </c>
      <c r="C390" s="47" t="s">
        <v>511</v>
      </c>
      <c r="D390" s="59" t="s">
        <v>383</v>
      </c>
      <c r="E390" s="49">
        <v>91.15</v>
      </c>
      <c r="F390" s="49"/>
      <c r="G390" s="49">
        <f>SmtRes!CX99</f>
        <v>5.1682050000000004</v>
      </c>
      <c r="H390" s="50"/>
      <c r="I390" s="60"/>
      <c r="J390" s="50">
        <f>SmtRes!CZ99</f>
        <v>282.43</v>
      </c>
      <c r="K390" s="60"/>
      <c r="L390" s="50">
        <f>SmtRes!DI99</f>
        <v>1459.66</v>
      </c>
    </row>
    <row r="391" spans="1:83" ht="15" x14ac:dyDescent="0.2">
      <c r="A391" s="46"/>
      <c r="B391" s="49">
        <v>2</v>
      </c>
      <c r="C391" s="46" t="s">
        <v>632</v>
      </c>
      <c r="D391" s="59"/>
      <c r="E391" s="56"/>
      <c r="F391" s="49"/>
      <c r="G391" s="49"/>
      <c r="H391" s="49"/>
      <c r="I391" s="49"/>
      <c r="J391" s="49"/>
      <c r="K391" s="49"/>
      <c r="L391" s="53">
        <f>SUM(L392:L394)-SUMIF(CE392:CE394, 1, L392:L394)</f>
        <v>24.240000000000009</v>
      </c>
    </row>
    <row r="392" spans="1:83" ht="15" x14ac:dyDescent="0.2">
      <c r="A392" s="46"/>
      <c r="B392" s="49"/>
      <c r="C392" s="46" t="s">
        <v>634</v>
      </c>
      <c r="D392" s="59" t="s">
        <v>383</v>
      </c>
      <c r="E392" s="56"/>
      <c r="F392" s="49"/>
      <c r="G392" s="49">
        <f>Source!V266</f>
        <v>0.43885800000000003</v>
      </c>
      <c r="H392" s="49"/>
      <c r="I392" s="49"/>
      <c r="J392" s="49"/>
      <c r="K392" s="49"/>
      <c r="L392" s="53">
        <f>SUMIF(CE393:CE394, 1, L393:L394)</f>
        <v>130.53</v>
      </c>
      <c r="CE392">
        <v>1</v>
      </c>
    </row>
    <row r="393" spans="1:83" ht="42.75" x14ac:dyDescent="0.2">
      <c r="A393" s="47"/>
      <c r="B393" s="47" t="s">
        <v>386</v>
      </c>
      <c r="C393" s="47" t="s">
        <v>388</v>
      </c>
      <c r="D393" s="59" t="s">
        <v>389</v>
      </c>
      <c r="E393" s="49">
        <v>7.74</v>
      </c>
      <c r="F393" s="49"/>
      <c r="G393" s="49">
        <f>SmtRes!CX101</f>
        <v>0.43885800000000003</v>
      </c>
      <c r="H393" s="50">
        <f>SmtRes!CZ101</f>
        <v>37.32</v>
      </c>
      <c r="I393" s="60">
        <f>SmtRes!AJ101</f>
        <v>1.48</v>
      </c>
      <c r="J393" s="50">
        <f>ROUND(H393*I393, 2)</f>
        <v>55.23</v>
      </c>
      <c r="K393" s="60"/>
      <c r="L393" s="50">
        <f>SmtRes!DG101</f>
        <v>24.24</v>
      </c>
    </row>
    <row r="394" spans="1:83" ht="28.5" x14ac:dyDescent="0.2">
      <c r="A394" s="47"/>
      <c r="B394" s="47" t="s">
        <v>390</v>
      </c>
      <c r="C394" s="61" t="s">
        <v>633</v>
      </c>
      <c r="D394" s="62" t="s">
        <v>383</v>
      </c>
      <c r="E394" s="63">
        <f>SmtRes!DO101*SmtRes!AT101</f>
        <v>7.74</v>
      </c>
      <c r="F394" s="63"/>
      <c r="G394" s="63">
        <f>ROUND(E394*G388, 7)</f>
        <v>0.43885800000000003</v>
      </c>
      <c r="H394" s="64"/>
      <c r="I394" s="65"/>
      <c r="J394" s="64">
        <f>ROUND(SmtRes!AG101/SmtRes!DO101, 2)</f>
        <v>297.43</v>
      </c>
      <c r="K394" s="65"/>
      <c r="L394" s="64">
        <f>SmtRes!DH101</f>
        <v>130.53</v>
      </c>
      <c r="CE394">
        <v>1</v>
      </c>
    </row>
    <row r="395" spans="1:83" ht="15" x14ac:dyDescent="0.2">
      <c r="A395" s="47"/>
      <c r="B395" s="47"/>
      <c r="C395" s="66" t="s">
        <v>635</v>
      </c>
      <c r="D395" s="59"/>
      <c r="E395" s="49"/>
      <c r="F395" s="49"/>
      <c r="G395" s="49"/>
      <c r="H395" s="50"/>
      <c r="I395" s="60"/>
      <c r="J395" s="50"/>
      <c r="K395" s="60"/>
      <c r="L395" s="50">
        <f>L389+L391+L392</f>
        <v>1614.43</v>
      </c>
    </row>
    <row r="396" spans="1:83" ht="14.25" x14ac:dyDescent="0.2">
      <c r="A396" s="47"/>
      <c r="B396" s="47"/>
      <c r="C396" s="47" t="s">
        <v>636</v>
      </c>
      <c r="D396" s="59"/>
      <c r="E396" s="49"/>
      <c r="F396" s="49"/>
      <c r="G396" s="49"/>
      <c r="H396" s="50"/>
      <c r="I396" s="60"/>
      <c r="J396" s="50"/>
      <c r="K396" s="60"/>
      <c r="L396" s="50">
        <f>SUM(AR388:AR399)+SUM(AS388:AS399)+SUM(AT388:AT399)+SUM(AU388:AU399)+SUM(AV388:AV399)</f>
        <v>1590.19</v>
      </c>
    </row>
    <row r="397" spans="1:83" ht="71.25" x14ac:dyDescent="0.2">
      <c r="A397" s="47"/>
      <c r="B397" s="47" t="s">
        <v>184</v>
      </c>
      <c r="C397" s="47" t="s">
        <v>662</v>
      </c>
      <c r="D397" s="59" t="s">
        <v>638</v>
      </c>
      <c r="E397" s="49">
        <f>Source!BZ266</f>
        <v>91</v>
      </c>
      <c r="F397" s="49"/>
      <c r="G397" s="49">
        <f>Source!AT266</f>
        <v>91</v>
      </c>
      <c r="H397" s="50"/>
      <c r="I397" s="60"/>
      <c r="J397" s="50"/>
      <c r="K397" s="60"/>
      <c r="L397" s="50">
        <f>SUM(AZ388:AZ399)</f>
        <v>1447.07</v>
      </c>
    </row>
    <row r="398" spans="1:83" ht="71.25" x14ac:dyDescent="0.2">
      <c r="A398" s="61"/>
      <c r="B398" s="61" t="s">
        <v>185</v>
      </c>
      <c r="C398" s="61" t="s">
        <v>663</v>
      </c>
      <c r="D398" s="62" t="s">
        <v>638</v>
      </c>
      <c r="E398" s="63">
        <f>Source!CA266</f>
        <v>52</v>
      </c>
      <c r="F398" s="63"/>
      <c r="G398" s="63">
        <f>Source!AU266</f>
        <v>52</v>
      </c>
      <c r="H398" s="64"/>
      <c r="I398" s="65"/>
      <c r="J398" s="64"/>
      <c r="K398" s="65"/>
      <c r="L398" s="64">
        <f>SUM(BA388:BA399)</f>
        <v>826.9</v>
      </c>
    </row>
    <row r="399" spans="1:83" ht="15" x14ac:dyDescent="0.2">
      <c r="C399" s="90" t="s">
        <v>640</v>
      </c>
      <c r="D399" s="90"/>
      <c r="E399" s="90"/>
      <c r="F399" s="90"/>
      <c r="G399" s="90"/>
      <c r="H399" s="90"/>
      <c r="I399" s="91">
        <f>IF(E388&lt;&gt;0,K399/E388, 0)</f>
        <v>68578.483245149924</v>
      </c>
      <c r="J399" s="91"/>
      <c r="K399" s="91">
        <f>L389+L391+L397+L398+L392</f>
        <v>3888.4000000000005</v>
      </c>
      <c r="L399" s="91"/>
      <c r="AD399">
        <f>ROUND((Source!AT266/100)*((ROUND(SUMIF(SmtRes!AQ99:'SmtRes'!AQ101,"=1",SmtRes!AD99:'SmtRes'!AD101)*Source!I266, 2)+ROUND(SUMIF(SmtRes!AQ99:'SmtRes'!AQ101,"=1",SmtRes!AC99:'SmtRes'!AC101)*Source!I266, 2))), 2)</f>
        <v>29.91</v>
      </c>
      <c r="AE399">
        <f>ROUND((Source!AU266/100)*((ROUND(SUMIF(SmtRes!AQ99:'SmtRes'!AQ101,"=1",SmtRes!AD99:'SmtRes'!AD101)*Source!I266, 2)+ROUND(SUMIF(SmtRes!AQ99:'SmtRes'!AQ101,"=1",SmtRes!AC99:'SmtRes'!AC101)*Source!I266, 2))), 2)</f>
        <v>17.09</v>
      </c>
      <c r="AN399" s="55">
        <f>L389+L391+L397+L398+L392</f>
        <v>3888.4000000000005</v>
      </c>
      <c r="AO399" s="55">
        <f>L391</f>
        <v>24.240000000000009</v>
      </c>
      <c r="AQ399" t="s">
        <v>641</v>
      </c>
      <c r="AR399" s="55">
        <f>L389</f>
        <v>1459.66</v>
      </c>
      <c r="AT399" s="55">
        <f>L392</f>
        <v>130.53</v>
      </c>
      <c r="AV399" t="s">
        <v>641</v>
      </c>
      <c r="AW399">
        <f>0</f>
        <v>0</v>
      </c>
      <c r="AZ399">
        <f>Source!X266</f>
        <v>1447.07</v>
      </c>
      <c r="BA399">
        <f>Source!Y266</f>
        <v>826.9</v>
      </c>
      <c r="CD399">
        <v>1</v>
      </c>
    </row>
    <row r="400" spans="1:83" ht="162" x14ac:dyDescent="0.2">
      <c r="A400" s="58" t="s">
        <v>264</v>
      </c>
      <c r="B400" s="47" t="s">
        <v>685</v>
      </c>
      <c r="C400" s="47" t="s">
        <v>686</v>
      </c>
      <c r="D400" s="59" t="str">
        <f>Source!H267</f>
        <v>100 м2</v>
      </c>
      <c r="E400" s="49">
        <f>Source!K267</f>
        <v>5.67E-2</v>
      </c>
      <c r="F400" s="49"/>
      <c r="G400" s="49">
        <f>Source!I267</f>
        <v>5.67E-2</v>
      </c>
      <c r="H400" s="50"/>
      <c r="I400" s="60"/>
      <c r="J400" s="50"/>
      <c r="K400" s="60"/>
      <c r="L400" s="50"/>
    </row>
    <row r="401" spans="1:83" ht="76.5" x14ac:dyDescent="0.2">
      <c r="B401" s="67" t="str">
        <f>CONCATENATE("Поправка: ", Source!EO267)</f>
        <v>Поправка: Попр.421/пр_2020_п.58_пп.б</v>
      </c>
      <c r="C401" s="67" t="str">
        <f>Source!CN267</f>
        <v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v>
      </c>
    </row>
    <row r="402" spans="1:83" ht="15" x14ac:dyDescent="0.2">
      <c r="A402" s="46"/>
      <c r="B402" s="49">
        <v>1</v>
      </c>
      <c r="C402" s="46" t="s">
        <v>631</v>
      </c>
      <c r="D402" s="59" t="s">
        <v>383</v>
      </c>
      <c r="E402" s="56"/>
      <c r="F402" s="49"/>
      <c r="G402" s="49">
        <f>Source!U267</f>
        <v>7.4985749999999998</v>
      </c>
      <c r="H402" s="49"/>
      <c r="I402" s="49"/>
      <c r="J402" s="49"/>
      <c r="K402" s="49"/>
      <c r="L402" s="53">
        <f>SUM(L403:L403)-SUMIF(CE403:CE403, 1, L403:L403)</f>
        <v>2342.7800000000002</v>
      </c>
    </row>
    <row r="403" spans="1:83" ht="14.25" x14ac:dyDescent="0.2">
      <c r="A403" s="47"/>
      <c r="B403" s="47" t="s">
        <v>457</v>
      </c>
      <c r="C403" s="47" t="s">
        <v>458</v>
      </c>
      <c r="D403" s="59" t="s">
        <v>383</v>
      </c>
      <c r="E403" s="49">
        <v>115</v>
      </c>
      <c r="F403" s="49">
        <f>ROUND(1.15,7)</f>
        <v>1.1499999999999999</v>
      </c>
      <c r="G403" s="49">
        <f>SmtRes!CX102</f>
        <v>7.4985749999999998</v>
      </c>
      <c r="H403" s="50"/>
      <c r="I403" s="60"/>
      <c r="J403" s="50">
        <f>SmtRes!CZ102</f>
        <v>312.43</v>
      </c>
      <c r="K403" s="60"/>
      <c r="L403" s="50">
        <f>SmtRes!DI102</f>
        <v>2342.7800000000002</v>
      </c>
    </row>
    <row r="404" spans="1:83" ht="15" x14ac:dyDescent="0.2">
      <c r="A404" s="46"/>
      <c r="B404" s="49">
        <v>2</v>
      </c>
      <c r="C404" s="46" t="s">
        <v>632</v>
      </c>
      <c r="D404" s="59"/>
      <c r="E404" s="56"/>
      <c r="F404" s="49"/>
      <c r="G404" s="49"/>
      <c r="H404" s="49"/>
      <c r="I404" s="49"/>
      <c r="J404" s="49"/>
      <c r="K404" s="49"/>
      <c r="L404" s="53">
        <f>SUM(L405:L409)-SUMIF(CE405:CE409, 1, L405:L409)</f>
        <v>156.95000000000005</v>
      </c>
    </row>
    <row r="405" spans="1:83" ht="15" x14ac:dyDescent="0.2">
      <c r="A405" s="46"/>
      <c r="B405" s="49"/>
      <c r="C405" s="46" t="s">
        <v>634</v>
      </c>
      <c r="D405" s="59" t="s">
        <v>383</v>
      </c>
      <c r="E405" s="56"/>
      <c r="F405" s="49"/>
      <c r="G405" s="49">
        <f>Source!V267</f>
        <v>0.28846130000000003</v>
      </c>
      <c r="H405" s="49"/>
      <c r="I405" s="49"/>
      <c r="J405" s="49"/>
      <c r="K405" s="49"/>
      <c r="L405" s="53">
        <f>SUMIF(CE406:CE409, 1, L406:L409)</f>
        <v>95.31</v>
      </c>
      <c r="CE405">
        <v>1</v>
      </c>
    </row>
    <row r="406" spans="1:83" ht="42.75" x14ac:dyDescent="0.2">
      <c r="A406" s="47"/>
      <c r="B406" s="47" t="s">
        <v>386</v>
      </c>
      <c r="C406" s="47" t="s">
        <v>388</v>
      </c>
      <c r="D406" s="59" t="s">
        <v>389</v>
      </c>
      <c r="E406" s="49">
        <v>0.49</v>
      </c>
      <c r="F406" s="49">
        <f>ROUND(1.25,7)</f>
        <v>1.25</v>
      </c>
      <c r="G406" s="49">
        <f>SmtRes!CX104</f>
        <v>3.4728799999999997E-2</v>
      </c>
      <c r="H406" s="50">
        <f>SmtRes!CZ104</f>
        <v>37.32</v>
      </c>
      <c r="I406" s="60">
        <f>SmtRes!AJ104</f>
        <v>1.48</v>
      </c>
      <c r="J406" s="50">
        <f>ROUND(H406*I406, 2)</f>
        <v>55.23</v>
      </c>
      <c r="K406" s="60"/>
      <c r="L406" s="50">
        <f>SmtRes!DG104</f>
        <v>1.92</v>
      </c>
    </row>
    <row r="407" spans="1:83" ht="28.5" x14ac:dyDescent="0.2">
      <c r="A407" s="47"/>
      <c r="B407" s="47" t="s">
        <v>390</v>
      </c>
      <c r="C407" s="47" t="s">
        <v>633</v>
      </c>
      <c r="D407" s="59" t="s">
        <v>383</v>
      </c>
      <c r="E407" s="49">
        <f>SmtRes!DO104*SmtRes!AT104</f>
        <v>0.49</v>
      </c>
      <c r="F407" s="49">
        <f>ROUND(1.25,7)</f>
        <v>1.25</v>
      </c>
      <c r="G407" s="49">
        <f>ROUND(E407*F407*G400, 7)</f>
        <v>3.4728799999999997E-2</v>
      </c>
      <c r="H407" s="50"/>
      <c r="I407" s="60"/>
      <c r="J407" s="50">
        <f>ROUND(SmtRes!AG104/SmtRes!DO104, 2)</f>
        <v>297.43</v>
      </c>
      <c r="K407" s="60"/>
      <c r="L407" s="50">
        <f>SmtRes!DH104</f>
        <v>10.33</v>
      </c>
      <c r="CE407">
        <v>1</v>
      </c>
    </row>
    <row r="408" spans="1:83" ht="28.5" x14ac:dyDescent="0.2">
      <c r="A408" s="47"/>
      <c r="B408" s="47" t="s">
        <v>409</v>
      </c>
      <c r="C408" s="47" t="s">
        <v>411</v>
      </c>
      <c r="D408" s="59" t="s">
        <v>389</v>
      </c>
      <c r="E408" s="49">
        <v>3.58</v>
      </c>
      <c r="F408" s="49">
        <f>ROUND(1.25,7)</f>
        <v>1.25</v>
      </c>
      <c r="G408" s="49">
        <f>SmtRes!CX105</f>
        <v>0.25373250000000003</v>
      </c>
      <c r="H408" s="50"/>
      <c r="I408" s="60"/>
      <c r="J408" s="50">
        <f>SmtRes!CZ105</f>
        <v>611</v>
      </c>
      <c r="K408" s="60"/>
      <c r="L408" s="50">
        <f>SmtRes!DG105</f>
        <v>155.03</v>
      </c>
    </row>
    <row r="409" spans="1:83" ht="28.5" x14ac:dyDescent="0.2">
      <c r="A409" s="47"/>
      <c r="B409" s="47" t="s">
        <v>412</v>
      </c>
      <c r="C409" s="47" t="s">
        <v>653</v>
      </c>
      <c r="D409" s="59" t="s">
        <v>383</v>
      </c>
      <c r="E409" s="49">
        <f>SmtRes!DO105*SmtRes!AT105</f>
        <v>3.58</v>
      </c>
      <c r="F409" s="49">
        <f>ROUND(1.25,7)</f>
        <v>1.25</v>
      </c>
      <c r="G409" s="49">
        <f>ROUND(E409*F409*G400, 7)</f>
        <v>0.25373250000000003</v>
      </c>
      <c r="H409" s="50"/>
      <c r="I409" s="60"/>
      <c r="J409" s="50">
        <f>ROUND(SmtRes!AG105/SmtRes!DO105, 2)</f>
        <v>334.92</v>
      </c>
      <c r="K409" s="60"/>
      <c r="L409" s="50">
        <f>SmtRes!DH105</f>
        <v>84.98</v>
      </c>
      <c r="CE409">
        <v>1</v>
      </c>
    </row>
    <row r="410" spans="1:83" ht="15" x14ac:dyDescent="0.2">
      <c r="A410" s="46"/>
      <c r="B410" s="49">
        <v>4</v>
      </c>
      <c r="C410" s="46" t="s">
        <v>648</v>
      </c>
      <c r="D410" s="59"/>
      <c r="E410" s="56"/>
      <c r="F410" s="49"/>
      <c r="G410" s="49"/>
      <c r="H410" s="49"/>
      <c r="I410" s="49"/>
      <c r="J410" s="49"/>
      <c r="K410" s="49"/>
      <c r="L410" s="53">
        <f>SUM(L411:L412)-SUMIF(CE411:CE412, 1, L411:L412)</f>
        <v>102.52000000000001</v>
      </c>
    </row>
    <row r="411" spans="1:83" ht="14.25" x14ac:dyDescent="0.2">
      <c r="A411" s="47"/>
      <c r="B411" s="47" t="s">
        <v>515</v>
      </c>
      <c r="C411" s="47" t="s">
        <v>517</v>
      </c>
      <c r="D411" s="59" t="s">
        <v>149</v>
      </c>
      <c r="E411" s="49">
        <v>1.01E-2</v>
      </c>
      <c r="F411" s="49"/>
      <c r="G411" s="49">
        <f>SmtRes!CX106</f>
        <v>5.7269999999999999E-4</v>
      </c>
      <c r="H411" s="50">
        <f>SmtRes!CZ106</f>
        <v>70296.2</v>
      </c>
      <c r="I411" s="60">
        <f>SmtRes!AI106</f>
        <v>1.28</v>
      </c>
      <c r="J411" s="50">
        <f>ROUND(H411*I411, 2)</f>
        <v>89979.14</v>
      </c>
      <c r="K411" s="60"/>
      <c r="L411" s="50">
        <f>SmtRes!DF106</f>
        <v>51.53</v>
      </c>
    </row>
    <row r="412" spans="1:83" ht="57" x14ac:dyDescent="0.2">
      <c r="A412" s="47"/>
      <c r="B412" s="47" t="s">
        <v>518</v>
      </c>
      <c r="C412" s="47" t="s">
        <v>520</v>
      </c>
      <c r="D412" s="59" t="s">
        <v>134</v>
      </c>
      <c r="E412" s="49">
        <v>0.08</v>
      </c>
      <c r="F412" s="49"/>
      <c r="G412" s="49">
        <f>SmtRes!CX107</f>
        <v>4.5360000000000001E-3</v>
      </c>
      <c r="H412" s="50">
        <f>SmtRes!CZ107</f>
        <v>5764.42</v>
      </c>
      <c r="I412" s="60">
        <f>SmtRes!AI107</f>
        <v>1.95</v>
      </c>
      <c r="J412" s="50">
        <f>ROUND(H412*I412, 2)</f>
        <v>11240.62</v>
      </c>
      <c r="K412" s="60"/>
      <c r="L412" s="50">
        <f>SmtRes!DF107</f>
        <v>50.99</v>
      </c>
    </row>
    <row r="413" spans="1:83" ht="14.25" x14ac:dyDescent="0.2">
      <c r="A413" s="47"/>
      <c r="B413" s="47" t="str">
        <f>EtalonRes!I126</f>
        <v>01.7.04.07</v>
      </c>
      <c r="C413" s="47" t="str">
        <f>EtalonRes!K126</f>
        <v>Скобяные изделия</v>
      </c>
      <c r="D413" s="59" t="str">
        <f>EtalonRes!O126</f>
        <v>КОМПЛ</v>
      </c>
      <c r="E413" s="49">
        <f>EtalonRes!X126</f>
        <v>0</v>
      </c>
      <c r="F413" s="49"/>
      <c r="G413" s="49">
        <f>ROUND(EtalonRes!AG126*Source!I267, 7)</f>
        <v>0</v>
      </c>
      <c r="H413" s="50"/>
      <c r="I413" s="60"/>
      <c r="J413" s="50"/>
      <c r="K413" s="60"/>
      <c r="L413" s="50"/>
    </row>
    <row r="414" spans="1:83" ht="14.25" x14ac:dyDescent="0.2">
      <c r="A414" s="47"/>
      <c r="B414" s="47" t="str">
        <f>EtalonRes!I129</f>
        <v>11.1.01.10</v>
      </c>
      <c r="C414" s="47" t="str">
        <f>EtalonRes!K129</f>
        <v>Наличники</v>
      </c>
      <c r="D414" s="59" t="str">
        <f>EtalonRes!O129</f>
        <v>м</v>
      </c>
      <c r="E414" s="49">
        <f>EtalonRes!X129</f>
        <v>540</v>
      </c>
      <c r="F414" s="49"/>
      <c r="G414" s="49">
        <f>ROUND(EtalonRes!AG129*Source!I267, 7)</f>
        <v>30.617999999999999</v>
      </c>
      <c r="H414" s="50"/>
      <c r="I414" s="60"/>
      <c r="J414" s="50"/>
      <c r="K414" s="60"/>
      <c r="L414" s="50"/>
    </row>
    <row r="415" spans="1:83" ht="14.25" x14ac:dyDescent="0.2">
      <c r="A415" s="47"/>
      <c r="B415" s="47" t="str">
        <f>EtalonRes!I131</f>
        <v>11.2.02.01</v>
      </c>
      <c r="C415" s="61" t="str">
        <f>EtalonRes!K131</f>
        <v>Блоки дверные</v>
      </c>
      <c r="D415" s="62" t="str">
        <f>EtalonRes!O131</f>
        <v>м2</v>
      </c>
      <c r="E415" s="63">
        <f>EtalonRes!X131</f>
        <v>100</v>
      </c>
      <c r="F415" s="63"/>
      <c r="G415" s="63">
        <f>ROUND(EtalonRes!AG131*Source!I267, 7)</f>
        <v>5.67</v>
      </c>
      <c r="H415" s="64"/>
      <c r="I415" s="65"/>
      <c r="J415" s="64"/>
      <c r="K415" s="65"/>
      <c r="L415" s="64"/>
    </row>
    <row r="416" spans="1:83" ht="15" x14ac:dyDescent="0.2">
      <c r="A416" s="47"/>
      <c r="B416" s="47"/>
      <c r="C416" s="66" t="s">
        <v>635</v>
      </c>
      <c r="D416" s="59"/>
      <c r="E416" s="49"/>
      <c r="F416" s="49"/>
      <c r="G416" s="49"/>
      <c r="H416" s="50"/>
      <c r="I416" s="60"/>
      <c r="J416" s="50"/>
      <c r="K416" s="60"/>
      <c r="L416" s="50">
        <f>L402+L404+L405+L410</f>
        <v>2697.5600000000004</v>
      </c>
    </row>
    <row r="417" spans="1:82" ht="14.25" x14ac:dyDescent="0.2">
      <c r="A417" s="47"/>
      <c r="B417" s="47"/>
      <c r="C417" s="47" t="s">
        <v>636</v>
      </c>
      <c r="D417" s="59"/>
      <c r="E417" s="49"/>
      <c r="F417" s="49"/>
      <c r="G417" s="49"/>
      <c r="H417" s="50"/>
      <c r="I417" s="60"/>
      <c r="J417" s="50"/>
      <c r="K417" s="60"/>
      <c r="L417" s="50">
        <f>SUM(AR400:AR420)+SUM(AS400:AS420)+SUM(AT400:AT420)+SUM(AU400:AU420)+SUM(AV400:AV420)</f>
        <v>2438.09</v>
      </c>
    </row>
    <row r="418" spans="1:82" ht="14.25" x14ac:dyDescent="0.2">
      <c r="A418" s="47"/>
      <c r="B418" s="47" t="s">
        <v>200</v>
      </c>
      <c r="C418" s="47" t="s">
        <v>670</v>
      </c>
      <c r="D418" s="59" t="s">
        <v>638</v>
      </c>
      <c r="E418" s="49">
        <f>Source!BZ267</f>
        <v>108</v>
      </c>
      <c r="F418" s="49">
        <f>ROUND(0.9,7)</f>
        <v>0.9</v>
      </c>
      <c r="G418" s="49">
        <f>Source!AT267</f>
        <v>97.2</v>
      </c>
      <c r="H418" s="50"/>
      <c r="I418" s="60"/>
      <c r="J418" s="50"/>
      <c r="K418" s="60"/>
      <c r="L418" s="50">
        <f>SUM(AZ400:AZ420)</f>
        <v>2369.8200000000002</v>
      </c>
    </row>
    <row r="419" spans="1:82" ht="14.25" x14ac:dyDescent="0.2">
      <c r="A419" s="61"/>
      <c r="B419" s="61" t="s">
        <v>201</v>
      </c>
      <c r="C419" s="61" t="s">
        <v>671</v>
      </c>
      <c r="D419" s="62" t="s">
        <v>638</v>
      </c>
      <c r="E419" s="63">
        <f>Source!CA267</f>
        <v>55</v>
      </c>
      <c r="F419" s="63">
        <f>ROUND(0.85,7)</f>
        <v>0.85</v>
      </c>
      <c r="G419" s="63">
        <f>Source!AU267</f>
        <v>46.75</v>
      </c>
      <c r="H419" s="64"/>
      <c r="I419" s="65"/>
      <c r="J419" s="64"/>
      <c r="K419" s="65"/>
      <c r="L419" s="64">
        <f>SUM(BA400:BA420)</f>
        <v>1139.81</v>
      </c>
    </row>
    <row r="420" spans="1:82" ht="15" x14ac:dyDescent="0.2">
      <c r="C420" s="90" t="s">
        <v>640</v>
      </c>
      <c r="D420" s="90"/>
      <c r="E420" s="90"/>
      <c r="F420" s="90"/>
      <c r="G420" s="90"/>
      <c r="H420" s="90"/>
      <c r="I420" s="91">
        <f>IF(E400&lt;&gt;0,K420/E400, 0)</f>
        <v>109474.25044091714</v>
      </c>
      <c r="J420" s="91"/>
      <c r="K420" s="91">
        <f>L402+L404+L410+L418+L419+L405</f>
        <v>6207.1900000000014</v>
      </c>
      <c r="L420" s="91"/>
      <c r="AD420">
        <f>ROUND((Source!AT267/100)*((ROUND(SUMIF(SmtRes!AQ102:'SmtRes'!AQ107,"=1",SmtRes!AD102:'SmtRes'!AD107)*Source!I267, 2)+ROUND(SUMIF(SmtRes!AQ102:'SmtRes'!AQ107,"=1",SmtRes!AC102:'SmtRes'!AC107)*Source!I267, 2))), 2)</f>
        <v>52.06</v>
      </c>
      <c r="AE420">
        <f>ROUND((Source!AU267/100)*((ROUND(SUMIF(SmtRes!AQ102:'SmtRes'!AQ107,"=1",SmtRes!AD102:'SmtRes'!AD107)*Source!I267, 2)+ROUND(SUMIF(SmtRes!AQ102:'SmtRes'!AQ107,"=1",SmtRes!AC102:'SmtRes'!AC107)*Source!I267, 2))), 2)</f>
        <v>25.04</v>
      </c>
      <c r="AN420" s="55">
        <f>L402+L404+L410+L418+L419+L405</f>
        <v>6207.1900000000014</v>
      </c>
      <c r="AO420" s="55">
        <f>L404</f>
        <v>156.95000000000005</v>
      </c>
      <c r="AQ420" t="s">
        <v>641</v>
      </c>
      <c r="AR420" s="55">
        <f>L402</f>
        <v>2342.7800000000002</v>
      </c>
      <c r="AT420" s="55">
        <f>L405</f>
        <v>95.31</v>
      </c>
      <c r="AV420" t="s">
        <v>641</v>
      </c>
      <c r="AW420" s="55">
        <f>L410</f>
        <v>102.52000000000001</v>
      </c>
      <c r="AZ420">
        <f>Source!X267</f>
        <v>2369.8200000000002</v>
      </c>
      <c r="BA420">
        <f>Source!Y267</f>
        <v>1139.81</v>
      </c>
      <c r="CD420">
        <v>1</v>
      </c>
    </row>
    <row r="421" spans="1:82" ht="85.5" x14ac:dyDescent="0.2">
      <c r="A421" s="68" t="s">
        <v>268</v>
      </c>
      <c r="B421" s="61" t="str">
        <f>Source!F268</f>
        <v>11.2.02.01-1092</v>
      </c>
      <c r="C421" s="61" t="str">
        <f>Source!G268</f>
        <v>Блок дверной деревянный внутренний распашной глухой, площадь до 2,0 м2, материал комбинированный с покрытием из натурального шпона (ДВ 1Рл 21х9 Г ПрБ Мд1 - 2 шт., ДВ 1 Рп 21х9 Г ПрБ Мд1)</v>
      </c>
      <c r="D421" s="62" t="str">
        <f>Source!H268</f>
        <v>м2</v>
      </c>
      <c r="E421" s="63">
        <f>Source!K268</f>
        <v>5.67</v>
      </c>
      <c r="F421" s="63"/>
      <c r="G421" s="63">
        <f>Source!I268</f>
        <v>5.67</v>
      </c>
      <c r="H421" s="64">
        <f>Source!AL268</f>
        <v>6958.22</v>
      </c>
      <c r="I421" s="65">
        <f>IF(Source!BC268&lt;&gt; 0, Source!BC268, 1)</f>
        <v>1.93</v>
      </c>
      <c r="J421" s="64">
        <f>ROUND(H421*I421, 2)</f>
        <v>13429.36</v>
      </c>
      <c r="K421" s="65"/>
      <c r="L421" s="64">
        <f>Source!P268</f>
        <v>76144.47</v>
      </c>
    </row>
    <row r="422" spans="1:82" ht="15" x14ac:dyDescent="0.2">
      <c r="C422" s="90" t="s">
        <v>640</v>
      </c>
      <c r="D422" s="90"/>
      <c r="E422" s="90"/>
      <c r="F422" s="90"/>
      <c r="G422" s="90"/>
      <c r="H422" s="90"/>
      <c r="I422" s="91">
        <f>IF(E421&lt;&gt;0,K422/E421, 0)</f>
        <v>13429.359788359789</v>
      </c>
      <c r="J422" s="91"/>
      <c r="K422" s="91">
        <f>L421</f>
        <v>76144.47</v>
      </c>
      <c r="L422" s="91"/>
      <c r="AD422">
        <f>ROUND((Source!AT268/100)*((ROUND(ROUND(Source!AO268,2)*Source!I268, 2)+ROUND(ROUND(Source!AN268,2)*Source!I268, 2))), 2)</f>
        <v>0</v>
      </c>
      <c r="AE422">
        <f>ROUND((Source!AU268/100)*((ROUND(ROUND(Source!AO268,2)*Source!I268, 2)+ROUND(ROUND(Source!AN268,2)*Source!I268, 2))), 2)</f>
        <v>0</v>
      </c>
      <c r="AN422" s="55">
        <f>L421</f>
        <v>76144.47</v>
      </c>
      <c r="AO422">
        <f>0</f>
        <v>0</v>
      </c>
      <c r="AQ422" t="s">
        <v>641</v>
      </c>
      <c r="AR422">
        <f>0</f>
        <v>0</v>
      </c>
      <c r="AT422">
        <f>0</f>
        <v>0</v>
      </c>
      <c r="AV422" t="s">
        <v>641</v>
      </c>
      <c r="AW422" s="55">
        <f>L421</f>
        <v>76144.47</v>
      </c>
      <c r="AZ422">
        <f>Source!X268</f>
        <v>0</v>
      </c>
      <c r="BA422">
        <f>Source!Y268</f>
        <v>0</v>
      </c>
      <c r="CD422">
        <v>1</v>
      </c>
    </row>
    <row r="423" spans="1:82" ht="28.5" x14ac:dyDescent="0.2">
      <c r="A423" s="68" t="s">
        <v>272</v>
      </c>
      <c r="B423" s="61" t="str">
        <f>Source!F269</f>
        <v>01.7.04.09-0012</v>
      </c>
      <c r="C423" s="61" t="str">
        <f>Source!G269</f>
        <v>Петля накладная с цинковым напылением, тип ПН, высота 130 мм</v>
      </c>
      <c r="D423" s="62" t="str">
        <f>Source!H269</f>
        <v>ШТ</v>
      </c>
      <c r="E423" s="63">
        <f>Source!K269</f>
        <v>6</v>
      </c>
      <c r="F423" s="63"/>
      <c r="G423" s="63">
        <f>Source!I269</f>
        <v>6</v>
      </c>
      <c r="H423" s="64">
        <f>Source!AL269</f>
        <v>76.819999999999993</v>
      </c>
      <c r="I423" s="65">
        <f>IF(Source!BC269&lt;&gt; 0, Source!BC269, 1)</f>
        <v>1.33</v>
      </c>
      <c r="J423" s="64">
        <f>ROUND(H423*I423, 2)</f>
        <v>102.17</v>
      </c>
      <c r="K423" s="65"/>
      <c r="L423" s="64">
        <f>Source!P269</f>
        <v>613.02</v>
      </c>
    </row>
    <row r="424" spans="1:82" ht="15" x14ac:dyDescent="0.2">
      <c r="C424" s="90" t="s">
        <v>640</v>
      </c>
      <c r="D424" s="90"/>
      <c r="E424" s="90"/>
      <c r="F424" s="90"/>
      <c r="G424" s="90"/>
      <c r="H424" s="90"/>
      <c r="I424" s="91">
        <f>IF(E423&lt;&gt;0,K424/E423, 0)</f>
        <v>102.17</v>
      </c>
      <c r="J424" s="91"/>
      <c r="K424" s="91">
        <f>L423</f>
        <v>613.02</v>
      </c>
      <c r="L424" s="91"/>
      <c r="AD424">
        <f>ROUND((Source!AT269/100)*((ROUND(ROUND(Source!AO269,2)*Source!I269, 2)+ROUND(ROUND(Source!AN269,2)*Source!I269, 2))), 2)</f>
        <v>0</v>
      </c>
      <c r="AE424">
        <f>ROUND((Source!AU269/100)*((ROUND(ROUND(Source!AO269,2)*Source!I269, 2)+ROUND(ROUND(Source!AN269,2)*Source!I269, 2))), 2)</f>
        <v>0</v>
      </c>
      <c r="AN424" s="55">
        <f>L423</f>
        <v>613.02</v>
      </c>
      <c r="AO424">
        <f>0</f>
        <v>0</v>
      </c>
      <c r="AQ424" t="s">
        <v>641</v>
      </c>
      <c r="AR424">
        <f>0</f>
        <v>0</v>
      </c>
      <c r="AT424">
        <f>0</f>
        <v>0</v>
      </c>
      <c r="AV424" t="s">
        <v>641</v>
      </c>
      <c r="AW424" s="55">
        <f>L423</f>
        <v>613.02</v>
      </c>
      <c r="AZ424">
        <f>Source!X269</f>
        <v>0</v>
      </c>
      <c r="BA424">
        <f>Source!Y269</f>
        <v>0</v>
      </c>
      <c r="CD424">
        <v>1</v>
      </c>
    </row>
    <row r="425" spans="1:82" ht="42.75" x14ac:dyDescent="0.2">
      <c r="A425" s="68" t="s">
        <v>276</v>
      </c>
      <c r="B425" s="61" t="str">
        <f>Source!F270</f>
        <v>14.5.01.05-0011</v>
      </c>
      <c r="C425" s="61" t="str">
        <f>Source!G270</f>
        <v>Герметик пенополиуретановый (пена монтажная) универсальный, объем 850 мл</v>
      </c>
      <c r="D425" s="62" t="str">
        <f>Source!H270</f>
        <v>ШТ</v>
      </c>
      <c r="E425" s="63">
        <f>Source!K270</f>
        <v>2</v>
      </c>
      <c r="F425" s="63"/>
      <c r="G425" s="63">
        <f>Source!I270</f>
        <v>2</v>
      </c>
      <c r="H425" s="64">
        <f>Source!AL270</f>
        <v>377.99</v>
      </c>
      <c r="I425" s="65">
        <f>IF(Source!BC270&lt;&gt; 0, Source!BC270, 1)</f>
        <v>1.1100000000000001</v>
      </c>
      <c r="J425" s="64">
        <f>ROUND(H425*I425, 2)</f>
        <v>419.57</v>
      </c>
      <c r="K425" s="65"/>
      <c r="L425" s="64">
        <f>Source!P270</f>
        <v>839.14</v>
      </c>
    </row>
    <row r="426" spans="1:82" ht="15" x14ac:dyDescent="0.2">
      <c r="C426" s="90" t="s">
        <v>640</v>
      </c>
      <c r="D426" s="90"/>
      <c r="E426" s="90"/>
      <c r="F426" s="90"/>
      <c r="G426" s="90"/>
      <c r="H426" s="90"/>
      <c r="I426" s="91">
        <f>IF(E425&lt;&gt;0,K426/E425, 0)</f>
        <v>419.57</v>
      </c>
      <c r="J426" s="91"/>
      <c r="K426" s="91">
        <f>L425</f>
        <v>839.14</v>
      </c>
      <c r="L426" s="91"/>
      <c r="AD426">
        <f>ROUND((Source!AT270/100)*((ROUND(ROUND(Source!AO270,2)*Source!I270, 2)+ROUND(ROUND(Source!AN270,2)*Source!I270, 2))), 2)</f>
        <v>0</v>
      </c>
      <c r="AE426">
        <f>ROUND((Source!AU270/100)*((ROUND(ROUND(Source!AO270,2)*Source!I270, 2)+ROUND(ROUND(Source!AN270,2)*Source!I270, 2))), 2)</f>
        <v>0</v>
      </c>
      <c r="AN426" s="55">
        <f>L425</f>
        <v>839.14</v>
      </c>
      <c r="AO426">
        <f>0</f>
        <v>0</v>
      </c>
      <c r="AQ426" t="s">
        <v>641</v>
      </c>
      <c r="AR426">
        <f>0</f>
        <v>0</v>
      </c>
      <c r="AT426">
        <f>0</f>
        <v>0</v>
      </c>
      <c r="AV426" t="s">
        <v>641</v>
      </c>
      <c r="AW426" s="55">
        <f>L425</f>
        <v>839.14</v>
      </c>
      <c r="AZ426">
        <f>Source!X270</f>
        <v>0</v>
      </c>
      <c r="BA426">
        <f>Source!Y270</f>
        <v>0</v>
      </c>
      <c r="CD426">
        <v>1</v>
      </c>
    </row>
    <row r="427" spans="1:82" ht="42.75" x14ac:dyDescent="0.2">
      <c r="A427" s="68" t="s">
        <v>280</v>
      </c>
      <c r="B427" s="61" t="str">
        <f>Source!F271</f>
        <v>11.1.01.10-0004</v>
      </c>
      <c r="C427" s="61" t="str">
        <f>Source!G271</f>
        <v>Наличник из древесины хвойных пород (ель, сосна), тип Н-1, ширина 70-75 мм, толщина 10-18 мм</v>
      </c>
      <c r="D427" s="62" t="str">
        <f>Source!H271</f>
        <v>м</v>
      </c>
      <c r="E427" s="63">
        <f>Source!K271</f>
        <v>30.62</v>
      </c>
      <c r="F427" s="63"/>
      <c r="G427" s="63">
        <f>Source!I271</f>
        <v>30.62</v>
      </c>
      <c r="H427" s="64">
        <f>Source!AL271</f>
        <v>45.95</v>
      </c>
      <c r="I427" s="65">
        <f>IF(Source!BC271&lt;&gt; 0, Source!BC271, 1)</f>
        <v>1.95</v>
      </c>
      <c r="J427" s="64">
        <f>ROUND(H427*I427, 2)</f>
        <v>89.6</v>
      </c>
      <c r="K427" s="65"/>
      <c r="L427" s="64">
        <f>Source!P271</f>
        <v>2743.55</v>
      </c>
    </row>
    <row r="428" spans="1:82" ht="15" x14ac:dyDescent="0.2">
      <c r="C428" s="90" t="s">
        <v>640</v>
      </c>
      <c r="D428" s="90"/>
      <c r="E428" s="90"/>
      <c r="F428" s="90"/>
      <c r="G428" s="90"/>
      <c r="H428" s="90"/>
      <c r="I428" s="91">
        <f>IF(E427&lt;&gt;0,K428/E427, 0)</f>
        <v>89.59993468321359</v>
      </c>
      <c r="J428" s="91"/>
      <c r="K428" s="91">
        <f>L427</f>
        <v>2743.55</v>
      </c>
      <c r="L428" s="91"/>
      <c r="AD428">
        <f>ROUND((Source!AT271/100)*((ROUND(ROUND(Source!AO271,2)*Source!I271, 2)+ROUND(ROUND(Source!AN271,2)*Source!I271, 2))), 2)</f>
        <v>0</v>
      </c>
      <c r="AE428">
        <f>ROUND((Source!AU271/100)*((ROUND(ROUND(Source!AO271,2)*Source!I271, 2)+ROUND(ROUND(Source!AN271,2)*Source!I271, 2))), 2)</f>
        <v>0</v>
      </c>
      <c r="AN428" s="55">
        <f>L427</f>
        <v>2743.55</v>
      </c>
      <c r="AO428">
        <f>0</f>
        <v>0</v>
      </c>
      <c r="AQ428" t="s">
        <v>641</v>
      </c>
      <c r="AR428">
        <f>0</f>
        <v>0</v>
      </c>
      <c r="AT428">
        <f>0</f>
        <v>0</v>
      </c>
      <c r="AV428" t="s">
        <v>641</v>
      </c>
      <c r="AW428" s="55">
        <f>L427</f>
        <v>2743.55</v>
      </c>
      <c r="AZ428">
        <f>Source!X271</f>
        <v>0</v>
      </c>
      <c r="BA428">
        <f>Source!Y271</f>
        <v>0</v>
      </c>
      <c r="CD428">
        <v>1</v>
      </c>
    </row>
    <row r="430" spans="1:82" ht="15" x14ac:dyDescent="0.2">
      <c r="A430" s="51"/>
      <c r="B430" s="52"/>
      <c r="C430" s="87" t="s">
        <v>687</v>
      </c>
      <c r="D430" s="87"/>
      <c r="E430" s="87"/>
      <c r="F430" s="87"/>
      <c r="G430" s="87"/>
      <c r="H430" s="87"/>
      <c r="I430" s="53"/>
      <c r="J430" s="51"/>
      <c r="K430" s="54"/>
      <c r="L430" s="53">
        <f>L432+L433+L439+L443</f>
        <v>300110.44</v>
      </c>
    </row>
    <row r="431" spans="1:82" ht="14.25" x14ac:dyDescent="0.2">
      <c r="A431" s="45"/>
      <c r="B431" s="48"/>
      <c r="C431" s="86" t="s">
        <v>604</v>
      </c>
      <c r="D431" s="83"/>
      <c r="E431" s="83"/>
      <c r="F431" s="83"/>
      <c r="G431" s="83"/>
      <c r="H431" s="83"/>
      <c r="I431" s="50"/>
      <c r="J431" s="45"/>
      <c r="K431" s="49"/>
      <c r="L431" s="50"/>
    </row>
    <row r="432" spans="1:82" ht="14.25" x14ac:dyDescent="0.2">
      <c r="A432" s="45"/>
      <c r="B432" s="48"/>
      <c r="C432" s="83" t="s">
        <v>605</v>
      </c>
      <c r="D432" s="83"/>
      <c r="E432" s="83"/>
      <c r="F432" s="83"/>
      <c r="G432" s="83"/>
      <c r="H432" s="83"/>
      <c r="I432" s="50"/>
      <c r="J432" s="45"/>
      <c r="K432" s="49"/>
      <c r="L432" s="50">
        <f>SUM(AR61:AR428)</f>
        <v>95391.69</v>
      </c>
    </row>
    <row r="433" spans="1:12" ht="14.25" hidden="1" x14ac:dyDescent="0.2">
      <c r="A433" s="45"/>
      <c r="B433" s="48"/>
      <c r="C433" s="83" t="s">
        <v>606</v>
      </c>
      <c r="D433" s="83"/>
      <c r="E433" s="83"/>
      <c r="F433" s="83"/>
      <c r="G433" s="83"/>
      <c r="H433" s="83"/>
      <c r="I433" s="50"/>
      <c r="J433" s="45"/>
      <c r="K433" s="49"/>
      <c r="L433" s="50">
        <f>L435+L438+L437</f>
        <v>5558.5999999999985</v>
      </c>
    </row>
    <row r="434" spans="1:12" ht="14.25" hidden="1" x14ac:dyDescent="0.2">
      <c r="A434" s="45"/>
      <c r="B434" s="48"/>
      <c r="C434" s="86" t="s">
        <v>607</v>
      </c>
      <c r="D434" s="83"/>
      <c r="E434" s="83"/>
      <c r="F434" s="83"/>
      <c r="G434" s="83"/>
      <c r="H434" s="83"/>
      <c r="I434" s="50"/>
      <c r="J434" s="45"/>
      <c r="K434" s="49"/>
      <c r="L434" s="50"/>
    </row>
    <row r="435" spans="1:12" ht="14.25" x14ac:dyDescent="0.2">
      <c r="A435" s="45"/>
      <c r="B435" s="48"/>
      <c r="C435" s="83" t="s">
        <v>606</v>
      </c>
      <c r="D435" s="83"/>
      <c r="E435" s="83"/>
      <c r="F435" s="83"/>
      <c r="G435" s="83"/>
      <c r="H435" s="83"/>
      <c r="I435" s="50"/>
      <c r="J435" s="45"/>
      <c r="K435" s="49"/>
      <c r="L435" s="50">
        <f>SUM(AO61:AO428)</f>
        <v>2742.2999999999984</v>
      </c>
    </row>
    <row r="436" spans="1:12" ht="14.25" hidden="1" x14ac:dyDescent="0.2">
      <c r="A436" s="45"/>
      <c r="B436" s="48"/>
      <c r="C436" s="86" t="s">
        <v>608</v>
      </c>
      <c r="D436" s="83"/>
      <c r="E436" s="83"/>
      <c r="F436" s="83"/>
      <c r="G436" s="83"/>
      <c r="H436" s="83"/>
      <c r="I436" s="50"/>
      <c r="J436" s="45"/>
      <c r="K436" s="49"/>
      <c r="L436" s="50"/>
    </row>
    <row r="437" spans="1:12" ht="14.25" x14ac:dyDescent="0.2">
      <c r="A437" s="45"/>
      <c r="B437" s="48"/>
      <c r="C437" s="83" t="s">
        <v>628</v>
      </c>
      <c r="D437" s="83"/>
      <c r="E437" s="83"/>
      <c r="F437" s="83"/>
      <c r="G437" s="83"/>
      <c r="H437" s="83"/>
      <c r="I437" s="50"/>
      <c r="J437" s="45"/>
      <c r="K437" s="49"/>
      <c r="L437" s="50">
        <f>SUM(AT61:AT428)</f>
        <v>2816.3</v>
      </c>
    </row>
    <row r="438" spans="1:12" ht="14.25" hidden="1" x14ac:dyDescent="0.2">
      <c r="A438" s="45"/>
      <c r="B438" s="48"/>
      <c r="C438" s="83" t="s">
        <v>609</v>
      </c>
      <c r="D438" s="83"/>
      <c r="E438" s="83"/>
      <c r="F438" s="83"/>
      <c r="G438" s="83"/>
      <c r="H438" s="83"/>
      <c r="I438" s="50"/>
      <c r="J438" s="45"/>
      <c r="K438" s="49"/>
      <c r="L438" s="50">
        <f>SUM(AV61:AV428)</f>
        <v>0</v>
      </c>
    </row>
    <row r="439" spans="1:12" ht="14.25" x14ac:dyDescent="0.2">
      <c r="A439" s="45"/>
      <c r="B439" s="48"/>
      <c r="C439" s="83" t="s">
        <v>610</v>
      </c>
      <c r="D439" s="83"/>
      <c r="E439" s="83"/>
      <c r="F439" s="83"/>
      <c r="G439" s="83"/>
      <c r="H439" s="83"/>
      <c r="I439" s="50"/>
      <c r="J439" s="45"/>
      <c r="K439" s="49"/>
      <c r="L439" s="50">
        <f>L441+L442</f>
        <v>199160.15</v>
      </c>
    </row>
    <row r="440" spans="1:12" ht="14.25" x14ac:dyDescent="0.2">
      <c r="A440" s="45"/>
      <c r="B440" s="48"/>
      <c r="C440" s="86" t="s">
        <v>607</v>
      </c>
      <c r="D440" s="83"/>
      <c r="E440" s="83"/>
      <c r="F440" s="83"/>
      <c r="G440" s="83"/>
      <c r="H440" s="83"/>
      <c r="I440" s="50"/>
      <c r="J440" s="45"/>
      <c r="K440" s="49"/>
      <c r="L440" s="50"/>
    </row>
    <row r="441" spans="1:12" ht="14.25" x14ac:dyDescent="0.2">
      <c r="A441" s="45"/>
      <c r="B441" s="48"/>
      <c r="C441" s="83" t="s">
        <v>611</v>
      </c>
      <c r="D441" s="83"/>
      <c r="E441" s="83"/>
      <c r="F441" s="83"/>
      <c r="G441" s="83"/>
      <c r="H441" s="83"/>
      <c r="I441" s="50"/>
      <c r="J441" s="45"/>
      <c r="K441" s="49"/>
      <c r="L441" s="50">
        <f>SUM(AW61:AW428)-SUM(BK61:BK428)</f>
        <v>199160.15</v>
      </c>
    </row>
    <row r="442" spans="1:12" ht="14.25" hidden="1" x14ac:dyDescent="0.2">
      <c r="A442" s="45"/>
      <c r="B442" s="48"/>
      <c r="C442" s="83" t="s">
        <v>612</v>
      </c>
      <c r="D442" s="83"/>
      <c r="E442" s="83"/>
      <c r="F442" s="83"/>
      <c r="G442" s="83"/>
      <c r="H442" s="83"/>
      <c r="I442" s="50"/>
      <c r="J442" s="45"/>
      <c r="K442" s="49"/>
      <c r="L442" s="50">
        <f>SUM(BC61:BC428)</f>
        <v>0</v>
      </c>
    </row>
    <row r="443" spans="1:12" ht="14.25" hidden="1" x14ac:dyDescent="0.2">
      <c r="A443" s="45"/>
      <c r="B443" s="48"/>
      <c r="C443" s="83" t="s">
        <v>613</v>
      </c>
      <c r="D443" s="83"/>
      <c r="E443" s="83"/>
      <c r="F443" s="83"/>
      <c r="G443" s="83"/>
      <c r="H443" s="83"/>
      <c r="I443" s="50"/>
      <c r="J443" s="45"/>
      <c r="K443" s="49"/>
      <c r="L443" s="50">
        <f>SUM(BB61:BB428)</f>
        <v>0</v>
      </c>
    </row>
    <row r="444" spans="1:12" ht="14.25" x14ac:dyDescent="0.2">
      <c r="A444" s="45"/>
      <c r="B444" s="48"/>
      <c r="C444" s="83" t="s">
        <v>614</v>
      </c>
      <c r="D444" s="83"/>
      <c r="E444" s="83"/>
      <c r="F444" s="83"/>
      <c r="G444" s="83"/>
      <c r="H444" s="83"/>
      <c r="I444" s="50"/>
      <c r="J444" s="45"/>
      <c r="K444" s="49"/>
      <c r="L444" s="50">
        <f>SUM(AR61:AR428)+SUM(AT61:AT428)+SUM(AV61:AV428)</f>
        <v>98207.99</v>
      </c>
    </row>
    <row r="445" spans="1:12" ht="14.25" x14ac:dyDescent="0.2">
      <c r="A445" s="45"/>
      <c r="B445" s="48"/>
      <c r="C445" s="83" t="s">
        <v>615</v>
      </c>
      <c r="D445" s="83"/>
      <c r="E445" s="83"/>
      <c r="F445" s="83"/>
      <c r="G445" s="83"/>
      <c r="H445" s="83"/>
      <c r="I445" s="50"/>
      <c r="J445" s="45"/>
      <c r="K445" s="49"/>
      <c r="L445" s="50">
        <f>SUM(AZ61:AZ428)</f>
        <v>89709.900000000038</v>
      </c>
    </row>
    <row r="446" spans="1:12" ht="14.25" x14ac:dyDescent="0.2">
      <c r="A446" s="45"/>
      <c r="B446" s="48"/>
      <c r="C446" s="83" t="s">
        <v>616</v>
      </c>
      <c r="D446" s="83"/>
      <c r="E446" s="83"/>
      <c r="F446" s="83"/>
      <c r="G446" s="83"/>
      <c r="H446" s="83"/>
      <c r="I446" s="50"/>
      <c r="J446" s="45"/>
      <c r="K446" s="49"/>
      <c r="L446" s="50">
        <f>SUM(BA61:BA428)</f>
        <v>44273.22</v>
      </c>
    </row>
    <row r="447" spans="1:12" ht="14.25" hidden="1" x14ac:dyDescent="0.2">
      <c r="A447" s="45"/>
      <c r="B447" s="48"/>
      <c r="C447" s="83" t="s">
        <v>617</v>
      </c>
      <c r="D447" s="83"/>
      <c r="E447" s="83"/>
      <c r="F447" s="83"/>
      <c r="G447" s="83"/>
      <c r="H447" s="83"/>
      <c r="I447" s="50"/>
      <c r="J447" s="45"/>
      <c r="K447" s="49"/>
      <c r="L447" s="50">
        <f>L449+L450</f>
        <v>0</v>
      </c>
    </row>
    <row r="448" spans="1:12" ht="14.25" hidden="1" x14ac:dyDescent="0.2">
      <c r="A448" s="45"/>
      <c r="B448" s="48"/>
      <c r="C448" s="86" t="s">
        <v>604</v>
      </c>
      <c r="D448" s="83"/>
      <c r="E448" s="83"/>
      <c r="F448" s="83"/>
      <c r="G448" s="83"/>
      <c r="H448" s="83"/>
      <c r="I448" s="50"/>
      <c r="J448" s="45"/>
      <c r="K448" s="49"/>
      <c r="L448" s="50"/>
    </row>
    <row r="449" spans="1:82" ht="14.25" hidden="1" x14ac:dyDescent="0.2">
      <c r="A449" s="45"/>
      <c r="B449" s="48"/>
      <c r="C449" s="83" t="s">
        <v>618</v>
      </c>
      <c r="D449" s="83"/>
      <c r="E449" s="83"/>
      <c r="F449" s="83"/>
      <c r="G449" s="83"/>
      <c r="H449" s="83"/>
      <c r="I449" s="50"/>
      <c r="J449" s="45"/>
      <c r="K449" s="49"/>
      <c r="L449" s="50">
        <f>SUM(BK61:BK428)</f>
        <v>0</v>
      </c>
    </row>
    <row r="450" spans="1:82" ht="14.25" hidden="1" x14ac:dyDescent="0.2">
      <c r="A450" s="45"/>
      <c r="B450" s="48"/>
      <c r="C450" s="83" t="s">
        <v>619</v>
      </c>
      <c r="D450" s="83"/>
      <c r="E450" s="83"/>
      <c r="F450" s="83"/>
      <c r="G450" s="83"/>
      <c r="H450" s="83"/>
      <c r="I450" s="50"/>
      <c r="J450" s="45"/>
      <c r="K450" s="49"/>
      <c r="L450" s="50">
        <f>SUM(BD61:BD428)</f>
        <v>0</v>
      </c>
    </row>
    <row r="451" spans="1:82" ht="14.25" hidden="1" x14ac:dyDescent="0.2">
      <c r="A451" s="45"/>
      <c r="B451" s="48"/>
      <c r="C451" s="83" t="s">
        <v>620</v>
      </c>
      <c r="D451" s="83"/>
      <c r="E451" s="83"/>
      <c r="F451" s="83"/>
      <c r="G451" s="83"/>
      <c r="H451" s="83"/>
      <c r="I451" s="50"/>
      <c r="J451" s="45"/>
      <c r="K451" s="49"/>
      <c r="L451" s="50"/>
    </row>
    <row r="452" spans="1:82" ht="14.25" hidden="1" x14ac:dyDescent="0.2">
      <c r="A452" s="45"/>
      <c r="B452" s="48"/>
      <c r="C452" s="83" t="s">
        <v>620</v>
      </c>
      <c r="D452" s="83"/>
      <c r="E452" s="83"/>
      <c r="F452" s="83"/>
      <c r="G452" s="83"/>
      <c r="H452" s="83"/>
      <c r="I452" s="50"/>
      <c r="J452" s="45"/>
      <c r="K452" s="49"/>
      <c r="L452" s="50">
        <f>SUM(BQ61:BQ428)</f>
        <v>0</v>
      </c>
    </row>
    <row r="453" spans="1:82" ht="14.25" hidden="1" x14ac:dyDescent="0.2">
      <c r="A453" s="45"/>
      <c r="B453" s="48"/>
      <c r="C453" s="83" t="s">
        <v>621</v>
      </c>
      <c r="D453" s="83"/>
      <c r="E453" s="83"/>
      <c r="F453" s="83"/>
      <c r="G453" s="83"/>
      <c r="H453" s="83"/>
      <c r="I453" s="50"/>
      <c r="J453" s="45"/>
      <c r="K453" s="49"/>
      <c r="L453" s="50">
        <f>SUM(BO61:BO428)</f>
        <v>0</v>
      </c>
    </row>
    <row r="454" spans="1:82" ht="15" x14ac:dyDescent="0.2">
      <c r="A454" s="51"/>
      <c r="B454" s="52"/>
      <c r="C454" s="87" t="s">
        <v>622</v>
      </c>
      <c r="D454" s="87"/>
      <c r="E454" s="87"/>
      <c r="F454" s="87"/>
      <c r="G454" s="87"/>
      <c r="H454" s="87"/>
      <c r="I454" s="53"/>
      <c r="J454" s="51"/>
      <c r="K454" s="54"/>
      <c r="L454" s="53">
        <f>L430+L445+L446+L447+L452+L453</f>
        <v>434093.56000000006</v>
      </c>
    </row>
    <row r="455" spans="1:82" ht="14.25" x14ac:dyDescent="0.2">
      <c r="A455" s="45"/>
      <c r="B455" s="48"/>
      <c r="C455" s="86" t="s">
        <v>623</v>
      </c>
      <c r="D455" s="83"/>
      <c r="E455" s="83"/>
      <c r="F455" s="83"/>
      <c r="G455" s="83"/>
      <c r="H455" s="83"/>
      <c r="I455" s="50"/>
      <c r="J455" s="45"/>
      <c r="K455" s="49"/>
      <c r="L455" s="50"/>
    </row>
    <row r="456" spans="1:82" ht="14.25" hidden="1" x14ac:dyDescent="0.2">
      <c r="A456" s="45"/>
      <c r="B456" s="48"/>
      <c r="C456" s="83" t="s">
        <v>624</v>
      </c>
      <c r="D456" s="83"/>
      <c r="E456" s="83"/>
      <c r="F456" s="83"/>
      <c r="G456" s="83"/>
      <c r="H456" s="83"/>
      <c r="I456" s="50"/>
      <c r="J456" s="45"/>
      <c r="K456" s="49"/>
      <c r="L456" s="50">
        <f>SUM(AX61:AX428)</f>
        <v>0</v>
      </c>
    </row>
    <row r="457" spans="1:82" ht="14.25" hidden="1" x14ac:dyDescent="0.2">
      <c r="A457" s="45"/>
      <c r="B457" s="48"/>
      <c r="C457" s="83" t="s">
        <v>625</v>
      </c>
      <c r="D457" s="83"/>
      <c r="E457" s="83"/>
      <c r="F457" s="83"/>
      <c r="G457" s="83"/>
      <c r="H457" s="83"/>
      <c r="I457" s="50"/>
      <c r="J457" s="45"/>
      <c r="K457" s="49"/>
      <c r="L457" s="50">
        <f>SUM(AY61:AY428)</f>
        <v>0</v>
      </c>
    </row>
    <row r="458" spans="1:82" ht="14.25" x14ac:dyDescent="0.2">
      <c r="A458" s="45"/>
      <c r="B458" s="48"/>
      <c r="C458" s="83" t="s">
        <v>626</v>
      </c>
      <c r="D458" s="83"/>
      <c r="E458" s="83"/>
      <c r="F458" s="84"/>
      <c r="G458" s="56">
        <f>Source!F295</f>
        <v>316.76887699999997</v>
      </c>
      <c r="H458" s="45"/>
      <c r="I458" s="45"/>
      <c r="J458" s="45"/>
      <c r="K458" s="45"/>
      <c r="L458" s="45"/>
    </row>
    <row r="459" spans="1:82" ht="14.25" x14ac:dyDescent="0.2">
      <c r="A459" s="45"/>
      <c r="B459" s="48"/>
      <c r="C459" s="83" t="s">
        <v>627</v>
      </c>
      <c r="D459" s="83"/>
      <c r="E459" s="83"/>
      <c r="F459" s="84"/>
      <c r="G459" s="56">
        <f>Source!F296</f>
        <v>9.1510058000000001</v>
      </c>
      <c r="H459" s="45"/>
      <c r="I459" s="45"/>
      <c r="J459" s="45"/>
      <c r="K459" s="45"/>
      <c r="L459" s="45"/>
    </row>
    <row r="462" spans="1:82" ht="16.5" x14ac:dyDescent="0.2">
      <c r="A462" s="92" t="s">
        <v>688</v>
      </c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</row>
    <row r="463" spans="1:82" ht="42.75" x14ac:dyDescent="0.2">
      <c r="A463" s="68" t="s">
        <v>285</v>
      </c>
      <c r="B463" s="61" t="s">
        <v>286</v>
      </c>
      <c r="C463" s="61" t="str">
        <f>Source!G307</f>
        <v>Погрузка в автотранспортное средство: мусор строительный с погрузкой вручную</v>
      </c>
      <c r="D463" s="62" t="str">
        <f>Source!H307</f>
        <v>1т груза</v>
      </c>
      <c r="E463" s="63">
        <f>Source!K307</f>
        <v>9.4679900000000004</v>
      </c>
      <c r="F463" s="63"/>
      <c r="G463" s="63">
        <f>Source!I307</f>
        <v>9.4679900000000004</v>
      </c>
      <c r="H463" s="64"/>
      <c r="I463" s="65"/>
      <c r="J463" s="64">
        <f>Source!AK307</f>
        <v>840.61</v>
      </c>
      <c r="K463" s="65"/>
      <c r="L463" s="64">
        <f>Source!HD307</f>
        <v>7958.89</v>
      </c>
    </row>
    <row r="464" spans="1:82" ht="15" x14ac:dyDescent="0.2">
      <c r="C464" s="90" t="s">
        <v>640</v>
      </c>
      <c r="D464" s="90"/>
      <c r="E464" s="90"/>
      <c r="F464" s="90"/>
      <c r="G464" s="90"/>
      <c r="H464" s="90"/>
      <c r="I464" s="91">
        <f>IF(E463&lt;&gt;0,K464/E463, 0)</f>
        <v>840.61030905186851</v>
      </c>
      <c r="J464" s="91"/>
      <c r="K464" s="91">
        <f>L463</f>
        <v>7958.89</v>
      </c>
      <c r="L464" s="91"/>
      <c r="AD464">
        <f>ROUND((Source!AT307/100)*((ROUND(0*Source!I307, 2)+ROUND(0*Source!I307, 2))), 2)</f>
        <v>0</v>
      </c>
      <c r="AE464">
        <f>ROUND((Source!AU307/100)*((ROUND(0*Source!I307, 2)+ROUND(0*Source!I307, 2))), 2)</f>
        <v>0</v>
      </c>
      <c r="AN464" s="55">
        <f>L463</f>
        <v>7958.89</v>
      </c>
      <c r="AP464">
        <f>0</f>
        <v>0</v>
      </c>
      <c r="AQ464" t="s">
        <v>641</v>
      </c>
      <c r="AS464">
        <f>0</f>
        <v>0</v>
      </c>
      <c r="AU464">
        <f>0</f>
        <v>0</v>
      </c>
      <c r="AV464" t="s">
        <v>641</v>
      </c>
      <c r="AZ464">
        <f>Source!X307</f>
        <v>0</v>
      </c>
      <c r="BA464">
        <f>Source!Y307</f>
        <v>0</v>
      </c>
      <c r="BB464" s="55">
        <f>L463</f>
        <v>7958.89</v>
      </c>
      <c r="CD464">
        <v>1</v>
      </c>
    </row>
    <row r="465" spans="1:82" ht="128.25" x14ac:dyDescent="0.2">
      <c r="A465" s="68" t="s">
        <v>293</v>
      </c>
      <c r="B465" s="61" t="s">
        <v>294</v>
      </c>
      <c r="C465" s="61" t="str">
        <f>Source!G308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v>
      </c>
      <c r="D465" s="62" t="str">
        <f>Source!H308</f>
        <v>1т груза</v>
      </c>
      <c r="E465" s="63">
        <f>Source!K308</f>
        <v>9.4679900000000004</v>
      </c>
      <c r="F465" s="63"/>
      <c r="G465" s="63">
        <f>Source!I308</f>
        <v>9.4679900000000004</v>
      </c>
      <c r="H465" s="64"/>
      <c r="I465" s="65"/>
      <c r="J465" s="64">
        <f>Source!AK308</f>
        <v>192.95</v>
      </c>
      <c r="K465" s="65"/>
      <c r="L465" s="64">
        <f>Source!HD308</f>
        <v>1826.85</v>
      </c>
    </row>
    <row r="466" spans="1:82" ht="15" x14ac:dyDescent="0.2">
      <c r="C466" s="90" t="s">
        <v>640</v>
      </c>
      <c r="D466" s="90"/>
      <c r="E466" s="90"/>
      <c r="F466" s="90"/>
      <c r="G466" s="90"/>
      <c r="H466" s="90"/>
      <c r="I466" s="91">
        <f>IF(E465&lt;&gt;0,K466/E465, 0)</f>
        <v>192.95014042051162</v>
      </c>
      <c r="J466" s="91"/>
      <c r="K466" s="91">
        <f>L465</f>
        <v>1826.85</v>
      </c>
      <c r="L466" s="91"/>
      <c r="AD466">
        <f>ROUND((Source!AT308/100)*((ROUND(0*Source!I308, 2)+ROUND(0*Source!I308, 2))), 2)</f>
        <v>0</v>
      </c>
      <c r="AE466">
        <f>ROUND((Source!AU308/100)*((ROUND(0*Source!I308, 2)+ROUND(0*Source!I308, 2))), 2)</f>
        <v>0</v>
      </c>
      <c r="AN466" s="55">
        <f>L465</f>
        <v>1826.85</v>
      </c>
      <c r="AP466">
        <f>0</f>
        <v>0</v>
      </c>
      <c r="AQ466" t="s">
        <v>641</v>
      </c>
      <c r="AS466">
        <f>0</f>
        <v>0</v>
      </c>
      <c r="AU466">
        <f>0</f>
        <v>0</v>
      </c>
      <c r="AV466" t="s">
        <v>641</v>
      </c>
      <c r="AZ466">
        <f>Source!X308</f>
        <v>0</v>
      </c>
      <c r="BA466">
        <f>Source!Y308</f>
        <v>0</v>
      </c>
      <c r="BB466" s="55">
        <f>L465</f>
        <v>1826.85</v>
      </c>
      <c r="CD466">
        <v>1</v>
      </c>
    </row>
    <row r="468" spans="1:82" ht="15" x14ac:dyDescent="0.2">
      <c r="A468" s="51"/>
      <c r="B468" s="52"/>
      <c r="C468" s="87" t="s">
        <v>689</v>
      </c>
      <c r="D468" s="87"/>
      <c r="E468" s="87"/>
      <c r="F468" s="87"/>
      <c r="G468" s="87"/>
      <c r="H468" s="87"/>
      <c r="I468" s="53"/>
      <c r="J468" s="51"/>
      <c r="K468" s="54"/>
      <c r="L468" s="53">
        <f>L470+L471+L477+L481</f>
        <v>9785.74</v>
      </c>
    </row>
    <row r="469" spans="1:82" ht="14.25" x14ac:dyDescent="0.2">
      <c r="A469" s="45"/>
      <c r="B469" s="48"/>
      <c r="C469" s="86" t="s">
        <v>604</v>
      </c>
      <c r="D469" s="83"/>
      <c r="E469" s="83"/>
      <c r="F469" s="83"/>
      <c r="G469" s="83"/>
      <c r="H469" s="83"/>
      <c r="I469" s="50"/>
      <c r="J469" s="45"/>
      <c r="K469" s="49"/>
      <c r="L469" s="50"/>
    </row>
    <row r="470" spans="1:82" ht="14.25" hidden="1" x14ac:dyDescent="0.2">
      <c r="A470" s="45"/>
      <c r="B470" s="48"/>
      <c r="C470" s="83" t="s">
        <v>605</v>
      </c>
      <c r="D470" s="83"/>
      <c r="E470" s="83"/>
      <c r="F470" s="83"/>
      <c r="G470" s="83"/>
      <c r="H470" s="83"/>
      <c r="I470" s="50"/>
      <c r="J470" s="45"/>
      <c r="K470" s="49"/>
      <c r="L470" s="50">
        <f>SUM(AR462:AR466)</f>
        <v>0</v>
      </c>
    </row>
    <row r="471" spans="1:82" ht="14.25" hidden="1" x14ac:dyDescent="0.2">
      <c r="A471" s="45"/>
      <c r="B471" s="48"/>
      <c r="C471" s="83" t="s">
        <v>606</v>
      </c>
      <c r="D471" s="83"/>
      <c r="E471" s="83"/>
      <c r="F471" s="83"/>
      <c r="G471" s="83"/>
      <c r="H471" s="83"/>
      <c r="I471" s="50"/>
      <c r="J471" s="45"/>
      <c r="K471" s="49"/>
      <c r="L471" s="50">
        <f>L473+L476+L475</f>
        <v>0</v>
      </c>
    </row>
    <row r="472" spans="1:82" ht="14.25" hidden="1" x14ac:dyDescent="0.2">
      <c r="A472" s="45"/>
      <c r="B472" s="48"/>
      <c r="C472" s="86" t="s">
        <v>607</v>
      </c>
      <c r="D472" s="83"/>
      <c r="E472" s="83"/>
      <c r="F472" s="83"/>
      <c r="G472" s="83"/>
      <c r="H472" s="83"/>
      <c r="I472" s="50"/>
      <c r="J472" s="45"/>
      <c r="K472" s="49"/>
      <c r="L472" s="50"/>
    </row>
    <row r="473" spans="1:82" ht="14.25" hidden="1" x14ac:dyDescent="0.2">
      <c r="A473" s="45"/>
      <c r="B473" s="48"/>
      <c r="C473" s="83" t="s">
        <v>606</v>
      </c>
      <c r="D473" s="83"/>
      <c r="E473" s="83"/>
      <c r="F473" s="83"/>
      <c r="G473" s="83"/>
      <c r="H473" s="83"/>
      <c r="I473" s="50"/>
      <c r="J473" s="45"/>
      <c r="K473" s="49"/>
      <c r="L473" s="50">
        <f>SUM(AO462:AO466)</f>
        <v>0</v>
      </c>
    </row>
    <row r="474" spans="1:82" ht="14.25" hidden="1" x14ac:dyDescent="0.2">
      <c r="A474" s="45"/>
      <c r="B474" s="48"/>
      <c r="C474" s="86" t="s">
        <v>608</v>
      </c>
      <c r="D474" s="83"/>
      <c r="E474" s="83"/>
      <c r="F474" s="83"/>
      <c r="G474" s="83"/>
      <c r="H474" s="83"/>
      <c r="I474" s="50"/>
      <c r="J474" s="45"/>
      <c r="K474" s="49"/>
      <c r="L474" s="50"/>
    </row>
    <row r="475" spans="1:82" ht="14.25" hidden="1" x14ac:dyDescent="0.2">
      <c r="A475" s="45"/>
      <c r="B475" s="48"/>
      <c r="C475" s="83" t="s">
        <v>628</v>
      </c>
      <c r="D475" s="83"/>
      <c r="E475" s="83"/>
      <c r="F475" s="83"/>
      <c r="G475" s="83"/>
      <c r="H475" s="83"/>
      <c r="I475" s="50"/>
      <c r="J475" s="45"/>
      <c r="K475" s="49"/>
      <c r="L475" s="50">
        <f>SUM(AT462:AT466)</f>
        <v>0</v>
      </c>
    </row>
    <row r="476" spans="1:82" ht="14.25" hidden="1" x14ac:dyDescent="0.2">
      <c r="A476" s="45"/>
      <c r="B476" s="48"/>
      <c r="C476" s="83" t="s">
        <v>609</v>
      </c>
      <c r="D476" s="83"/>
      <c r="E476" s="83"/>
      <c r="F476" s="83"/>
      <c r="G476" s="83"/>
      <c r="H476" s="83"/>
      <c r="I476" s="50"/>
      <c r="J476" s="45"/>
      <c r="K476" s="49"/>
      <c r="L476" s="50">
        <f>SUM(AV462:AV466)</f>
        <v>0</v>
      </c>
    </row>
    <row r="477" spans="1:82" ht="14.25" hidden="1" x14ac:dyDescent="0.2">
      <c r="A477" s="45"/>
      <c r="B477" s="48"/>
      <c r="C477" s="83" t="s">
        <v>610</v>
      </c>
      <c r="D477" s="83"/>
      <c r="E477" s="83"/>
      <c r="F477" s="83"/>
      <c r="G477" s="83"/>
      <c r="H477" s="83"/>
      <c r="I477" s="50"/>
      <c r="J477" s="45"/>
      <c r="K477" s="49"/>
      <c r="L477" s="50">
        <f>L479+L480</f>
        <v>0</v>
      </c>
    </row>
    <row r="478" spans="1:82" ht="14.25" hidden="1" x14ac:dyDescent="0.2">
      <c r="A478" s="45"/>
      <c r="B478" s="48"/>
      <c r="C478" s="86" t="s">
        <v>607</v>
      </c>
      <c r="D478" s="83"/>
      <c r="E478" s="83"/>
      <c r="F478" s="83"/>
      <c r="G478" s="83"/>
      <c r="H478" s="83"/>
      <c r="I478" s="50"/>
      <c r="J478" s="45"/>
      <c r="K478" s="49"/>
      <c r="L478" s="50"/>
    </row>
    <row r="479" spans="1:82" ht="14.25" hidden="1" x14ac:dyDescent="0.2">
      <c r="A479" s="45"/>
      <c r="B479" s="48"/>
      <c r="C479" s="83" t="s">
        <v>611</v>
      </c>
      <c r="D479" s="83"/>
      <c r="E479" s="83"/>
      <c r="F479" s="83"/>
      <c r="G479" s="83"/>
      <c r="H479" s="83"/>
      <c r="I479" s="50"/>
      <c r="J479" s="45"/>
      <c r="K479" s="49"/>
      <c r="L479" s="50">
        <f>SUM(AW462:AW466)-SUM(BK462:BK466)</f>
        <v>0</v>
      </c>
    </row>
    <row r="480" spans="1:82" ht="14.25" hidden="1" x14ac:dyDescent="0.2">
      <c r="A480" s="45"/>
      <c r="B480" s="48"/>
      <c r="C480" s="83" t="s">
        <v>612</v>
      </c>
      <c r="D480" s="83"/>
      <c r="E480" s="83"/>
      <c r="F480" s="83"/>
      <c r="G480" s="83"/>
      <c r="H480" s="83"/>
      <c r="I480" s="50"/>
      <c r="J480" s="45"/>
      <c r="K480" s="49"/>
      <c r="L480" s="50">
        <f>SUM(BC462:BC466)</f>
        <v>0</v>
      </c>
    </row>
    <row r="481" spans="1:12" ht="14.25" x14ac:dyDescent="0.2">
      <c r="A481" s="45"/>
      <c r="B481" s="48"/>
      <c r="C481" s="83" t="s">
        <v>613</v>
      </c>
      <c r="D481" s="83"/>
      <c r="E481" s="83"/>
      <c r="F481" s="83"/>
      <c r="G481" s="83"/>
      <c r="H481" s="83"/>
      <c r="I481" s="50"/>
      <c r="J481" s="45"/>
      <c r="K481" s="49"/>
      <c r="L481" s="50">
        <f>SUM(BB462:BB466)</f>
        <v>9785.74</v>
      </c>
    </row>
    <row r="482" spans="1:12" ht="14.25" hidden="1" x14ac:dyDescent="0.2">
      <c r="A482" s="45"/>
      <c r="B482" s="48"/>
      <c r="C482" s="83" t="s">
        <v>614</v>
      </c>
      <c r="D482" s="83"/>
      <c r="E482" s="83"/>
      <c r="F482" s="83"/>
      <c r="G482" s="83"/>
      <c r="H482" s="83"/>
      <c r="I482" s="50"/>
      <c r="J482" s="45"/>
      <c r="K482" s="49"/>
      <c r="L482" s="50">
        <f>SUM(AR462:AR466)+SUM(AT462:AT466)+SUM(AV462:AV466)</f>
        <v>0</v>
      </c>
    </row>
    <row r="483" spans="1:12" ht="14.25" hidden="1" x14ac:dyDescent="0.2">
      <c r="A483" s="45"/>
      <c r="B483" s="48"/>
      <c r="C483" s="83" t="s">
        <v>615</v>
      </c>
      <c r="D483" s="83"/>
      <c r="E483" s="83"/>
      <c r="F483" s="83"/>
      <c r="G483" s="83"/>
      <c r="H483" s="83"/>
      <c r="I483" s="50"/>
      <c r="J483" s="45"/>
      <c r="K483" s="49"/>
      <c r="L483" s="50">
        <f>SUM(AZ462:AZ466)</f>
        <v>0</v>
      </c>
    </row>
    <row r="484" spans="1:12" ht="14.25" hidden="1" x14ac:dyDescent="0.2">
      <c r="A484" s="45"/>
      <c r="B484" s="48"/>
      <c r="C484" s="83" t="s">
        <v>616</v>
      </c>
      <c r="D484" s="83"/>
      <c r="E484" s="83"/>
      <c r="F484" s="83"/>
      <c r="G484" s="83"/>
      <c r="H484" s="83"/>
      <c r="I484" s="50"/>
      <c r="J484" s="45"/>
      <c r="K484" s="49"/>
      <c r="L484" s="50">
        <f>SUM(BA462:BA466)</f>
        <v>0</v>
      </c>
    </row>
    <row r="485" spans="1:12" ht="14.25" hidden="1" x14ac:dyDescent="0.2">
      <c r="A485" s="45"/>
      <c r="B485" s="48"/>
      <c r="C485" s="83" t="s">
        <v>617</v>
      </c>
      <c r="D485" s="83"/>
      <c r="E485" s="83"/>
      <c r="F485" s="83"/>
      <c r="G485" s="83"/>
      <c r="H485" s="83"/>
      <c r="I485" s="50"/>
      <c r="J485" s="45"/>
      <c r="K485" s="49"/>
      <c r="L485" s="50">
        <f>L487+L488</f>
        <v>0</v>
      </c>
    </row>
    <row r="486" spans="1:12" ht="14.25" hidden="1" x14ac:dyDescent="0.2">
      <c r="A486" s="45"/>
      <c r="B486" s="48"/>
      <c r="C486" s="86" t="s">
        <v>604</v>
      </c>
      <c r="D486" s="83"/>
      <c r="E486" s="83"/>
      <c r="F486" s="83"/>
      <c r="G486" s="83"/>
      <c r="H486" s="83"/>
      <c r="I486" s="50"/>
      <c r="J486" s="45"/>
      <c r="K486" s="49"/>
      <c r="L486" s="50"/>
    </row>
    <row r="487" spans="1:12" ht="14.25" hidden="1" x14ac:dyDescent="0.2">
      <c r="A487" s="45"/>
      <c r="B487" s="48"/>
      <c r="C487" s="83" t="s">
        <v>618</v>
      </c>
      <c r="D487" s="83"/>
      <c r="E487" s="83"/>
      <c r="F487" s="83"/>
      <c r="G487" s="83"/>
      <c r="H487" s="83"/>
      <c r="I487" s="50"/>
      <c r="J487" s="45"/>
      <c r="K487" s="49"/>
      <c r="L487" s="50">
        <f>SUM(BK462:BK466)</f>
        <v>0</v>
      </c>
    </row>
    <row r="488" spans="1:12" ht="14.25" hidden="1" x14ac:dyDescent="0.2">
      <c r="A488" s="45"/>
      <c r="B488" s="48"/>
      <c r="C488" s="83" t="s">
        <v>619</v>
      </c>
      <c r="D488" s="83"/>
      <c r="E488" s="83"/>
      <c r="F488" s="83"/>
      <c r="G488" s="83"/>
      <c r="H488" s="83"/>
      <c r="I488" s="50"/>
      <c r="J488" s="45"/>
      <c r="K488" s="49"/>
      <c r="L488" s="50">
        <f>SUM(BD462:BD466)</f>
        <v>0</v>
      </c>
    </row>
    <row r="489" spans="1:12" ht="14.25" hidden="1" x14ac:dyDescent="0.2">
      <c r="A489" s="45"/>
      <c r="B489" s="48"/>
      <c r="C489" s="83" t="s">
        <v>620</v>
      </c>
      <c r="D489" s="83"/>
      <c r="E489" s="83"/>
      <c r="F489" s="83"/>
      <c r="G489" s="83"/>
      <c r="H489" s="83"/>
      <c r="I489" s="50"/>
      <c r="J489" s="45"/>
      <c r="K489" s="49"/>
      <c r="L489" s="50"/>
    </row>
    <row r="490" spans="1:12" ht="14.25" hidden="1" x14ac:dyDescent="0.2">
      <c r="A490" s="45"/>
      <c r="B490" s="48"/>
      <c r="C490" s="83" t="s">
        <v>620</v>
      </c>
      <c r="D490" s="83"/>
      <c r="E490" s="83"/>
      <c r="F490" s="83"/>
      <c r="G490" s="83"/>
      <c r="H490" s="83"/>
      <c r="I490" s="50"/>
      <c r="J490" s="45"/>
      <c r="K490" s="49"/>
      <c r="L490" s="50">
        <f>SUM(BQ462:BQ466)</f>
        <v>0</v>
      </c>
    </row>
    <row r="491" spans="1:12" ht="14.25" hidden="1" x14ac:dyDescent="0.2">
      <c r="A491" s="45"/>
      <c r="B491" s="48"/>
      <c r="C491" s="83" t="s">
        <v>621</v>
      </c>
      <c r="D491" s="83"/>
      <c r="E491" s="83"/>
      <c r="F491" s="83"/>
      <c r="G491" s="83"/>
      <c r="H491" s="83"/>
      <c r="I491" s="50"/>
      <c r="J491" s="45"/>
      <c r="K491" s="49"/>
      <c r="L491" s="50">
        <f>SUM(BO462:BO466)</f>
        <v>0</v>
      </c>
    </row>
    <row r="492" spans="1:12" ht="15" x14ac:dyDescent="0.2">
      <c r="A492" s="51"/>
      <c r="B492" s="52"/>
      <c r="C492" s="87" t="s">
        <v>622</v>
      </c>
      <c r="D492" s="87"/>
      <c r="E492" s="87"/>
      <c r="F492" s="87"/>
      <c r="G492" s="87"/>
      <c r="H492" s="87"/>
      <c r="I492" s="53"/>
      <c r="J492" s="51"/>
      <c r="K492" s="54"/>
      <c r="L492" s="53">
        <f>L468+L483+L484+L485+L490+L491</f>
        <v>9785.74</v>
      </c>
    </row>
    <row r="493" spans="1:12" ht="14.25" hidden="1" x14ac:dyDescent="0.2">
      <c r="A493" s="45"/>
      <c r="B493" s="48"/>
      <c r="C493" s="86" t="s">
        <v>623</v>
      </c>
      <c r="D493" s="83"/>
      <c r="E493" s="83"/>
      <c r="F493" s="83"/>
      <c r="G493" s="83"/>
      <c r="H493" s="83"/>
      <c r="I493" s="50"/>
      <c r="J493" s="45"/>
      <c r="K493" s="49"/>
      <c r="L493" s="50"/>
    </row>
    <row r="494" spans="1:12" ht="14.25" hidden="1" x14ac:dyDescent="0.2">
      <c r="A494" s="45"/>
      <c r="B494" s="48"/>
      <c r="C494" s="83" t="s">
        <v>624</v>
      </c>
      <c r="D494" s="83"/>
      <c r="E494" s="83"/>
      <c r="F494" s="83"/>
      <c r="G494" s="83"/>
      <c r="H494" s="83"/>
      <c r="I494" s="50"/>
      <c r="J494" s="45"/>
      <c r="K494" s="49"/>
      <c r="L494" s="50">
        <f>SUM(AX462:AX466)</f>
        <v>0</v>
      </c>
    </row>
    <row r="495" spans="1:12" ht="14.25" hidden="1" x14ac:dyDescent="0.2">
      <c r="A495" s="45"/>
      <c r="B495" s="48"/>
      <c r="C495" s="83" t="s">
        <v>625</v>
      </c>
      <c r="D495" s="83"/>
      <c r="E495" s="83"/>
      <c r="F495" s="83"/>
      <c r="G495" s="83"/>
      <c r="H495" s="83"/>
      <c r="I495" s="50"/>
      <c r="J495" s="45"/>
      <c r="K495" s="49"/>
      <c r="L495" s="50">
        <f>SUM(AY462:AY466)</f>
        <v>0</v>
      </c>
    </row>
    <row r="496" spans="1:12" ht="14.25" hidden="1" customHeight="1" x14ac:dyDescent="0.2">
      <c r="A496" s="45"/>
      <c r="B496" s="48"/>
      <c r="C496" s="83" t="s">
        <v>626</v>
      </c>
      <c r="D496" s="83"/>
      <c r="E496" s="83"/>
      <c r="F496" s="84"/>
      <c r="G496" s="56">
        <f>Source!F332</f>
        <v>0</v>
      </c>
      <c r="H496" s="45"/>
      <c r="I496" s="45"/>
      <c r="J496" s="45"/>
      <c r="K496" s="45"/>
      <c r="L496" s="45"/>
    </row>
    <row r="497" spans="1:12" ht="14.25" hidden="1" customHeight="1" x14ac:dyDescent="0.2">
      <c r="A497" s="45"/>
      <c r="B497" s="48"/>
      <c r="C497" s="83" t="s">
        <v>627</v>
      </c>
      <c r="D497" s="83"/>
      <c r="E497" s="83"/>
      <c r="F497" s="84"/>
      <c r="G497" s="56">
        <f>Source!F333</f>
        <v>0</v>
      </c>
      <c r="H497" s="45"/>
      <c r="I497" s="45"/>
      <c r="J497" s="45"/>
      <c r="K497" s="45"/>
      <c r="L497" s="45"/>
    </row>
    <row r="500" spans="1:12" ht="15" x14ac:dyDescent="0.2">
      <c r="A500" s="69"/>
      <c r="B500" s="70"/>
      <c r="C500" s="89" t="s">
        <v>690</v>
      </c>
      <c r="D500" s="89"/>
      <c r="E500" s="89"/>
      <c r="F500" s="89"/>
      <c r="G500" s="89"/>
      <c r="H500" s="89"/>
      <c r="I500" s="71"/>
      <c r="J500" s="69"/>
      <c r="K500" s="72"/>
      <c r="L500" s="71"/>
    </row>
    <row r="502" spans="1:12" ht="15" x14ac:dyDescent="0.2">
      <c r="A502" s="51"/>
      <c r="B502" s="52"/>
      <c r="C502" s="87" t="s">
        <v>691</v>
      </c>
      <c r="D502" s="87"/>
      <c r="E502" s="87"/>
      <c r="F502" s="87"/>
      <c r="G502" s="87"/>
      <c r="H502" s="87"/>
      <c r="I502" s="53"/>
      <c r="J502" s="51"/>
      <c r="K502" s="54"/>
      <c r="L502" s="53">
        <f>L504+L519+L520</f>
        <v>443879.30000000005</v>
      </c>
    </row>
    <row r="503" spans="1:12" ht="14.25" x14ac:dyDescent="0.2">
      <c r="A503" s="45"/>
      <c r="B503" s="48"/>
      <c r="C503" s="86" t="s">
        <v>604</v>
      </c>
      <c r="D503" s="83"/>
      <c r="E503" s="83"/>
      <c r="F503" s="83"/>
      <c r="G503" s="83"/>
      <c r="H503" s="83"/>
      <c r="I503" s="50"/>
      <c r="J503" s="45"/>
      <c r="K503" s="49"/>
      <c r="L503" s="50"/>
    </row>
    <row r="504" spans="1:12" ht="14.25" x14ac:dyDescent="0.2">
      <c r="A504" s="45"/>
      <c r="B504" s="48"/>
      <c r="C504" s="83" t="s">
        <v>692</v>
      </c>
      <c r="D504" s="83"/>
      <c r="E504" s="83"/>
      <c r="F504" s="83"/>
      <c r="G504" s="83"/>
      <c r="H504" s="83"/>
      <c r="I504" s="50"/>
      <c r="J504" s="45"/>
      <c r="K504" s="49"/>
      <c r="L504" s="50">
        <f>L506+L507+L513+L517</f>
        <v>309896.18</v>
      </c>
    </row>
    <row r="505" spans="1:12" ht="14.25" x14ac:dyDescent="0.2">
      <c r="A505" s="45"/>
      <c r="B505" s="48"/>
      <c r="C505" s="86" t="s">
        <v>604</v>
      </c>
      <c r="D505" s="83"/>
      <c r="E505" s="83"/>
      <c r="F505" s="83"/>
      <c r="G505" s="83"/>
      <c r="H505" s="83"/>
      <c r="I505" s="50"/>
      <c r="J505" s="45"/>
      <c r="K505" s="49"/>
      <c r="L505" s="50"/>
    </row>
    <row r="506" spans="1:12" ht="14.25" x14ac:dyDescent="0.2">
      <c r="A506" s="45"/>
      <c r="B506" s="48"/>
      <c r="C506" s="83" t="s">
        <v>693</v>
      </c>
      <c r="D506" s="83"/>
      <c r="E506" s="83"/>
      <c r="F506" s="83"/>
      <c r="G506" s="83"/>
      <c r="H506" s="83"/>
      <c r="I506" s="50"/>
      <c r="J506" s="45"/>
      <c r="K506" s="49"/>
      <c r="L506" s="50">
        <f>SUMIF(CD60:CD498, 1, AR60:AR498)</f>
        <v>95391.69</v>
      </c>
    </row>
    <row r="507" spans="1:12" ht="14.25" hidden="1" x14ac:dyDescent="0.2">
      <c r="A507" s="45"/>
      <c r="B507" s="48"/>
      <c r="C507" s="83" t="s">
        <v>606</v>
      </c>
      <c r="D507" s="83"/>
      <c r="E507" s="83"/>
      <c r="F507" s="83"/>
      <c r="G507" s="83"/>
      <c r="H507" s="83"/>
      <c r="I507" s="50"/>
      <c r="J507" s="45"/>
      <c r="K507" s="49"/>
      <c r="L507" s="50">
        <f>L509+L512+L511</f>
        <v>5558.5999999999985</v>
      </c>
    </row>
    <row r="508" spans="1:12" ht="14.25" hidden="1" x14ac:dyDescent="0.2">
      <c r="A508" s="45"/>
      <c r="B508" s="48"/>
      <c r="C508" s="86" t="s">
        <v>607</v>
      </c>
      <c r="D508" s="83"/>
      <c r="E508" s="83"/>
      <c r="F508" s="83"/>
      <c r="G508" s="83"/>
      <c r="H508" s="83"/>
      <c r="I508" s="50"/>
      <c r="J508" s="45"/>
      <c r="K508" s="49"/>
      <c r="L508" s="50"/>
    </row>
    <row r="509" spans="1:12" ht="14.25" x14ac:dyDescent="0.2">
      <c r="A509" s="45"/>
      <c r="B509" s="48"/>
      <c r="C509" s="83" t="s">
        <v>606</v>
      </c>
      <c r="D509" s="83"/>
      <c r="E509" s="83"/>
      <c r="F509" s="83"/>
      <c r="G509" s="83"/>
      <c r="H509" s="83"/>
      <c r="I509" s="50"/>
      <c r="J509" s="45"/>
      <c r="K509" s="49"/>
      <c r="L509" s="50">
        <f>SUMIF(CD60:CD498, 1, AO60:AO498)</f>
        <v>2742.2999999999984</v>
      </c>
    </row>
    <row r="510" spans="1:12" ht="14.25" hidden="1" x14ac:dyDescent="0.2">
      <c r="A510" s="45"/>
      <c r="B510" s="48"/>
      <c r="C510" s="86" t="s">
        <v>608</v>
      </c>
      <c r="D510" s="83"/>
      <c r="E510" s="83"/>
      <c r="F510" s="83"/>
      <c r="G510" s="83"/>
      <c r="H510" s="83"/>
      <c r="I510" s="50"/>
      <c r="J510" s="45"/>
      <c r="K510" s="49"/>
      <c r="L510" s="50"/>
    </row>
    <row r="511" spans="1:12" ht="14.25" x14ac:dyDescent="0.2">
      <c r="A511" s="45"/>
      <c r="B511" s="48"/>
      <c r="C511" s="83" t="s">
        <v>628</v>
      </c>
      <c r="D511" s="83"/>
      <c r="E511" s="83"/>
      <c r="F511" s="83"/>
      <c r="G511" s="83"/>
      <c r="H511" s="83"/>
      <c r="I511" s="50"/>
      <c r="J511" s="45"/>
      <c r="K511" s="49"/>
      <c r="L511" s="50">
        <f>SUMIF(CD60:CD498, 1, AT60:AT498)</f>
        <v>2816.3</v>
      </c>
    </row>
    <row r="512" spans="1:12" ht="14.25" hidden="1" x14ac:dyDescent="0.2">
      <c r="A512" s="45"/>
      <c r="B512" s="48"/>
      <c r="C512" s="83" t="s">
        <v>609</v>
      </c>
      <c r="D512" s="83"/>
      <c r="E512" s="83"/>
      <c r="F512" s="83"/>
      <c r="G512" s="83"/>
      <c r="H512" s="83"/>
      <c r="I512" s="50"/>
      <c r="J512" s="45"/>
      <c r="K512" s="49"/>
      <c r="L512" s="50">
        <f>SUMIF(CD60:CD498, 1, AV60:AV498)</f>
        <v>0</v>
      </c>
    </row>
    <row r="513" spans="1:12" ht="14.25" x14ac:dyDescent="0.2">
      <c r="A513" s="45"/>
      <c r="B513" s="48"/>
      <c r="C513" s="83" t="s">
        <v>610</v>
      </c>
      <c r="D513" s="83"/>
      <c r="E513" s="83"/>
      <c r="F513" s="83"/>
      <c r="G513" s="83"/>
      <c r="H513" s="83"/>
      <c r="I513" s="50"/>
      <c r="J513" s="45"/>
      <c r="K513" s="49"/>
      <c r="L513" s="50">
        <f>L515+L516</f>
        <v>199160.15</v>
      </c>
    </row>
    <row r="514" spans="1:12" ht="14.25" x14ac:dyDescent="0.2">
      <c r="A514" s="45"/>
      <c r="B514" s="48"/>
      <c r="C514" s="86" t="s">
        <v>607</v>
      </c>
      <c r="D514" s="83"/>
      <c r="E514" s="83"/>
      <c r="F514" s="83"/>
      <c r="G514" s="83"/>
      <c r="H514" s="83"/>
      <c r="I514" s="50"/>
      <c r="J514" s="45"/>
      <c r="K514" s="49"/>
      <c r="L514" s="50"/>
    </row>
    <row r="515" spans="1:12" ht="14.25" x14ac:dyDescent="0.2">
      <c r="A515" s="45"/>
      <c r="B515" s="48"/>
      <c r="C515" s="83" t="s">
        <v>611</v>
      </c>
      <c r="D515" s="83"/>
      <c r="E515" s="83"/>
      <c r="F515" s="83"/>
      <c r="G515" s="83"/>
      <c r="H515" s="83"/>
      <c r="I515" s="50"/>
      <c r="J515" s="45"/>
      <c r="K515" s="49"/>
      <c r="L515" s="50">
        <f>SUMIF(CD60:CD498, 1, AW60:AW498)-SUMIF(CD60:CD498, 1, BK60:BK498)</f>
        <v>199160.15</v>
      </c>
    </row>
    <row r="516" spans="1:12" ht="14.25" hidden="1" x14ac:dyDescent="0.2">
      <c r="A516" s="45"/>
      <c r="B516" s="48"/>
      <c r="C516" s="83" t="s">
        <v>612</v>
      </c>
      <c r="D516" s="83"/>
      <c r="E516" s="83"/>
      <c r="F516" s="83"/>
      <c r="G516" s="83"/>
      <c r="H516" s="83"/>
      <c r="I516" s="50"/>
      <c r="J516" s="45"/>
      <c r="K516" s="49"/>
      <c r="L516" s="50">
        <f>SUMIF(CD60:CD498, 1, BC60:BC498)</f>
        <v>0</v>
      </c>
    </row>
    <row r="517" spans="1:12" ht="14.25" x14ac:dyDescent="0.2">
      <c r="A517" s="45"/>
      <c r="B517" s="48"/>
      <c r="C517" s="83" t="s">
        <v>613</v>
      </c>
      <c r="D517" s="83"/>
      <c r="E517" s="83"/>
      <c r="F517" s="83"/>
      <c r="G517" s="83"/>
      <c r="H517" s="83"/>
      <c r="I517" s="50"/>
      <c r="J517" s="45"/>
      <c r="K517" s="49"/>
      <c r="L517" s="50">
        <f>SUMIF(CD60:CD498, 1, BB60:BB498)</f>
        <v>9785.74</v>
      </c>
    </row>
    <row r="518" spans="1:12" ht="14.25" x14ac:dyDescent="0.2">
      <c r="A518" s="45"/>
      <c r="B518" s="48"/>
      <c r="C518" s="83" t="s">
        <v>694</v>
      </c>
      <c r="D518" s="83"/>
      <c r="E518" s="83"/>
      <c r="F518" s="83"/>
      <c r="G518" s="83"/>
      <c r="H518" s="83"/>
      <c r="I518" s="50"/>
      <c r="J518" s="45"/>
      <c r="K518" s="49"/>
      <c r="L518" s="50">
        <f>SUMIF(CD60:CD498, 1, AR60:AR498)+SUMIF(CD60:CD498, 1, AT60:AT498)+SUMIF(CD60:CD498, 1, AV60:AV498)</f>
        <v>98207.99</v>
      </c>
    </row>
    <row r="519" spans="1:12" ht="14.25" x14ac:dyDescent="0.2">
      <c r="A519" s="45"/>
      <c r="B519" s="48"/>
      <c r="C519" s="83" t="s">
        <v>695</v>
      </c>
      <c r="D519" s="83"/>
      <c r="E519" s="83"/>
      <c r="F519" s="83"/>
      <c r="G519" s="83"/>
      <c r="H519" s="83"/>
      <c r="I519" s="50"/>
      <c r="J519" s="45"/>
      <c r="K519" s="49"/>
      <c r="L519" s="50">
        <f>SUMIF(CD60:CD498, 1, AZ60:AZ498)</f>
        <v>89709.900000000038</v>
      </c>
    </row>
    <row r="520" spans="1:12" ht="14.25" x14ac:dyDescent="0.2">
      <c r="A520" s="45"/>
      <c r="B520" s="48"/>
      <c r="C520" s="83" t="s">
        <v>696</v>
      </c>
      <c r="D520" s="83"/>
      <c r="E520" s="83"/>
      <c r="F520" s="83"/>
      <c r="G520" s="83"/>
      <c r="H520" s="83"/>
      <c r="I520" s="50"/>
      <c r="J520" s="45"/>
      <c r="K520" s="49"/>
      <c r="L520" s="50">
        <f>SUMIF(CD60:CD498, 1, BA60:BA498)</f>
        <v>44273.22</v>
      </c>
    </row>
    <row r="521" spans="1:12" hidden="1" x14ac:dyDescent="0.2"/>
    <row r="522" spans="1:12" ht="15" hidden="1" x14ac:dyDescent="0.2">
      <c r="A522" s="51"/>
      <c r="B522" s="52"/>
      <c r="C522" s="87" t="s">
        <v>697</v>
      </c>
      <c r="D522" s="87"/>
      <c r="E522" s="87"/>
      <c r="F522" s="87"/>
      <c r="G522" s="87"/>
      <c r="H522" s="87"/>
      <c r="I522" s="53"/>
      <c r="J522" s="51"/>
      <c r="K522" s="54"/>
      <c r="L522" s="53">
        <f>L524+L539+L540</f>
        <v>0</v>
      </c>
    </row>
    <row r="523" spans="1:12" ht="14.25" hidden="1" x14ac:dyDescent="0.2">
      <c r="A523" s="45"/>
      <c r="B523" s="48"/>
      <c r="C523" s="86" t="s">
        <v>604</v>
      </c>
      <c r="D523" s="83"/>
      <c r="E523" s="83"/>
      <c r="F523" s="83"/>
      <c r="G523" s="83"/>
      <c r="H523" s="83"/>
      <c r="I523" s="50"/>
      <c r="J523" s="45"/>
      <c r="K523" s="49"/>
      <c r="L523" s="50"/>
    </row>
    <row r="524" spans="1:12" ht="14.25" hidden="1" x14ac:dyDescent="0.2">
      <c r="A524" s="45"/>
      <c r="B524" s="48"/>
      <c r="C524" s="83" t="s">
        <v>692</v>
      </c>
      <c r="D524" s="83"/>
      <c r="E524" s="83"/>
      <c r="F524" s="83"/>
      <c r="G524" s="83"/>
      <c r="H524" s="83"/>
      <c r="I524" s="50"/>
      <c r="J524" s="45"/>
      <c r="K524" s="49"/>
      <c r="L524" s="50">
        <f>L526+L527+L533+L537</f>
        <v>0</v>
      </c>
    </row>
    <row r="525" spans="1:12" ht="14.25" hidden="1" x14ac:dyDescent="0.2">
      <c r="A525" s="45"/>
      <c r="B525" s="48"/>
      <c r="C525" s="86" t="s">
        <v>604</v>
      </c>
      <c r="D525" s="83"/>
      <c r="E525" s="83"/>
      <c r="F525" s="83"/>
      <c r="G525" s="83"/>
      <c r="H525" s="83"/>
      <c r="I525" s="50"/>
      <c r="J525" s="45"/>
      <c r="K525" s="49"/>
      <c r="L525" s="50"/>
    </row>
    <row r="526" spans="1:12" ht="14.25" hidden="1" x14ac:dyDescent="0.2">
      <c r="A526" s="45"/>
      <c r="B526" s="48"/>
      <c r="C526" s="83" t="s">
        <v>693</v>
      </c>
      <c r="D526" s="83"/>
      <c r="E526" s="83"/>
      <c r="F526" s="83"/>
      <c r="G526" s="83"/>
      <c r="H526" s="83"/>
      <c r="I526" s="50"/>
      <c r="J526" s="45"/>
      <c r="K526" s="49"/>
      <c r="L526" s="50">
        <f>SUMIF(CD60:CD520, 2, AR60:AR520)</f>
        <v>0</v>
      </c>
    </row>
    <row r="527" spans="1:12" ht="14.25" hidden="1" x14ac:dyDescent="0.2">
      <c r="A527" s="45"/>
      <c r="B527" s="48"/>
      <c r="C527" s="83" t="s">
        <v>606</v>
      </c>
      <c r="D527" s="83"/>
      <c r="E527" s="83"/>
      <c r="F527" s="83"/>
      <c r="G527" s="83"/>
      <c r="H527" s="83"/>
      <c r="I527" s="50"/>
      <c r="J527" s="45"/>
      <c r="K527" s="49"/>
      <c r="L527" s="50">
        <f>L529+L532+L531</f>
        <v>0</v>
      </c>
    </row>
    <row r="528" spans="1:12" ht="14.25" hidden="1" x14ac:dyDescent="0.2">
      <c r="A528" s="45"/>
      <c r="B528" s="48"/>
      <c r="C528" s="86" t="s">
        <v>607</v>
      </c>
      <c r="D528" s="83"/>
      <c r="E528" s="83"/>
      <c r="F528" s="83"/>
      <c r="G528" s="83"/>
      <c r="H528" s="83"/>
      <c r="I528" s="50"/>
      <c r="J528" s="45"/>
      <c r="K528" s="49"/>
      <c r="L528" s="50"/>
    </row>
    <row r="529" spans="1:12" ht="14.25" hidden="1" x14ac:dyDescent="0.2">
      <c r="A529" s="45"/>
      <c r="B529" s="48"/>
      <c r="C529" s="83" t="s">
        <v>606</v>
      </c>
      <c r="D529" s="83"/>
      <c r="E529" s="83"/>
      <c r="F529" s="83"/>
      <c r="G529" s="83"/>
      <c r="H529" s="83"/>
      <c r="I529" s="50"/>
      <c r="J529" s="45"/>
      <c r="K529" s="49"/>
      <c r="L529" s="50">
        <f>SUMIF(CD60:CD520, 2, AO60:AO520)</f>
        <v>0</v>
      </c>
    </row>
    <row r="530" spans="1:12" ht="14.25" hidden="1" x14ac:dyDescent="0.2">
      <c r="A530" s="45"/>
      <c r="B530" s="48"/>
      <c r="C530" s="86" t="s">
        <v>608</v>
      </c>
      <c r="D530" s="83"/>
      <c r="E530" s="83"/>
      <c r="F530" s="83"/>
      <c r="G530" s="83"/>
      <c r="H530" s="83"/>
      <c r="I530" s="50"/>
      <c r="J530" s="45"/>
      <c r="K530" s="49"/>
      <c r="L530" s="50"/>
    </row>
    <row r="531" spans="1:12" ht="14.25" hidden="1" x14ac:dyDescent="0.2">
      <c r="A531" s="45"/>
      <c r="B531" s="48"/>
      <c r="C531" s="83" t="s">
        <v>628</v>
      </c>
      <c r="D531" s="83"/>
      <c r="E531" s="83"/>
      <c r="F531" s="83"/>
      <c r="G531" s="83"/>
      <c r="H531" s="83"/>
      <c r="I531" s="50"/>
      <c r="J531" s="45"/>
      <c r="K531" s="49"/>
      <c r="L531" s="50">
        <f>SUMIF(CD60:CD520, 2, AT60:AT520)</f>
        <v>0</v>
      </c>
    </row>
    <row r="532" spans="1:12" ht="14.25" hidden="1" x14ac:dyDescent="0.2">
      <c r="A532" s="45"/>
      <c r="B532" s="48"/>
      <c r="C532" s="83" t="s">
        <v>609</v>
      </c>
      <c r="D532" s="83"/>
      <c r="E532" s="83"/>
      <c r="F532" s="83"/>
      <c r="G532" s="83"/>
      <c r="H532" s="83"/>
      <c r="I532" s="50"/>
      <c r="J532" s="45"/>
      <c r="K532" s="49"/>
      <c r="L532" s="50">
        <f>SUMIF(CD60:CD520, 2, AV60:AV520)</f>
        <v>0</v>
      </c>
    </row>
    <row r="533" spans="1:12" ht="14.25" hidden="1" x14ac:dyDescent="0.2">
      <c r="A533" s="45"/>
      <c r="B533" s="48"/>
      <c r="C533" s="83" t="s">
        <v>610</v>
      </c>
      <c r="D533" s="83"/>
      <c r="E533" s="83"/>
      <c r="F533" s="83"/>
      <c r="G533" s="83"/>
      <c r="H533" s="83"/>
      <c r="I533" s="50"/>
      <c r="J533" s="45"/>
      <c r="K533" s="49"/>
      <c r="L533" s="50">
        <f>L535+L536</f>
        <v>0</v>
      </c>
    </row>
    <row r="534" spans="1:12" ht="14.25" hidden="1" x14ac:dyDescent="0.2">
      <c r="A534" s="45"/>
      <c r="B534" s="48"/>
      <c r="C534" s="86" t="s">
        <v>607</v>
      </c>
      <c r="D534" s="83"/>
      <c r="E534" s="83"/>
      <c r="F534" s="83"/>
      <c r="G534" s="83"/>
      <c r="H534" s="83"/>
      <c r="I534" s="50"/>
      <c r="J534" s="45"/>
      <c r="K534" s="49"/>
      <c r="L534" s="50"/>
    </row>
    <row r="535" spans="1:12" ht="14.25" hidden="1" x14ac:dyDescent="0.2">
      <c r="A535" s="45"/>
      <c r="B535" s="48"/>
      <c r="C535" s="83" t="s">
        <v>611</v>
      </c>
      <c r="D535" s="83"/>
      <c r="E535" s="83"/>
      <c r="F535" s="83"/>
      <c r="G535" s="83"/>
      <c r="H535" s="83"/>
      <c r="I535" s="50"/>
      <c r="J535" s="45"/>
      <c r="K535" s="49"/>
      <c r="L535" s="50">
        <f>SUMIF(CD60:CD520, 2, AW60:AW520)-SUMIF(CD60:CD520, 2, BK60:BK520)</f>
        <v>0</v>
      </c>
    </row>
    <row r="536" spans="1:12" ht="14.25" hidden="1" x14ac:dyDescent="0.2">
      <c r="A536" s="45"/>
      <c r="B536" s="48"/>
      <c r="C536" s="83" t="s">
        <v>612</v>
      </c>
      <c r="D536" s="83"/>
      <c r="E536" s="83"/>
      <c r="F536" s="83"/>
      <c r="G536" s="83"/>
      <c r="H536" s="83"/>
      <c r="I536" s="50"/>
      <c r="J536" s="45"/>
      <c r="K536" s="49"/>
      <c r="L536" s="50">
        <f>SUMIF(CD60:CD520, 2, BC60:BC520)</f>
        <v>0</v>
      </c>
    </row>
    <row r="537" spans="1:12" ht="14.25" hidden="1" x14ac:dyDescent="0.2">
      <c r="A537" s="45"/>
      <c r="B537" s="48"/>
      <c r="C537" s="83" t="s">
        <v>613</v>
      </c>
      <c r="D537" s="83"/>
      <c r="E537" s="83"/>
      <c r="F537" s="83"/>
      <c r="G537" s="83"/>
      <c r="H537" s="83"/>
      <c r="I537" s="50"/>
      <c r="J537" s="45"/>
      <c r="K537" s="49"/>
      <c r="L537" s="50">
        <f>SUMIF(CD60:CD520, 2, BB60:BB520)</f>
        <v>0</v>
      </c>
    </row>
    <row r="538" spans="1:12" ht="14.25" hidden="1" x14ac:dyDescent="0.2">
      <c r="A538" s="45"/>
      <c r="B538" s="48"/>
      <c r="C538" s="83" t="s">
        <v>694</v>
      </c>
      <c r="D538" s="83"/>
      <c r="E538" s="83"/>
      <c r="F538" s="83"/>
      <c r="G538" s="83"/>
      <c r="H538" s="83"/>
      <c r="I538" s="50"/>
      <c r="J538" s="45"/>
      <c r="K538" s="49"/>
      <c r="L538" s="50">
        <f>SUMIF(CD60:CD520, 2, AR60:AR520)+SUMIF(CD60:CD520, 2, AT60:AT520)+SUMIF(CD60:CD520, 2, AV60:AV520)</f>
        <v>0</v>
      </c>
    </row>
    <row r="539" spans="1:12" ht="14.25" hidden="1" x14ac:dyDescent="0.2">
      <c r="A539" s="45"/>
      <c r="B539" s="48"/>
      <c r="C539" s="83" t="s">
        <v>695</v>
      </c>
      <c r="D539" s="83"/>
      <c r="E539" s="83"/>
      <c r="F539" s="83"/>
      <c r="G539" s="83"/>
      <c r="H539" s="83"/>
      <c r="I539" s="50"/>
      <c r="J539" s="45"/>
      <c r="K539" s="49"/>
      <c r="L539" s="50">
        <f>SUMIF(CD60:CD520, 2, AZ60:AZ520)</f>
        <v>0</v>
      </c>
    </row>
    <row r="540" spans="1:12" ht="14.25" hidden="1" x14ac:dyDescent="0.2">
      <c r="A540" s="45"/>
      <c r="B540" s="48"/>
      <c r="C540" s="83" t="s">
        <v>696</v>
      </c>
      <c r="D540" s="83"/>
      <c r="E540" s="83"/>
      <c r="F540" s="83"/>
      <c r="G540" s="83"/>
      <c r="H540" s="83"/>
      <c r="I540" s="50"/>
      <c r="J540" s="45"/>
      <c r="K540" s="49"/>
      <c r="L540" s="50">
        <f>SUMIF(CD60:CD520, 2, BA60:BA520)</f>
        <v>0</v>
      </c>
    </row>
    <row r="541" spans="1:12" hidden="1" x14ac:dyDescent="0.2"/>
    <row r="542" spans="1:12" ht="15" hidden="1" x14ac:dyDescent="0.2">
      <c r="A542" s="51"/>
      <c r="B542" s="52"/>
      <c r="C542" s="87" t="s">
        <v>698</v>
      </c>
      <c r="D542" s="87"/>
      <c r="E542" s="87"/>
      <c r="F542" s="87"/>
      <c r="G542" s="87"/>
      <c r="H542" s="87"/>
      <c r="I542" s="53"/>
      <c r="J542" s="51"/>
      <c r="K542" s="54"/>
      <c r="L542" s="53">
        <f>L544+L545</f>
        <v>0</v>
      </c>
    </row>
    <row r="543" spans="1:12" ht="14.25" hidden="1" x14ac:dyDescent="0.2">
      <c r="A543" s="45"/>
      <c r="B543" s="48"/>
      <c r="C543" s="86" t="s">
        <v>604</v>
      </c>
      <c r="D543" s="83"/>
      <c r="E543" s="83"/>
      <c r="F543" s="83"/>
      <c r="G543" s="83"/>
      <c r="H543" s="83"/>
      <c r="I543" s="50"/>
      <c r="J543" s="45"/>
      <c r="K543" s="49"/>
      <c r="L543" s="50"/>
    </row>
    <row r="544" spans="1:12" ht="14.25" hidden="1" x14ac:dyDescent="0.2">
      <c r="A544" s="45"/>
      <c r="B544" s="48"/>
      <c r="C544" s="83" t="s">
        <v>618</v>
      </c>
      <c r="D544" s="83"/>
      <c r="E544" s="83"/>
      <c r="F544" s="83"/>
      <c r="G544" s="83"/>
      <c r="H544" s="83"/>
      <c r="I544" s="50"/>
      <c r="J544" s="45"/>
      <c r="K544" s="49"/>
      <c r="L544" s="50">
        <f>SUMIF(CD60:CD540, 3, BK60:BK540)</f>
        <v>0</v>
      </c>
    </row>
    <row r="545" spans="1:12" ht="14.25" hidden="1" x14ac:dyDescent="0.2">
      <c r="A545" s="45"/>
      <c r="B545" s="48"/>
      <c r="C545" s="83" t="s">
        <v>619</v>
      </c>
      <c r="D545" s="83"/>
      <c r="E545" s="83"/>
      <c r="F545" s="83"/>
      <c r="G545" s="83"/>
      <c r="H545" s="83"/>
      <c r="I545" s="50"/>
      <c r="J545" s="45"/>
      <c r="K545" s="49"/>
      <c r="L545" s="50">
        <f>SUMIF(CD60:CD540, 3, BD60:BD540)</f>
        <v>0</v>
      </c>
    </row>
    <row r="546" spans="1:12" hidden="1" x14ac:dyDescent="0.2"/>
    <row r="547" spans="1:12" ht="15" hidden="1" x14ac:dyDescent="0.2">
      <c r="A547" s="51"/>
      <c r="B547" s="52"/>
      <c r="C547" s="87" t="s">
        <v>699</v>
      </c>
      <c r="D547" s="87"/>
      <c r="E547" s="87"/>
      <c r="F547" s="87"/>
      <c r="G547" s="87"/>
      <c r="H547" s="87"/>
      <c r="I547" s="53"/>
      <c r="J547" s="51"/>
      <c r="K547" s="54"/>
      <c r="L547" s="53">
        <f>L555+L570+L571+L549+L550+L551+L552</f>
        <v>0</v>
      </c>
    </row>
    <row r="548" spans="1:12" ht="14.25" hidden="1" x14ac:dyDescent="0.2">
      <c r="A548" s="45"/>
      <c r="B548" s="48"/>
      <c r="C548" s="86" t="s">
        <v>604</v>
      </c>
      <c r="D548" s="83"/>
      <c r="E548" s="83"/>
      <c r="F548" s="83"/>
      <c r="G548" s="83"/>
      <c r="H548" s="83"/>
      <c r="I548" s="50"/>
      <c r="J548" s="45"/>
      <c r="K548" s="49"/>
      <c r="L548" s="50"/>
    </row>
    <row r="549" spans="1:12" ht="14.25" hidden="1" x14ac:dyDescent="0.2">
      <c r="A549" s="45"/>
      <c r="B549" s="48"/>
      <c r="C549" s="83" t="s">
        <v>700</v>
      </c>
      <c r="D549" s="83"/>
      <c r="E549" s="83"/>
      <c r="F549" s="83"/>
      <c r="G549" s="83"/>
      <c r="H549" s="83"/>
      <c r="I549" s="50"/>
      <c r="J549" s="45"/>
      <c r="K549" s="49"/>
      <c r="L549" s="50"/>
    </row>
    <row r="550" spans="1:12" ht="14.25" hidden="1" x14ac:dyDescent="0.2">
      <c r="A550" s="45"/>
      <c r="B550" s="48"/>
      <c r="C550" s="83" t="s">
        <v>700</v>
      </c>
      <c r="D550" s="83"/>
      <c r="E550" s="83"/>
      <c r="F550" s="83"/>
      <c r="G550" s="83"/>
      <c r="H550" s="83"/>
      <c r="I550" s="50"/>
      <c r="J550" s="45"/>
      <c r="K550" s="49"/>
      <c r="L550" s="50">
        <f>SUM(BQ60:BQ545)</f>
        <v>0</v>
      </c>
    </row>
    <row r="551" spans="1:12" ht="14.25" hidden="1" x14ac:dyDescent="0.2">
      <c r="A551" s="45"/>
      <c r="B551" s="48"/>
      <c r="C551" s="83" t="s">
        <v>701</v>
      </c>
      <c r="D551" s="83"/>
      <c r="E551" s="83"/>
      <c r="F551" s="83"/>
      <c r="G551" s="83"/>
      <c r="H551" s="83"/>
      <c r="I551" s="50"/>
      <c r="J551" s="45"/>
      <c r="K551" s="49"/>
      <c r="L551" s="50">
        <f>SUMIF(CD60:CD545, 4, BB60:BB545)+SUMIF(CD60:CD545, 4, BC60:BC545)+SUMIF(CD60:CD545, 4, BD60:BD545)</f>
        <v>0</v>
      </c>
    </row>
    <row r="552" spans="1:12" ht="14.25" hidden="1" x14ac:dyDescent="0.2">
      <c r="A552" s="45"/>
      <c r="B552" s="48"/>
      <c r="C552" s="83" t="s">
        <v>702</v>
      </c>
      <c r="D552" s="83"/>
      <c r="E552" s="83"/>
      <c r="F552" s="83"/>
      <c r="G552" s="83"/>
      <c r="H552" s="83"/>
      <c r="I552" s="50"/>
      <c r="J552" s="45"/>
      <c r="K552" s="49"/>
      <c r="L552" s="50">
        <f>SUM(BO60:BO545)</f>
        <v>0</v>
      </c>
    </row>
    <row r="553" spans="1:12" ht="14.25" hidden="1" x14ac:dyDescent="0.2">
      <c r="A553" s="45"/>
      <c r="B553" s="48"/>
      <c r="C553" s="83" t="s">
        <v>703</v>
      </c>
      <c r="D553" s="83"/>
      <c r="E553" s="83"/>
      <c r="F553" s="83"/>
      <c r="G553" s="83"/>
      <c r="H553" s="83"/>
      <c r="I553" s="50"/>
      <c r="J553" s="45"/>
      <c r="K553" s="49"/>
      <c r="L553" s="50">
        <f>L555+L570+L571</f>
        <v>0</v>
      </c>
    </row>
    <row r="554" spans="1:12" ht="14.25" hidden="1" x14ac:dyDescent="0.2">
      <c r="A554" s="45"/>
      <c r="B554" s="48"/>
      <c r="C554" s="86" t="s">
        <v>604</v>
      </c>
      <c r="D554" s="83"/>
      <c r="E554" s="83"/>
      <c r="F554" s="83"/>
      <c r="G554" s="83"/>
      <c r="H554" s="83"/>
      <c r="I554" s="50"/>
      <c r="J554" s="45"/>
      <c r="K554" s="49"/>
      <c r="L554" s="50"/>
    </row>
    <row r="555" spans="1:12" ht="14.25" hidden="1" x14ac:dyDescent="0.2">
      <c r="A555" s="45"/>
      <c r="B555" s="48"/>
      <c r="C555" s="83" t="s">
        <v>692</v>
      </c>
      <c r="D555" s="83"/>
      <c r="E555" s="83"/>
      <c r="F555" s="83"/>
      <c r="G555" s="83"/>
      <c r="H555" s="83"/>
      <c r="I555" s="50"/>
      <c r="J555" s="45"/>
      <c r="K555" s="49"/>
      <c r="L555" s="50">
        <f>L557+L558+L564+L568</f>
        <v>0</v>
      </c>
    </row>
    <row r="556" spans="1:12" ht="14.25" hidden="1" x14ac:dyDescent="0.2">
      <c r="A556" s="45"/>
      <c r="B556" s="48"/>
      <c r="C556" s="86" t="s">
        <v>604</v>
      </c>
      <c r="D556" s="83"/>
      <c r="E556" s="83"/>
      <c r="F556" s="83"/>
      <c r="G556" s="83"/>
      <c r="H556" s="83"/>
      <c r="I556" s="50"/>
      <c r="J556" s="45"/>
      <c r="K556" s="49"/>
      <c r="L556" s="50"/>
    </row>
    <row r="557" spans="1:12" ht="14.25" hidden="1" x14ac:dyDescent="0.2">
      <c r="A557" s="45"/>
      <c r="B557" s="48"/>
      <c r="C557" s="83" t="s">
        <v>693</v>
      </c>
      <c r="D557" s="83"/>
      <c r="E557" s="83"/>
      <c r="F557" s="83"/>
      <c r="G557" s="83"/>
      <c r="H557" s="83"/>
      <c r="I557" s="50"/>
      <c r="J557" s="45"/>
      <c r="K557" s="49"/>
      <c r="L557" s="50">
        <f>SUMIF(CD60:CD545, 4, AR60:AR545)</f>
        <v>0</v>
      </c>
    </row>
    <row r="558" spans="1:12" ht="14.25" hidden="1" x14ac:dyDescent="0.2">
      <c r="A558" s="45"/>
      <c r="B558" s="48"/>
      <c r="C558" s="83" t="s">
        <v>606</v>
      </c>
      <c r="D558" s="83"/>
      <c r="E558" s="83"/>
      <c r="F558" s="83"/>
      <c r="G558" s="83"/>
      <c r="H558" s="83"/>
      <c r="I558" s="50"/>
      <c r="J558" s="45"/>
      <c r="K558" s="49"/>
      <c r="L558" s="50">
        <f>L560+L563+L562</f>
        <v>0</v>
      </c>
    </row>
    <row r="559" spans="1:12" ht="14.25" hidden="1" x14ac:dyDescent="0.2">
      <c r="A559" s="45"/>
      <c r="B559" s="48"/>
      <c r="C559" s="86" t="s">
        <v>607</v>
      </c>
      <c r="D559" s="83"/>
      <c r="E559" s="83"/>
      <c r="F559" s="83"/>
      <c r="G559" s="83"/>
      <c r="H559" s="83"/>
      <c r="I559" s="50"/>
      <c r="J559" s="45"/>
      <c r="K559" s="49"/>
      <c r="L559" s="50"/>
    </row>
    <row r="560" spans="1:12" ht="14.25" hidden="1" x14ac:dyDescent="0.2">
      <c r="A560" s="45"/>
      <c r="B560" s="48"/>
      <c r="C560" s="83" t="s">
        <v>606</v>
      </c>
      <c r="D560" s="83"/>
      <c r="E560" s="83"/>
      <c r="F560" s="83"/>
      <c r="G560" s="83"/>
      <c r="H560" s="83"/>
      <c r="I560" s="50"/>
      <c r="J560" s="45"/>
      <c r="K560" s="49"/>
      <c r="L560" s="50">
        <f>SUMIF(CD60:CD545, 4, AO60:AO545)</f>
        <v>0</v>
      </c>
    </row>
    <row r="561" spans="1:12" ht="14.25" hidden="1" x14ac:dyDescent="0.2">
      <c r="A561" s="45"/>
      <c r="B561" s="48"/>
      <c r="C561" s="86" t="s">
        <v>608</v>
      </c>
      <c r="D561" s="83"/>
      <c r="E561" s="83"/>
      <c r="F561" s="83"/>
      <c r="G561" s="83"/>
      <c r="H561" s="83"/>
      <c r="I561" s="50"/>
      <c r="J561" s="45"/>
      <c r="K561" s="49"/>
      <c r="L561" s="50"/>
    </row>
    <row r="562" spans="1:12" ht="14.25" hidden="1" x14ac:dyDescent="0.2">
      <c r="A562" s="45"/>
      <c r="B562" s="48"/>
      <c r="C562" s="83" t="s">
        <v>628</v>
      </c>
      <c r="D562" s="83"/>
      <c r="E562" s="83"/>
      <c r="F562" s="83"/>
      <c r="G562" s="83"/>
      <c r="H562" s="83"/>
      <c r="I562" s="50"/>
      <c r="J562" s="45"/>
      <c r="K562" s="49"/>
      <c r="L562" s="50">
        <f>SUMIF(CD60:CD545, 4, AT60:AT545)</f>
        <v>0</v>
      </c>
    </row>
    <row r="563" spans="1:12" ht="14.25" hidden="1" x14ac:dyDescent="0.2">
      <c r="A563" s="45"/>
      <c r="B563" s="48"/>
      <c r="C563" s="83" t="s">
        <v>609</v>
      </c>
      <c r="D563" s="83"/>
      <c r="E563" s="83"/>
      <c r="F563" s="83"/>
      <c r="G563" s="83"/>
      <c r="H563" s="83"/>
      <c r="I563" s="50"/>
      <c r="J563" s="45"/>
      <c r="K563" s="49"/>
      <c r="L563" s="50">
        <f>SUMIF(CD60:CD545, 4, AV60:AV545)</f>
        <v>0</v>
      </c>
    </row>
    <row r="564" spans="1:12" ht="14.25" hidden="1" x14ac:dyDescent="0.2">
      <c r="A564" s="45"/>
      <c r="B564" s="48"/>
      <c r="C564" s="83" t="s">
        <v>610</v>
      </c>
      <c r="D564" s="83"/>
      <c r="E564" s="83"/>
      <c r="F564" s="83"/>
      <c r="G564" s="83"/>
      <c r="H564" s="83"/>
      <c r="I564" s="50"/>
      <c r="J564" s="45"/>
      <c r="K564" s="49"/>
      <c r="L564" s="50">
        <f>L566+L567</f>
        <v>0</v>
      </c>
    </row>
    <row r="565" spans="1:12" ht="14.25" hidden="1" x14ac:dyDescent="0.2">
      <c r="A565" s="45"/>
      <c r="B565" s="48"/>
      <c r="C565" s="86" t="s">
        <v>607</v>
      </c>
      <c r="D565" s="83"/>
      <c r="E565" s="83"/>
      <c r="F565" s="83"/>
      <c r="G565" s="83"/>
      <c r="H565" s="83"/>
      <c r="I565" s="50"/>
      <c r="J565" s="45"/>
      <c r="K565" s="49"/>
      <c r="L565" s="50"/>
    </row>
    <row r="566" spans="1:12" ht="14.25" hidden="1" x14ac:dyDescent="0.2">
      <c r="A566" s="45"/>
      <c r="B566" s="48"/>
      <c r="C566" s="83" t="s">
        <v>611</v>
      </c>
      <c r="D566" s="83"/>
      <c r="E566" s="83"/>
      <c r="F566" s="83"/>
      <c r="G566" s="83"/>
      <c r="H566" s="83"/>
      <c r="I566" s="50"/>
      <c r="J566" s="45"/>
      <c r="K566" s="49"/>
      <c r="L566" s="50">
        <f>SUMIF(CD60:CD545, 4, AW60:AW545)-SUMIF(CD60:CD545, 4, BK60:BK545)</f>
        <v>0</v>
      </c>
    </row>
    <row r="567" spans="1:12" ht="14.25" hidden="1" x14ac:dyDescent="0.2">
      <c r="A567" s="45"/>
      <c r="B567" s="48"/>
      <c r="C567" s="83" t="s">
        <v>612</v>
      </c>
      <c r="D567" s="83"/>
      <c r="E567" s="83"/>
      <c r="F567" s="83"/>
      <c r="G567" s="83"/>
      <c r="H567" s="83"/>
      <c r="I567" s="50"/>
      <c r="J567" s="45"/>
      <c r="K567" s="49"/>
      <c r="L567" s="50">
        <f>SUMIF(CD60:CD545, 4, BC60:BC545)</f>
        <v>0</v>
      </c>
    </row>
    <row r="568" spans="1:12" ht="14.25" hidden="1" x14ac:dyDescent="0.2">
      <c r="A568" s="45"/>
      <c r="B568" s="48"/>
      <c r="C568" s="83" t="s">
        <v>613</v>
      </c>
      <c r="D568" s="83"/>
      <c r="E568" s="83"/>
      <c r="F568" s="83"/>
      <c r="G568" s="83"/>
      <c r="H568" s="83"/>
      <c r="I568" s="50"/>
      <c r="J568" s="45"/>
      <c r="K568" s="49"/>
      <c r="L568" s="50">
        <f>SUMIF(CD60:CD545, 4, BB60:BB545)</f>
        <v>0</v>
      </c>
    </row>
    <row r="569" spans="1:12" ht="14.25" hidden="1" x14ac:dyDescent="0.2">
      <c r="A569" s="45"/>
      <c r="B569" s="48"/>
      <c r="C569" s="83" t="s">
        <v>694</v>
      </c>
      <c r="D569" s="83"/>
      <c r="E569" s="83"/>
      <c r="F569" s="83"/>
      <c r="G569" s="83"/>
      <c r="H569" s="83"/>
      <c r="I569" s="50"/>
      <c r="J569" s="45"/>
      <c r="K569" s="49"/>
      <c r="L569" s="50">
        <f>SUMIF(CD60:CD545, 4, AR60:AR545)+SUMIF(CD60:CD545, 4, AT60:AT545)+SUMIF(CD60:CD545, 4, AV60:AV545)</f>
        <v>0</v>
      </c>
    </row>
    <row r="570" spans="1:12" ht="14.25" hidden="1" x14ac:dyDescent="0.2">
      <c r="A570" s="45"/>
      <c r="B570" s="48"/>
      <c r="C570" s="83" t="s">
        <v>695</v>
      </c>
      <c r="D570" s="83"/>
      <c r="E570" s="83"/>
      <c r="F570" s="83"/>
      <c r="G570" s="83"/>
      <c r="H570" s="83"/>
      <c r="I570" s="50"/>
      <c r="J570" s="45"/>
      <c r="K570" s="49"/>
      <c r="L570" s="50">
        <f>SUMIF(CD60:CD545, 4, AZ60:AZ545)</f>
        <v>0</v>
      </c>
    </row>
    <row r="571" spans="1:12" ht="14.25" hidden="1" x14ac:dyDescent="0.2">
      <c r="A571" s="45"/>
      <c r="B571" s="48"/>
      <c r="C571" s="83" t="s">
        <v>696</v>
      </c>
      <c r="D571" s="83"/>
      <c r="E571" s="83"/>
      <c r="F571" s="83"/>
      <c r="G571" s="83"/>
      <c r="H571" s="83"/>
      <c r="I571" s="50"/>
      <c r="J571" s="45"/>
      <c r="K571" s="49"/>
      <c r="L571" s="50">
        <f>SUMIF(CD60:CD545, 4, BA60:BA545)</f>
        <v>0</v>
      </c>
    </row>
    <row r="573" spans="1:12" ht="15" x14ac:dyDescent="0.2">
      <c r="A573" s="51"/>
      <c r="B573" s="52"/>
      <c r="C573" s="87" t="s">
        <v>716</v>
      </c>
      <c r="D573" s="87"/>
      <c r="E573" s="87"/>
      <c r="F573" s="87"/>
      <c r="G573" s="87"/>
      <c r="H573" s="87"/>
      <c r="I573" s="53"/>
      <c r="J573" s="51"/>
      <c r="K573" s="54"/>
      <c r="L573" s="53">
        <f>L502+L522+L542+L547</f>
        <v>443879.30000000005</v>
      </c>
    </row>
    <row r="574" spans="1:12" ht="14.25" x14ac:dyDescent="0.2">
      <c r="A574" s="45"/>
      <c r="B574" s="48"/>
      <c r="C574" s="86" t="s">
        <v>604</v>
      </c>
      <c r="D574" s="83"/>
      <c r="E574" s="83"/>
      <c r="F574" s="83"/>
      <c r="G574" s="83"/>
      <c r="H574" s="83"/>
      <c r="I574" s="50"/>
      <c r="J574" s="45"/>
      <c r="K574" s="49"/>
      <c r="L574" s="50"/>
    </row>
    <row r="575" spans="1:12" ht="14.25" x14ac:dyDescent="0.2">
      <c r="A575" s="45"/>
      <c r="B575" s="48"/>
      <c r="C575" s="83" t="s">
        <v>692</v>
      </c>
      <c r="D575" s="83"/>
      <c r="E575" s="83"/>
      <c r="F575" s="83"/>
      <c r="G575" s="83"/>
      <c r="H575" s="83"/>
      <c r="I575" s="50"/>
      <c r="J575" s="45"/>
      <c r="K575" s="49"/>
      <c r="L575" s="50">
        <f>L577+L578+L584+L588</f>
        <v>309896.18</v>
      </c>
    </row>
    <row r="576" spans="1:12" ht="14.25" x14ac:dyDescent="0.2">
      <c r="A576" s="45"/>
      <c r="B576" s="48"/>
      <c r="C576" s="86" t="s">
        <v>604</v>
      </c>
      <c r="D576" s="83"/>
      <c r="E576" s="83"/>
      <c r="F576" s="83"/>
      <c r="G576" s="83"/>
      <c r="H576" s="83"/>
      <c r="I576" s="50"/>
      <c r="J576" s="45"/>
      <c r="K576" s="49"/>
      <c r="L576" s="50"/>
    </row>
    <row r="577" spans="1:12" ht="14.25" x14ac:dyDescent="0.2">
      <c r="A577" s="45"/>
      <c r="B577" s="48"/>
      <c r="C577" s="83" t="s">
        <v>693</v>
      </c>
      <c r="D577" s="83"/>
      <c r="E577" s="83"/>
      <c r="F577" s="83"/>
      <c r="G577" s="83"/>
      <c r="H577" s="83"/>
      <c r="I577" s="50"/>
      <c r="J577" s="45"/>
      <c r="K577" s="49"/>
      <c r="L577" s="50">
        <f>SUM(AR60:AR571)</f>
        <v>95391.69</v>
      </c>
    </row>
    <row r="578" spans="1:12" ht="14.25" hidden="1" x14ac:dyDescent="0.2">
      <c r="A578" s="45"/>
      <c r="B578" s="48"/>
      <c r="C578" s="83" t="s">
        <v>606</v>
      </c>
      <c r="D578" s="83"/>
      <c r="E578" s="83"/>
      <c r="F578" s="83"/>
      <c r="G578" s="83"/>
      <c r="H578" s="83"/>
      <c r="I578" s="50"/>
      <c r="J578" s="45"/>
      <c r="K578" s="49"/>
      <c r="L578" s="50">
        <f>L580+L583+L582</f>
        <v>5558.5999999999985</v>
      </c>
    </row>
    <row r="579" spans="1:12" ht="14.25" hidden="1" x14ac:dyDescent="0.2">
      <c r="A579" s="45"/>
      <c r="B579" s="48"/>
      <c r="C579" s="86" t="s">
        <v>607</v>
      </c>
      <c r="D579" s="83"/>
      <c r="E579" s="83"/>
      <c r="F579" s="83"/>
      <c r="G579" s="83"/>
      <c r="H579" s="83"/>
      <c r="I579" s="50"/>
      <c r="J579" s="45"/>
      <c r="K579" s="49"/>
      <c r="L579" s="50"/>
    </row>
    <row r="580" spans="1:12" ht="14.25" x14ac:dyDescent="0.2">
      <c r="A580" s="45"/>
      <c r="B580" s="48"/>
      <c r="C580" s="83" t="s">
        <v>606</v>
      </c>
      <c r="D580" s="83"/>
      <c r="E580" s="83"/>
      <c r="F580" s="83"/>
      <c r="G580" s="83"/>
      <c r="H580" s="83"/>
      <c r="I580" s="50"/>
      <c r="J580" s="45"/>
      <c r="K580" s="49"/>
      <c r="L580" s="50">
        <f>SUM(AO60:AO571)</f>
        <v>2742.2999999999984</v>
      </c>
    </row>
    <row r="581" spans="1:12" ht="14.25" hidden="1" x14ac:dyDescent="0.2">
      <c r="A581" s="45"/>
      <c r="B581" s="48"/>
      <c r="C581" s="86" t="s">
        <v>608</v>
      </c>
      <c r="D581" s="83"/>
      <c r="E581" s="83"/>
      <c r="F581" s="83"/>
      <c r="G581" s="83"/>
      <c r="H581" s="83"/>
      <c r="I581" s="50"/>
      <c r="J581" s="45"/>
      <c r="K581" s="49"/>
      <c r="L581" s="50"/>
    </row>
    <row r="582" spans="1:12" ht="14.25" x14ac:dyDescent="0.2">
      <c r="A582" s="45"/>
      <c r="B582" s="48"/>
      <c r="C582" s="83" t="s">
        <v>628</v>
      </c>
      <c r="D582" s="83"/>
      <c r="E582" s="83"/>
      <c r="F582" s="83"/>
      <c r="G582" s="83"/>
      <c r="H582" s="83"/>
      <c r="I582" s="50"/>
      <c r="J582" s="45"/>
      <c r="K582" s="49"/>
      <c r="L582" s="50">
        <f>SUM(AT60:AT571)</f>
        <v>2816.3</v>
      </c>
    </row>
    <row r="583" spans="1:12" ht="14.25" hidden="1" x14ac:dyDescent="0.2">
      <c r="A583" s="45"/>
      <c r="B583" s="48"/>
      <c r="C583" s="83" t="s">
        <v>609</v>
      </c>
      <c r="D583" s="83"/>
      <c r="E583" s="83"/>
      <c r="F583" s="83"/>
      <c r="G583" s="83"/>
      <c r="H583" s="83"/>
      <c r="I583" s="50"/>
      <c r="J583" s="45"/>
      <c r="K583" s="49"/>
      <c r="L583" s="50">
        <f>SUM(AV60:AV571)</f>
        <v>0</v>
      </c>
    </row>
    <row r="584" spans="1:12" ht="14.25" x14ac:dyDescent="0.2">
      <c r="A584" s="45"/>
      <c r="B584" s="48"/>
      <c r="C584" s="83" t="s">
        <v>610</v>
      </c>
      <c r="D584" s="83"/>
      <c r="E584" s="83"/>
      <c r="F584" s="83"/>
      <c r="G584" s="83"/>
      <c r="H584" s="83"/>
      <c r="I584" s="50"/>
      <c r="J584" s="45"/>
      <c r="K584" s="49"/>
      <c r="L584" s="50">
        <f>L586+L587</f>
        <v>199160.15</v>
      </c>
    </row>
    <row r="585" spans="1:12" ht="14.25" x14ac:dyDescent="0.2">
      <c r="A585" s="45"/>
      <c r="B585" s="48"/>
      <c r="C585" s="86" t="s">
        <v>607</v>
      </c>
      <c r="D585" s="83"/>
      <c r="E585" s="83"/>
      <c r="F585" s="83"/>
      <c r="G585" s="83"/>
      <c r="H585" s="83"/>
      <c r="I585" s="50"/>
      <c r="J585" s="45"/>
      <c r="K585" s="49"/>
      <c r="L585" s="50"/>
    </row>
    <row r="586" spans="1:12" ht="14.25" x14ac:dyDescent="0.2">
      <c r="A586" s="45"/>
      <c r="B586" s="48"/>
      <c r="C586" s="83" t="s">
        <v>611</v>
      </c>
      <c r="D586" s="83"/>
      <c r="E586" s="83"/>
      <c r="F586" s="83"/>
      <c r="G586" s="83"/>
      <c r="H586" s="83"/>
      <c r="I586" s="50"/>
      <c r="J586" s="45"/>
      <c r="K586" s="49"/>
      <c r="L586" s="50">
        <f>SUM(AW60:AW571)-SUM(BK60:BK571)</f>
        <v>199160.15</v>
      </c>
    </row>
    <row r="587" spans="1:12" ht="14.25" hidden="1" x14ac:dyDescent="0.2">
      <c r="A587" s="45"/>
      <c r="B587" s="48"/>
      <c r="C587" s="83" t="s">
        <v>612</v>
      </c>
      <c r="D587" s="83"/>
      <c r="E587" s="83"/>
      <c r="F587" s="83"/>
      <c r="G587" s="83"/>
      <c r="H587" s="83"/>
      <c r="I587" s="50"/>
      <c r="J587" s="45"/>
      <c r="K587" s="49"/>
      <c r="L587" s="50">
        <f>SUM(BC60:BC571)</f>
        <v>0</v>
      </c>
    </row>
    <row r="588" spans="1:12" ht="14.25" x14ac:dyDescent="0.2">
      <c r="A588" s="45"/>
      <c r="B588" s="48"/>
      <c r="C588" s="83" t="s">
        <v>613</v>
      </c>
      <c r="D588" s="83"/>
      <c r="E588" s="83"/>
      <c r="F588" s="83"/>
      <c r="G588" s="83"/>
      <c r="H588" s="83"/>
      <c r="I588" s="50"/>
      <c r="J588" s="45"/>
      <c r="K588" s="49"/>
      <c r="L588" s="50">
        <f>SUM(BB60:BB571)</f>
        <v>9785.74</v>
      </c>
    </row>
    <row r="589" spans="1:12" ht="14.25" x14ac:dyDescent="0.2">
      <c r="A589" s="45"/>
      <c r="B589" s="48"/>
      <c r="C589" s="83" t="s">
        <v>614</v>
      </c>
      <c r="D589" s="83"/>
      <c r="E589" s="83"/>
      <c r="F589" s="83"/>
      <c r="G589" s="83"/>
      <c r="H589" s="83"/>
      <c r="I589" s="50"/>
      <c r="J589" s="45"/>
      <c r="K589" s="49"/>
      <c r="L589" s="50">
        <f>SUM(AR60:AR571)+SUM(AT60:AT571)+SUM(AV60:AV571)</f>
        <v>98207.99</v>
      </c>
    </row>
    <row r="590" spans="1:12" ht="14.25" x14ac:dyDescent="0.2">
      <c r="A590" s="45"/>
      <c r="B590" s="48"/>
      <c r="C590" s="83" t="s">
        <v>615</v>
      </c>
      <c r="D590" s="83"/>
      <c r="E590" s="83"/>
      <c r="F590" s="83"/>
      <c r="G590" s="83"/>
      <c r="H590" s="83"/>
      <c r="I590" s="50"/>
      <c r="J590" s="45"/>
      <c r="K590" s="49"/>
      <c r="L590" s="50">
        <f>SUM(AZ60:AZ571)</f>
        <v>89709.900000000038</v>
      </c>
    </row>
    <row r="591" spans="1:12" ht="14.25" x14ac:dyDescent="0.2">
      <c r="A591" s="45"/>
      <c r="B591" s="48"/>
      <c r="C591" s="83" t="s">
        <v>616</v>
      </c>
      <c r="D591" s="83"/>
      <c r="E591" s="83"/>
      <c r="F591" s="83"/>
      <c r="G591" s="83"/>
      <c r="H591" s="83"/>
      <c r="I591" s="50"/>
      <c r="J591" s="45"/>
      <c r="K591" s="49"/>
      <c r="L591" s="50">
        <f>SUM(BA60:BA571)</f>
        <v>44273.22</v>
      </c>
    </row>
    <row r="592" spans="1:12" ht="14.25" hidden="1" x14ac:dyDescent="0.2">
      <c r="A592" s="45"/>
      <c r="B592" s="48"/>
      <c r="C592" s="83" t="s">
        <v>704</v>
      </c>
      <c r="D592" s="83"/>
      <c r="E592" s="83"/>
      <c r="F592" s="83"/>
      <c r="G592" s="83"/>
      <c r="H592" s="83"/>
      <c r="I592" s="50"/>
      <c r="J592" s="45"/>
      <c r="K592" s="49"/>
      <c r="L592" s="50">
        <f>L594+L595</f>
        <v>0</v>
      </c>
    </row>
    <row r="593" spans="1:12" ht="14.25" hidden="1" x14ac:dyDescent="0.2">
      <c r="A593" s="45"/>
      <c r="B593" s="48"/>
      <c r="C593" s="86" t="s">
        <v>604</v>
      </c>
      <c r="D593" s="83"/>
      <c r="E593" s="83"/>
      <c r="F593" s="83"/>
      <c r="G593" s="83"/>
      <c r="H593" s="83"/>
      <c r="I593" s="50"/>
      <c r="J593" s="45"/>
      <c r="K593" s="49"/>
      <c r="L593" s="50"/>
    </row>
    <row r="594" spans="1:12" ht="14.25" hidden="1" x14ac:dyDescent="0.2">
      <c r="A594" s="45"/>
      <c r="B594" s="48"/>
      <c r="C594" s="83" t="s">
        <v>618</v>
      </c>
      <c r="D594" s="83"/>
      <c r="E594" s="83"/>
      <c r="F594" s="83"/>
      <c r="G594" s="83"/>
      <c r="H594" s="83"/>
      <c r="I594" s="50"/>
      <c r="J594" s="45"/>
      <c r="K594" s="49"/>
      <c r="L594" s="50">
        <f>SUM(BK60:BK571)</f>
        <v>0</v>
      </c>
    </row>
    <row r="595" spans="1:12" ht="14.25" hidden="1" x14ac:dyDescent="0.2">
      <c r="A595" s="45"/>
      <c r="B595" s="48"/>
      <c r="C595" s="83" t="s">
        <v>619</v>
      </c>
      <c r="D595" s="83"/>
      <c r="E595" s="83"/>
      <c r="F595" s="83"/>
      <c r="G595" s="83"/>
      <c r="H595" s="83"/>
      <c r="I595" s="50"/>
      <c r="J595" s="45"/>
      <c r="K595" s="49"/>
      <c r="L595" s="50">
        <f>SUM(BD60:BD571)</f>
        <v>0</v>
      </c>
    </row>
    <row r="596" spans="1:12" ht="14.25" hidden="1" x14ac:dyDescent="0.2">
      <c r="A596" s="45"/>
      <c r="B596" s="48"/>
      <c r="C596" s="83" t="s">
        <v>705</v>
      </c>
      <c r="D596" s="83"/>
      <c r="E596" s="83"/>
      <c r="F596" s="83"/>
      <c r="G596" s="83"/>
      <c r="H596" s="83"/>
      <c r="I596" s="50"/>
      <c r="J596" s="45"/>
      <c r="K596" s="49"/>
      <c r="L596" s="50">
        <f>L547</f>
        <v>0</v>
      </c>
    </row>
    <row r="597" spans="1:12" ht="14.25" x14ac:dyDescent="0.2">
      <c r="A597" s="45"/>
      <c r="B597" s="48"/>
      <c r="C597" s="47"/>
      <c r="D597" s="47"/>
      <c r="E597" s="47"/>
      <c r="F597" s="47"/>
      <c r="G597" s="47"/>
      <c r="H597" s="47"/>
      <c r="I597" s="50"/>
      <c r="J597" s="45"/>
      <c r="K597" s="49"/>
      <c r="L597" s="50"/>
    </row>
    <row r="598" spans="1:12" ht="14.25" x14ac:dyDescent="0.2">
      <c r="A598" s="45"/>
      <c r="B598" s="48"/>
      <c r="C598" s="88" t="s">
        <v>712</v>
      </c>
      <c r="D598" s="88"/>
      <c r="E598" s="88"/>
      <c r="F598" s="88"/>
      <c r="G598" s="88"/>
      <c r="H598" s="88"/>
      <c r="I598" s="50"/>
      <c r="J598" s="45"/>
      <c r="K598" s="49"/>
      <c r="L598" s="50">
        <v>472509.51</v>
      </c>
    </row>
    <row r="599" spans="1:12" ht="14.25" x14ac:dyDescent="0.2">
      <c r="A599" s="45"/>
      <c r="B599" s="48"/>
      <c r="C599" s="88" t="s">
        <v>713</v>
      </c>
      <c r="D599" s="88"/>
      <c r="E599" s="88"/>
      <c r="F599" s="88"/>
      <c r="G599" s="88"/>
      <c r="H599" s="88"/>
      <c r="I599" s="50"/>
      <c r="J599" s="45"/>
      <c r="K599" s="49"/>
      <c r="L599" s="50">
        <v>474635.8</v>
      </c>
    </row>
    <row r="600" spans="1:12" ht="14.25" x14ac:dyDescent="0.2">
      <c r="A600" s="45"/>
      <c r="B600" s="48"/>
      <c r="C600" s="81" t="s">
        <v>714</v>
      </c>
      <c r="D600" s="81"/>
      <c r="E600" s="81"/>
      <c r="F600" s="81"/>
      <c r="G600" s="81"/>
      <c r="H600" s="81"/>
      <c r="I600" s="50"/>
      <c r="J600" s="45"/>
      <c r="K600" s="49"/>
      <c r="L600" s="50">
        <v>104419.88</v>
      </c>
    </row>
    <row r="601" spans="1:12" ht="15" x14ac:dyDescent="0.2">
      <c r="A601" s="45"/>
      <c r="B601" s="48"/>
      <c r="C601" s="82" t="s">
        <v>715</v>
      </c>
      <c r="D601" s="82"/>
      <c r="E601" s="82"/>
      <c r="F601" s="82"/>
      <c r="G601" s="82"/>
      <c r="H601" s="82"/>
      <c r="I601" s="50"/>
      <c r="J601" s="45"/>
      <c r="K601" s="49"/>
      <c r="L601" s="53">
        <v>579055.68000000005</v>
      </c>
    </row>
    <row r="602" spans="1:12" ht="14.25" x14ac:dyDescent="0.2">
      <c r="A602" s="45"/>
      <c r="B602" s="48"/>
      <c r="C602" s="47"/>
      <c r="D602" s="47"/>
      <c r="E602" s="47"/>
      <c r="F602" s="47"/>
      <c r="G602" s="47"/>
      <c r="H602" s="47"/>
      <c r="I602" s="50"/>
      <c r="J602" s="45"/>
      <c r="K602" s="49"/>
      <c r="L602" s="50"/>
    </row>
    <row r="603" spans="1:12" ht="14.25" x14ac:dyDescent="0.2">
      <c r="A603" s="45"/>
      <c r="B603" s="48"/>
      <c r="C603" s="87" t="s">
        <v>623</v>
      </c>
      <c r="D603" s="83"/>
      <c r="E603" s="83"/>
      <c r="F603" s="83"/>
      <c r="G603" s="83"/>
      <c r="H603" s="83"/>
      <c r="I603" s="50"/>
      <c r="J603" s="45"/>
      <c r="K603" s="49"/>
      <c r="L603" s="50"/>
    </row>
    <row r="604" spans="1:12" ht="14.25" hidden="1" x14ac:dyDescent="0.2">
      <c r="A604" s="45"/>
      <c r="B604" s="48"/>
      <c r="C604" s="83" t="s">
        <v>624</v>
      </c>
      <c r="D604" s="83"/>
      <c r="E604" s="83"/>
      <c r="F604" s="83"/>
      <c r="G604" s="83"/>
      <c r="H604" s="83"/>
      <c r="I604" s="50"/>
      <c r="J604" s="45"/>
      <c r="K604" s="49"/>
      <c r="L604" s="50">
        <f>SUM(AX60:AX571)</f>
        <v>0</v>
      </c>
    </row>
    <row r="605" spans="1:12" ht="14.25" hidden="1" x14ac:dyDescent="0.2">
      <c r="A605" s="45"/>
      <c r="B605" s="48"/>
      <c r="C605" s="83" t="s">
        <v>625</v>
      </c>
      <c r="D605" s="83"/>
      <c r="E605" s="83"/>
      <c r="F605" s="83"/>
      <c r="G605" s="83"/>
      <c r="H605" s="83"/>
      <c r="I605" s="50"/>
      <c r="J605" s="45"/>
      <c r="K605" s="49"/>
      <c r="L605" s="50">
        <f>SUM(AY60:AY571)</f>
        <v>0</v>
      </c>
    </row>
    <row r="606" spans="1:12" ht="14.25" x14ac:dyDescent="0.2">
      <c r="A606" s="45"/>
      <c r="B606" s="48"/>
      <c r="C606" s="83" t="s">
        <v>626</v>
      </c>
      <c r="D606" s="83"/>
      <c r="E606" s="83"/>
      <c r="F606" s="84"/>
      <c r="G606" s="56">
        <f>Source!F362</f>
        <v>316.76887699999997</v>
      </c>
      <c r="H606" s="45"/>
      <c r="I606" s="45"/>
      <c r="J606" s="45"/>
      <c r="K606" s="45"/>
      <c r="L606" s="45"/>
    </row>
    <row r="607" spans="1:12" ht="14.25" x14ac:dyDescent="0.2">
      <c r="A607" s="45"/>
      <c r="B607" s="48"/>
      <c r="C607" s="83" t="s">
        <v>627</v>
      </c>
      <c r="D607" s="83"/>
      <c r="E607" s="83"/>
      <c r="F607" s="84"/>
      <c r="G607" s="56">
        <f>Source!F363</f>
        <v>9.1510058000000001</v>
      </c>
      <c r="H607" s="45"/>
      <c r="I607" s="45"/>
      <c r="J607" s="45"/>
      <c r="K607" s="45"/>
      <c r="L607" s="45"/>
    </row>
    <row r="611" spans="1:12" ht="14.25" customHeight="1" x14ac:dyDescent="0.2">
      <c r="A611" s="77"/>
      <c r="B611" s="78" t="s">
        <v>706</v>
      </c>
      <c r="C611" s="79" t="str">
        <f>IF(Source!AC12&lt;&gt;"", Source!AC12," ")</f>
        <v xml:space="preserve"> </v>
      </c>
      <c r="D611" s="38"/>
      <c r="E611" s="38"/>
      <c r="F611" s="38"/>
      <c r="G611" s="38"/>
      <c r="H611" s="18"/>
      <c r="I611" s="28"/>
      <c r="J611" s="28"/>
      <c r="K611" s="42"/>
      <c r="L611" s="42"/>
    </row>
    <row r="612" spans="1:12" ht="14.25" customHeight="1" x14ac:dyDescent="0.2">
      <c r="A612" s="77"/>
      <c r="B612" s="80"/>
      <c r="C612" s="85" t="s">
        <v>707</v>
      </c>
      <c r="D612" s="85"/>
      <c r="E612" s="85"/>
      <c r="F612" s="85"/>
      <c r="G612" s="85"/>
      <c r="H612" s="28"/>
      <c r="I612" s="28"/>
      <c r="J612" s="28"/>
      <c r="K612" s="42"/>
      <c r="L612" s="42"/>
    </row>
    <row r="613" spans="1:12" ht="14.25" customHeight="1" x14ac:dyDescent="0.2">
      <c r="A613" s="77"/>
      <c r="B613" s="80"/>
      <c r="C613" s="17"/>
      <c r="D613" s="17"/>
      <c r="E613" s="17"/>
      <c r="F613" s="17"/>
      <c r="G613" s="17"/>
      <c r="H613" s="28"/>
      <c r="I613" s="28"/>
      <c r="J613" s="28"/>
      <c r="K613" s="42"/>
      <c r="L613" s="42"/>
    </row>
    <row r="614" spans="1:12" ht="14.25" customHeight="1" x14ac:dyDescent="0.2">
      <c r="A614" s="77"/>
      <c r="B614" s="78" t="s">
        <v>708</v>
      </c>
      <c r="C614" s="79" t="str">
        <f>IF(Source!AE12&lt;&gt;"", Source!AE12," ")</f>
        <v xml:space="preserve"> </v>
      </c>
      <c r="D614" s="38"/>
      <c r="E614" s="38"/>
      <c r="F614" s="38"/>
      <c r="G614" s="38"/>
      <c r="H614" s="18"/>
      <c r="I614" s="28"/>
      <c r="J614" s="28"/>
      <c r="K614" s="42"/>
      <c r="L614" s="42"/>
    </row>
    <row r="615" spans="1:12" ht="14.25" customHeight="1" x14ac:dyDescent="0.2">
      <c r="A615" s="17"/>
      <c r="B615" s="17"/>
      <c r="C615" s="85" t="s">
        <v>707</v>
      </c>
      <c r="D615" s="85"/>
      <c r="E615" s="85"/>
      <c r="F615" s="85"/>
      <c r="G615" s="85"/>
      <c r="H615" s="28"/>
      <c r="I615" s="28"/>
      <c r="J615" s="28"/>
      <c r="K615" s="42"/>
      <c r="L615" s="42"/>
    </row>
  </sheetData>
  <mergeCells count="321">
    <mergeCell ref="B3:E3"/>
    <mergeCell ref="H3:L3"/>
    <mergeCell ref="B4:E4"/>
    <mergeCell ref="H4:L4"/>
    <mergeCell ref="B6:E6"/>
    <mergeCell ref="H6:L6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A27:L27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E54:G57"/>
    <mergeCell ref="H54:L57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C86:H86"/>
    <mergeCell ref="I86:J86"/>
    <mergeCell ref="K86:L86"/>
    <mergeCell ref="C98:H98"/>
    <mergeCell ref="I98:J98"/>
    <mergeCell ref="K98:L98"/>
    <mergeCell ref="A61:L61"/>
    <mergeCell ref="C74:H74"/>
    <mergeCell ref="I74:J74"/>
    <mergeCell ref="K74:L74"/>
    <mergeCell ref="C143:H143"/>
    <mergeCell ref="I143:J143"/>
    <mergeCell ref="K143:L143"/>
    <mergeCell ref="C145:H145"/>
    <mergeCell ref="I145:J145"/>
    <mergeCell ref="K145:L145"/>
    <mergeCell ref="C111:H111"/>
    <mergeCell ref="I111:J111"/>
    <mergeCell ref="K111:L111"/>
    <mergeCell ref="C128:H128"/>
    <mergeCell ref="I128:J128"/>
    <mergeCell ref="K128:L128"/>
    <mergeCell ref="C168:H168"/>
    <mergeCell ref="I168:J168"/>
    <mergeCell ref="K168:L168"/>
    <mergeCell ref="C191:H191"/>
    <mergeCell ref="I191:J191"/>
    <mergeCell ref="K191:L191"/>
    <mergeCell ref="C164:H164"/>
    <mergeCell ref="I164:J164"/>
    <mergeCell ref="K164:L164"/>
    <mergeCell ref="C166:H166"/>
    <mergeCell ref="I166:J166"/>
    <mergeCell ref="K166:L166"/>
    <mergeCell ref="C208:H208"/>
    <mergeCell ref="I208:J208"/>
    <mergeCell ref="K208:L208"/>
    <mergeCell ref="C223:H223"/>
    <mergeCell ref="I223:J223"/>
    <mergeCell ref="K223:L223"/>
    <mergeCell ref="C193:H193"/>
    <mergeCell ref="I193:J193"/>
    <mergeCell ref="K193:L193"/>
    <mergeCell ref="C206:H206"/>
    <mergeCell ref="I206:J206"/>
    <mergeCell ref="K206:L206"/>
    <mergeCell ref="C280:H280"/>
    <mergeCell ref="I280:J280"/>
    <mergeCell ref="K280:L280"/>
    <mergeCell ref="C282:H282"/>
    <mergeCell ref="I282:J282"/>
    <mergeCell ref="K282:L282"/>
    <mergeCell ref="C231:H231"/>
    <mergeCell ref="I231:J231"/>
    <mergeCell ref="K231:L231"/>
    <mergeCell ref="C251:H251"/>
    <mergeCell ref="I251:J251"/>
    <mergeCell ref="K251:L251"/>
    <mergeCell ref="C307:H307"/>
    <mergeCell ref="I307:J307"/>
    <mergeCell ref="K307:L307"/>
    <mergeCell ref="C327:H327"/>
    <mergeCell ref="I327:J327"/>
    <mergeCell ref="K327:L327"/>
    <mergeCell ref="C303:H303"/>
    <mergeCell ref="I303:J303"/>
    <mergeCell ref="K303:L303"/>
    <mergeCell ref="C305:H305"/>
    <mergeCell ref="I305:J305"/>
    <mergeCell ref="K305:L305"/>
    <mergeCell ref="C347:H347"/>
    <mergeCell ref="I347:J347"/>
    <mergeCell ref="K347:L347"/>
    <mergeCell ref="C363:H363"/>
    <mergeCell ref="I363:J363"/>
    <mergeCell ref="K363:L363"/>
    <mergeCell ref="C329:H329"/>
    <mergeCell ref="I329:J329"/>
    <mergeCell ref="K329:L329"/>
    <mergeCell ref="C345:H345"/>
    <mergeCell ref="I345:J345"/>
    <mergeCell ref="K345:L345"/>
    <mergeCell ref="C386:H386"/>
    <mergeCell ref="I386:J386"/>
    <mergeCell ref="K386:L386"/>
    <mergeCell ref="C399:H399"/>
    <mergeCell ref="I399:J399"/>
    <mergeCell ref="K399:L399"/>
    <mergeCell ref="C365:H365"/>
    <mergeCell ref="I365:J365"/>
    <mergeCell ref="K365:L365"/>
    <mergeCell ref="C384:H384"/>
    <mergeCell ref="I384:J384"/>
    <mergeCell ref="K384:L384"/>
    <mergeCell ref="C424:H424"/>
    <mergeCell ref="I424:J424"/>
    <mergeCell ref="K424:L424"/>
    <mergeCell ref="C426:H426"/>
    <mergeCell ref="I426:J426"/>
    <mergeCell ref="K426:L426"/>
    <mergeCell ref="C420:H420"/>
    <mergeCell ref="I420:J420"/>
    <mergeCell ref="K420:L420"/>
    <mergeCell ref="C422:H422"/>
    <mergeCell ref="I422:J422"/>
    <mergeCell ref="K422:L422"/>
    <mergeCell ref="C433:H433"/>
    <mergeCell ref="C434:H434"/>
    <mergeCell ref="C435:H435"/>
    <mergeCell ref="C436:H436"/>
    <mergeCell ref="C437:H437"/>
    <mergeCell ref="C438:H438"/>
    <mergeCell ref="C428:H428"/>
    <mergeCell ref="I428:J428"/>
    <mergeCell ref="K428:L428"/>
    <mergeCell ref="C430:H430"/>
    <mergeCell ref="C431:H431"/>
    <mergeCell ref="C432:H432"/>
    <mergeCell ref="C445:H445"/>
    <mergeCell ref="C446:H446"/>
    <mergeCell ref="C447:H447"/>
    <mergeCell ref="C448:H448"/>
    <mergeCell ref="C449:H449"/>
    <mergeCell ref="C450:H450"/>
    <mergeCell ref="C439:H439"/>
    <mergeCell ref="C440:H440"/>
    <mergeCell ref="C441:H441"/>
    <mergeCell ref="C442:H442"/>
    <mergeCell ref="C443:H443"/>
    <mergeCell ref="C444:H444"/>
    <mergeCell ref="C457:H457"/>
    <mergeCell ref="C458:F458"/>
    <mergeCell ref="C459:F459"/>
    <mergeCell ref="A462:L462"/>
    <mergeCell ref="C464:H464"/>
    <mergeCell ref="I464:J464"/>
    <mergeCell ref="K464:L464"/>
    <mergeCell ref="C451:H451"/>
    <mergeCell ref="C452:H452"/>
    <mergeCell ref="C453:H453"/>
    <mergeCell ref="C454:H454"/>
    <mergeCell ref="C455:H455"/>
    <mergeCell ref="C456:H456"/>
    <mergeCell ref="C471:H471"/>
    <mergeCell ref="C472:H472"/>
    <mergeCell ref="C473:H473"/>
    <mergeCell ref="C474:H474"/>
    <mergeCell ref="C475:H475"/>
    <mergeCell ref="C476:H476"/>
    <mergeCell ref="C466:H466"/>
    <mergeCell ref="I466:J466"/>
    <mergeCell ref="K466:L466"/>
    <mergeCell ref="C468:H468"/>
    <mergeCell ref="C469:H469"/>
    <mergeCell ref="C470:H470"/>
    <mergeCell ref="C483:H483"/>
    <mergeCell ref="C484:H484"/>
    <mergeCell ref="C485:H485"/>
    <mergeCell ref="C486:H486"/>
    <mergeCell ref="C487:H487"/>
    <mergeCell ref="C488:H488"/>
    <mergeCell ref="C477:H477"/>
    <mergeCell ref="C478:H478"/>
    <mergeCell ref="C479:H479"/>
    <mergeCell ref="C480:H480"/>
    <mergeCell ref="C481:H481"/>
    <mergeCell ref="C482:H482"/>
    <mergeCell ref="C495:H495"/>
    <mergeCell ref="C496:F496"/>
    <mergeCell ref="C497:F497"/>
    <mergeCell ref="C500:H500"/>
    <mergeCell ref="C502:H502"/>
    <mergeCell ref="C503:H503"/>
    <mergeCell ref="C489:H489"/>
    <mergeCell ref="C490:H490"/>
    <mergeCell ref="C491:H491"/>
    <mergeCell ref="C492:H492"/>
    <mergeCell ref="C493:H493"/>
    <mergeCell ref="C494:H494"/>
    <mergeCell ref="C510:H510"/>
    <mergeCell ref="C511:H511"/>
    <mergeCell ref="C512:H512"/>
    <mergeCell ref="C513:H513"/>
    <mergeCell ref="C514:H514"/>
    <mergeCell ref="C515:H515"/>
    <mergeCell ref="C504:H504"/>
    <mergeCell ref="C505:H505"/>
    <mergeCell ref="C506:H506"/>
    <mergeCell ref="C507:H507"/>
    <mergeCell ref="C508:H508"/>
    <mergeCell ref="C509:H509"/>
    <mergeCell ref="C523:H523"/>
    <mergeCell ref="C524:H524"/>
    <mergeCell ref="C525:H525"/>
    <mergeCell ref="C526:H526"/>
    <mergeCell ref="C527:H527"/>
    <mergeCell ref="C528:H528"/>
    <mergeCell ref="C516:H516"/>
    <mergeCell ref="C517:H517"/>
    <mergeCell ref="C518:H518"/>
    <mergeCell ref="C519:H519"/>
    <mergeCell ref="C520:H520"/>
    <mergeCell ref="C522:H522"/>
    <mergeCell ref="C535:H535"/>
    <mergeCell ref="C536:H536"/>
    <mergeCell ref="C537:H537"/>
    <mergeCell ref="C538:H538"/>
    <mergeCell ref="C539:H539"/>
    <mergeCell ref="C540:H540"/>
    <mergeCell ref="C529:H529"/>
    <mergeCell ref="C530:H530"/>
    <mergeCell ref="C531:H531"/>
    <mergeCell ref="C532:H532"/>
    <mergeCell ref="C533:H533"/>
    <mergeCell ref="C534:H534"/>
    <mergeCell ref="C549:H549"/>
    <mergeCell ref="C550:H550"/>
    <mergeCell ref="C551:H551"/>
    <mergeCell ref="C552:H552"/>
    <mergeCell ref="C553:H553"/>
    <mergeCell ref="C554:H554"/>
    <mergeCell ref="C542:H542"/>
    <mergeCell ref="C543:H543"/>
    <mergeCell ref="C544:H544"/>
    <mergeCell ref="C545:H545"/>
    <mergeCell ref="C547:H547"/>
    <mergeCell ref="C548:H548"/>
    <mergeCell ref="C561:H561"/>
    <mergeCell ref="C562:H562"/>
    <mergeCell ref="C563:H563"/>
    <mergeCell ref="C564:H564"/>
    <mergeCell ref="C565:H565"/>
    <mergeCell ref="C566:H566"/>
    <mergeCell ref="C555:H555"/>
    <mergeCell ref="C556:H556"/>
    <mergeCell ref="C557:H557"/>
    <mergeCell ref="C558:H558"/>
    <mergeCell ref="C559:H559"/>
    <mergeCell ref="C560:H560"/>
    <mergeCell ref="C574:H574"/>
    <mergeCell ref="C575:H575"/>
    <mergeCell ref="C576:H576"/>
    <mergeCell ref="C577:H577"/>
    <mergeCell ref="C578:H578"/>
    <mergeCell ref="C579:H579"/>
    <mergeCell ref="C567:H567"/>
    <mergeCell ref="C568:H568"/>
    <mergeCell ref="C569:H569"/>
    <mergeCell ref="C570:H570"/>
    <mergeCell ref="C571:H571"/>
    <mergeCell ref="C573:H573"/>
    <mergeCell ref="C586:H586"/>
    <mergeCell ref="C587:H587"/>
    <mergeCell ref="C588:H588"/>
    <mergeCell ref="C589:H589"/>
    <mergeCell ref="C590:H590"/>
    <mergeCell ref="C591:H591"/>
    <mergeCell ref="C580:H580"/>
    <mergeCell ref="C581:H581"/>
    <mergeCell ref="C582:H582"/>
    <mergeCell ref="C583:H583"/>
    <mergeCell ref="C584:H584"/>
    <mergeCell ref="C585:H585"/>
    <mergeCell ref="C604:H604"/>
    <mergeCell ref="C605:H605"/>
    <mergeCell ref="C606:F606"/>
    <mergeCell ref="C607:F607"/>
    <mergeCell ref="C612:G612"/>
    <mergeCell ref="C615:G615"/>
    <mergeCell ref="C592:H592"/>
    <mergeCell ref="C593:H593"/>
    <mergeCell ref="C594:H594"/>
    <mergeCell ref="C595:H595"/>
    <mergeCell ref="C596:H596"/>
    <mergeCell ref="C603:H603"/>
    <mergeCell ref="C598:H598"/>
    <mergeCell ref="C599:H599"/>
  </mergeCells>
  <pageMargins left="0.4" right="0.2" top="0.4" bottom="0.4" header="0.2" footer="0.2"/>
  <pageSetup paperSize="9" scale="70" fitToHeight="0" orientation="landscape" verticalDpi="0" r:id="rId1"/>
  <headerFooter>
    <oddHeader>&amp;L&amp;8Федеральное государственное бюджетное образовательное учреждение высшего образования "Орловский государственный институт культуры"  Доп. раб. место  FStS-0042245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35"/>
  <sheetViews>
    <sheetView workbookViewId="0">
      <selection activeCell="A431" sqref="A431:AN431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42245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429</v>
      </c>
      <c r="C12" s="1">
        <v>0</v>
      </c>
      <c r="D12" s="1">
        <f>ROW(A372)</f>
        <v>372</v>
      </c>
      <c r="E12" s="1">
        <v>0</v>
      </c>
      <c r="F12" s="1" t="s">
        <v>4</v>
      </c>
      <c r="G12" s="1" t="s">
        <v>5</v>
      </c>
      <c r="H12" s="1" t="s">
        <v>6</v>
      </c>
      <c r="I12" s="1">
        <v>0</v>
      </c>
      <c r="J12" s="1" t="s">
        <v>6</v>
      </c>
      <c r="K12" s="1">
        <v>0</v>
      </c>
      <c r="L12" s="1">
        <v>0</v>
      </c>
      <c r="M12" s="1">
        <v>131595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6</v>
      </c>
      <c r="V12" s="1">
        <v>0</v>
      </c>
      <c r="W12" s="1" t="s">
        <v>6</v>
      </c>
      <c r="X12" s="1" t="s">
        <v>6</v>
      </c>
      <c r="Y12" s="1" t="s">
        <v>6</v>
      </c>
      <c r="Z12" s="1" t="s">
        <v>6</v>
      </c>
      <c r="AA12" s="1" t="s">
        <v>6</v>
      </c>
      <c r="AB12" s="1" t="s">
        <v>7</v>
      </c>
      <c r="AC12" s="1" t="s">
        <v>6</v>
      </c>
      <c r="AD12" s="1" t="s">
        <v>8</v>
      </c>
      <c r="AE12" s="1" t="s">
        <v>6</v>
      </c>
      <c r="AF12" s="1" t="s">
        <v>6</v>
      </c>
      <c r="AG12" s="1" t="s">
        <v>6</v>
      </c>
      <c r="AH12" s="1" t="s">
        <v>6</v>
      </c>
      <c r="AI12" s="1" t="s">
        <v>6</v>
      </c>
      <c r="AJ12" s="1" t="s">
        <v>6</v>
      </c>
      <c r="AK12" s="1"/>
      <c r="AL12" s="1" t="s">
        <v>6</v>
      </c>
      <c r="AM12" s="1" t="s">
        <v>6</v>
      </c>
      <c r="AN12" s="1" t="s">
        <v>6</v>
      </c>
      <c r="AO12" s="1"/>
      <c r="AP12" s="1" t="s">
        <v>6</v>
      </c>
      <c r="AQ12" s="1" t="s">
        <v>6</v>
      </c>
      <c r="AR12" s="1" t="s">
        <v>6</v>
      </c>
      <c r="AS12" s="1"/>
      <c r="AT12" s="1"/>
      <c r="AU12" s="1"/>
      <c r="AV12" s="1"/>
      <c r="AW12" s="1"/>
      <c r="AX12" s="1" t="s">
        <v>6</v>
      </c>
      <c r="AY12" s="1" t="s">
        <v>6</v>
      </c>
      <c r="AZ12" s="1" t="s">
        <v>6</v>
      </c>
      <c r="BA12" s="1"/>
      <c r="BB12" s="1">
        <v>2</v>
      </c>
      <c r="BC12" s="1"/>
      <c r="BD12" s="1"/>
      <c r="BE12" s="1"/>
      <c r="BF12" s="1"/>
      <c r="BG12" s="1"/>
      <c r="BH12" s="1" t="s">
        <v>9</v>
      </c>
      <c r="BI12" s="1" t="s">
        <v>10</v>
      </c>
      <c r="BJ12" s="1">
        <v>1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6</v>
      </c>
      <c r="BZ12" s="1" t="s">
        <v>11</v>
      </c>
      <c r="CA12" s="1" t="s">
        <v>12</v>
      </c>
      <c r="CB12" s="1" t="s">
        <v>12</v>
      </c>
      <c r="CC12" s="1" t="s">
        <v>12</v>
      </c>
      <c r="CD12" s="1" t="s">
        <v>12</v>
      </c>
      <c r="CE12" s="1" t="s">
        <v>13</v>
      </c>
      <c r="CF12" s="1">
        <v>0</v>
      </c>
      <c r="CG12" s="1">
        <v>0</v>
      </c>
      <c r="CH12" s="1">
        <v>489201672</v>
      </c>
      <c r="CI12" s="1" t="s">
        <v>6</v>
      </c>
      <c r="CJ12" s="1" t="s">
        <v>6</v>
      </c>
      <c r="CK12" s="1">
        <v>14</v>
      </c>
      <c r="CL12" s="1"/>
      <c r="CM12" s="1"/>
      <c r="CN12" s="1"/>
      <c r="CO12" s="1"/>
      <c r="CP12" s="1"/>
      <c r="CQ12" s="1" t="s">
        <v>14</v>
      </c>
      <c r="CR12" s="1" t="s">
        <v>15</v>
      </c>
      <c r="CS12" s="1">
        <v>45796</v>
      </c>
      <c r="CT12" s="1">
        <v>533</v>
      </c>
      <c r="CU12" s="1">
        <v>14</v>
      </c>
      <c r="CV12" s="1" t="s">
        <v>557</v>
      </c>
      <c r="CW12" s="1"/>
      <c r="CX12" s="1"/>
      <c r="CY12" s="1">
        <v>0</v>
      </c>
      <c r="CZ12" s="1" t="s">
        <v>6</v>
      </c>
      <c r="DA12" s="1" t="s">
        <v>6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06" x14ac:dyDescent="0.2">
      <c r="A18" s="2">
        <v>52</v>
      </c>
      <c r="B18" s="2">
        <f t="shared" ref="B18:G18" si="0">B372</f>
        <v>429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ЛСР02-01-01_(Копия) (ФСНБ-2022)</v>
      </c>
      <c r="G18" s="2" t="str">
        <f t="shared" si="0"/>
        <v>02-01-01 Общестроительные работы. костюм. (ФСНБ-2022)</v>
      </c>
      <c r="H18" s="2"/>
      <c r="I18" s="2"/>
      <c r="J18" s="2"/>
      <c r="K18" s="2"/>
      <c r="L18" s="2"/>
      <c r="M18" s="2"/>
      <c r="N18" s="2"/>
      <c r="O18" s="2">
        <f t="shared" ref="O18:AT18" si="1">O372</f>
        <v>300110.44</v>
      </c>
      <c r="P18" s="2">
        <f t="shared" si="1"/>
        <v>199160.15</v>
      </c>
      <c r="Q18" s="2">
        <f t="shared" si="1"/>
        <v>2742.3</v>
      </c>
      <c r="R18" s="2">
        <f t="shared" si="1"/>
        <v>2816.3</v>
      </c>
      <c r="S18" s="2">
        <f t="shared" si="1"/>
        <v>95391.69</v>
      </c>
      <c r="T18" s="2">
        <f t="shared" si="1"/>
        <v>0</v>
      </c>
      <c r="U18" s="2">
        <f t="shared" si="1"/>
        <v>316.76887700000003</v>
      </c>
      <c r="V18" s="2">
        <f t="shared" si="1"/>
        <v>9.1510058000000001</v>
      </c>
      <c r="W18" s="2">
        <f t="shared" si="1"/>
        <v>0</v>
      </c>
      <c r="X18" s="2">
        <f t="shared" si="1"/>
        <v>89709.9</v>
      </c>
      <c r="Y18" s="2">
        <f t="shared" si="1"/>
        <v>44273.22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443879.3</v>
      </c>
      <c r="AS18" s="2">
        <f t="shared" si="1"/>
        <v>443879.3</v>
      </c>
      <c r="AT18" s="2">
        <f t="shared" si="1"/>
        <v>0</v>
      </c>
      <c r="AU18" s="2">
        <f t="shared" ref="AU18:BZ18" si="2">AU372</f>
        <v>0</v>
      </c>
      <c r="AV18" s="2">
        <f t="shared" si="2"/>
        <v>199160.15</v>
      </c>
      <c r="AW18" s="2">
        <f t="shared" si="2"/>
        <v>199160.15</v>
      </c>
      <c r="AX18" s="2">
        <f t="shared" si="2"/>
        <v>0</v>
      </c>
      <c r="AY18" s="2">
        <f t="shared" si="2"/>
        <v>199160.15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9785.74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CA372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DG372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EM372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FS372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06" x14ac:dyDescent="0.2">
      <c r="A20" s="1">
        <v>3</v>
      </c>
      <c r="B20" s="1">
        <v>1</v>
      </c>
      <c r="C20" s="1"/>
      <c r="D20" s="1">
        <f>ROW(A340)</f>
        <v>340</v>
      </c>
      <c r="E20" s="1"/>
      <c r="F20" s="1" t="s">
        <v>16</v>
      </c>
      <c r="G20" s="1" t="s">
        <v>17</v>
      </c>
      <c r="H20" s="1" t="s">
        <v>6</v>
      </c>
      <c r="I20" s="1">
        <v>0</v>
      </c>
      <c r="J20" s="1" t="s">
        <v>6</v>
      </c>
      <c r="K20" s="1">
        <v>0</v>
      </c>
      <c r="L20" s="1" t="s">
        <v>16</v>
      </c>
      <c r="M20" s="1" t="s">
        <v>6</v>
      </c>
      <c r="N20" s="1"/>
      <c r="O20" s="1"/>
      <c r="P20" s="1"/>
      <c r="Q20" s="1"/>
      <c r="R20" s="1"/>
      <c r="S20" s="1">
        <v>0</v>
      </c>
      <c r="T20" s="1"/>
      <c r="U20" s="1" t="s">
        <v>18</v>
      </c>
      <c r="V20" s="1">
        <v>0</v>
      </c>
      <c r="W20" s="1"/>
      <c r="X20" s="1"/>
      <c r="Y20" s="1"/>
      <c r="Z20" s="1"/>
      <c r="AA20" s="1"/>
      <c r="AB20" s="1" t="s">
        <v>6</v>
      </c>
      <c r="AC20" s="1" t="s">
        <v>6</v>
      </c>
      <c r="AD20" s="1" t="s">
        <v>6</v>
      </c>
      <c r="AE20" s="1" t="s">
        <v>6</v>
      </c>
      <c r="AF20" s="1" t="s">
        <v>6</v>
      </c>
      <c r="AG20" s="1" t="s">
        <v>6</v>
      </c>
      <c r="AH20" s="1"/>
      <c r="AI20" s="1"/>
      <c r="AJ20" s="1"/>
      <c r="AK20" s="1"/>
      <c r="AL20" s="1"/>
      <c r="AM20" s="1"/>
      <c r="AN20" s="1"/>
      <c r="AO20" s="1"/>
      <c r="AP20" s="1" t="s">
        <v>6</v>
      </c>
      <c r="AQ20" s="1" t="s">
        <v>6</v>
      </c>
      <c r="AR20" s="1" t="s">
        <v>6</v>
      </c>
      <c r="AS20" s="1"/>
      <c r="AT20" s="1"/>
      <c r="AU20" s="1"/>
      <c r="AV20" s="1"/>
      <c r="AW20" s="1"/>
      <c r="AX20" s="1"/>
      <c r="AY20" s="1"/>
      <c r="AZ20" s="1" t="s">
        <v>6</v>
      </c>
      <c r="BA20" s="1"/>
      <c r="BB20" s="1" t="s">
        <v>6</v>
      </c>
      <c r="BC20" s="1" t="s">
        <v>6</v>
      </c>
      <c r="BD20" s="1" t="s">
        <v>6</v>
      </c>
      <c r="BE20" s="1" t="s">
        <v>6</v>
      </c>
      <c r="BF20" s="1" t="s">
        <v>6</v>
      </c>
      <c r="BG20" s="1" t="s">
        <v>6</v>
      </c>
      <c r="BH20" s="1" t="s">
        <v>6</v>
      </c>
      <c r="BI20" s="1" t="s">
        <v>6</v>
      </c>
      <c r="BJ20" s="1" t="s">
        <v>6</v>
      </c>
      <c r="BK20" s="1" t="s">
        <v>6</v>
      </c>
      <c r="BL20" s="1" t="s">
        <v>6</v>
      </c>
      <c r="BM20" s="1" t="s">
        <v>6</v>
      </c>
      <c r="BN20" s="1" t="s">
        <v>6</v>
      </c>
      <c r="BO20" s="1" t="s">
        <v>6</v>
      </c>
      <c r="BP20" s="1" t="s">
        <v>6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6</v>
      </c>
      <c r="CJ20" s="1" t="s">
        <v>6</v>
      </c>
      <c r="CK20" t="s">
        <v>6</v>
      </c>
      <c r="CL20" t="s">
        <v>6</v>
      </c>
      <c r="CM20" t="s">
        <v>6</v>
      </c>
      <c r="CN20" t="s">
        <v>6</v>
      </c>
      <c r="CO20" t="s">
        <v>6</v>
      </c>
      <c r="CP20" t="s">
        <v>6</v>
      </c>
      <c r="CQ20" t="s">
        <v>6</v>
      </c>
    </row>
    <row r="22" spans="1:206" x14ac:dyDescent="0.2">
      <c r="A22" s="2">
        <v>52</v>
      </c>
      <c r="B22" s="2">
        <f t="shared" ref="B22:G22" si="7">B340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ЛСР02-01-01</v>
      </c>
      <c r="G22" s="2" t="str">
        <f t="shared" si="7"/>
        <v>02-01-01 Общестроительные работы.</v>
      </c>
      <c r="H22" s="2"/>
      <c r="I22" s="2"/>
      <c r="J22" s="2"/>
      <c r="K22" s="2"/>
      <c r="L22" s="2"/>
      <c r="M22" s="2"/>
      <c r="N22" s="2"/>
      <c r="O22" s="2">
        <f t="shared" ref="O22:AT22" si="8">O340</f>
        <v>300110.44</v>
      </c>
      <c r="P22" s="2">
        <f t="shared" si="8"/>
        <v>199160.15</v>
      </c>
      <c r="Q22" s="2">
        <f t="shared" si="8"/>
        <v>2742.3</v>
      </c>
      <c r="R22" s="2">
        <f t="shared" si="8"/>
        <v>2816.3</v>
      </c>
      <c r="S22" s="2">
        <f t="shared" si="8"/>
        <v>95391.69</v>
      </c>
      <c r="T22" s="2">
        <f t="shared" si="8"/>
        <v>0</v>
      </c>
      <c r="U22" s="2">
        <f t="shared" si="8"/>
        <v>316.76887700000003</v>
      </c>
      <c r="V22" s="2">
        <f t="shared" si="8"/>
        <v>9.1510058000000001</v>
      </c>
      <c r="W22" s="2">
        <f t="shared" si="8"/>
        <v>0</v>
      </c>
      <c r="X22" s="2">
        <f t="shared" si="8"/>
        <v>89709.9</v>
      </c>
      <c r="Y22" s="2">
        <f t="shared" si="8"/>
        <v>44273.22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443879.3</v>
      </c>
      <c r="AS22" s="2">
        <f t="shared" si="8"/>
        <v>443879.3</v>
      </c>
      <c r="AT22" s="2">
        <f t="shared" si="8"/>
        <v>0</v>
      </c>
      <c r="AU22" s="2">
        <f t="shared" ref="AU22:BZ22" si="9">AU340</f>
        <v>0</v>
      </c>
      <c r="AV22" s="2">
        <f t="shared" si="9"/>
        <v>199160.15</v>
      </c>
      <c r="AW22" s="2">
        <f t="shared" si="9"/>
        <v>199160.15</v>
      </c>
      <c r="AX22" s="2">
        <f t="shared" si="9"/>
        <v>0</v>
      </c>
      <c r="AY22" s="2">
        <f t="shared" si="9"/>
        <v>199160.15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9785.74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CA340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DG340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EM340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FS340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06" x14ac:dyDescent="0.2">
      <c r="A24" s="1">
        <v>4</v>
      </c>
      <c r="B24" s="1">
        <v>1</v>
      </c>
      <c r="C24" s="1"/>
      <c r="D24" s="1">
        <f>ROW(A28)</f>
        <v>28</v>
      </c>
      <c r="E24" s="1"/>
      <c r="F24" s="1" t="s">
        <v>19</v>
      </c>
      <c r="G24" s="1" t="s">
        <v>20</v>
      </c>
      <c r="H24" s="1" t="s">
        <v>6</v>
      </c>
      <c r="I24" s="1">
        <v>0</v>
      </c>
      <c r="J24" s="1"/>
      <c r="K24" s="1">
        <v>-1</v>
      </c>
      <c r="L24" s="1"/>
      <c r="M24" s="1" t="s">
        <v>6</v>
      </c>
      <c r="N24" s="1"/>
      <c r="O24" s="1"/>
      <c r="P24" s="1"/>
      <c r="Q24" s="1"/>
      <c r="R24" s="1"/>
      <c r="S24" s="1">
        <v>0</v>
      </c>
      <c r="T24" s="1"/>
      <c r="U24" s="1" t="s">
        <v>6</v>
      </c>
      <c r="V24" s="1">
        <v>0</v>
      </c>
      <c r="W24" s="1"/>
      <c r="X24" s="1"/>
      <c r="Y24" s="1"/>
      <c r="Z24" s="1"/>
      <c r="AA24" s="1"/>
      <c r="AB24" s="1" t="s">
        <v>6</v>
      </c>
      <c r="AC24" s="1" t="s">
        <v>6</v>
      </c>
      <c r="AD24" s="1" t="s">
        <v>6</v>
      </c>
      <c r="AE24" s="1" t="s">
        <v>6</v>
      </c>
      <c r="AF24" s="1" t="s">
        <v>6</v>
      </c>
      <c r="AG24" s="1" t="s">
        <v>6</v>
      </c>
      <c r="AH24" s="1"/>
      <c r="AI24" s="1"/>
      <c r="AJ24" s="1"/>
      <c r="AK24" s="1"/>
      <c r="AL24" s="1"/>
      <c r="AM24" s="1"/>
      <c r="AN24" s="1"/>
      <c r="AO24" s="1"/>
      <c r="AP24" s="1" t="s">
        <v>6</v>
      </c>
      <c r="AQ24" s="1" t="s">
        <v>6</v>
      </c>
      <c r="AR24" s="1" t="s">
        <v>6</v>
      </c>
      <c r="AS24" s="1"/>
      <c r="AT24" s="1"/>
      <c r="AU24" s="1"/>
      <c r="AV24" s="1"/>
      <c r="AW24" s="1"/>
      <c r="AX24" s="1"/>
      <c r="AY24" s="1"/>
      <c r="AZ24" s="1" t="s">
        <v>6</v>
      </c>
      <c r="BA24" s="1"/>
      <c r="BB24" s="1" t="s">
        <v>6</v>
      </c>
      <c r="BC24" s="1" t="s">
        <v>6</v>
      </c>
      <c r="BD24" s="1" t="s">
        <v>6</v>
      </c>
      <c r="BE24" s="1" t="s">
        <v>6</v>
      </c>
      <c r="BF24" s="1" t="s">
        <v>6</v>
      </c>
      <c r="BG24" s="1" t="s">
        <v>6</v>
      </c>
      <c r="BH24" s="1" t="s">
        <v>6</v>
      </c>
      <c r="BI24" s="1" t="s">
        <v>6</v>
      </c>
      <c r="BJ24" s="1" t="s">
        <v>6</v>
      </c>
      <c r="BK24" s="1" t="s">
        <v>6</v>
      </c>
      <c r="BL24" s="1" t="s">
        <v>6</v>
      </c>
      <c r="BM24" s="1" t="s">
        <v>6</v>
      </c>
      <c r="BN24" s="1" t="s">
        <v>6</v>
      </c>
      <c r="BO24" s="1" t="s">
        <v>6</v>
      </c>
      <c r="BP24" s="1" t="s">
        <v>6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06" x14ac:dyDescent="0.2">
      <c r="A26" s="2">
        <v>52</v>
      </c>
      <c r="B26" s="2">
        <f t="shared" ref="B26:G26" si="14">B28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7</v>
      </c>
      <c r="G26" s="2" t="str">
        <f t="shared" si="14"/>
        <v>БЛОК САНУЗЛОВ 1 (2-ой ЭТАЖ)</v>
      </c>
      <c r="H26" s="2"/>
      <c r="I26" s="2"/>
      <c r="J26" s="2"/>
      <c r="K26" s="2"/>
      <c r="L26" s="2"/>
      <c r="M26" s="2"/>
      <c r="N26" s="2"/>
      <c r="O26" s="2">
        <f t="shared" ref="O26:AT26" si="15">O28</f>
        <v>0</v>
      </c>
      <c r="P26" s="2">
        <f t="shared" si="15"/>
        <v>0</v>
      </c>
      <c r="Q26" s="2">
        <f t="shared" si="15"/>
        <v>0</v>
      </c>
      <c r="R26" s="2">
        <f t="shared" si="15"/>
        <v>0</v>
      </c>
      <c r="S26" s="2">
        <f t="shared" si="15"/>
        <v>0</v>
      </c>
      <c r="T26" s="2">
        <f t="shared" si="15"/>
        <v>0</v>
      </c>
      <c r="U26" s="2">
        <f t="shared" si="15"/>
        <v>0</v>
      </c>
      <c r="V26" s="2">
        <f t="shared" si="15"/>
        <v>0</v>
      </c>
      <c r="W26" s="2">
        <f t="shared" si="15"/>
        <v>0</v>
      </c>
      <c r="X26" s="2">
        <f t="shared" si="15"/>
        <v>0</v>
      </c>
      <c r="Y26" s="2">
        <f t="shared" si="15"/>
        <v>0</v>
      </c>
      <c r="Z26" s="2">
        <f t="shared" si="15"/>
        <v>0</v>
      </c>
      <c r="AA26" s="2">
        <f t="shared" si="15"/>
        <v>0</v>
      </c>
      <c r="AB26" s="2">
        <f t="shared" si="15"/>
        <v>0</v>
      </c>
      <c r="AC26" s="2">
        <f t="shared" si="15"/>
        <v>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0</v>
      </c>
      <c r="AS26" s="2">
        <f t="shared" si="15"/>
        <v>0</v>
      </c>
      <c r="AT26" s="2">
        <f t="shared" si="15"/>
        <v>0</v>
      </c>
      <c r="AU26" s="2">
        <f t="shared" ref="AU26:BZ26" si="16">AU28</f>
        <v>0</v>
      </c>
      <c r="AV26" s="2">
        <f t="shared" si="16"/>
        <v>0</v>
      </c>
      <c r="AW26" s="2">
        <f t="shared" si="16"/>
        <v>0</v>
      </c>
      <c r="AX26" s="2">
        <f t="shared" si="16"/>
        <v>0</v>
      </c>
      <c r="AY26" s="2">
        <f t="shared" si="16"/>
        <v>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CA28</f>
        <v>0</v>
      </c>
      <c r="CB26" s="2">
        <f t="shared" si="17"/>
        <v>0</v>
      </c>
      <c r="CC26" s="2">
        <f t="shared" si="17"/>
        <v>0</v>
      </c>
      <c r="CD26" s="2">
        <f t="shared" si="17"/>
        <v>0</v>
      </c>
      <c r="CE26" s="2">
        <f t="shared" si="17"/>
        <v>0</v>
      </c>
      <c r="CF26" s="2">
        <f t="shared" si="17"/>
        <v>0</v>
      </c>
      <c r="CG26" s="2">
        <f t="shared" si="17"/>
        <v>0</v>
      </c>
      <c r="CH26" s="2">
        <f t="shared" si="17"/>
        <v>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DG28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EM28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FS28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06" x14ac:dyDescent="0.2">
      <c r="A28" s="2">
        <v>51</v>
      </c>
      <c r="B28" s="2">
        <f>B24</f>
        <v>1</v>
      </c>
      <c r="C28" s="2">
        <f>A24</f>
        <v>4</v>
      </c>
      <c r="D28" s="2">
        <f>ROW(A24)</f>
        <v>24</v>
      </c>
      <c r="E28" s="2"/>
      <c r="F28" s="2" t="str">
        <f>IF(F24&lt;&gt;"",F24,"")</f>
        <v>7</v>
      </c>
      <c r="G28" s="2" t="str">
        <f>IF(G24&lt;&gt;"",G24,"")</f>
        <v>БЛОК САНУЗЛОВ 1 (2-ой ЭТАЖ)</v>
      </c>
      <c r="H28" s="2">
        <v>0</v>
      </c>
      <c r="I28" s="2"/>
      <c r="J28" s="2"/>
      <c r="K28" s="2"/>
      <c r="L28" s="2"/>
      <c r="M28" s="2"/>
      <c r="N28" s="2"/>
      <c r="O28" s="2">
        <f t="shared" ref="O28:Y28" si="21">AB28</f>
        <v>0</v>
      </c>
      <c r="P28" s="2">
        <f t="shared" si="21"/>
        <v>0</v>
      </c>
      <c r="Q28" s="2">
        <f t="shared" si="21"/>
        <v>0</v>
      </c>
      <c r="R28" s="2">
        <f t="shared" si="21"/>
        <v>0</v>
      </c>
      <c r="S28" s="2">
        <f t="shared" si="21"/>
        <v>0</v>
      </c>
      <c r="T28" s="2">
        <f t="shared" si="21"/>
        <v>0</v>
      </c>
      <c r="U28" s="2">
        <f t="shared" si="21"/>
        <v>0</v>
      </c>
      <c r="V28" s="2">
        <f t="shared" si="21"/>
        <v>0</v>
      </c>
      <c r="W28" s="2">
        <f t="shared" si="21"/>
        <v>0</v>
      </c>
      <c r="X28" s="2">
        <f t="shared" si="21"/>
        <v>0</v>
      </c>
      <c r="Y28" s="2">
        <f t="shared" si="21"/>
        <v>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>
        <f t="shared" ref="AO28:BD28" si="22">BX28</f>
        <v>0</v>
      </c>
      <c r="AP28" s="2">
        <f t="shared" si="22"/>
        <v>0</v>
      </c>
      <c r="AQ28" s="2">
        <f t="shared" si="22"/>
        <v>0</v>
      </c>
      <c r="AR28" s="2">
        <f t="shared" si="22"/>
        <v>0</v>
      </c>
      <c r="AS28" s="2">
        <f t="shared" si="22"/>
        <v>0</v>
      </c>
      <c r="AT28" s="2">
        <f t="shared" si="22"/>
        <v>0</v>
      </c>
      <c r="AU28" s="2">
        <f t="shared" si="22"/>
        <v>0</v>
      </c>
      <c r="AV28" s="2">
        <f t="shared" si="22"/>
        <v>0</v>
      </c>
      <c r="AW28" s="2">
        <f t="shared" si="22"/>
        <v>0</v>
      </c>
      <c r="AX28" s="2">
        <f t="shared" si="22"/>
        <v>0</v>
      </c>
      <c r="AY28" s="2">
        <f t="shared" si="22"/>
        <v>0</v>
      </c>
      <c r="AZ28" s="2">
        <f t="shared" si="22"/>
        <v>0</v>
      </c>
      <c r="BA28" s="2">
        <f t="shared" si="22"/>
        <v>0</v>
      </c>
      <c r="BB28" s="2">
        <f t="shared" si="22"/>
        <v>0</v>
      </c>
      <c r="BC28" s="2">
        <f t="shared" si="22"/>
        <v>0</v>
      </c>
      <c r="BD28" s="2">
        <f t="shared" si="22"/>
        <v>0</v>
      </c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>
        <v>0</v>
      </c>
    </row>
    <row r="30" spans="1:206" x14ac:dyDescent="0.2">
      <c r="A30" s="4">
        <v>50</v>
      </c>
      <c r="B30" s="4">
        <v>0</v>
      </c>
      <c r="C30" s="4">
        <v>0</v>
      </c>
      <c r="D30" s="4">
        <v>1</v>
      </c>
      <c r="E30" s="4">
        <v>201</v>
      </c>
      <c r="F30" s="4">
        <f>ROUND(Source!O28,O30)</f>
        <v>0</v>
      </c>
      <c r="G30" s="4" t="s">
        <v>21</v>
      </c>
      <c r="H30" s="4" t="s">
        <v>22</v>
      </c>
      <c r="I30" s="4"/>
      <c r="J30" s="4"/>
      <c r="K30" s="4">
        <v>201</v>
      </c>
      <c r="L30" s="4">
        <v>1</v>
      </c>
      <c r="M30" s="4">
        <v>3</v>
      </c>
      <c r="N30" s="4" t="s">
        <v>6</v>
      </c>
      <c r="O30" s="4">
        <v>0</v>
      </c>
      <c r="P30" s="4"/>
      <c r="Q30" s="4"/>
      <c r="R30" s="4"/>
      <c r="S30" s="4"/>
      <c r="T30" s="4"/>
      <c r="U30" s="4"/>
      <c r="V30" s="4"/>
      <c r="W30" s="4">
        <v>0</v>
      </c>
      <c r="X30" s="4">
        <v>1</v>
      </c>
      <c r="Y30" s="4">
        <v>0</v>
      </c>
      <c r="Z30" s="4"/>
      <c r="AA30" s="4"/>
      <c r="AB30" s="4"/>
    </row>
    <row r="31" spans="1:206" x14ac:dyDescent="0.2">
      <c r="A31" s="4">
        <v>50</v>
      </c>
      <c r="B31" s="4">
        <v>0</v>
      </c>
      <c r="C31" s="4">
        <v>0</v>
      </c>
      <c r="D31" s="4">
        <v>1</v>
      </c>
      <c r="E31" s="4">
        <v>202</v>
      </c>
      <c r="F31" s="4">
        <f>ROUND(Source!P28,O31)</f>
        <v>0</v>
      </c>
      <c r="G31" s="4" t="s">
        <v>23</v>
      </c>
      <c r="H31" s="4" t="s">
        <v>24</v>
      </c>
      <c r="I31" s="4"/>
      <c r="J31" s="4"/>
      <c r="K31" s="4">
        <v>202</v>
      </c>
      <c r="L31" s="4">
        <v>2</v>
      </c>
      <c r="M31" s="4">
        <v>3</v>
      </c>
      <c r="N31" s="4" t="s">
        <v>6</v>
      </c>
      <c r="O31" s="4">
        <v>0</v>
      </c>
      <c r="P31" s="4"/>
      <c r="Q31" s="4"/>
      <c r="R31" s="4"/>
      <c r="S31" s="4"/>
      <c r="T31" s="4"/>
      <c r="U31" s="4"/>
      <c r="V31" s="4"/>
      <c r="W31" s="4">
        <v>0</v>
      </c>
      <c r="X31" s="4">
        <v>1</v>
      </c>
      <c r="Y31" s="4">
        <v>0</v>
      </c>
      <c r="Z31" s="4"/>
      <c r="AA31" s="4"/>
      <c r="AB31" s="4"/>
    </row>
    <row r="32" spans="1:206" x14ac:dyDescent="0.2">
      <c r="A32" s="4">
        <v>50</v>
      </c>
      <c r="B32" s="4">
        <v>0</v>
      </c>
      <c r="C32" s="4">
        <v>0</v>
      </c>
      <c r="D32" s="4">
        <v>1</v>
      </c>
      <c r="E32" s="4">
        <v>222</v>
      </c>
      <c r="F32" s="4">
        <f>ROUND(Source!AO28,O32)</f>
        <v>0</v>
      </c>
      <c r="G32" s="4" t="s">
        <v>25</v>
      </c>
      <c r="H32" s="4" t="s">
        <v>26</v>
      </c>
      <c r="I32" s="4"/>
      <c r="J32" s="4"/>
      <c r="K32" s="4">
        <v>222</v>
      </c>
      <c r="L32" s="4">
        <v>3</v>
      </c>
      <c r="M32" s="4">
        <v>3</v>
      </c>
      <c r="N32" s="4" t="s">
        <v>6</v>
      </c>
      <c r="O32" s="4">
        <v>0</v>
      </c>
      <c r="P32" s="4"/>
      <c r="Q32" s="4"/>
      <c r="R32" s="4"/>
      <c r="S32" s="4"/>
      <c r="T32" s="4"/>
      <c r="U32" s="4"/>
      <c r="V32" s="4"/>
      <c r="W32" s="4">
        <v>0</v>
      </c>
      <c r="X32" s="4">
        <v>1</v>
      </c>
      <c r="Y32" s="4">
        <v>0</v>
      </c>
      <c r="Z32" s="4"/>
      <c r="AA32" s="4"/>
      <c r="AB32" s="4"/>
    </row>
    <row r="33" spans="1:28" x14ac:dyDescent="0.2">
      <c r="A33" s="4">
        <v>50</v>
      </c>
      <c r="B33" s="4">
        <v>0</v>
      </c>
      <c r="C33" s="4">
        <v>0</v>
      </c>
      <c r="D33" s="4">
        <v>1</v>
      </c>
      <c r="E33" s="4">
        <v>225</v>
      </c>
      <c r="F33" s="4">
        <f>ROUND(Source!AV28,O33)</f>
        <v>0</v>
      </c>
      <c r="G33" s="4" t="s">
        <v>27</v>
      </c>
      <c r="H33" s="4" t="s">
        <v>28</v>
      </c>
      <c r="I33" s="4"/>
      <c r="J33" s="4"/>
      <c r="K33" s="4">
        <v>225</v>
      </c>
      <c r="L33" s="4">
        <v>4</v>
      </c>
      <c r="M33" s="4">
        <v>3</v>
      </c>
      <c r="N33" s="4" t="s">
        <v>6</v>
      </c>
      <c r="O33" s="4">
        <v>0</v>
      </c>
      <c r="P33" s="4"/>
      <c r="Q33" s="4"/>
      <c r="R33" s="4"/>
      <c r="S33" s="4"/>
      <c r="T33" s="4"/>
      <c r="U33" s="4"/>
      <c r="V33" s="4"/>
      <c r="W33" s="4">
        <v>0</v>
      </c>
      <c r="X33" s="4">
        <v>1</v>
      </c>
      <c r="Y33" s="4">
        <v>0</v>
      </c>
      <c r="Z33" s="4"/>
      <c r="AA33" s="4"/>
      <c r="AB33" s="4"/>
    </row>
    <row r="34" spans="1:28" x14ac:dyDescent="0.2">
      <c r="A34" s="4">
        <v>50</v>
      </c>
      <c r="B34" s="4">
        <v>0</v>
      </c>
      <c r="C34" s="4">
        <v>0</v>
      </c>
      <c r="D34" s="4">
        <v>1</v>
      </c>
      <c r="E34" s="4">
        <v>226</v>
      </c>
      <c r="F34" s="4">
        <f>ROUND(Source!AW28,O34)</f>
        <v>0</v>
      </c>
      <c r="G34" s="4" t="s">
        <v>29</v>
      </c>
      <c r="H34" s="4" t="s">
        <v>30</v>
      </c>
      <c r="I34" s="4"/>
      <c r="J34" s="4"/>
      <c r="K34" s="4">
        <v>226</v>
      </c>
      <c r="L34" s="4">
        <v>5</v>
      </c>
      <c r="M34" s="4">
        <v>3</v>
      </c>
      <c r="N34" s="4" t="s">
        <v>6</v>
      </c>
      <c r="O34" s="4">
        <v>0</v>
      </c>
      <c r="P34" s="4"/>
      <c r="Q34" s="4"/>
      <c r="R34" s="4"/>
      <c r="S34" s="4"/>
      <c r="T34" s="4"/>
      <c r="U34" s="4"/>
      <c r="V34" s="4"/>
      <c r="W34" s="4">
        <v>0</v>
      </c>
      <c r="X34" s="4">
        <v>1</v>
      </c>
      <c r="Y34" s="4">
        <v>0</v>
      </c>
      <c r="Z34" s="4"/>
      <c r="AA34" s="4"/>
      <c r="AB34" s="4"/>
    </row>
    <row r="35" spans="1:28" x14ac:dyDescent="0.2">
      <c r="A35" s="4">
        <v>50</v>
      </c>
      <c r="B35" s="4">
        <v>0</v>
      </c>
      <c r="C35" s="4">
        <v>0</v>
      </c>
      <c r="D35" s="4">
        <v>1</v>
      </c>
      <c r="E35" s="4">
        <v>227</v>
      </c>
      <c r="F35" s="4">
        <f>ROUND(Source!AX28,O35)</f>
        <v>0</v>
      </c>
      <c r="G35" s="4" t="s">
        <v>31</v>
      </c>
      <c r="H35" s="4" t="s">
        <v>32</v>
      </c>
      <c r="I35" s="4"/>
      <c r="J35" s="4"/>
      <c r="K35" s="4">
        <v>227</v>
      </c>
      <c r="L35" s="4">
        <v>6</v>
      </c>
      <c r="M35" s="4">
        <v>3</v>
      </c>
      <c r="N35" s="4" t="s">
        <v>6</v>
      </c>
      <c r="O35" s="4">
        <v>0</v>
      </c>
      <c r="P35" s="4"/>
      <c r="Q35" s="4"/>
      <c r="R35" s="4"/>
      <c r="S35" s="4"/>
      <c r="T35" s="4"/>
      <c r="U35" s="4"/>
      <c r="V35" s="4"/>
      <c r="W35" s="4">
        <v>0</v>
      </c>
      <c r="X35" s="4">
        <v>1</v>
      </c>
      <c r="Y35" s="4">
        <v>0</v>
      </c>
      <c r="Z35" s="4"/>
      <c r="AA35" s="4"/>
      <c r="AB35" s="4"/>
    </row>
    <row r="36" spans="1:28" x14ac:dyDescent="0.2">
      <c r="A36" s="4">
        <v>50</v>
      </c>
      <c r="B36" s="4">
        <v>0</v>
      </c>
      <c r="C36" s="4">
        <v>0</v>
      </c>
      <c r="D36" s="4">
        <v>1</v>
      </c>
      <c r="E36" s="4">
        <v>228</v>
      </c>
      <c r="F36" s="4">
        <f>ROUND(Source!AY28,O36)</f>
        <v>0</v>
      </c>
      <c r="G36" s="4" t="s">
        <v>33</v>
      </c>
      <c r="H36" s="4" t="s">
        <v>34</v>
      </c>
      <c r="I36" s="4"/>
      <c r="J36" s="4"/>
      <c r="K36" s="4">
        <v>228</v>
      </c>
      <c r="L36" s="4">
        <v>7</v>
      </c>
      <c r="M36" s="4">
        <v>3</v>
      </c>
      <c r="N36" s="4" t="s">
        <v>6</v>
      </c>
      <c r="O36" s="4">
        <v>0</v>
      </c>
      <c r="P36" s="4"/>
      <c r="Q36" s="4"/>
      <c r="R36" s="4"/>
      <c r="S36" s="4"/>
      <c r="T36" s="4"/>
      <c r="U36" s="4"/>
      <c r="V36" s="4"/>
      <c r="W36" s="4">
        <v>0</v>
      </c>
      <c r="X36" s="4">
        <v>1</v>
      </c>
      <c r="Y36" s="4">
        <v>0</v>
      </c>
      <c r="Z36" s="4"/>
      <c r="AA36" s="4"/>
      <c r="AB36" s="4"/>
    </row>
    <row r="37" spans="1:28" x14ac:dyDescent="0.2">
      <c r="A37" s="4">
        <v>50</v>
      </c>
      <c r="B37" s="4">
        <v>0</v>
      </c>
      <c r="C37" s="4">
        <v>0</v>
      </c>
      <c r="D37" s="4">
        <v>1</v>
      </c>
      <c r="E37" s="4">
        <v>216</v>
      </c>
      <c r="F37" s="4">
        <f>ROUND(Source!AP28,O37)</f>
        <v>0</v>
      </c>
      <c r="G37" s="4" t="s">
        <v>35</v>
      </c>
      <c r="H37" s="4" t="s">
        <v>36</v>
      </c>
      <c r="I37" s="4"/>
      <c r="J37" s="4"/>
      <c r="K37" s="4">
        <v>216</v>
      </c>
      <c r="L37" s="4">
        <v>8</v>
      </c>
      <c r="M37" s="4">
        <v>3</v>
      </c>
      <c r="N37" s="4" t="s">
        <v>6</v>
      </c>
      <c r="O37" s="4">
        <v>0</v>
      </c>
      <c r="P37" s="4"/>
      <c r="Q37" s="4"/>
      <c r="R37" s="4"/>
      <c r="S37" s="4"/>
      <c r="T37" s="4"/>
      <c r="U37" s="4"/>
      <c r="V37" s="4"/>
      <c r="W37" s="4">
        <v>0</v>
      </c>
      <c r="X37" s="4">
        <v>1</v>
      </c>
      <c r="Y37" s="4">
        <v>0</v>
      </c>
      <c r="Z37" s="4"/>
      <c r="AA37" s="4"/>
      <c r="AB37" s="4"/>
    </row>
    <row r="38" spans="1:28" x14ac:dyDescent="0.2">
      <c r="A38" s="4">
        <v>50</v>
      </c>
      <c r="B38" s="4">
        <v>0</v>
      </c>
      <c r="C38" s="4">
        <v>0</v>
      </c>
      <c r="D38" s="4">
        <v>1</v>
      </c>
      <c r="E38" s="4">
        <v>223</v>
      </c>
      <c r="F38" s="4">
        <f>ROUND(Source!AQ28,O38)</f>
        <v>0</v>
      </c>
      <c r="G38" s="4" t="s">
        <v>37</v>
      </c>
      <c r="H38" s="4" t="s">
        <v>38</v>
      </c>
      <c r="I38" s="4"/>
      <c r="J38" s="4"/>
      <c r="K38" s="4">
        <v>223</v>
      </c>
      <c r="L38" s="4">
        <v>9</v>
      </c>
      <c r="M38" s="4">
        <v>3</v>
      </c>
      <c r="N38" s="4" t="s">
        <v>6</v>
      </c>
      <c r="O38" s="4">
        <v>0</v>
      </c>
      <c r="P38" s="4"/>
      <c r="Q38" s="4"/>
      <c r="R38" s="4"/>
      <c r="S38" s="4"/>
      <c r="T38" s="4"/>
      <c r="U38" s="4"/>
      <c r="V38" s="4"/>
      <c r="W38" s="4">
        <v>0</v>
      </c>
      <c r="X38" s="4">
        <v>1</v>
      </c>
      <c r="Y38" s="4">
        <v>0</v>
      </c>
      <c r="Z38" s="4"/>
      <c r="AA38" s="4"/>
      <c r="AB38" s="4"/>
    </row>
    <row r="39" spans="1:28" x14ac:dyDescent="0.2">
      <c r="A39" s="4">
        <v>50</v>
      </c>
      <c r="B39" s="4">
        <v>0</v>
      </c>
      <c r="C39" s="4">
        <v>0</v>
      </c>
      <c r="D39" s="4">
        <v>1</v>
      </c>
      <c r="E39" s="4">
        <v>229</v>
      </c>
      <c r="F39" s="4">
        <f>ROUND(Source!AZ28,O39)</f>
        <v>0</v>
      </c>
      <c r="G39" s="4" t="s">
        <v>39</v>
      </c>
      <c r="H39" s="4" t="s">
        <v>40</v>
      </c>
      <c r="I39" s="4"/>
      <c r="J39" s="4"/>
      <c r="K39" s="4">
        <v>229</v>
      </c>
      <c r="L39" s="4">
        <v>10</v>
      </c>
      <c r="M39" s="4">
        <v>3</v>
      </c>
      <c r="N39" s="4" t="s">
        <v>6</v>
      </c>
      <c r="O39" s="4">
        <v>0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8" x14ac:dyDescent="0.2">
      <c r="A40" s="4">
        <v>50</v>
      </c>
      <c r="B40" s="4">
        <v>0</v>
      </c>
      <c r="C40" s="4">
        <v>0</v>
      </c>
      <c r="D40" s="4">
        <v>1</v>
      </c>
      <c r="E40" s="4">
        <v>203</v>
      </c>
      <c r="F40" s="4">
        <f>ROUND(Source!Q28,O40)</f>
        <v>0</v>
      </c>
      <c r="G40" s="4" t="s">
        <v>41</v>
      </c>
      <c r="H40" s="4" t="s">
        <v>42</v>
      </c>
      <c r="I40" s="4"/>
      <c r="J40" s="4"/>
      <c r="K40" s="4">
        <v>203</v>
      </c>
      <c r="L40" s="4">
        <v>11</v>
      </c>
      <c r="M40" s="4">
        <v>3</v>
      </c>
      <c r="N40" s="4" t="s">
        <v>6</v>
      </c>
      <c r="O40" s="4">
        <v>0</v>
      </c>
      <c r="P40" s="4"/>
      <c r="Q40" s="4"/>
      <c r="R40" s="4"/>
      <c r="S40" s="4"/>
      <c r="T40" s="4"/>
      <c r="U40" s="4"/>
      <c r="V40" s="4"/>
      <c r="W40" s="4">
        <v>0</v>
      </c>
      <c r="X40" s="4">
        <v>1</v>
      </c>
      <c r="Y40" s="4">
        <v>0</v>
      </c>
      <c r="Z40" s="4"/>
      <c r="AA40" s="4"/>
      <c r="AB40" s="4"/>
    </row>
    <row r="41" spans="1:28" x14ac:dyDescent="0.2">
      <c r="A41" s="4">
        <v>50</v>
      </c>
      <c r="B41" s="4">
        <v>0</v>
      </c>
      <c r="C41" s="4">
        <v>0</v>
      </c>
      <c r="D41" s="4">
        <v>1</v>
      </c>
      <c r="E41" s="4">
        <v>231</v>
      </c>
      <c r="F41" s="4">
        <f>ROUND(Source!BB28,O41)</f>
        <v>0</v>
      </c>
      <c r="G41" s="4" t="s">
        <v>43</v>
      </c>
      <c r="H41" s="4" t="s">
        <v>44</v>
      </c>
      <c r="I41" s="4"/>
      <c r="J41" s="4"/>
      <c r="K41" s="4">
        <v>231</v>
      </c>
      <c r="L41" s="4">
        <v>12</v>
      </c>
      <c r="M41" s="4">
        <v>3</v>
      </c>
      <c r="N41" s="4" t="s">
        <v>6</v>
      </c>
      <c r="O41" s="4">
        <v>0</v>
      </c>
      <c r="P41" s="4"/>
      <c r="Q41" s="4"/>
      <c r="R41" s="4"/>
      <c r="S41" s="4"/>
      <c r="T41" s="4"/>
      <c r="U41" s="4"/>
      <c r="V41" s="4"/>
      <c r="W41" s="4">
        <v>0</v>
      </c>
      <c r="X41" s="4">
        <v>1</v>
      </c>
      <c r="Y41" s="4">
        <v>0</v>
      </c>
      <c r="Z41" s="4"/>
      <c r="AA41" s="4"/>
      <c r="AB41" s="4"/>
    </row>
    <row r="42" spans="1:28" x14ac:dyDescent="0.2">
      <c r="A42" s="4">
        <v>50</v>
      </c>
      <c r="B42" s="4">
        <v>0</v>
      </c>
      <c r="C42" s="4">
        <v>0</v>
      </c>
      <c r="D42" s="4">
        <v>1</v>
      </c>
      <c r="E42" s="4">
        <v>204</v>
      </c>
      <c r="F42" s="4">
        <f>ROUND(Source!R28,O42)</f>
        <v>0</v>
      </c>
      <c r="G42" s="4" t="s">
        <v>45</v>
      </c>
      <c r="H42" s="4" t="s">
        <v>46</v>
      </c>
      <c r="I42" s="4"/>
      <c r="J42" s="4"/>
      <c r="K42" s="4">
        <v>204</v>
      </c>
      <c r="L42" s="4">
        <v>13</v>
      </c>
      <c r="M42" s="4">
        <v>3</v>
      </c>
      <c r="N42" s="4" t="s">
        <v>6</v>
      </c>
      <c r="O42" s="4">
        <v>0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8" x14ac:dyDescent="0.2">
      <c r="A43" s="4">
        <v>50</v>
      </c>
      <c r="B43" s="4">
        <v>0</v>
      </c>
      <c r="C43" s="4">
        <v>0</v>
      </c>
      <c r="D43" s="4">
        <v>1</v>
      </c>
      <c r="E43" s="4">
        <v>205</v>
      </c>
      <c r="F43" s="4">
        <f>ROUND(Source!S28,O43)</f>
        <v>0</v>
      </c>
      <c r="G43" s="4" t="s">
        <v>47</v>
      </c>
      <c r="H43" s="4" t="s">
        <v>48</v>
      </c>
      <c r="I43" s="4"/>
      <c r="J43" s="4"/>
      <c r="K43" s="4">
        <v>205</v>
      </c>
      <c r="L43" s="4">
        <v>14</v>
      </c>
      <c r="M43" s="4">
        <v>3</v>
      </c>
      <c r="N43" s="4" t="s">
        <v>6</v>
      </c>
      <c r="O43" s="4">
        <v>0</v>
      </c>
      <c r="P43" s="4"/>
      <c r="Q43" s="4"/>
      <c r="R43" s="4"/>
      <c r="S43" s="4"/>
      <c r="T43" s="4"/>
      <c r="U43" s="4"/>
      <c r="V43" s="4"/>
      <c r="W43" s="4">
        <v>0</v>
      </c>
      <c r="X43" s="4">
        <v>1</v>
      </c>
      <c r="Y43" s="4">
        <v>0</v>
      </c>
      <c r="Z43" s="4"/>
      <c r="AA43" s="4"/>
      <c r="AB43" s="4"/>
    </row>
    <row r="44" spans="1:28" x14ac:dyDescent="0.2">
      <c r="A44" s="4">
        <v>50</v>
      </c>
      <c r="B44" s="4">
        <v>0</v>
      </c>
      <c r="C44" s="4">
        <v>0</v>
      </c>
      <c r="D44" s="4">
        <v>1</v>
      </c>
      <c r="E44" s="4">
        <v>232</v>
      </c>
      <c r="F44" s="4">
        <f>ROUND(Source!BC28,O44)</f>
        <v>0</v>
      </c>
      <c r="G44" s="4" t="s">
        <v>49</v>
      </c>
      <c r="H44" s="4" t="s">
        <v>50</v>
      </c>
      <c r="I44" s="4"/>
      <c r="J44" s="4"/>
      <c r="K44" s="4">
        <v>232</v>
      </c>
      <c r="L44" s="4">
        <v>15</v>
      </c>
      <c r="M44" s="4">
        <v>3</v>
      </c>
      <c r="N44" s="4" t="s">
        <v>6</v>
      </c>
      <c r="O44" s="4">
        <v>0</v>
      </c>
      <c r="P44" s="4"/>
      <c r="Q44" s="4"/>
      <c r="R44" s="4"/>
      <c r="S44" s="4"/>
      <c r="T44" s="4"/>
      <c r="U44" s="4"/>
      <c r="V44" s="4"/>
      <c r="W44" s="4">
        <v>0</v>
      </c>
      <c r="X44" s="4">
        <v>1</v>
      </c>
      <c r="Y44" s="4">
        <v>0</v>
      </c>
      <c r="Z44" s="4"/>
      <c r="AA44" s="4"/>
      <c r="AB44" s="4"/>
    </row>
    <row r="45" spans="1:28" x14ac:dyDescent="0.2">
      <c r="A45" s="4">
        <v>50</v>
      </c>
      <c r="B45" s="4">
        <v>0</v>
      </c>
      <c r="C45" s="4">
        <v>0</v>
      </c>
      <c r="D45" s="4">
        <v>1</v>
      </c>
      <c r="E45" s="4">
        <v>214</v>
      </c>
      <c r="F45" s="4">
        <f>ROUND(Source!AS28,O45)</f>
        <v>0</v>
      </c>
      <c r="G45" s="4" t="s">
        <v>51</v>
      </c>
      <c r="H45" s="4" t="s">
        <v>52</v>
      </c>
      <c r="I45" s="4"/>
      <c r="J45" s="4"/>
      <c r="K45" s="4">
        <v>214</v>
      </c>
      <c r="L45" s="4">
        <v>16</v>
      </c>
      <c r="M45" s="4">
        <v>3</v>
      </c>
      <c r="N45" s="4" t="s">
        <v>6</v>
      </c>
      <c r="O45" s="4">
        <v>0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8" x14ac:dyDescent="0.2">
      <c r="A46" s="4">
        <v>50</v>
      </c>
      <c r="B46" s="4">
        <v>0</v>
      </c>
      <c r="C46" s="4">
        <v>0</v>
      </c>
      <c r="D46" s="4">
        <v>1</v>
      </c>
      <c r="E46" s="4">
        <v>215</v>
      </c>
      <c r="F46" s="4">
        <f>ROUND(Source!AT28,O46)</f>
        <v>0</v>
      </c>
      <c r="G46" s="4" t="s">
        <v>53</v>
      </c>
      <c r="H46" s="4" t="s">
        <v>54</v>
      </c>
      <c r="I46" s="4"/>
      <c r="J46" s="4"/>
      <c r="K46" s="4">
        <v>215</v>
      </c>
      <c r="L46" s="4">
        <v>17</v>
      </c>
      <c r="M46" s="4">
        <v>3</v>
      </c>
      <c r="N46" s="4" t="s">
        <v>6</v>
      </c>
      <c r="O46" s="4">
        <v>0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8" x14ac:dyDescent="0.2">
      <c r="A47" s="4">
        <v>50</v>
      </c>
      <c r="B47" s="4">
        <v>0</v>
      </c>
      <c r="C47" s="4">
        <v>0</v>
      </c>
      <c r="D47" s="4">
        <v>1</v>
      </c>
      <c r="E47" s="4">
        <v>217</v>
      </c>
      <c r="F47" s="4">
        <f>ROUND(Source!AU28,O47)</f>
        <v>0</v>
      </c>
      <c r="G47" s="4" t="s">
        <v>55</v>
      </c>
      <c r="H47" s="4" t="s">
        <v>56</v>
      </c>
      <c r="I47" s="4"/>
      <c r="J47" s="4"/>
      <c r="K47" s="4">
        <v>217</v>
      </c>
      <c r="L47" s="4">
        <v>18</v>
      </c>
      <c r="M47" s="4">
        <v>3</v>
      </c>
      <c r="N47" s="4" t="s">
        <v>6</v>
      </c>
      <c r="O47" s="4">
        <v>0</v>
      </c>
      <c r="P47" s="4"/>
      <c r="Q47" s="4"/>
      <c r="R47" s="4"/>
      <c r="S47" s="4"/>
      <c r="T47" s="4"/>
      <c r="U47" s="4"/>
      <c r="V47" s="4"/>
      <c r="W47" s="4">
        <v>0</v>
      </c>
      <c r="X47" s="4">
        <v>1</v>
      </c>
      <c r="Y47" s="4">
        <v>0</v>
      </c>
      <c r="Z47" s="4"/>
      <c r="AA47" s="4"/>
      <c r="AB47" s="4"/>
    </row>
    <row r="48" spans="1:28" x14ac:dyDescent="0.2">
      <c r="A48" s="4">
        <v>50</v>
      </c>
      <c r="B48" s="4">
        <v>0</v>
      </c>
      <c r="C48" s="4">
        <v>0</v>
      </c>
      <c r="D48" s="4">
        <v>1</v>
      </c>
      <c r="E48" s="4">
        <v>230</v>
      </c>
      <c r="F48" s="4">
        <f>ROUND(Source!BA28,O48)</f>
        <v>0</v>
      </c>
      <c r="G48" s="4" t="s">
        <v>57</v>
      </c>
      <c r="H48" s="4" t="s">
        <v>58</v>
      </c>
      <c r="I48" s="4"/>
      <c r="J48" s="4"/>
      <c r="K48" s="4">
        <v>230</v>
      </c>
      <c r="L48" s="4">
        <v>19</v>
      </c>
      <c r="M48" s="4">
        <v>3</v>
      </c>
      <c r="N48" s="4" t="s">
        <v>6</v>
      </c>
      <c r="O48" s="4">
        <v>0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06" x14ac:dyDescent="0.2">
      <c r="A49" s="4">
        <v>50</v>
      </c>
      <c r="B49" s="4">
        <v>0</v>
      </c>
      <c r="C49" s="4">
        <v>0</v>
      </c>
      <c r="D49" s="4">
        <v>1</v>
      </c>
      <c r="E49" s="4">
        <v>206</v>
      </c>
      <c r="F49" s="4">
        <f>ROUND(Source!T28,O49)</f>
        <v>0</v>
      </c>
      <c r="G49" s="4" t="s">
        <v>59</v>
      </c>
      <c r="H49" s="4" t="s">
        <v>60</v>
      </c>
      <c r="I49" s="4"/>
      <c r="J49" s="4"/>
      <c r="K49" s="4">
        <v>206</v>
      </c>
      <c r="L49" s="4">
        <v>20</v>
      </c>
      <c r="M49" s="4">
        <v>3</v>
      </c>
      <c r="N49" s="4" t="s">
        <v>6</v>
      </c>
      <c r="O49" s="4">
        <v>0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06" x14ac:dyDescent="0.2">
      <c r="A50" s="4">
        <v>50</v>
      </c>
      <c r="B50" s="4">
        <v>0</v>
      </c>
      <c r="C50" s="4">
        <v>0</v>
      </c>
      <c r="D50" s="4">
        <v>1</v>
      </c>
      <c r="E50" s="4">
        <v>207</v>
      </c>
      <c r="F50" s="4">
        <f>ROUND(Source!U28,O50)</f>
        <v>0</v>
      </c>
      <c r="G50" s="4" t="s">
        <v>61</v>
      </c>
      <c r="H50" s="4" t="s">
        <v>62</v>
      </c>
      <c r="I50" s="4"/>
      <c r="J50" s="4"/>
      <c r="K50" s="4">
        <v>207</v>
      </c>
      <c r="L50" s="4">
        <v>21</v>
      </c>
      <c r="M50" s="4">
        <v>3</v>
      </c>
      <c r="N50" s="4" t="s">
        <v>6</v>
      </c>
      <c r="O50" s="4">
        <v>7</v>
      </c>
      <c r="P50" s="4"/>
      <c r="Q50" s="4"/>
      <c r="R50" s="4"/>
      <c r="S50" s="4"/>
      <c r="T50" s="4"/>
      <c r="U50" s="4"/>
      <c r="V50" s="4"/>
      <c r="W50" s="4">
        <v>0</v>
      </c>
      <c r="X50" s="4">
        <v>1</v>
      </c>
      <c r="Y50" s="4">
        <v>0</v>
      </c>
      <c r="Z50" s="4"/>
      <c r="AA50" s="4"/>
      <c r="AB50" s="4"/>
    </row>
    <row r="51" spans="1:206" x14ac:dyDescent="0.2">
      <c r="A51" s="4">
        <v>50</v>
      </c>
      <c r="B51" s="4">
        <v>0</v>
      </c>
      <c r="C51" s="4">
        <v>0</v>
      </c>
      <c r="D51" s="4">
        <v>1</v>
      </c>
      <c r="E51" s="4">
        <v>208</v>
      </c>
      <c r="F51" s="4">
        <f>ROUND(Source!V28,O51)</f>
        <v>0</v>
      </c>
      <c r="G51" s="4" t="s">
        <v>63</v>
      </c>
      <c r="H51" s="4" t="s">
        <v>64</v>
      </c>
      <c r="I51" s="4"/>
      <c r="J51" s="4"/>
      <c r="K51" s="4">
        <v>208</v>
      </c>
      <c r="L51" s="4">
        <v>22</v>
      </c>
      <c r="M51" s="4">
        <v>3</v>
      </c>
      <c r="N51" s="4" t="s">
        <v>6</v>
      </c>
      <c r="O51" s="4">
        <v>7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06" x14ac:dyDescent="0.2">
      <c r="A52" s="4">
        <v>50</v>
      </c>
      <c r="B52" s="4">
        <v>0</v>
      </c>
      <c r="C52" s="4">
        <v>0</v>
      </c>
      <c r="D52" s="4">
        <v>1</v>
      </c>
      <c r="E52" s="4">
        <v>209</v>
      </c>
      <c r="F52" s="4">
        <f>ROUND(Source!W28,O52)</f>
        <v>0</v>
      </c>
      <c r="G52" s="4" t="s">
        <v>65</v>
      </c>
      <c r="H52" s="4" t="s">
        <v>66</v>
      </c>
      <c r="I52" s="4"/>
      <c r="J52" s="4"/>
      <c r="K52" s="4">
        <v>209</v>
      </c>
      <c r="L52" s="4">
        <v>23</v>
      </c>
      <c r="M52" s="4">
        <v>3</v>
      </c>
      <c r="N52" s="4" t="s">
        <v>6</v>
      </c>
      <c r="O52" s="4">
        <v>0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06" x14ac:dyDescent="0.2">
      <c r="A53" s="4">
        <v>50</v>
      </c>
      <c r="B53" s="4">
        <v>0</v>
      </c>
      <c r="C53" s="4">
        <v>0</v>
      </c>
      <c r="D53" s="4">
        <v>1</v>
      </c>
      <c r="E53" s="4">
        <v>233</v>
      </c>
      <c r="F53" s="4">
        <f>ROUND(Source!BD28,O53)</f>
        <v>0</v>
      </c>
      <c r="G53" s="4" t="s">
        <v>67</v>
      </c>
      <c r="H53" s="4" t="s">
        <v>68</v>
      </c>
      <c r="I53" s="4"/>
      <c r="J53" s="4"/>
      <c r="K53" s="4">
        <v>233</v>
      </c>
      <c r="L53" s="4">
        <v>24</v>
      </c>
      <c r="M53" s="4">
        <v>3</v>
      </c>
      <c r="N53" s="4" t="s">
        <v>6</v>
      </c>
      <c r="O53" s="4">
        <v>0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06" x14ac:dyDescent="0.2">
      <c r="A54" s="4">
        <v>50</v>
      </c>
      <c r="B54" s="4">
        <v>0</v>
      </c>
      <c r="C54" s="4">
        <v>0</v>
      </c>
      <c r="D54" s="4">
        <v>1</v>
      </c>
      <c r="E54" s="4">
        <v>210</v>
      </c>
      <c r="F54" s="4">
        <f>ROUND(Source!X28,O54)</f>
        <v>0</v>
      </c>
      <c r="G54" s="4" t="s">
        <v>69</v>
      </c>
      <c r="H54" s="4" t="s">
        <v>70</v>
      </c>
      <c r="I54" s="4"/>
      <c r="J54" s="4"/>
      <c r="K54" s="4">
        <v>210</v>
      </c>
      <c r="L54" s="4">
        <v>25</v>
      </c>
      <c r="M54" s="4">
        <v>3</v>
      </c>
      <c r="N54" s="4" t="s">
        <v>6</v>
      </c>
      <c r="O54" s="4">
        <v>0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06" x14ac:dyDescent="0.2">
      <c r="A55" s="4">
        <v>50</v>
      </c>
      <c r="B55" s="4">
        <v>0</v>
      </c>
      <c r="C55" s="4">
        <v>0</v>
      </c>
      <c r="D55" s="4">
        <v>1</v>
      </c>
      <c r="E55" s="4">
        <v>211</v>
      </c>
      <c r="F55" s="4">
        <f>ROUND(Source!Y28,O55)</f>
        <v>0</v>
      </c>
      <c r="G55" s="4" t="s">
        <v>71</v>
      </c>
      <c r="H55" s="4" t="s">
        <v>72</v>
      </c>
      <c r="I55" s="4"/>
      <c r="J55" s="4"/>
      <c r="K55" s="4">
        <v>211</v>
      </c>
      <c r="L55" s="4">
        <v>26</v>
      </c>
      <c r="M55" s="4">
        <v>3</v>
      </c>
      <c r="N55" s="4" t="s">
        <v>6</v>
      </c>
      <c r="O55" s="4">
        <v>0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06" x14ac:dyDescent="0.2">
      <c r="A56" s="4">
        <v>50</v>
      </c>
      <c r="B56" s="4">
        <v>0</v>
      </c>
      <c r="C56" s="4">
        <v>0</v>
      </c>
      <c r="D56" s="4">
        <v>1</v>
      </c>
      <c r="E56" s="4">
        <v>224</v>
      </c>
      <c r="F56" s="4">
        <f>ROUND(Source!AR28,O56)</f>
        <v>0</v>
      </c>
      <c r="G56" s="4" t="s">
        <v>73</v>
      </c>
      <c r="H56" s="4" t="s">
        <v>74</v>
      </c>
      <c r="I56" s="4"/>
      <c r="J56" s="4"/>
      <c r="K56" s="4">
        <v>224</v>
      </c>
      <c r="L56" s="4">
        <v>27</v>
      </c>
      <c r="M56" s="4">
        <v>3</v>
      </c>
      <c r="N56" s="4" t="s">
        <v>6</v>
      </c>
      <c r="O56" s="4">
        <v>0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8" spans="1:206" x14ac:dyDescent="0.2">
      <c r="A58" s="1">
        <v>4</v>
      </c>
      <c r="B58" s="1">
        <v>1</v>
      </c>
      <c r="C58" s="1"/>
      <c r="D58" s="1">
        <f>ROW(A62)</f>
        <v>62</v>
      </c>
      <c r="E58" s="1"/>
      <c r="F58" s="1" t="s">
        <v>75</v>
      </c>
      <c r="G58" s="1" t="s">
        <v>76</v>
      </c>
      <c r="H58" s="1" t="s">
        <v>6</v>
      </c>
      <c r="I58" s="1">
        <v>0</v>
      </c>
      <c r="J58" s="1"/>
      <c r="K58" s="1">
        <v>-1</v>
      </c>
      <c r="L58" s="1"/>
      <c r="M58" s="1" t="s">
        <v>6</v>
      </c>
      <c r="N58" s="1"/>
      <c r="O58" s="1"/>
      <c r="P58" s="1"/>
      <c r="Q58" s="1"/>
      <c r="R58" s="1"/>
      <c r="S58" s="1">
        <v>0</v>
      </c>
      <c r="T58" s="1"/>
      <c r="U58" s="1" t="s">
        <v>6</v>
      </c>
      <c r="V58" s="1">
        <v>0</v>
      </c>
      <c r="W58" s="1"/>
      <c r="X58" s="1"/>
      <c r="Y58" s="1"/>
      <c r="Z58" s="1"/>
      <c r="AA58" s="1"/>
      <c r="AB58" s="1" t="s">
        <v>6</v>
      </c>
      <c r="AC58" s="1" t="s">
        <v>6</v>
      </c>
      <c r="AD58" s="1" t="s">
        <v>6</v>
      </c>
      <c r="AE58" s="1" t="s">
        <v>6</v>
      </c>
      <c r="AF58" s="1" t="s">
        <v>6</v>
      </c>
      <c r="AG58" s="1" t="s">
        <v>6</v>
      </c>
      <c r="AH58" s="1"/>
      <c r="AI58" s="1"/>
      <c r="AJ58" s="1"/>
      <c r="AK58" s="1"/>
      <c r="AL58" s="1"/>
      <c r="AM58" s="1"/>
      <c r="AN58" s="1"/>
      <c r="AO58" s="1"/>
      <c r="AP58" s="1" t="s">
        <v>6</v>
      </c>
      <c r="AQ58" s="1" t="s">
        <v>6</v>
      </c>
      <c r="AR58" s="1" t="s">
        <v>6</v>
      </c>
      <c r="AS58" s="1"/>
      <c r="AT58" s="1"/>
      <c r="AU58" s="1"/>
      <c r="AV58" s="1"/>
      <c r="AW58" s="1"/>
      <c r="AX58" s="1"/>
      <c r="AY58" s="1"/>
      <c r="AZ58" s="1" t="s">
        <v>6</v>
      </c>
      <c r="BA58" s="1"/>
      <c r="BB58" s="1" t="s">
        <v>6</v>
      </c>
      <c r="BC58" s="1" t="s">
        <v>6</v>
      </c>
      <c r="BD58" s="1" t="s">
        <v>6</v>
      </c>
      <c r="BE58" s="1" t="s">
        <v>6</v>
      </c>
      <c r="BF58" s="1" t="s">
        <v>6</v>
      </c>
      <c r="BG58" s="1" t="s">
        <v>6</v>
      </c>
      <c r="BH58" s="1" t="s">
        <v>6</v>
      </c>
      <c r="BI58" s="1" t="s">
        <v>6</v>
      </c>
      <c r="BJ58" s="1" t="s">
        <v>6</v>
      </c>
      <c r="BK58" s="1" t="s">
        <v>6</v>
      </c>
      <c r="BL58" s="1" t="s">
        <v>6</v>
      </c>
      <c r="BM58" s="1" t="s">
        <v>6</v>
      </c>
      <c r="BN58" s="1" t="s">
        <v>6</v>
      </c>
      <c r="BO58" s="1" t="s">
        <v>6</v>
      </c>
      <c r="BP58" s="1" t="s">
        <v>6</v>
      </c>
      <c r="BQ58" s="1"/>
      <c r="BR58" s="1"/>
      <c r="BS58" s="1"/>
      <c r="BT58" s="1"/>
      <c r="BU58" s="1"/>
      <c r="BV58" s="1"/>
      <c r="BW58" s="1"/>
      <c r="BX58" s="1">
        <v>0</v>
      </c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>
        <v>0</v>
      </c>
    </row>
    <row r="60" spans="1:206" x14ac:dyDescent="0.2">
      <c r="A60" s="2">
        <v>52</v>
      </c>
      <c r="B60" s="2">
        <f t="shared" ref="B60:G60" si="23">B62</f>
        <v>1</v>
      </c>
      <c r="C60" s="2">
        <f t="shared" si="23"/>
        <v>4</v>
      </c>
      <c r="D60" s="2">
        <f t="shared" si="23"/>
        <v>58</v>
      </c>
      <c r="E60" s="2">
        <f t="shared" si="23"/>
        <v>0</v>
      </c>
      <c r="F60" s="2" t="str">
        <f t="shared" si="23"/>
        <v>8</v>
      </c>
      <c r="G60" s="2" t="str">
        <f t="shared" si="23"/>
        <v>БЛОК САНУЗЛОВ 2 (2-ой ЭТАЖ)</v>
      </c>
      <c r="H60" s="2"/>
      <c r="I60" s="2"/>
      <c r="J60" s="2"/>
      <c r="K60" s="2"/>
      <c r="L60" s="2"/>
      <c r="M60" s="2"/>
      <c r="N60" s="2"/>
      <c r="O60" s="2">
        <f t="shared" ref="O60:AT60" si="24">O62</f>
        <v>0</v>
      </c>
      <c r="P60" s="2">
        <f t="shared" si="24"/>
        <v>0</v>
      </c>
      <c r="Q60" s="2">
        <f t="shared" si="24"/>
        <v>0</v>
      </c>
      <c r="R60" s="2">
        <f t="shared" si="24"/>
        <v>0</v>
      </c>
      <c r="S60" s="2">
        <f t="shared" si="24"/>
        <v>0</v>
      </c>
      <c r="T60" s="2">
        <f t="shared" si="24"/>
        <v>0</v>
      </c>
      <c r="U60" s="2">
        <f t="shared" si="24"/>
        <v>0</v>
      </c>
      <c r="V60" s="2">
        <f t="shared" si="24"/>
        <v>0</v>
      </c>
      <c r="W60" s="2">
        <f t="shared" si="24"/>
        <v>0</v>
      </c>
      <c r="X60" s="2">
        <f t="shared" si="24"/>
        <v>0</v>
      </c>
      <c r="Y60" s="2">
        <f t="shared" si="24"/>
        <v>0</v>
      </c>
      <c r="Z60" s="2">
        <f t="shared" si="24"/>
        <v>0</v>
      </c>
      <c r="AA60" s="2">
        <f t="shared" si="24"/>
        <v>0</v>
      </c>
      <c r="AB60" s="2">
        <f t="shared" si="24"/>
        <v>0</v>
      </c>
      <c r="AC60" s="2">
        <f t="shared" si="24"/>
        <v>0</v>
      </c>
      <c r="AD60" s="2">
        <f t="shared" si="24"/>
        <v>0</v>
      </c>
      <c r="AE60" s="2">
        <f t="shared" si="24"/>
        <v>0</v>
      </c>
      <c r="AF60" s="2">
        <f t="shared" si="24"/>
        <v>0</v>
      </c>
      <c r="AG60" s="2">
        <f t="shared" si="24"/>
        <v>0</v>
      </c>
      <c r="AH60" s="2">
        <f t="shared" si="24"/>
        <v>0</v>
      </c>
      <c r="AI60" s="2">
        <f t="shared" si="24"/>
        <v>0</v>
      </c>
      <c r="AJ60" s="2">
        <f t="shared" si="24"/>
        <v>0</v>
      </c>
      <c r="AK60" s="2">
        <f t="shared" si="24"/>
        <v>0</v>
      </c>
      <c r="AL60" s="2">
        <f t="shared" si="24"/>
        <v>0</v>
      </c>
      <c r="AM60" s="2">
        <f t="shared" si="24"/>
        <v>0</v>
      </c>
      <c r="AN60" s="2">
        <f t="shared" si="24"/>
        <v>0</v>
      </c>
      <c r="AO60" s="2">
        <f t="shared" si="24"/>
        <v>0</v>
      </c>
      <c r="AP60" s="2">
        <f t="shared" si="24"/>
        <v>0</v>
      </c>
      <c r="AQ60" s="2">
        <f t="shared" si="24"/>
        <v>0</v>
      </c>
      <c r="AR60" s="2">
        <f t="shared" si="24"/>
        <v>0</v>
      </c>
      <c r="AS60" s="2">
        <f t="shared" si="24"/>
        <v>0</v>
      </c>
      <c r="AT60" s="2">
        <f t="shared" si="24"/>
        <v>0</v>
      </c>
      <c r="AU60" s="2">
        <f t="shared" ref="AU60:BZ60" si="25">AU62</f>
        <v>0</v>
      </c>
      <c r="AV60" s="2">
        <f t="shared" si="25"/>
        <v>0</v>
      </c>
      <c r="AW60" s="2">
        <f t="shared" si="25"/>
        <v>0</v>
      </c>
      <c r="AX60" s="2">
        <f t="shared" si="25"/>
        <v>0</v>
      </c>
      <c r="AY60" s="2">
        <f t="shared" si="25"/>
        <v>0</v>
      </c>
      <c r="AZ60" s="2">
        <f t="shared" si="25"/>
        <v>0</v>
      </c>
      <c r="BA60" s="2">
        <f t="shared" si="25"/>
        <v>0</v>
      </c>
      <c r="BB60" s="2">
        <f t="shared" si="25"/>
        <v>0</v>
      </c>
      <c r="BC60" s="2">
        <f t="shared" si="25"/>
        <v>0</v>
      </c>
      <c r="BD60" s="2">
        <f t="shared" si="25"/>
        <v>0</v>
      </c>
      <c r="BE60" s="2">
        <f t="shared" si="25"/>
        <v>0</v>
      </c>
      <c r="BF60" s="2">
        <f t="shared" si="25"/>
        <v>0</v>
      </c>
      <c r="BG60" s="2">
        <f t="shared" si="25"/>
        <v>0</v>
      </c>
      <c r="BH60" s="2">
        <f t="shared" si="25"/>
        <v>0</v>
      </c>
      <c r="BI60" s="2">
        <f t="shared" si="25"/>
        <v>0</v>
      </c>
      <c r="BJ60" s="2">
        <f t="shared" si="25"/>
        <v>0</v>
      </c>
      <c r="BK60" s="2">
        <f t="shared" si="25"/>
        <v>0</v>
      </c>
      <c r="BL60" s="2">
        <f t="shared" si="25"/>
        <v>0</v>
      </c>
      <c r="BM60" s="2">
        <f t="shared" si="25"/>
        <v>0</v>
      </c>
      <c r="BN60" s="2">
        <f t="shared" si="25"/>
        <v>0</v>
      </c>
      <c r="BO60" s="2">
        <f t="shared" si="25"/>
        <v>0</v>
      </c>
      <c r="BP60" s="2">
        <f t="shared" si="25"/>
        <v>0</v>
      </c>
      <c r="BQ60" s="2">
        <f t="shared" si="25"/>
        <v>0</v>
      </c>
      <c r="BR60" s="2">
        <f t="shared" si="25"/>
        <v>0</v>
      </c>
      <c r="BS60" s="2">
        <f t="shared" si="25"/>
        <v>0</v>
      </c>
      <c r="BT60" s="2">
        <f t="shared" si="25"/>
        <v>0</v>
      </c>
      <c r="BU60" s="2">
        <f t="shared" si="25"/>
        <v>0</v>
      </c>
      <c r="BV60" s="2">
        <f t="shared" si="25"/>
        <v>0</v>
      </c>
      <c r="BW60" s="2">
        <f t="shared" si="25"/>
        <v>0</v>
      </c>
      <c r="BX60" s="2">
        <f t="shared" si="25"/>
        <v>0</v>
      </c>
      <c r="BY60" s="2">
        <f t="shared" si="25"/>
        <v>0</v>
      </c>
      <c r="BZ60" s="2">
        <f t="shared" si="25"/>
        <v>0</v>
      </c>
      <c r="CA60" s="2">
        <f t="shared" ref="CA60:DF60" si="26">CA62</f>
        <v>0</v>
      </c>
      <c r="CB60" s="2">
        <f t="shared" si="26"/>
        <v>0</v>
      </c>
      <c r="CC60" s="2">
        <f t="shared" si="26"/>
        <v>0</v>
      </c>
      <c r="CD60" s="2">
        <f t="shared" si="26"/>
        <v>0</v>
      </c>
      <c r="CE60" s="2">
        <f t="shared" si="26"/>
        <v>0</v>
      </c>
      <c r="CF60" s="2">
        <f t="shared" si="26"/>
        <v>0</v>
      </c>
      <c r="CG60" s="2">
        <f t="shared" si="26"/>
        <v>0</v>
      </c>
      <c r="CH60" s="2">
        <f t="shared" si="26"/>
        <v>0</v>
      </c>
      <c r="CI60" s="2">
        <f t="shared" si="26"/>
        <v>0</v>
      </c>
      <c r="CJ60" s="2">
        <f t="shared" si="26"/>
        <v>0</v>
      </c>
      <c r="CK60" s="2">
        <f t="shared" si="26"/>
        <v>0</v>
      </c>
      <c r="CL60" s="2">
        <f t="shared" si="26"/>
        <v>0</v>
      </c>
      <c r="CM60" s="2">
        <f t="shared" si="26"/>
        <v>0</v>
      </c>
      <c r="CN60" s="2">
        <f t="shared" si="26"/>
        <v>0</v>
      </c>
      <c r="CO60" s="2">
        <f t="shared" si="26"/>
        <v>0</v>
      </c>
      <c r="CP60" s="2">
        <f t="shared" si="26"/>
        <v>0</v>
      </c>
      <c r="CQ60" s="2">
        <f t="shared" si="26"/>
        <v>0</v>
      </c>
      <c r="CR60" s="2">
        <f t="shared" si="26"/>
        <v>0</v>
      </c>
      <c r="CS60" s="2">
        <f t="shared" si="26"/>
        <v>0</v>
      </c>
      <c r="CT60" s="2">
        <f t="shared" si="26"/>
        <v>0</v>
      </c>
      <c r="CU60" s="2">
        <f t="shared" si="26"/>
        <v>0</v>
      </c>
      <c r="CV60" s="2">
        <f t="shared" si="26"/>
        <v>0</v>
      </c>
      <c r="CW60" s="2">
        <f t="shared" si="26"/>
        <v>0</v>
      </c>
      <c r="CX60" s="2">
        <f t="shared" si="26"/>
        <v>0</v>
      </c>
      <c r="CY60" s="2">
        <f t="shared" si="26"/>
        <v>0</v>
      </c>
      <c r="CZ60" s="2">
        <f t="shared" si="26"/>
        <v>0</v>
      </c>
      <c r="DA60" s="2">
        <f t="shared" si="26"/>
        <v>0</v>
      </c>
      <c r="DB60" s="2">
        <f t="shared" si="26"/>
        <v>0</v>
      </c>
      <c r="DC60" s="2">
        <f t="shared" si="26"/>
        <v>0</v>
      </c>
      <c r="DD60" s="2">
        <f t="shared" si="26"/>
        <v>0</v>
      </c>
      <c r="DE60" s="2">
        <f t="shared" si="26"/>
        <v>0</v>
      </c>
      <c r="DF60" s="2">
        <f t="shared" si="26"/>
        <v>0</v>
      </c>
      <c r="DG60" s="3">
        <f t="shared" ref="DG60:EL60" si="27">DG62</f>
        <v>0</v>
      </c>
      <c r="DH60" s="3">
        <f t="shared" si="27"/>
        <v>0</v>
      </c>
      <c r="DI60" s="3">
        <f t="shared" si="27"/>
        <v>0</v>
      </c>
      <c r="DJ60" s="3">
        <f t="shared" si="27"/>
        <v>0</v>
      </c>
      <c r="DK60" s="3">
        <f t="shared" si="27"/>
        <v>0</v>
      </c>
      <c r="DL60" s="3">
        <f t="shared" si="27"/>
        <v>0</v>
      </c>
      <c r="DM60" s="3">
        <f t="shared" si="27"/>
        <v>0</v>
      </c>
      <c r="DN60" s="3">
        <f t="shared" si="27"/>
        <v>0</v>
      </c>
      <c r="DO60" s="3">
        <f t="shared" si="27"/>
        <v>0</v>
      </c>
      <c r="DP60" s="3">
        <f t="shared" si="27"/>
        <v>0</v>
      </c>
      <c r="DQ60" s="3">
        <f t="shared" si="27"/>
        <v>0</v>
      </c>
      <c r="DR60" s="3">
        <f t="shared" si="27"/>
        <v>0</v>
      </c>
      <c r="DS60" s="3">
        <f t="shared" si="27"/>
        <v>0</v>
      </c>
      <c r="DT60" s="3">
        <f t="shared" si="27"/>
        <v>0</v>
      </c>
      <c r="DU60" s="3">
        <f t="shared" si="27"/>
        <v>0</v>
      </c>
      <c r="DV60" s="3">
        <f t="shared" si="27"/>
        <v>0</v>
      </c>
      <c r="DW60" s="3">
        <f t="shared" si="27"/>
        <v>0</v>
      </c>
      <c r="DX60" s="3">
        <f t="shared" si="27"/>
        <v>0</v>
      </c>
      <c r="DY60" s="3">
        <f t="shared" si="27"/>
        <v>0</v>
      </c>
      <c r="DZ60" s="3">
        <f t="shared" si="27"/>
        <v>0</v>
      </c>
      <c r="EA60" s="3">
        <f t="shared" si="27"/>
        <v>0</v>
      </c>
      <c r="EB60" s="3">
        <f t="shared" si="27"/>
        <v>0</v>
      </c>
      <c r="EC60" s="3">
        <f t="shared" si="27"/>
        <v>0</v>
      </c>
      <c r="ED60" s="3">
        <f t="shared" si="27"/>
        <v>0</v>
      </c>
      <c r="EE60" s="3">
        <f t="shared" si="27"/>
        <v>0</v>
      </c>
      <c r="EF60" s="3">
        <f t="shared" si="27"/>
        <v>0</v>
      </c>
      <c r="EG60" s="3">
        <f t="shared" si="27"/>
        <v>0</v>
      </c>
      <c r="EH60" s="3">
        <f t="shared" si="27"/>
        <v>0</v>
      </c>
      <c r="EI60" s="3">
        <f t="shared" si="27"/>
        <v>0</v>
      </c>
      <c r="EJ60" s="3">
        <f t="shared" si="27"/>
        <v>0</v>
      </c>
      <c r="EK60" s="3">
        <f t="shared" si="27"/>
        <v>0</v>
      </c>
      <c r="EL60" s="3">
        <f t="shared" si="27"/>
        <v>0</v>
      </c>
      <c r="EM60" s="3">
        <f t="shared" ref="EM60:FR60" si="28">EM62</f>
        <v>0</v>
      </c>
      <c r="EN60" s="3">
        <f t="shared" si="28"/>
        <v>0</v>
      </c>
      <c r="EO60" s="3">
        <f t="shared" si="28"/>
        <v>0</v>
      </c>
      <c r="EP60" s="3">
        <f t="shared" si="28"/>
        <v>0</v>
      </c>
      <c r="EQ60" s="3">
        <f t="shared" si="28"/>
        <v>0</v>
      </c>
      <c r="ER60" s="3">
        <f t="shared" si="28"/>
        <v>0</v>
      </c>
      <c r="ES60" s="3">
        <f t="shared" si="28"/>
        <v>0</v>
      </c>
      <c r="ET60" s="3">
        <f t="shared" si="28"/>
        <v>0</v>
      </c>
      <c r="EU60" s="3">
        <f t="shared" si="28"/>
        <v>0</v>
      </c>
      <c r="EV60" s="3">
        <f t="shared" si="28"/>
        <v>0</v>
      </c>
      <c r="EW60" s="3">
        <f t="shared" si="28"/>
        <v>0</v>
      </c>
      <c r="EX60" s="3">
        <f t="shared" si="28"/>
        <v>0</v>
      </c>
      <c r="EY60" s="3">
        <f t="shared" si="28"/>
        <v>0</v>
      </c>
      <c r="EZ60" s="3">
        <f t="shared" si="28"/>
        <v>0</v>
      </c>
      <c r="FA60" s="3">
        <f t="shared" si="28"/>
        <v>0</v>
      </c>
      <c r="FB60" s="3">
        <f t="shared" si="28"/>
        <v>0</v>
      </c>
      <c r="FC60" s="3">
        <f t="shared" si="28"/>
        <v>0</v>
      </c>
      <c r="FD60" s="3">
        <f t="shared" si="28"/>
        <v>0</v>
      </c>
      <c r="FE60" s="3">
        <f t="shared" si="28"/>
        <v>0</v>
      </c>
      <c r="FF60" s="3">
        <f t="shared" si="28"/>
        <v>0</v>
      </c>
      <c r="FG60" s="3">
        <f t="shared" si="28"/>
        <v>0</v>
      </c>
      <c r="FH60" s="3">
        <f t="shared" si="28"/>
        <v>0</v>
      </c>
      <c r="FI60" s="3">
        <f t="shared" si="28"/>
        <v>0</v>
      </c>
      <c r="FJ60" s="3">
        <f t="shared" si="28"/>
        <v>0</v>
      </c>
      <c r="FK60" s="3">
        <f t="shared" si="28"/>
        <v>0</v>
      </c>
      <c r="FL60" s="3">
        <f t="shared" si="28"/>
        <v>0</v>
      </c>
      <c r="FM60" s="3">
        <f t="shared" si="28"/>
        <v>0</v>
      </c>
      <c r="FN60" s="3">
        <f t="shared" si="28"/>
        <v>0</v>
      </c>
      <c r="FO60" s="3">
        <f t="shared" si="28"/>
        <v>0</v>
      </c>
      <c r="FP60" s="3">
        <f t="shared" si="28"/>
        <v>0</v>
      </c>
      <c r="FQ60" s="3">
        <f t="shared" si="28"/>
        <v>0</v>
      </c>
      <c r="FR60" s="3">
        <f t="shared" si="28"/>
        <v>0</v>
      </c>
      <c r="FS60" s="3">
        <f t="shared" ref="FS60:GX60" si="29">FS62</f>
        <v>0</v>
      </c>
      <c r="FT60" s="3">
        <f t="shared" si="29"/>
        <v>0</v>
      </c>
      <c r="FU60" s="3">
        <f t="shared" si="29"/>
        <v>0</v>
      </c>
      <c r="FV60" s="3">
        <f t="shared" si="29"/>
        <v>0</v>
      </c>
      <c r="FW60" s="3">
        <f t="shared" si="29"/>
        <v>0</v>
      </c>
      <c r="FX60" s="3">
        <f t="shared" si="29"/>
        <v>0</v>
      </c>
      <c r="FY60" s="3">
        <f t="shared" si="29"/>
        <v>0</v>
      </c>
      <c r="FZ60" s="3">
        <f t="shared" si="29"/>
        <v>0</v>
      </c>
      <c r="GA60" s="3">
        <f t="shared" si="29"/>
        <v>0</v>
      </c>
      <c r="GB60" s="3">
        <f t="shared" si="29"/>
        <v>0</v>
      </c>
      <c r="GC60" s="3">
        <f t="shared" si="29"/>
        <v>0</v>
      </c>
      <c r="GD60" s="3">
        <f t="shared" si="29"/>
        <v>0</v>
      </c>
      <c r="GE60" s="3">
        <f t="shared" si="29"/>
        <v>0</v>
      </c>
      <c r="GF60" s="3">
        <f t="shared" si="29"/>
        <v>0</v>
      </c>
      <c r="GG60" s="3">
        <f t="shared" si="29"/>
        <v>0</v>
      </c>
      <c r="GH60" s="3">
        <f t="shared" si="29"/>
        <v>0</v>
      </c>
      <c r="GI60" s="3">
        <f t="shared" si="29"/>
        <v>0</v>
      </c>
      <c r="GJ60" s="3">
        <f t="shared" si="29"/>
        <v>0</v>
      </c>
      <c r="GK60" s="3">
        <f t="shared" si="29"/>
        <v>0</v>
      </c>
      <c r="GL60" s="3">
        <f t="shared" si="29"/>
        <v>0</v>
      </c>
      <c r="GM60" s="3">
        <f t="shared" si="29"/>
        <v>0</v>
      </c>
      <c r="GN60" s="3">
        <f t="shared" si="29"/>
        <v>0</v>
      </c>
      <c r="GO60" s="3">
        <f t="shared" si="29"/>
        <v>0</v>
      </c>
      <c r="GP60" s="3">
        <f t="shared" si="29"/>
        <v>0</v>
      </c>
      <c r="GQ60" s="3">
        <f t="shared" si="29"/>
        <v>0</v>
      </c>
      <c r="GR60" s="3">
        <f t="shared" si="29"/>
        <v>0</v>
      </c>
      <c r="GS60" s="3">
        <f t="shared" si="29"/>
        <v>0</v>
      </c>
      <c r="GT60" s="3">
        <f t="shared" si="29"/>
        <v>0</v>
      </c>
      <c r="GU60" s="3">
        <f t="shared" si="29"/>
        <v>0</v>
      </c>
      <c r="GV60" s="3">
        <f t="shared" si="29"/>
        <v>0</v>
      </c>
      <c r="GW60" s="3">
        <f t="shared" si="29"/>
        <v>0</v>
      </c>
      <c r="GX60" s="3">
        <f t="shared" si="29"/>
        <v>0</v>
      </c>
    </row>
    <row r="62" spans="1:206" x14ac:dyDescent="0.2">
      <c r="A62" s="2">
        <v>51</v>
      </c>
      <c r="B62" s="2">
        <f>B58</f>
        <v>1</v>
      </c>
      <c r="C62" s="2">
        <f>A58</f>
        <v>4</v>
      </c>
      <c r="D62" s="2">
        <f>ROW(A58)</f>
        <v>58</v>
      </c>
      <c r="E62" s="2"/>
      <c r="F62" s="2" t="str">
        <f>IF(F58&lt;&gt;"",F58,"")</f>
        <v>8</v>
      </c>
      <c r="G62" s="2" t="str">
        <f>IF(G58&lt;&gt;"",G58,"")</f>
        <v>БЛОК САНУЗЛОВ 2 (2-ой ЭТАЖ)</v>
      </c>
      <c r="H62" s="2">
        <v>0</v>
      </c>
      <c r="I62" s="2"/>
      <c r="J62" s="2"/>
      <c r="K62" s="2"/>
      <c r="L62" s="2"/>
      <c r="M62" s="2"/>
      <c r="N62" s="2"/>
      <c r="O62" s="2">
        <f t="shared" ref="O62:Y62" si="30">AB62</f>
        <v>0</v>
      </c>
      <c r="P62" s="2">
        <f t="shared" si="30"/>
        <v>0</v>
      </c>
      <c r="Q62" s="2">
        <f t="shared" si="30"/>
        <v>0</v>
      </c>
      <c r="R62" s="2">
        <f t="shared" si="30"/>
        <v>0</v>
      </c>
      <c r="S62" s="2">
        <f t="shared" si="30"/>
        <v>0</v>
      </c>
      <c r="T62" s="2">
        <f t="shared" si="30"/>
        <v>0</v>
      </c>
      <c r="U62" s="2">
        <f t="shared" si="30"/>
        <v>0</v>
      </c>
      <c r="V62" s="2">
        <f t="shared" si="30"/>
        <v>0</v>
      </c>
      <c r="W62" s="2">
        <f t="shared" si="30"/>
        <v>0</v>
      </c>
      <c r="X62" s="2">
        <f t="shared" si="30"/>
        <v>0</v>
      </c>
      <c r="Y62" s="2">
        <f t="shared" si="30"/>
        <v>0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>
        <f t="shared" ref="AO62:BD62" si="31">BX62</f>
        <v>0</v>
      </c>
      <c r="AP62" s="2">
        <f t="shared" si="31"/>
        <v>0</v>
      </c>
      <c r="AQ62" s="2">
        <f t="shared" si="31"/>
        <v>0</v>
      </c>
      <c r="AR62" s="2">
        <f t="shared" si="31"/>
        <v>0</v>
      </c>
      <c r="AS62" s="2">
        <f t="shared" si="31"/>
        <v>0</v>
      </c>
      <c r="AT62" s="2">
        <f t="shared" si="31"/>
        <v>0</v>
      </c>
      <c r="AU62" s="2">
        <f t="shared" si="31"/>
        <v>0</v>
      </c>
      <c r="AV62" s="2">
        <f t="shared" si="31"/>
        <v>0</v>
      </c>
      <c r="AW62" s="2">
        <f t="shared" si="31"/>
        <v>0</v>
      </c>
      <c r="AX62" s="2">
        <f t="shared" si="31"/>
        <v>0</v>
      </c>
      <c r="AY62" s="2">
        <f t="shared" si="31"/>
        <v>0</v>
      </c>
      <c r="AZ62" s="2">
        <f t="shared" si="31"/>
        <v>0</v>
      </c>
      <c r="BA62" s="2">
        <f t="shared" si="31"/>
        <v>0</v>
      </c>
      <c r="BB62" s="2">
        <f t="shared" si="31"/>
        <v>0</v>
      </c>
      <c r="BC62" s="2">
        <f t="shared" si="31"/>
        <v>0</v>
      </c>
      <c r="BD62" s="2">
        <f t="shared" si="31"/>
        <v>0</v>
      </c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>
        <v>0</v>
      </c>
    </row>
    <row r="64" spans="1:206" x14ac:dyDescent="0.2">
      <c r="A64" s="4">
        <v>50</v>
      </c>
      <c r="B64" s="4">
        <v>0</v>
      </c>
      <c r="C64" s="4">
        <v>0</v>
      </c>
      <c r="D64" s="4">
        <v>1</v>
      </c>
      <c r="E64" s="4">
        <v>201</v>
      </c>
      <c r="F64" s="4">
        <f>ROUND(Source!O62,O64)</f>
        <v>0</v>
      </c>
      <c r="G64" s="4" t="s">
        <v>21</v>
      </c>
      <c r="H64" s="4" t="s">
        <v>22</v>
      </c>
      <c r="I64" s="4"/>
      <c r="J64" s="4"/>
      <c r="K64" s="4">
        <v>201</v>
      </c>
      <c r="L64" s="4">
        <v>1</v>
      </c>
      <c r="M64" s="4">
        <v>3</v>
      </c>
      <c r="N64" s="4" t="s">
        <v>6</v>
      </c>
      <c r="O64" s="4">
        <v>0</v>
      </c>
      <c r="P64" s="4"/>
      <c r="Q64" s="4"/>
      <c r="R64" s="4"/>
      <c r="S64" s="4"/>
      <c r="T64" s="4"/>
      <c r="U64" s="4"/>
      <c r="V64" s="4"/>
      <c r="W64" s="4">
        <v>0</v>
      </c>
      <c r="X64" s="4">
        <v>1</v>
      </c>
      <c r="Y64" s="4">
        <v>0</v>
      </c>
      <c r="Z64" s="4"/>
      <c r="AA64" s="4"/>
      <c r="AB64" s="4"/>
    </row>
    <row r="65" spans="1:28" x14ac:dyDescent="0.2">
      <c r="A65" s="4">
        <v>50</v>
      </c>
      <c r="B65" s="4">
        <v>0</v>
      </c>
      <c r="C65" s="4">
        <v>0</v>
      </c>
      <c r="D65" s="4">
        <v>1</v>
      </c>
      <c r="E65" s="4">
        <v>202</v>
      </c>
      <c r="F65" s="4">
        <f>ROUND(Source!P62,O65)</f>
        <v>0</v>
      </c>
      <c r="G65" s="4" t="s">
        <v>23</v>
      </c>
      <c r="H65" s="4" t="s">
        <v>24</v>
      </c>
      <c r="I65" s="4"/>
      <c r="J65" s="4"/>
      <c r="K65" s="4">
        <v>202</v>
      </c>
      <c r="L65" s="4">
        <v>2</v>
      </c>
      <c r="M65" s="4">
        <v>3</v>
      </c>
      <c r="N65" s="4" t="s">
        <v>6</v>
      </c>
      <c r="O65" s="4">
        <v>0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8" x14ac:dyDescent="0.2">
      <c r="A66" s="4">
        <v>50</v>
      </c>
      <c r="B66" s="4">
        <v>0</v>
      </c>
      <c r="C66" s="4">
        <v>0</v>
      </c>
      <c r="D66" s="4">
        <v>1</v>
      </c>
      <c r="E66" s="4">
        <v>222</v>
      </c>
      <c r="F66" s="4">
        <f>ROUND(Source!AO62,O66)</f>
        <v>0</v>
      </c>
      <c r="G66" s="4" t="s">
        <v>25</v>
      </c>
      <c r="H66" s="4" t="s">
        <v>26</v>
      </c>
      <c r="I66" s="4"/>
      <c r="J66" s="4"/>
      <c r="K66" s="4">
        <v>222</v>
      </c>
      <c r="L66" s="4">
        <v>3</v>
      </c>
      <c r="M66" s="4">
        <v>3</v>
      </c>
      <c r="N66" s="4" t="s">
        <v>6</v>
      </c>
      <c r="O66" s="4">
        <v>0</v>
      </c>
      <c r="P66" s="4"/>
      <c r="Q66" s="4"/>
      <c r="R66" s="4"/>
      <c r="S66" s="4"/>
      <c r="T66" s="4"/>
      <c r="U66" s="4"/>
      <c r="V66" s="4"/>
      <c r="W66" s="4">
        <v>0</v>
      </c>
      <c r="X66" s="4">
        <v>1</v>
      </c>
      <c r="Y66" s="4">
        <v>0</v>
      </c>
      <c r="Z66" s="4"/>
      <c r="AA66" s="4"/>
      <c r="AB66" s="4"/>
    </row>
    <row r="67" spans="1:28" x14ac:dyDescent="0.2">
      <c r="A67" s="4">
        <v>50</v>
      </c>
      <c r="B67" s="4">
        <v>0</v>
      </c>
      <c r="C67" s="4">
        <v>0</v>
      </c>
      <c r="D67" s="4">
        <v>1</v>
      </c>
      <c r="E67" s="4">
        <v>225</v>
      </c>
      <c r="F67" s="4">
        <f>ROUND(Source!AV62,O67)</f>
        <v>0</v>
      </c>
      <c r="G67" s="4" t="s">
        <v>27</v>
      </c>
      <c r="H67" s="4" t="s">
        <v>28</v>
      </c>
      <c r="I67" s="4"/>
      <c r="J67" s="4"/>
      <c r="K67" s="4">
        <v>225</v>
      </c>
      <c r="L67" s="4">
        <v>4</v>
      </c>
      <c r="M67" s="4">
        <v>3</v>
      </c>
      <c r="N67" s="4" t="s">
        <v>6</v>
      </c>
      <c r="O67" s="4">
        <v>0</v>
      </c>
      <c r="P67" s="4"/>
      <c r="Q67" s="4"/>
      <c r="R67" s="4"/>
      <c r="S67" s="4"/>
      <c r="T67" s="4"/>
      <c r="U67" s="4"/>
      <c r="V67" s="4"/>
      <c r="W67" s="4">
        <v>0</v>
      </c>
      <c r="X67" s="4">
        <v>1</v>
      </c>
      <c r="Y67" s="4">
        <v>0</v>
      </c>
      <c r="Z67" s="4"/>
      <c r="AA67" s="4"/>
      <c r="AB67" s="4"/>
    </row>
    <row r="68" spans="1:28" x14ac:dyDescent="0.2">
      <c r="A68" s="4">
        <v>50</v>
      </c>
      <c r="B68" s="4">
        <v>0</v>
      </c>
      <c r="C68" s="4">
        <v>0</v>
      </c>
      <c r="D68" s="4">
        <v>1</v>
      </c>
      <c r="E68" s="4">
        <v>226</v>
      </c>
      <c r="F68" s="4">
        <f>ROUND(Source!AW62,O68)</f>
        <v>0</v>
      </c>
      <c r="G68" s="4" t="s">
        <v>29</v>
      </c>
      <c r="H68" s="4" t="s">
        <v>30</v>
      </c>
      <c r="I68" s="4"/>
      <c r="J68" s="4"/>
      <c r="K68" s="4">
        <v>226</v>
      </c>
      <c r="L68" s="4">
        <v>5</v>
      </c>
      <c r="M68" s="4">
        <v>3</v>
      </c>
      <c r="N68" s="4" t="s">
        <v>6</v>
      </c>
      <c r="O68" s="4">
        <v>0</v>
      </c>
      <c r="P68" s="4"/>
      <c r="Q68" s="4"/>
      <c r="R68" s="4"/>
      <c r="S68" s="4"/>
      <c r="T68" s="4"/>
      <c r="U68" s="4"/>
      <c r="V68" s="4"/>
      <c r="W68" s="4">
        <v>0</v>
      </c>
      <c r="X68" s="4">
        <v>1</v>
      </c>
      <c r="Y68" s="4">
        <v>0</v>
      </c>
      <c r="Z68" s="4"/>
      <c r="AA68" s="4"/>
      <c r="AB68" s="4"/>
    </row>
    <row r="69" spans="1:28" x14ac:dyDescent="0.2">
      <c r="A69" s="4">
        <v>50</v>
      </c>
      <c r="B69" s="4">
        <v>0</v>
      </c>
      <c r="C69" s="4">
        <v>0</v>
      </c>
      <c r="D69" s="4">
        <v>1</v>
      </c>
      <c r="E69" s="4">
        <v>227</v>
      </c>
      <c r="F69" s="4">
        <f>ROUND(Source!AX62,O69)</f>
        <v>0</v>
      </c>
      <c r="G69" s="4" t="s">
        <v>31</v>
      </c>
      <c r="H69" s="4" t="s">
        <v>32</v>
      </c>
      <c r="I69" s="4"/>
      <c r="J69" s="4"/>
      <c r="K69" s="4">
        <v>227</v>
      </c>
      <c r="L69" s="4">
        <v>6</v>
      </c>
      <c r="M69" s="4">
        <v>3</v>
      </c>
      <c r="N69" s="4" t="s">
        <v>6</v>
      </c>
      <c r="O69" s="4">
        <v>0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8" x14ac:dyDescent="0.2">
      <c r="A70" s="4">
        <v>50</v>
      </c>
      <c r="B70" s="4">
        <v>0</v>
      </c>
      <c r="C70" s="4">
        <v>0</v>
      </c>
      <c r="D70" s="4">
        <v>1</v>
      </c>
      <c r="E70" s="4">
        <v>228</v>
      </c>
      <c r="F70" s="4">
        <f>ROUND(Source!AY62,O70)</f>
        <v>0</v>
      </c>
      <c r="G70" s="4" t="s">
        <v>33</v>
      </c>
      <c r="H70" s="4" t="s">
        <v>34</v>
      </c>
      <c r="I70" s="4"/>
      <c r="J70" s="4"/>
      <c r="K70" s="4">
        <v>228</v>
      </c>
      <c r="L70" s="4">
        <v>7</v>
      </c>
      <c r="M70" s="4">
        <v>3</v>
      </c>
      <c r="N70" s="4" t="s">
        <v>6</v>
      </c>
      <c r="O70" s="4">
        <v>0</v>
      </c>
      <c r="P70" s="4"/>
      <c r="Q70" s="4"/>
      <c r="R70" s="4"/>
      <c r="S70" s="4"/>
      <c r="T70" s="4"/>
      <c r="U70" s="4"/>
      <c r="V70" s="4"/>
      <c r="W70" s="4">
        <v>0</v>
      </c>
      <c r="X70" s="4">
        <v>1</v>
      </c>
      <c r="Y70" s="4">
        <v>0</v>
      </c>
      <c r="Z70" s="4"/>
      <c r="AA70" s="4"/>
      <c r="AB70" s="4"/>
    </row>
    <row r="71" spans="1:28" x14ac:dyDescent="0.2">
      <c r="A71" s="4">
        <v>50</v>
      </c>
      <c r="B71" s="4">
        <v>0</v>
      </c>
      <c r="C71" s="4">
        <v>0</v>
      </c>
      <c r="D71" s="4">
        <v>1</v>
      </c>
      <c r="E71" s="4">
        <v>216</v>
      </c>
      <c r="F71" s="4">
        <f>ROUND(Source!AP62,O71)</f>
        <v>0</v>
      </c>
      <c r="G71" s="4" t="s">
        <v>35</v>
      </c>
      <c r="H71" s="4" t="s">
        <v>36</v>
      </c>
      <c r="I71" s="4"/>
      <c r="J71" s="4"/>
      <c r="K71" s="4">
        <v>216</v>
      </c>
      <c r="L71" s="4">
        <v>8</v>
      </c>
      <c r="M71" s="4">
        <v>3</v>
      </c>
      <c r="N71" s="4" t="s">
        <v>6</v>
      </c>
      <c r="O71" s="4">
        <v>0</v>
      </c>
      <c r="P71" s="4"/>
      <c r="Q71" s="4"/>
      <c r="R71" s="4"/>
      <c r="S71" s="4"/>
      <c r="T71" s="4"/>
      <c r="U71" s="4"/>
      <c r="V71" s="4"/>
      <c r="W71" s="4">
        <v>0</v>
      </c>
      <c r="X71" s="4">
        <v>1</v>
      </c>
      <c r="Y71" s="4">
        <v>0</v>
      </c>
      <c r="Z71" s="4"/>
      <c r="AA71" s="4"/>
      <c r="AB71" s="4"/>
    </row>
    <row r="72" spans="1:28" x14ac:dyDescent="0.2">
      <c r="A72" s="4">
        <v>50</v>
      </c>
      <c r="B72" s="4">
        <v>0</v>
      </c>
      <c r="C72" s="4">
        <v>0</v>
      </c>
      <c r="D72" s="4">
        <v>1</v>
      </c>
      <c r="E72" s="4">
        <v>223</v>
      </c>
      <c r="F72" s="4">
        <f>ROUND(Source!AQ62,O72)</f>
        <v>0</v>
      </c>
      <c r="G72" s="4" t="s">
        <v>37</v>
      </c>
      <c r="H72" s="4" t="s">
        <v>38</v>
      </c>
      <c r="I72" s="4"/>
      <c r="J72" s="4"/>
      <c r="K72" s="4">
        <v>223</v>
      </c>
      <c r="L72" s="4">
        <v>9</v>
      </c>
      <c r="M72" s="4">
        <v>3</v>
      </c>
      <c r="N72" s="4" t="s">
        <v>6</v>
      </c>
      <c r="O72" s="4">
        <v>0</v>
      </c>
      <c r="P72" s="4"/>
      <c r="Q72" s="4"/>
      <c r="R72" s="4"/>
      <c r="S72" s="4"/>
      <c r="T72" s="4"/>
      <c r="U72" s="4"/>
      <c r="V72" s="4"/>
      <c r="W72" s="4">
        <v>0</v>
      </c>
      <c r="X72" s="4">
        <v>1</v>
      </c>
      <c r="Y72" s="4">
        <v>0</v>
      </c>
      <c r="Z72" s="4"/>
      <c r="AA72" s="4"/>
      <c r="AB72" s="4"/>
    </row>
    <row r="73" spans="1:28" x14ac:dyDescent="0.2">
      <c r="A73" s="4">
        <v>50</v>
      </c>
      <c r="B73" s="4">
        <v>0</v>
      </c>
      <c r="C73" s="4">
        <v>0</v>
      </c>
      <c r="D73" s="4">
        <v>1</v>
      </c>
      <c r="E73" s="4">
        <v>229</v>
      </c>
      <c r="F73" s="4">
        <f>ROUND(Source!AZ62,O73)</f>
        <v>0</v>
      </c>
      <c r="G73" s="4" t="s">
        <v>39</v>
      </c>
      <c r="H73" s="4" t="s">
        <v>40</v>
      </c>
      <c r="I73" s="4"/>
      <c r="J73" s="4"/>
      <c r="K73" s="4">
        <v>229</v>
      </c>
      <c r="L73" s="4">
        <v>10</v>
      </c>
      <c r="M73" s="4">
        <v>3</v>
      </c>
      <c r="N73" s="4" t="s">
        <v>6</v>
      </c>
      <c r="O73" s="4">
        <v>0</v>
      </c>
      <c r="P73" s="4"/>
      <c r="Q73" s="4"/>
      <c r="R73" s="4"/>
      <c r="S73" s="4"/>
      <c r="T73" s="4"/>
      <c r="U73" s="4"/>
      <c r="V73" s="4"/>
      <c r="W73" s="4">
        <v>0</v>
      </c>
      <c r="X73" s="4">
        <v>1</v>
      </c>
      <c r="Y73" s="4">
        <v>0</v>
      </c>
      <c r="Z73" s="4"/>
      <c r="AA73" s="4"/>
      <c r="AB73" s="4"/>
    </row>
    <row r="74" spans="1:28" x14ac:dyDescent="0.2">
      <c r="A74" s="4">
        <v>50</v>
      </c>
      <c r="B74" s="4">
        <v>0</v>
      </c>
      <c r="C74" s="4">
        <v>0</v>
      </c>
      <c r="D74" s="4">
        <v>1</v>
      </c>
      <c r="E74" s="4">
        <v>203</v>
      </c>
      <c r="F74" s="4">
        <f>ROUND(Source!Q62,O74)</f>
        <v>0</v>
      </c>
      <c r="G74" s="4" t="s">
        <v>41</v>
      </c>
      <c r="H74" s="4" t="s">
        <v>42</v>
      </c>
      <c r="I74" s="4"/>
      <c r="J74" s="4"/>
      <c r="K74" s="4">
        <v>203</v>
      </c>
      <c r="L74" s="4">
        <v>11</v>
      </c>
      <c r="M74" s="4">
        <v>3</v>
      </c>
      <c r="N74" s="4" t="s">
        <v>6</v>
      </c>
      <c r="O74" s="4">
        <v>0</v>
      </c>
      <c r="P74" s="4"/>
      <c r="Q74" s="4"/>
      <c r="R74" s="4"/>
      <c r="S74" s="4"/>
      <c r="T74" s="4"/>
      <c r="U74" s="4"/>
      <c r="V74" s="4"/>
      <c r="W74" s="4">
        <v>0</v>
      </c>
      <c r="X74" s="4">
        <v>1</v>
      </c>
      <c r="Y74" s="4">
        <v>0</v>
      </c>
      <c r="Z74" s="4"/>
      <c r="AA74" s="4"/>
      <c r="AB74" s="4"/>
    </row>
    <row r="75" spans="1:28" x14ac:dyDescent="0.2">
      <c r="A75" s="4">
        <v>50</v>
      </c>
      <c r="B75" s="4">
        <v>0</v>
      </c>
      <c r="C75" s="4">
        <v>0</v>
      </c>
      <c r="D75" s="4">
        <v>1</v>
      </c>
      <c r="E75" s="4">
        <v>231</v>
      </c>
      <c r="F75" s="4">
        <f>ROUND(Source!BB62,O75)</f>
        <v>0</v>
      </c>
      <c r="G75" s="4" t="s">
        <v>43</v>
      </c>
      <c r="H75" s="4" t="s">
        <v>44</v>
      </c>
      <c r="I75" s="4"/>
      <c r="J75" s="4"/>
      <c r="K75" s="4">
        <v>231</v>
      </c>
      <c r="L75" s="4">
        <v>12</v>
      </c>
      <c r="M75" s="4">
        <v>3</v>
      </c>
      <c r="N75" s="4" t="s">
        <v>6</v>
      </c>
      <c r="O75" s="4">
        <v>0</v>
      </c>
      <c r="P75" s="4"/>
      <c r="Q75" s="4"/>
      <c r="R75" s="4"/>
      <c r="S75" s="4"/>
      <c r="T75" s="4"/>
      <c r="U75" s="4"/>
      <c r="V75" s="4"/>
      <c r="W75" s="4">
        <v>0</v>
      </c>
      <c r="X75" s="4">
        <v>1</v>
      </c>
      <c r="Y75" s="4">
        <v>0</v>
      </c>
      <c r="Z75" s="4"/>
      <c r="AA75" s="4"/>
      <c r="AB75" s="4"/>
    </row>
    <row r="76" spans="1:28" x14ac:dyDescent="0.2">
      <c r="A76" s="4">
        <v>50</v>
      </c>
      <c r="B76" s="4">
        <v>0</v>
      </c>
      <c r="C76" s="4">
        <v>0</v>
      </c>
      <c r="D76" s="4">
        <v>1</v>
      </c>
      <c r="E76" s="4">
        <v>204</v>
      </c>
      <c r="F76" s="4">
        <f>ROUND(Source!R62,O76)</f>
        <v>0</v>
      </c>
      <c r="G76" s="4" t="s">
        <v>45</v>
      </c>
      <c r="H76" s="4" t="s">
        <v>46</v>
      </c>
      <c r="I76" s="4"/>
      <c r="J76" s="4"/>
      <c r="K76" s="4">
        <v>204</v>
      </c>
      <c r="L76" s="4">
        <v>13</v>
      </c>
      <c r="M76" s="4">
        <v>3</v>
      </c>
      <c r="N76" s="4" t="s">
        <v>6</v>
      </c>
      <c r="O76" s="4">
        <v>0</v>
      </c>
      <c r="P76" s="4"/>
      <c r="Q76" s="4"/>
      <c r="R76" s="4"/>
      <c r="S76" s="4"/>
      <c r="T76" s="4"/>
      <c r="U76" s="4"/>
      <c r="V76" s="4"/>
      <c r="W76" s="4">
        <v>0</v>
      </c>
      <c r="X76" s="4">
        <v>1</v>
      </c>
      <c r="Y76" s="4">
        <v>0</v>
      </c>
      <c r="Z76" s="4"/>
      <c r="AA76" s="4"/>
      <c r="AB76" s="4"/>
    </row>
    <row r="77" spans="1:28" x14ac:dyDescent="0.2">
      <c r="A77" s="4">
        <v>50</v>
      </c>
      <c r="B77" s="4">
        <v>0</v>
      </c>
      <c r="C77" s="4">
        <v>0</v>
      </c>
      <c r="D77" s="4">
        <v>1</v>
      </c>
      <c r="E77" s="4">
        <v>205</v>
      </c>
      <c r="F77" s="4">
        <f>ROUND(Source!S62,O77)</f>
        <v>0</v>
      </c>
      <c r="G77" s="4" t="s">
        <v>47</v>
      </c>
      <c r="H77" s="4" t="s">
        <v>48</v>
      </c>
      <c r="I77" s="4"/>
      <c r="J77" s="4"/>
      <c r="K77" s="4">
        <v>205</v>
      </c>
      <c r="L77" s="4">
        <v>14</v>
      </c>
      <c r="M77" s="4">
        <v>3</v>
      </c>
      <c r="N77" s="4" t="s">
        <v>6</v>
      </c>
      <c r="O77" s="4">
        <v>0</v>
      </c>
      <c r="P77" s="4"/>
      <c r="Q77" s="4"/>
      <c r="R77" s="4"/>
      <c r="S77" s="4"/>
      <c r="T77" s="4"/>
      <c r="U77" s="4"/>
      <c r="V77" s="4"/>
      <c r="W77" s="4">
        <v>0</v>
      </c>
      <c r="X77" s="4">
        <v>1</v>
      </c>
      <c r="Y77" s="4">
        <v>0</v>
      </c>
      <c r="Z77" s="4"/>
      <c r="AA77" s="4"/>
      <c r="AB77" s="4"/>
    </row>
    <row r="78" spans="1:28" x14ac:dyDescent="0.2">
      <c r="A78" s="4">
        <v>50</v>
      </c>
      <c r="B78" s="4">
        <v>0</v>
      </c>
      <c r="C78" s="4">
        <v>0</v>
      </c>
      <c r="D78" s="4">
        <v>1</v>
      </c>
      <c r="E78" s="4">
        <v>232</v>
      </c>
      <c r="F78" s="4">
        <f>ROUND(Source!BC62,O78)</f>
        <v>0</v>
      </c>
      <c r="G78" s="4" t="s">
        <v>49</v>
      </c>
      <c r="H78" s="4" t="s">
        <v>50</v>
      </c>
      <c r="I78" s="4"/>
      <c r="J78" s="4"/>
      <c r="K78" s="4">
        <v>232</v>
      </c>
      <c r="L78" s="4">
        <v>15</v>
      </c>
      <c r="M78" s="4">
        <v>3</v>
      </c>
      <c r="N78" s="4" t="s">
        <v>6</v>
      </c>
      <c r="O78" s="4">
        <v>0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8" x14ac:dyDescent="0.2">
      <c r="A79" s="4">
        <v>50</v>
      </c>
      <c r="B79" s="4">
        <v>0</v>
      </c>
      <c r="C79" s="4">
        <v>0</v>
      </c>
      <c r="D79" s="4">
        <v>1</v>
      </c>
      <c r="E79" s="4">
        <v>214</v>
      </c>
      <c r="F79" s="4">
        <f>ROUND(Source!AS62,O79)</f>
        <v>0</v>
      </c>
      <c r="G79" s="4" t="s">
        <v>51</v>
      </c>
      <c r="H79" s="4" t="s">
        <v>52</v>
      </c>
      <c r="I79" s="4"/>
      <c r="J79" s="4"/>
      <c r="K79" s="4">
        <v>214</v>
      </c>
      <c r="L79" s="4">
        <v>16</v>
      </c>
      <c r="M79" s="4">
        <v>3</v>
      </c>
      <c r="N79" s="4" t="s">
        <v>6</v>
      </c>
      <c r="O79" s="4">
        <v>0</v>
      </c>
      <c r="P79" s="4"/>
      <c r="Q79" s="4"/>
      <c r="R79" s="4"/>
      <c r="S79" s="4"/>
      <c r="T79" s="4"/>
      <c r="U79" s="4"/>
      <c r="V79" s="4"/>
      <c r="W79" s="4">
        <v>0</v>
      </c>
      <c r="X79" s="4">
        <v>1</v>
      </c>
      <c r="Y79" s="4">
        <v>0</v>
      </c>
      <c r="Z79" s="4"/>
      <c r="AA79" s="4"/>
      <c r="AB79" s="4"/>
    </row>
    <row r="80" spans="1:28" x14ac:dyDescent="0.2">
      <c r="A80" s="4">
        <v>50</v>
      </c>
      <c r="B80" s="4">
        <v>0</v>
      </c>
      <c r="C80" s="4">
        <v>0</v>
      </c>
      <c r="D80" s="4">
        <v>1</v>
      </c>
      <c r="E80" s="4">
        <v>215</v>
      </c>
      <c r="F80" s="4">
        <f>ROUND(Source!AT62,O80)</f>
        <v>0</v>
      </c>
      <c r="G80" s="4" t="s">
        <v>53</v>
      </c>
      <c r="H80" s="4" t="s">
        <v>54</v>
      </c>
      <c r="I80" s="4"/>
      <c r="J80" s="4"/>
      <c r="K80" s="4">
        <v>215</v>
      </c>
      <c r="L80" s="4">
        <v>17</v>
      </c>
      <c r="M80" s="4">
        <v>3</v>
      </c>
      <c r="N80" s="4" t="s">
        <v>6</v>
      </c>
      <c r="O80" s="4">
        <v>0</v>
      </c>
      <c r="P80" s="4"/>
      <c r="Q80" s="4"/>
      <c r="R80" s="4"/>
      <c r="S80" s="4"/>
      <c r="T80" s="4"/>
      <c r="U80" s="4"/>
      <c r="V80" s="4"/>
      <c r="W80" s="4">
        <v>0</v>
      </c>
      <c r="X80" s="4">
        <v>1</v>
      </c>
      <c r="Y80" s="4">
        <v>0</v>
      </c>
      <c r="Z80" s="4"/>
      <c r="AA80" s="4"/>
      <c r="AB80" s="4"/>
    </row>
    <row r="81" spans="1:206" x14ac:dyDescent="0.2">
      <c r="A81" s="4">
        <v>50</v>
      </c>
      <c r="B81" s="4">
        <v>0</v>
      </c>
      <c r="C81" s="4">
        <v>0</v>
      </c>
      <c r="D81" s="4">
        <v>1</v>
      </c>
      <c r="E81" s="4">
        <v>217</v>
      </c>
      <c r="F81" s="4">
        <f>ROUND(Source!AU62,O81)</f>
        <v>0</v>
      </c>
      <c r="G81" s="4" t="s">
        <v>55</v>
      </c>
      <c r="H81" s="4" t="s">
        <v>56</v>
      </c>
      <c r="I81" s="4"/>
      <c r="J81" s="4"/>
      <c r="K81" s="4">
        <v>217</v>
      </c>
      <c r="L81" s="4">
        <v>18</v>
      </c>
      <c r="M81" s="4">
        <v>3</v>
      </c>
      <c r="N81" s="4" t="s">
        <v>6</v>
      </c>
      <c r="O81" s="4">
        <v>0</v>
      </c>
      <c r="P81" s="4"/>
      <c r="Q81" s="4"/>
      <c r="R81" s="4"/>
      <c r="S81" s="4"/>
      <c r="T81" s="4"/>
      <c r="U81" s="4"/>
      <c r="V81" s="4"/>
      <c r="W81" s="4">
        <v>0</v>
      </c>
      <c r="X81" s="4">
        <v>1</v>
      </c>
      <c r="Y81" s="4">
        <v>0</v>
      </c>
      <c r="Z81" s="4"/>
      <c r="AA81" s="4"/>
      <c r="AB81" s="4"/>
    </row>
    <row r="82" spans="1:206" x14ac:dyDescent="0.2">
      <c r="A82" s="4">
        <v>50</v>
      </c>
      <c r="B82" s="4">
        <v>0</v>
      </c>
      <c r="C82" s="4">
        <v>0</v>
      </c>
      <c r="D82" s="4">
        <v>1</v>
      </c>
      <c r="E82" s="4">
        <v>230</v>
      </c>
      <c r="F82" s="4">
        <f>ROUND(Source!BA62,O82)</f>
        <v>0</v>
      </c>
      <c r="G82" s="4" t="s">
        <v>57</v>
      </c>
      <c r="H82" s="4" t="s">
        <v>58</v>
      </c>
      <c r="I82" s="4"/>
      <c r="J82" s="4"/>
      <c r="K82" s="4">
        <v>230</v>
      </c>
      <c r="L82" s="4">
        <v>19</v>
      </c>
      <c r="M82" s="4">
        <v>3</v>
      </c>
      <c r="N82" s="4" t="s">
        <v>6</v>
      </c>
      <c r="O82" s="4">
        <v>0</v>
      </c>
      <c r="P82" s="4"/>
      <c r="Q82" s="4"/>
      <c r="R82" s="4"/>
      <c r="S82" s="4"/>
      <c r="T82" s="4"/>
      <c r="U82" s="4"/>
      <c r="V82" s="4"/>
      <c r="W82" s="4">
        <v>0</v>
      </c>
      <c r="X82" s="4">
        <v>1</v>
      </c>
      <c r="Y82" s="4">
        <v>0</v>
      </c>
      <c r="Z82" s="4"/>
      <c r="AA82" s="4"/>
      <c r="AB82" s="4"/>
    </row>
    <row r="83" spans="1:206" x14ac:dyDescent="0.2">
      <c r="A83" s="4">
        <v>50</v>
      </c>
      <c r="B83" s="4">
        <v>0</v>
      </c>
      <c r="C83" s="4">
        <v>0</v>
      </c>
      <c r="D83" s="4">
        <v>1</v>
      </c>
      <c r="E83" s="4">
        <v>206</v>
      </c>
      <c r="F83" s="4">
        <f>ROUND(Source!T62,O83)</f>
        <v>0</v>
      </c>
      <c r="G83" s="4" t="s">
        <v>59</v>
      </c>
      <c r="H83" s="4" t="s">
        <v>60</v>
      </c>
      <c r="I83" s="4"/>
      <c r="J83" s="4"/>
      <c r="K83" s="4">
        <v>206</v>
      </c>
      <c r="L83" s="4">
        <v>20</v>
      </c>
      <c r="M83" s="4">
        <v>3</v>
      </c>
      <c r="N83" s="4" t="s">
        <v>6</v>
      </c>
      <c r="O83" s="4">
        <v>0</v>
      </c>
      <c r="P83" s="4"/>
      <c r="Q83" s="4"/>
      <c r="R83" s="4"/>
      <c r="S83" s="4"/>
      <c r="T83" s="4"/>
      <c r="U83" s="4"/>
      <c r="V83" s="4"/>
      <c r="W83" s="4">
        <v>0</v>
      </c>
      <c r="X83" s="4">
        <v>1</v>
      </c>
      <c r="Y83" s="4">
        <v>0</v>
      </c>
      <c r="Z83" s="4"/>
      <c r="AA83" s="4"/>
      <c r="AB83" s="4"/>
    </row>
    <row r="84" spans="1:206" x14ac:dyDescent="0.2">
      <c r="A84" s="4">
        <v>50</v>
      </c>
      <c r="B84" s="4">
        <v>0</v>
      </c>
      <c r="C84" s="4">
        <v>0</v>
      </c>
      <c r="D84" s="4">
        <v>1</v>
      </c>
      <c r="E84" s="4">
        <v>207</v>
      </c>
      <c r="F84" s="4">
        <f>ROUND(Source!U62,O84)</f>
        <v>0</v>
      </c>
      <c r="G84" s="4" t="s">
        <v>61</v>
      </c>
      <c r="H84" s="4" t="s">
        <v>62</v>
      </c>
      <c r="I84" s="4"/>
      <c r="J84" s="4"/>
      <c r="K84" s="4">
        <v>207</v>
      </c>
      <c r="L84" s="4">
        <v>21</v>
      </c>
      <c r="M84" s="4">
        <v>3</v>
      </c>
      <c r="N84" s="4" t="s">
        <v>6</v>
      </c>
      <c r="O84" s="4">
        <v>7</v>
      </c>
      <c r="P84" s="4"/>
      <c r="Q84" s="4"/>
      <c r="R84" s="4"/>
      <c r="S84" s="4"/>
      <c r="T84" s="4"/>
      <c r="U84" s="4"/>
      <c r="V84" s="4"/>
      <c r="W84" s="4">
        <v>0</v>
      </c>
      <c r="X84" s="4">
        <v>1</v>
      </c>
      <c r="Y84" s="4">
        <v>0</v>
      </c>
      <c r="Z84" s="4"/>
      <c r="AA84" s="4"/>
      <c r="AB84" s="4"/>
    </row>
    <row r="85" spans="1:206" x14ac:dyDescent="0.2">
      <c r="A85" s="4">
        <v>50</v>
      </c>
      <c r="B85" s="4">
        <v>0</v>
      </c>
      <c r="C85" s="4">
        <v>0</v>
      </c>
      <c r="D85" s="4">
        <v>1</v>
      </c>
      <c r="E85" s="4">
        <v>208</v>
      </c>
      <c r="F85" s="4">
        <f>ROUND(Source!V62,O85)</f>
        <v>0</v>
      </c>
      <c r="G85" s="4" t="s">
        <v>63</v>
      </c>
      <c r="H85" s="4" t="s">
        <v>64</v>
      </c>
      <c r="I85" s="4"/>
      <c r="J85" s="4"/>
      <c r="K85" s="4">
        <v>208</v>
      </c>
      <c r="L85" s="4">
        <v>22</v>
      </c>
      <c r="M85" s="4">
        <v>3</v>
      </c>
      <c r="N85" s="4" t="s">
        <v>6</v>
      </c>
      <c r="O85" s="4">
        <v>7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06" x14ac:dyDescent="0.2">
      <c r="A86" s="4">
        <v>50</v>
      </c>
      <c r="B86" s="4">
        <v>0</v>
      </c>
      <c r="C86" s="4">
        <v>0</v>
      </c>
      <c r="D86" s="4">
        <v>1</v>
      </c>
      <c r="E86" s="4">
        <v>209</v>
      </c>
      <c r="F86" s="4">
        <f>ROUND(Source!W62,O86)</f>
        <v>0</v>
      </c>
      <c r="G86" s="4" t="s">
        <v>65</v>
      </c>
      <c r="H86" s="4" t="s">
        <v>66</v>
      </c>
      <c r="I86" s="4"/>
      <c r="J86" s="4"/>
      <c r="K86" s="4">
        <v>209</v>
      </c>
      <c r="L86" s="4">
        <v>23</v>
      </c>
      <c r="M86" s="4">
        <v>3</v>
      </c>
      <c r="N86" s="4" t="s">
        <v>6</v>
      </c>
      <c r="O86" s="4">
        <v>0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06" x14ac:dyDescent="0.2">
      <c r="A87" s="4">
        <v>50</v>
      </c>
      <c r="B87" s="4">
        <v>0</v>
      </c>
      <c r="C87" s="4">
        <v>0</v>
      </c>
      <c r="D87" s="4">
        <v>1</v>
      </c>
      <c r="E87" s="4">
        <v>233</v>
      </c>
      <c r="F87" s="4">
        <f>ROUND(Source!BD62,O87)</f>
        <v>0</v>
      </c>
      <c r="G87" s="4" t="s">
        <v>67</v>
      </c>
      <c r="H87" s="4" t="s">
        <v>68</v>
      </c>
      <c r="I87" s="4"/>
      <c r="J87" s="4"/>
      <c r="K87" s="4">
        <v>233</v>
      </c>
      <c r="L87" s="4">
        <v>24</v>
      </c>
      <c r="M87" s="4">
        <v>3</v>
      </c>
      <c r="N87" s="4" t="s">
        <v>6</v>
      </c>
      <c r="O87" s="4">
        <v>0</v>
      </c>
      <c r="P87" s="4"/>
      <c r="Q87" s="4"/>
      <c r="R87" s="4"/>
      <c r="S87" s="4"/>
      <c r="T87" s="4"/>
      <c r="U87" s="4"/>
      <c r="V87" s="4"/>
      <c r="W87" s="4">
        <v>0</v>
      </c>
      <c r="X87" s="4">
        <v>1</v>
      </c>
      <c r="Y87" s="4">
        <v>0</v>
      </c>
      <c r="Z87" s="4"/>
      <c r="AA87" s="4"/>
      <c r="AB87" s="4"/>
    </row>
    <row r="88" spans="1:206" x14ac:dyDescent="0.2">
      <c r="A88" s="4">
        <v>50</v>
      </c>
      <c r="B88" s="4">
        <v>0</v>
      </c>
      <c r="C88" s="4">
        <v>0</v>
      </c>
      <c r="D88" s="4">
        <v>1</v>
      </c>
      <c r="E88" s="4">
        <v>210</v>
      </c>
      <c r="F88" s="4">
        <f>ROUND(Source!X62,O88)</f>
        <v>0</v>
      </c>
      <c r="G88" s="4" t="s">
        <v>69</v>
      </c>
      <c r="H88" s="4" t="s">
        <v>70</v>
      </c>
      <c r="I88" s="4"/>
      <c r="J88" s="4"/>
      <c r="K88" s="4">
        <v>210</v>
      </c>
      <c r="L88" s="4">
        <v>25</v>
      </c>
      <c r="M88" s="4">
        <v>3</v>
      </c>
      <c r="N88" s="4" t="s">
        <v>6</v>
      </c>
      <c r="O88" s="4">
        <v>0</v>
      </c>
      <c r="P88" s="4"/>
      <c r="Q88" s="4"/>
      <c r="R88" s="4"/>
      <c r="S88" s="4"/>
      <c r="T88" s="4"/>
      <c r="U88" s="4"/>
      <c r="V88" s="4"/>
      <c r="W88" s="4">
        <v>0</v>
      </c>
      <c r="X88" s="4">
        <v>1</v>
      </c>
      <c r="Y88" s="4">
        <v>0</v>
      </c>
      <c r="Z88" s="4"/>
      <c r="AA88" s="4"/>
      <c r="AB88" s="4"/>
    </row>
    <row r="89" spans="1:206" x14ac:dyDescent="0.2">
      <c r="A89" s="4">
        <v>50</v>
      </c>
      <c r="B89" s="4">
        <v>0</v>
      </c>
      <c r="C89" s="4">
        <v>0</v>
      </c>
      <c r="D89" s="4">
        <v>1</v>
      </c>
      <c r="E89" s="4">
        <v>211</v>
      </c>
      <c r="F89" s="4">
        <f>ROUND(Source!Y62,O89)</f>
        <v>0</v>
      </c>
      <c r="G89" s="4" t="s">
        <v>71</v>
      </c>
      <c r="H89" s="4" t="s">
        <v>72</v>
      </c>
      <c r="I89" s="4"/>
      <c r="J89" s="4"/>
      <c r="K89" s="4">
        <v>211</v>
      </c>
      <c r="L89" s="4">
        <v>26</v>
      </c>
      <c r="M89" s="4">
        <v>3</v>
      </c>
      <c r="N89" s="4" t="s">
        <v>6</v>
      </c>
      <c r="O89" s="4">
        <v>0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06" x14ac:dyDescent="0.2">
      <c r="A90" s="4">
        <v>50</v>
      </c>
      <c r="B90" s="4">
        <v>0</v>
      </c>
      <c r="C90" s="4">
        <v>0</v>
      </c>
      <c r="D90" s="4">
        <v>1</v>
      </c>
      <c r="E90" s="4">
        <v>224</v>
      </c>
      <c r="F90" s="4">
        <f>ROUND(Source!AR62,O90)</f>
        <v>0</v>
      </c>
      <c r="G90" s="4" t="s">
        <v>73</v>
      </c>
      <c r="H90" s="4" t="s">
        <v>74</v>
      </c>
      <c r="I90" s="4"/>
      <c r="J90" s="4"/>
      <c r="K90" s="4">
        <v>224</v>
      </c>
      <c r="L90" s="4">
        <v>27</v>
      </c>
      <c r="M90" s="4">
        <v>3</v>
      </c>
      <c r="N90" s="4" t="s">
        <v>6</v>
      </c>
      <c r="O90" s="4">
        <v>0</v>
      </c>
      <c r="P90" s="4"/>
      <c r="Q90" s="4"/>
      <c r="R90" s="4"/>
      <c r="S90" s="4"/>
      <c r="T90" s="4"/>
      <c r="U90" s="4"/>
      <c r="V90" s="4"/>
      <c r="W90" s="4">
        <v>0</v>
      </c>
      <c r="X90" s="4">
        <v>1</v>
      </c>
      <c r="Y90" s="4">
        <v>0</v>
      </c>
      <c r="Z90" s="4"/>
      <c r="AA90" s="4"/>
      <c r="AB90" s="4"/>
    </row>
    <row r="92" spans="1:206" x14ac:dyDescent="0.2">
      <c r="A92" s="1">
        <v>4</v>
      </c>
      <c r="B92" s="1">
        <v>1</v>
      </c>
      <c r="C92" s="1"/>
      <c r="D92" s="1">
        <f>ROW(A96)</f>
        <v>96</v>
      </c>
      <c r="E92" s="1"/>
      <c r="F92" s="1" t="s">
        <v>77</v>
      </c>
      <c r="G92" s="1" t="s">
        <v>78</v>
      </c>
      <c r="H92" s="1" t="s">
        <v>6</v>
      </c>
      <c r="I92" s="1">
        <v>0</v>
      </c>
      <c r="J92" s="1"/>
      <c r="K92" s="1">
        <v>-1</v>
      </c>
      <c r="L92" s="1"/>
      <c r="M92" s="1" t="s">
        <v>6</v>
      </c>
      <c r="N92" s="1"/>
      <c r="O92" s="1"/>
      <c r="P92" s="1"/>
      <c r="Q92" s="1"/>
      <c r="R92" s="1"/>
      <c r="S92" s="1">
        <v>0</v>
      </c>
      <c r="T92" s="1"/>
      <c r="U92" s="1" t="s">
        <v>6</v>
      </c>
      <c r="V92" s="1">
        <v>0</v>
      </c>
      <c r="W92" s="1"/>
      <c r="X92" s="1"/>
      <c r="Y92" s="1"/>
      <c r="Z92" s="1"/>
      <c r="AA92" s="1"/>
      <c r="AB92" s="1" t="s">
        <v>6</v>
      </c>
      <c r="AC92" s="1" t="s">
        <v>6</v>
      </c>
      <c r="AD92" s="1" t="s">
        <v>6</v>
      </c>
      <c r="AE92" s="1" t="s">
        <v>6</v>
      </c>
      <c r="AF92" s="1" t="s">
        <v>6</v>
      </c>
      <c r="AG92" s="1" t="s">
        <v>6</v>
      </c>
      <c r="AH92" s="1"/>
      <c r="AI92" s="1"/>
      <c r="AJ92" s="1"/>
      <c r="AK92" s="1"/>
      <c r="AL92" s="1"/>
      <c r="AM92" s="1"/>
      <c r="AN92" s="1"/>
      <c r="AO92" s="1"/>
      <c r="AP92" s="1" t="s">
        <v>6</v>
      </c>
      <c r="AQ92" s="1" t="s">
        <v>6</v>
      </c>
      <c r="AR92" s="1" t="s">
        <v>6</v>
      </c>
      <c r="AS92" s="1"/>
      <c r="AT92" s="1"/>
      <c r="AU92" s="1"/>
      <c r="AV92" s="1"/>
      <c r="AW92" s="1"/>
      <c r="AX92" s="1"/>
      <c r="AY92" s="1"/>
      <c r="AZ92" s="1" t="s">
        <v>6</v>
      </c>
      <c r="BA92" s="1"/>
      <c r="BB92" s="1" t="s">
        <v>6</v>
      </c>
      <c r="BC92" s="1" t="s">
        <v>6</v>
      </c>
      <c r="BD92" s="1" t="s">
        <v>6</v>
      </c>
      <c r="BE92" s="1" t="s">
        <v>6</v>
      </c>
      <c r="BF92" s="1" t="s">
        <v>6</v>
      </c>
      <c r="BG92" s="1" t="s">
        <v>6</v>
      </c>
      <c r="BH92" s="1" t="s">
        <v>6</v>
      </c>
      <c r="BI92" s="1" t="s">
        <v>6</v>
      </c>
      <c r="BJ92" s="1" t="s">
        <v>6</v>
      </c>
      <c r="BK92" s="1" t="s">
        <v>6</v>
      </c>
      <c r="BL92" s="1" t="s">
        <v>6</v>
      </c>
      <c r="BM92" s="1" t="s">
        <v>6</v>
      </c>
      <c r="BN92" s="1" t="s">
        <v>6</v>
      </c>
      <c r="BO92" s="1" t="s">
        <v>6</v>
      </c>
      <c r="BP92" s="1" t="s">
        <v>6</v>
      </c>
      <c r="BQ92" s="1"/>
      <c r="BR92" s="1"/>
      <c r="BS92" s="1"/>
      <c r="BT92" s="1"/>
      <c r="BU92" s="1"/>
      <c r="BV92" s="1"/>
      <c r="BW92" s="1"/>
      <c r="BX92" s="1">
        <v>0</v>
      </c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>
        <v>0</v>
      </c>
    </row>
    <row r="94" spans="1:206" x14ac:dyDescent="0.2">
      <c r="A94" s="2">
        <v>52</v>
      </c>
      <c r="B94" s="2">
        <f t="shared" ref="B94:G94" si="32">B96</f>
        <v>1</v>
      </c>
      <c r="C94" s="2">
        <f t="shared" si="32"/>
        <v>4</v>
      </c>
      <c r="D94" s="2">
        <f t="shared" si="32"/>
        <v>92</v>
      </c>
      <c r="E94" s="2">
        <f t="shared" si="32"/>
        <v>0</v>
      </c>
      <c r="F94" s="2" t="str">
        <f t="shared" si="32"/>
        <v>15</v>
      </c>
      <c r="G94" s="2" t="str">
        <f t="shared" si="32"/>
        <v>БЛОК САНУЗЛОВ 3 (2-ой ЭТАЖ)</v>
      </c>
      <c r="H94" s="2"/>
      <c r="I94" s="2"/>
      <c r="J94" s="2"/>
      <c r="K94" s="2"/>
      <c r="L94" s="2"/>
      <c r="M94" s="2"/>
      <c r="N94" s="2"/>
      <c r="O94" s="2">
        <f t="shared" ref="O94:AT94" si="33">O96</f>
        <v>0</v>
      </c>
      <c r="P94" s="2">
        <f t="shared" si="33"/>
        <v>0</v>
      </c>
      <c r="Q94" s="2">
        <f t="shared" si="33"/>
        <v>0</v>
      </c>
      <c r="R94" s="2">
        <f t="shared" si="33"/>
        <v>0</v>
      </c>
      <c r="S94" s="2">
        <f t="shared" si="33"/>
        <v>0</v>
      </c>
      <c r="T94" s="2">
        <f t="shared" si="33"/>
        <v>0</v>
      </c>
      <c r="U94" s="2">
        <f t="shared" si="33"/>
        <v>0</v>
      </c>
      <c r="V94" s="2">
        <f t="shared" si="33"/>
        <v>0</v>
      </c>
      <c r="W94" s="2">
        <f t="shared" si="33"/>
        <v>0</v>
      </c>
      <c r="X94" s="2">
        <f t="shared" si="33"/>
        <v>0</v>
      </c>
      <c r="Y94" s="2">
        <f t="shared" si="33"/>
        <v>0</v>
      </c>
      <c r="Z94" s="2">
        <f t="shared" si="33"/>
        <v>0</v>
      </c>
      <c r="AA94" s="2">
        <f t="shared" si="33"/>
        <v>0</v>
      </c>
      <c r="AB94" s="2">
        <f t="shared" si="33"/>
        <v>0</v>
      </c>
      <c r="AC94" s="2">
        <f t="shared" si="33"/>
        <v>0</v>
      </c>
      <c r="AD94" s="2">
        <f t="shared" si="33"/>
        <v>0</v>
      </c>
      <c r="AE94" s="2">
        <f t="shared" si="33"/>
        <v>0</v>
      </c>
      <c r="AF94" s="2">
        <f t="shared" si="33"/>
        <v>0</v>
      </c>
      <c r="AG94" s="2">
        <f t="shared" si="33"/>
        <v>0</v>
      </c>
      <c r="AH94" s="2">
        <f t="shared" si="33"/>
        <v>0</v>
      </c>
      <c r="AI94" s="2">
        <f t="shared" si="33"/>
        <v>0</v>
      </c>
      <c r="AJ94" s="2">
        <f t="shared" si="33"/>
        <v>0</v>
      </c>
      <c r="AK94" s="2">
        <f t="shared" si="33"/>
        <v>0</v>
      </c>
      <c r="AL94" s="2">
        <f t="shared" si="33"/>
        <v>0</v>
      </c>
      <c r="AM94" s="2">
        <f t="shared" si="33"/>
        <v>0</v>
      </c>
      <c r="AN94" s="2">
        <f t="shared" si="33"/>
        <v>0</v>
      </c>
      <c r="AO94" s="2">
        <f t="shared" si="33"/>
        <v>0</v>
      </c>
      <c r="AP94" s="2">
        <f t="shared" si="33"/>
        <v>0</v>
      </c>
      <c r="AQ94" s="2">
        <f t="shared" si="33"/>
        <v>0</v>
      </c>
      <c r="AR94" s="2">
        <f t="shared" si="33"/>
        <v>0</v>
      </c>
      <c r="AS94" s="2">
        <f t="shared" si="33"/>
        <v>0</v>
      </c>
      <c r="AT94" s="2">
        <f t="shared" si="33"/>
        <v>0</v>
      </c>
      <c r="AU94" s="2">
        <f t="shared" ref="AU94:BZ94" si="34">AU96</f>
        <v>0</v>
      </c>
      <c r="AV94" s="2">
        <f t="shared" si="34"/>
        <v>0</v>
      </c>
      <c r="AW94" s="2">
        <f t="shared" si="34"/>
        <v>0</v>
      </c>
      <c r="AX94" s="2">
        <f t="shared" si="34"/>
        <v>0</v>
      </c>
      <c r="AY94" s="2">
        <f t="shared" si="34"/>
        <v>0</v>
      </c>
      <c r="AZ94" s="2">
        <f t="shared" si="34"/>
        <v>0</v>
      </c>
      <c r="BA94" s="2">
        <f t="shared" si="34"/>
        <v>0</v>
      </c>
      <c r="BB94" s="2">
        <f t="shared" si="34"/>
        <v>0</v>
      </c>
      <c r="BC94" s="2">
        <f t="shared" si="34"/>
        <v>0</v>
      </c>
      <c r="BD94" s="2">
        <f t="shared" si="34"/>
        <v>0</v>
      </c>
      <c r="BE94" s="2">
        <f t="shared" si="34"/>
        <v>0</v>
      </c>
      <c r="BF94" s="2">
        <f t="shared" si="34"/>
        <v>0</v>
      </c>
      <c r="BG94" s="2">
        <f t="shared" si="34"/>
        <v>0</v>
      </c>
      <c r="BH94" s="2">
        <f t="shared" si="34"/>
        <v>0</v>
      </c>
      <c r="BI94" s="2">
        <f t="shared" si="34"/>
        <v>0</v>
      </c>
      <c r="BJ94" s="2">
        <f t="shared" si="34"/>
        <v>0</v>
      </c>
      <c r="BK94" s="2">
        <f t="shared" si="34"/>
        <v>0</v>
      </c>
      <c r="BL94" s="2">
        <f t="shared" si="34"/>
        <v>0</v>
      </c>
      <c r="BM94" s="2">
        <f t="shared" si="34"/>
        <v>0</v>
      </c>
      <c r="BN94" s="2">
        <f t="shared" si="34"/>
        <v>0</v>
      </c>
      <c r="BO94" s="2">
        <f t="shared" si="34"/>
        <v>0</v>
      </c>
      <c r="BP94" s="2">
        <f t="shared" si="34"/>
        <v>0</v>
      </c>
      <c r="BQ94" s="2">
        <f t="shared" si="34"/>
        <v>0</v>
      </c>
      <c r="BR94" s="2">
        <f t="shared" si="34"/>
        <v>0</v>
      </c>
      <c r="BS94" s="2">
        <f t="shared" si="34"/>
        <v>0</v>
      </c>
      <c r="BT94" s="2">
        <f t="shared" si="34"/>
        <v>0</v>
      </c>
      <c r="BU94" s="2">
        <f t="shared" si="34"/>
        <v>0</v>
      </c>
      <c r="BV94" s="2">
        <f t="shared" si="34"/>
        <v>0</v>
      </c>
      <c r="BW94" s="2">
        <f t="shared" si="34"/>
        <v>0</v>
      </c>
      <c r="BX94" s="2">
        <f t="shared" si="34"/>
        <v>0</v>
      </c>
      <c r="BY94" s="2">
        <f t="shared" si="34"/>
        <v>0</v>
      </c>
      <c r="BZ94" s="2">
        <f t="shared" si="34"/>
        <v>0</v>
      </c>
      <c r="CA94" s="2">
        <f t="shared" ref="CA94:DF94" si="35">CA96</f>
        <v>0</v>
      </c>
      <c r="CB94" s="2">
        <f t="shared" si="35"/>
        <v>0</v>
      </c>
      <c r="CC94" s="2">
        <f t="shared" si="35"/>
        <v>0</v>
      </c>
      <c r="CD94" s="2">
        <f t="shared" si="35"/>
        <v>0</v>
      </c>
      <c r="CE94" s="2">
        <f t="shared" si="35"/>
        <v>0</v>
      </c>
      <c r="CF94" s="2">
        <f t="shared" si="35"/>
        <v>0</v>
      </c>
      <c r="CG94" s="2">
        <f t="shared" si="35"/>
        <v>0</v>
      </c>
      <c r="CH94" s="2">
        <f t="shared" si="35"/>
        <v>0</v>
      </c>
      <c r="CI94" s="2">
        <f t="shared" si="35"/>
        <v>0</v>
      </c>
      <c r="CJ94" s="2">
        <f t="shared" si="35"/>
        <v>0</v>
      </c>
      <c r="CK94" s="2">
        <f t="shared" si="35"/>
        <v>0</v>
      </c>
      <c r="CL94" s="2">
        <f t="shared" si="35"/>
        <v>0</v>
      </c>
      <c r="CM94" s="2">
        <f t="shared" si="35"/>
        <v>0</v>
      </c>
      <c r="CN94" s="2">
        <f t="shared" si="35"/>
        <v>0</v>
      </c>
      <c r="CO94" s="2">
        <f t="shared" si="35"/>
        <v>0</v>
      </c>
      <c r="CP94" s="2">
        <f t="shared" si="35"/>
        <v>0</v>
      </c>
      <c r="CQ94" s="2">
        <f t="shared" si="35"/>
        <v>0</v>
      </c>
      <c r="CR94" s="2">
        <f t="shared" si="35"/>
        <v>0</v>
      </c>
      <c r="CS94" s="2">
        <f t="shared" si="35"/>
        <v>0</v>
      </c>
      <c r="CT94" s="2">
        <f t="shared" si="35"/>
        <v>0</v>
      </c>
      <c r="CU94" s="2">
        <f t="shared" si="35"/>
        <v>0</v>
      </c>
      <c r="CV94" s="2">
        <f t="shared" si="35"/>
        <v>0</v>
      </c>
      <c r="CW94" s="2">
        <f t="shared" si="35"/>
        <v>0</v>
      </c>
      <c r="CX94" s="2">
        <f t="shared" si="35"/>
        <v>0</v>
      </c>
      <c r="CY94" s="2">
        <f t="shared" si="35"/>
        <v>0</v>
      </c>
      <c r="CZ94" s="2">
        <f t="shared" si="35"/>
        <v>0</v>
      </c>
      <c r="DA94" s="2">
        <f t="shared" si="35"/>
        <v>0</v>
      </c>
      <c r="DB94" s="2">
        <f t="shared" si="35"/>
        <v>0</v>
      </c>
      <c r="DC94" s="2">
        <f t="shared" si="35"/>
        <v>0</v>
      </c>
      <c r="DD94" s="2">
        <f t="shared" si="35"/>
        <v>0</v>
      </c>
      <c r="DE94" s="2">
        <f t="shared" si="35"/>
        <v>0</v>
      </c>
      <c r="DF94" s="2">
        <f t="shared" si="35"/>
        <v>0</v>
      </c>
      <c r="DG94" s="3">
        <f t="shared" ref="DG94:EL94" si="36">DG96</f>
        <v>0</v>
      </c>
      <c r="DH94" s="3">
        <f t="shared" si="36"/>
        <v>0</v>
      </c>
      <c r="DI94" s="3">
        <f t="shared" si="36"/>
        <v>0</v>
      </c>
      <c r="DJ94" s="3">
        <f t="shared" si="36"/>
        <v>0</v>
      </c>
      <c r="DK94" s="3">
        <f t="shared" si="36"/>
        <v>0</v>
      </c>
      <c r="DL94" s="3">
        <f t="shared" si="36"/>
        <v>0</v>
      </c>
      <c r="DM94" s="3">
        <f t="shared" si="36"/>
        <v>0</v>
      </c>
      <c r="DN94" s="3">
        <f t="shared" si="36"/>
        <v>0</v>
      </c>
      <c r="DO94" s="3">
        <f t="shared" si="36"/>
        <v>0</v>
      </c>
      <c r="DP94" s="3">
        <f t="shared" si="36"/>
        <v>0</v>
      </c>
      <c r="DQ94" s="3">
        <f t="shared" si="36"/>
        <v>0</v>
      </c>
      <c r="DR94" s="3">
        <f t="shared" si="36"/>
        <v>0</v>
      </c>
      <c r="DS94" s="3">
        <f t="shared" si="36"/>
        <v>0</v>
      </c>
      <c r="DT94" s="3">
        <f t="shared" si="36"/>
        <v>0</v>
      </c>
      <c r="DU94" s="3">
        <f t="shared" si="36"/>
        <v>0</v>
      </c>
      <c r="DV94" s="3">
        <f t="shared" si="36"/>
        <v>0</v>
      </c>
      <c r="DW94" s="3">
        <f t="shared" si="36"/>
        <v>0</v>
      </c>
      <c r="DX94" s="3">
        <f t="shared" si="36"/>
        <v>0</v>
      </c>
      <c r="DY94" s="3">
        <f t="shared" si="36"/>
        <v>0</v>
      </c>
      <c r="DZ94" s="3">
        <f t="shared" si="36"/>
        <v>0</v>
      </c>
      <c r="EA94" s="3">
        <f t="shared" si="36"/>
        <v>0</v>
      </c>
      <c r="EB94" s="3">
        <f t="shared" si="36"/>
        <v>0</v>
      </c>
      <c r="EC94" s="3">
        <f t="shared" si="36"/>
        <v>0</v>
      </c>
      <c r="ED94" s="3">
        <f t="shared" si="36"/>
        <v>0</v>
      </c>
      <c r="EE94" s="3">
        <f t="shared" si="36"/>
        <v>0</v>
      </c>
      <c r="EF94" s="3">
        <f t="shared" si="36"/>
        <v>0</v>
      </c>
      <c r="EG94" s="3">
        <f t="shared" si="36"/>
        <v>0</v>
      </c>
      <c r="EH94" s="3">
        <f t="shared" si="36"/>
        <v>0</v>
      </c>
      <c r="EI94" s="3">
        <f t="shared" si="36"/>
        <v>0</v>
      </c>
      <c r="EJ94" s="3">
        <f t="shared" si="36"/>
        <v>0</v>
      </c>
      <c r="EK94" s="3">
        <f t="shared" si="36"/>
        <v>0</v>
      </c>
      <c r="EL94" s="3">
        <f t="shared" si="36"/>
        <v>0</v>
      </c>
      <c r="EM94" s="3">
        <f t="shared" ref="EM94:FR94" si="37">EM96</f>
        <v>0</v>
      </c>
      <c r="EN94" s="3">
        <f t="shared" si="37"/>
        <v>0</v>
      </c>
      <c r="EO94" s="3">
        <f t="shared" si="37"/>
        <v>0</v>
      </c>
      <c r="EP94" s="3">
        <f t="shared" si="37"/>
        <v>0</v>
      </c>
      <c r="EQ94" s="3">
        <f t="shared" si="37"/>
        <v>0</v>
      </c>
      <c r="ER94" s="3">
        <f t="shared" si="37"/>
        <v>0</v>
      </c>
      <c r="ES94" s="3">
        <f t="shared" si="37"/>
        <v>0</v>
      </c>
      <c r="ET94" s="3">
        <f t="shared" si="37"/>
        <v>0</v>
      </c>
      <c r="EU94" s="3">
        <f t="shared" si="37"/>
        <v>0</v>
      </c>
      <c r="EV94" s="3">
        <f t="shared" si="37"/>
        <v>0</v>
      </c>
      <c r="EW94" s="3">
        <f t="shared" si="37"/>
        <v>0</v>
      </c>
      <c r="EX94" s="3">
        <f t="shared" si="37"/>
        <v>0</v>
      </c>
      <c r="EY94" s="3">
        <f t="shared" si="37"/>
        <v>0</v>
      </c>
      <c r="EZ94" s="3">
        <f t="shared" si="37"/>
        <v>0</v>
      </c>
      <c r="FA94" s="3">
        <f t="shared" si="37"/>
        <v>0</v>
      </c>
      <c r="FB94" s="3">
        <f t="shared" si="37"/>
        <v>0</v>
      </c>
      <c r="FC94" s="3">
        <f t="shared" si="37"/>
        <v>0</v>
      </c>
      <c r="FD94" s="3">
        <f t="shared" si="37"/>
        <v>0</v>
      </c>
      <c r="FE94" s="3">
        <f t="shared" si="37"/>
        <v>0</v>
      </c>
      <c r="FF94" s="3">
        <f t="shared" si="37"/>
        <v>0</v>
      </c>
      <c r="FG94" s="3">
        <f t="shared" si="37"/>
        <v>0</v>
      </c>
      <c r="FH94" s="3">
        <f t="shared" si="37"/>
        <v>0</v>
      </c>
      <c r="FI94" s="3">
        <f t="shared" si="37"/>
        <v>0</v>
      </c>
      <c r="FJ94" s="3">
        <f t="shared" si="37"/>
        <v>0</v>
      </c>
      <c r="FK94" s="3">
        <f t="shared" si="37"/>
        <v>0</v>
      </c>
      <c r="FL94" s="3">
        <f t="shared" si="37"/>
        <v>0</v>
      </c>
      <c r="FM94" s="3">
        <f t="shared" si="37"/>
        <v>0</v>
      </c>
      <c r="FN94" s="3">
        <f t="shared" si="37"/>
        <v>0</v>
      </c>
      <c r="FO94" s="3">
        <f t="shared" si="37"/>
        <v>0</v>
      </c>
      <c r="FP94" s="3">
        <f t="shared" si="37"/>
        <v>0</v>
      </c>
      <c r="FQ94" s="3">
        <f t="shared" si="37"/>
        <v>0</v>
      </c>
      <c r="FR94" s="3">
        <f t="shared" si="37"/>
        <v>0</v>
      </c>
      <c r="FS94" s="3">
        <f t="shared" ref="FS94:GX94" si="38">FS96</f>
        <v>0</v>
      </c>
      <c r="FT94" s="3">
        <f t="shared" si="38"/>
        <v>0</v>
      </c>
      <c r="FU94" s="3">
        <f t="shared" si="38"/>
        <v>0</v>
      </c>
      <c r="FV94" s="3">
        <f t="shared" si="38"/>
        <v>0</v>
      </c>
      <c r="FW94" s="3">
        <f t="shared" si="38"/>
        <v>0</v>
      </c>
      <c r="FX94" s="3">
        <f t="shared" si="38"/>
        <v>0</v>
      </c>
      <c r="FY94" s="3">
        <f t="shared" si="38"/>
        <v>0</v>
      </c>
      <c r="FZ94" s="3">
        <f t="shared" si="38"/>
        <v>0</v>
      </c>
      <c r="GA94" s="3">
        <f t="shared" si="38"/>
        <v>0</v>
      </c>
      <c r="GB94" s="3">
        <f t="shared" si="38"/>
        <v>0</v>
      </c>
      <c r="GC94" s="3">
        <f t="shared" si="38"/>
        <v>0</v>
      </c>
      <c r="GD94" s="3">
        <f t="shared" si="38"/>
        <v>0</v>
      </c>
      <c r="GE94" s="3">
        <f t="shared" si="38"/>
        <v>0</v>
      </c>
      <c r="GF94" s="3">
        <f t="shared" si="38"/>
        <v>0</v>
      </c>
      <c r="GG94" s="3">
        <f t="shared" si="38"/>
        <v>0</v>
      </c>
      <c r="GH94" s="3">
        <f t="shared" si="38"/>
        <v>0</v>
      </c>
      <c r="GI94" s="3">
        <f t="shared" si="38"/>
        <v>0</v>
      </c>
      <c r="GJ94" s="3">
        <f t="shared" si="38"/>
        <v>0</v>
      </c>
      <c r="GK94" s="3">
        <f t="shared" si="38"/>
        <v>0</v>
      </c>
      <c r="GL94" s="3">
        <f t="shared" si="38"/>
        <v>0</v>
      </c>
      <c r="GM94" s="3">
        <f t="shared" si="38"/>
        <v>0</v>
      </c>
      <c r="GN94" s="3">
        <f t="shared" si="38"/>
        <v>0</v>
      </c>
      <c r="GO94" s="3">
        <f t="shared" si="38"/>
        <v>0</v>
      </c>
      <c r="GP94" s="3">
        <f t="shared" si="38"/>
        <v>0</v>
      </c>
      <c r="GQ94" s="3">
        <f t="shared" si="38"/>
        <v>0</v>
      </c>
      <c r="GR94" s="3">
        <f t="shared" si="38"/>
        <v>0</v>
      </c>
      <c r="GS94" s="3">
        <f t="shared" si="38"/>
        <v>0</v>
      </c>
      <c r="GT94" s="3">
        <f t="shared" si="38"/>
        <v>0</v>
      </c>
      <c r="GU94" s="3">
        <f t="shared" si="38"/>
        <v>0</v>
      </c>
      <c r="GV94" s="3">
        <f t="shared" si="38"/>
        <v>0</v>
      </c>
      <c r="GW94" s="3">
        <f t="shared" si="38"/>
        <v>0</v>
      </c>
      <c r="GX94" s="3">
        <f t="shared" si="38"/>
        <v>0</v>
      </c>
    </row>
    <row r="96" spans="1:206" x14ac:dyDescent="0.2">
      <c r="A96" s="2">
        <v>51</v>
      </c>
      <c r="B96" s="2">
        <f>B92</f>
        <v>1</v>
      </c>
      <c r="C96" s="2">
        <f>A92</f>
        <v>4</v>
      </c>
      <c r="D96" s="2">
        <f>ROW(A92)</f>
        <v>92</v>
      </c>
      <c r="E96" s="2"/>
      <c r="F96" s="2" t="str">
        <f>IF(F92&lt;&gt;"",F92,"")</f>
        <v>15</v>
      </c>
      <c r="G96" s="2" t="str">
        <f>IF(G92&lt;&gt;"",G92,"")</f>
        <v>БЛОК САНУЗЛОВ 3 (2-ой ЭТАЖ)</v>
      </c>
      <c r="H96" s="2">
        <v>0</v>
      </c>
      <c r="I96" s="2"/>
      <c r="J96" s="2"/>
      <c r="K96" s="2"/>
      <c r="L96" s="2"/>
      <c r="M96" s="2"/>
      <c r="N96" s="2"/>
      <c r="O96" s="2">
        <f t="shared" ref="O96:Y96" si="39">AB96</f>
        <v>0</v>
      </c>
      <c r="P96" s="2">
        <f t="shared" si="39"/>
        <v>0</v>
      </c>
      <c r="Q96" s="2">
        <f t="shared" si="39"/>
        <v>0</v>
      </c>
      <c r="R96" s="2">
        <f t="shared" si="39"/>
        <v>0</v>
      </c>
      <c r="S96" s="2">
        <f t="shared" si="39"/>
        <v>0</v>
      </c>
      <c r="T96" s="2">
        <f t="shared" si="39"/>
        <v>0</v>
      </c>
      <c r="U96" s="2">
        <f t="shared" si="39"/>
        <v>0</v>
      </c>
      <c r="V96" s="2">
        <f t="shared" si="39"/>
        <v>0</v>
      </c>
      <c r="W96" s="2">
        <f t="shared" si="39"/>
        <v>0</v>
      </c>
      <c r="X96" s="2">
        <f t="shared" si="39"/>
        <v>0</v>
      </c>
      <c r="Y96" s="2">
        <f t="shared" si="39"/>
        <v>0</v>
      </c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>
        <f t="shared" ref="AO96:BD96" si="40">BX96</f>
        <v>0</v>
      </c>
      <c r="AP96" s="2">
        <f t="shared" si="40"/>
        <v>0</v>
      </c>
      <c r="AQ96" s="2">
        <f t="shared" si="40"/>
        <v>0</v>
      </c>
      <c r="AR96" s="2">
        <f t="shared" si="40"/>
        <v>0</v>
      </c>
      <c r="AS96" s="2">
        <f t="shared" si="40"/>
        <v>0</v>
      </c>
      <c r="AT96" s="2">
        <f t="shared" si="40"/>
        <v>0</v>
      </c>
      <c r="AU96" s="2">
        <f t="shared" si="40"/>
        <v>0</v>
      </c>
      <c r="AV96" s="2">
        <f t="shared" si="40"/>
        <v>0</v>
      </c>
      <c r="AW96" s="2">
        <f t="shared" si="40"/>
        <v>0</v>
      </c>
      <c r="AX96" s="2">
        <f t="shared" si="40"/>
        <v>0</v>
      </c>
      <c r="AY96" s="2">
        <f t="shared" si="40"/>
        <v>0</v>
      </c>
      <c r="AZ96" s="2">
        <f t="shared" si="40"/>
        <v>0</v>
      </c>
      <c r="BA96" s="2">
        <f t="shared" si="40"/>
        <v>0</v>
      </c>
      <c r="BB96" s="2">
        <f t="shared" si="40"/>
        <v>0</v>
      </c>
      <c r="BC96" s="2">
        <f t="shared" si="40"/>
        <v>0</v>
      </c>
      <c r="BD96" s="2">
        <f t="shared" si="40"/>
        <v>0</v>
      </c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>
        <v>0</v>
      </c>
    </row>
    <row r="98" spans="1:28" x14ac:dyDescent="0.2">
      <c r="A98" s="4">
        <v>50</v>
      </c>
      <c r="B98" s="4">
        <v>0</v>
      </c>
      <c r="C98" s="4">
        <v>0</v>
      </c>
      <c r="D98" s="4">
        <v>1</v>
      </c>
      <c r="E98" s="4">
        <v>201</v>
      </c>
      <c r="F98" s="4">
        <f>ROUND(Source!O96,O98)</f>
        <v>0</v>
      </c>
      <c r="G98" s="4" t="s">
        <v>21</v>
      </c>
      <c r="H98" s="4" t="s">
        <v>22</v>
      </c>
      <c r="I98" s="4"/>
      <c r="J98" s="4"/>
      <c r="K98" s="4">
        <v>201</v>
      </c>
      <c r="L98" s="4">
        <v>1</v>
      </c>
      <c r="M98" s="4">
        <v>3</v>
      </c>
      <c r="N98" s="4" t="s">
        <v>6</v>
      </c>
      <c r="O98" s="4">
        <v>0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28" x14ac:dyDescent="0.2">
      <c r="A99" s="4">
        <v>50</v>
      </c>
      <c r="B99" s="4">
        <v>0</v>
      </c>
      <c r="C99" s="4">
        <v>0</v>
      </c>
      <c r="D99" s="4">
        <v>1</v>
      </c>
      <c r="E99" s="4">
        <v>202</v>
      </c>
      <c r="F99" s="4">
        <f>ROUND(Source!P96,O99)</f>
        <v>0</v>
      </c>
      <c r="G99" s="4" t="s">
        <v>23</v>
      </c>
      <c r="H99" s="4" t="s">
        <v>24</v>
      </c>
      <c r="I99" s="4"/>
      <c r="J99" s="4"/>
      <c r="K99" s="4">
        <v>202</v>
      </c>
      <c r="L99" s="4">
        <v>2</v>
      </c>
      <c r="M99" s="4">
        <v>3</v>
      </c>
      <c r="N99" s="4" t="s">
        <v>6</v>
      </c>
      <c r="O99" s="4">
        <v>0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28" x14ac:dyDescent="0.2">
      <c r="A100" s="4">
        <v>50</v>
      </c>
      <c r="B100" s="4">
        <v>0</v>
      </c>
      <c r="C100" s="4">
        <v>0</v>
      </c>
      <c r="D100" s="4">
        <v>1</v>
      </c>
      <c r="E100" s="4">
        <v>222</v>
      </c>
      <c r="F100" s="4">
        <f>ROUND(Source!AO96,O100)</f>
        <v>0</v>
      </c>
      <c r="G100" s="4" t="s">
        <v>25</v>
      </c>
      <c r="H100" s="4" t="s">
        <v>26</v>
      </c>
      <c r="I100" s="4"/>
      <c r="J100" s="4"/>
      <c r="K100" s="4">
        <v>222</v>
      </c>
      <c r="L100" s="4">
        <v>3</v>
      </c>
      <c r="M100" s="4">
        <v>3</v>
      </c>
      <c r="N100" s="4" t="s">
        <v>6</v>
      </c>
      <c r="O100" s="4">
        <v>0</v>
      </c>
      <c r="P100" s="4"/>
      <c r="Q100" s="4"/>
      <c r="R100" s="4"/>
      <c r="S100" s="4"/>
      <c r="T100" s="4"/>
      <c r="U100" s="4"/>
      <c r="V100" s="4"/>
      <c r="W100" s="4">
        <v>0</v>
      </c>
      <c r="X100" s="4">
        <v>1</v>
      </c>
      <c r="Y100" s="4">
        <v>0</v>
      </c>
      <c r="Z100" s="4"/>
      <c r="AA100" s="4"/>
      <c r="AB100" s="4"/>
    </row>
    <row r="101" spans="1:28" x14ac:dyDescent="0.2">
      <c r="A101" s="4">
        <v>50</v>
      </c>
      <c r="B101" s="4">
        <v>0</v>
      </c>
      <c r="C101" s="4">
        <v>0</v>
      </c>
      <c r="D101" s="4">
        <v>1</v>
      </c>
      <c r="E101" s="4">
        <v>225</v>
      </c>
      <c r="F101" s="4">
        <f>ROUND(Source!AV96,O101)</f>
        <v>0</v>
      </c>
      <c r="G101" s="4" t="s">
        <v>27</v>
      </c>
      <c r="H101" s="4" t="s">
        <v>28</v>
      </c>
      <c r="I101" s="4"/>
      <c r="J101" s="4"/>
      <c r="K101" s="4">
        <v>225</v>
      </c>
      <c r="L101" s="4">
        <v>4</v>
      </c>
      <c r="M101" s="4">
        <v>3</v>
      </c>
      <c r="N101" s="4" t="s">
        <v>6</v>
      </c>
      <c r="O101" s="4">
        <v>0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28" x14ac:dyDescent="0.2">
      <c r="A102" s="4">
        <v>50</v>
      </c>
      <c r="B102" s="4">
        <v>0</v>
      </c>
      <c r="C102" s="4">
        <v>0</v>
      </c>
      <c r="D102" s="4">
        <v>1</v>
      </c>
      <c r="E102" s="4">
        <v>226</v>
      </c>
      <c r="F102" s="4">
        <f>ROUND(Source!AW96,O102)</f>
        <v>0</v>
      </c>
      <c r="G102" s="4" t="s">
        <v>29</v>
      </c>
      <c r="H102" s="4" t="s">
        <v>30</v>
      </c>
      <c r="I102" s="4"/>
      <c r="J102" s="4"/>
      <c r="K102" s="4">
        <v>226</v>
      </c>
      <c r="L102" s="4">
        <v>5</v>
      </c>
      <c r="M102" s="4">
        <v>3</v>
      </c>
      <c r="N102" s="4" t="s">
        <v>6</v>
      </c>
      <c r="O102" s="4">
        <v>0</v>
      </c>
      <c r="P102" s="4"/>
      <c r="Q102" s="4"/>
      <c r="R102" s="4"/>
      <c r="S102" s="4"/>
      <c r="T102" s="4"/>
      <c r="U102" s="4"/>
      <c r="V102" s="4"/>
      <c r="W102" s="4">
        <v>0</v>
      </c>
      <c r="X102" s="4">
        <v>1</v>
      </c>
      <c r="Y102" s="4">
        <v>0</v>
      </c>
      <c r="Z102" s="4"/>
      <c r="AA102" s="4"/>
      <c r="AB102" s="4"/>
    </row>
    <row r="103" spans="1:28" x14ac:dyDescent="0.2">
      <c r="A103" s="4">
        <v>50</v>
      </c>
      <c r="B103" s="4">
        <v>0</v>
      </c>
      <c r="C103" s="4">
        <v>0</v>
      </c>
      <c r="D103" s="4">
        <v>1</v>
      </c>
      <c r="E103" s="4">
        <v>227</v>
      </c>
      <c r="F103" s="4">
        <f>ROUND(Source!AX96,O103)</f>
        <v>0</v>
      </c>
      <c r="G103" s="4" t="s">
        <v>31</v>
      </c>
      <c r="H103" s="4" t="s">
        <v>32</v>
      </c>
      <c r="I103" s="4"/>
      <c r="J103" s="4"/>
      <c r="K103" s="4">
        <v>227</v>
      </c>
      <c r="L103" s="4">
        <v>6</v>
      </c>
      <c r="M103" s="4">
        <v>3</v>
      </c>
      <c r="N103" s="4" t="s">
        <v>6</v>
      </c>
      <c r="O103" s="4">
        <v>0</v>
      </c>
      <c r="P103" s="4"/>
      <c r="Q103" s="4"/>
      <c r="R103" s="4"/>
      <c r="S103" s="4"/>
      <c r="T103" s="4"/>
      <c r="U103" s="4"/>
      <c r="V103" s="4"/>
      <c r="W103" s="4">
        <v>0</v>
      </c>
      <c r="X103" s="4">
        <v>1</v>
      </c>
      <c r="Y103" s="4">
        <v>0</v>
      </c>
      <c r="Z103" s="4"/>
      <c r="AA103" s="4"/>
      <c r="AB103" s="4"/>
    </row>
    <row r="104" spans="1:28" x14ac:dyDescent="0.2">
      <c r="A104" s="4">
        <v>50</v>
      </c>
      <c r="B104" s="4">
        <v>0</v>
      </c>
      <c r="C104" s="4">
        <v>0</v>
      </c>
      <c r="D104" s="4">
        <v>1</v>
      </c>
      <c r="E104" s="4">
        <v>228</v>
      </c>
      <c r="F104" s="4">
        <f>ROUND(Source!AY96,O104)</f>
        <v>0</v>
      </c>
      <c r="G104" s="4" t="s">
        <v>33</v>
      </c>
      <c r="H104" s="4" t="s">
        <v>34</v>
      </c>
      <c r="I104" s="4"/>
      <c r="J104" s="4"/>
      <c r="K104" s="4">
        <v>228</v>
      </c>
      <c r="L104" s="4">
        <v>7</v>
      </c>
      <c r="M104" s="4">
        <v>3</v>
      </c>
      <c r="N104" s="4" t="s">
        <v>6</v>
      </c>
      <c r="O104" s="4">
        <v>0</v>
      </c>
      <c r="P104" s="4"/>
      <c r="Q104" s="4"/>
      <c r="R104" s="4"/>
      <c r="S104" s="4"/>
      <c r="T104" s="4"/>
      <c r="U104" s="4"/>
      <c r="V104" s="4"/>
      <c r="W104" s="4">
        <v>0</v>
      </c>
      <c r="X104" s="4">
        <v>1</v>
      </c>
      <c r="Y104" s="4">
        <v>0</v>
      </c>
      <c r="Z104" s="4"/>
      <c r="AA104" s="4"/>
      <c r="AB104" s="4"/>
    </row>
    <row r="105" spans="1:28" x14ac:dyDescent="0.2">
      <c r="A105" s="4">
        <v>50</v>
      </c>
      <c r="B105" s="4">
        <v>0</v>
      </c>
      <c r="C105" s="4">
        <v>0</v>
      </c>
      <c r="D105" s="4">
        <v>1</v>
      </c>
      <c r="E105" s="4">
        <v>216</v>
      </c>
      <c r="F105" s="4">
        <f>ROUND(Source!AP96,O105)</f>
        <v>0</v>
      </c>
      <c r="G105" s="4" t="s">
        <v>35</v>
      </c>
      <c r="H105" s="4" t="s">
        <v>36</v>
      </c>
      <c r="I105" s="4"/>
      <c r="J105" s="4"/>
      <c r="K105" s="4">
        <v>216</v>
      </c>
      <c r="L105" s="4">
        <v>8</v>
      </c>
      <c r="M105" s="4">
        <v>3</v>
      </c>
      <c r="N105" s="4" t="s">
        <v>6</v>
      </c>
      <c r="O105" s="4">
        <v>0</v>
      </c>
      <c r="P105" s="4"/>
      <c r="Q105" s="4"/>
      <c r="R105" s="4"/>
      <c r="S105" s="4"/>
      <c r="T105" s="4"/>
      <c r="U105" s="4"/>
      <c r="V105" s="4"/>
      <c r="W105" s="4">
        <v>0</v>
      </c>
      <c r="X105" s="4">
        <v>1</v>
      </c>
      <c r="Y105" s="4">
        <v>0</v>
      </c>
      <c r="Z105" s="4"/>
      <c r="AA105" s="4"/>
      <c r="AB105" s="4"/>
    </row>
    <row r="106" spans="1:28" x14ac:dyDescent="0.2">
      <c r="A106" s="4">
        <v>50</v>
      </c>
      <c r="B106" s="4">
        <v>0</v>
      </c>
      <c r="C106" s="4">
        <v>0</v>
      </c>
      <c r="D106" s="4">
        <v>1</v>
      </c>
      <c r="E106" s="4">
        <v>223</v>
      </c>
      <c r="F106" s="4">
        <f>ROUND(Source!AQ96,O106)</f>
        <v>0</v>
      </c>
      <c r="G106" s="4" t="s">
        <v>37</v>
      </c>
      <c r="H106" s="4" t="s">
        <v>38</v>
      </c>
      <c r="I106" s="4"/>
      <c r="J106" s="4"/>
      <c r="K106" s="4">
        <v>223</v>
      </c>
      <c r="L106" s="4">
        <v>9</v>
      </c>
      <c r="M106" s="4">
        <v>3</v>
      </c>
      <c r="N106" s="4" t="s">
        <v>6</v>
      </c>
      <c r="O106" s="4">
        <v>0</v>
      </c>
      <c r="P106" s="4"/>
      <c r="Q106" s="4"/>
      <c r="R106" s="4"/>
      <c r="S106" s="4"/>
      <c r="T106" s="4"/>
      <c r="U106" s="4"/>
      <c r="V106" s="4"/>
      <c r="W106" s="4">
        <v>0</v>
      </c>
      <c r="X106" s="4">
        <v>1</v>
      </c>
      <c r="Y106" s="4">
        <v>0</v>
      </c>
      <c r="Z106" s="4"/>
      <c r="AA106" s="4"/>
      <c r="AB106" s="4"/>
    </row>
    <row r="107" spans="1:28" x14ac:dyDescent="0.2">
      <c r="A107" s="4">
        <v>50</v>
      </c>
      <c r="B107" s="4">
        <v>0</v>
      </c>
      <c r="C107" s="4">
        <v>0</v>
      </c>
      <c r="D107" s="4">
        <v>1</v>
      </c>
      <c r="E107" s="4">
        <v>229</v>
      </c>
      <c r="F107" s="4">
        <f>ROUND(Source!AZ96,O107)</f>
        <v>0</v>
      </c>
      <c r="G107" s="4" t="s">
        <v>39</v>
      </c>
      <c r="H107" s="4" t="s">
        <v>40</v>
      </c>
      <c r="I107" s="4"/>
      <c r="J107" s="4"/>
      <c r="K107" s="4">
        <v>229</v>
      </c>
      <c r="L107" s="4">
        <v>10</v>
      </c>
      <c r="M107" s="4">
        <v>3</v>
      </c>
      <c r="N107" s="4" t="s">
        <v>6</v>
      </c>
      <c r="O107" s="4">
        <v>0</v>
      </c>
      <c r="P107" s="4"/>
      <c r="Q107" s="4"/>
      <c r="R107" s="4"/>
      <c r="S107" s="4"/>
      <c r="T107" s="4"/>
      <c r="U107" s="4"/>
      <c r="V107" s="4"/>
      <c r="W107" s="4">
        <v>0</v>
      </c>
      <c r="X107" s="4">
        <v>1</v>
      </c>
      <c r="Y107" s="4">
        <v>0</v>
      </c>
      <c r="Z107" s="4"/>
      <c r="AA107" s="4"/>
      <c r="AB107" s="4"/>
    </row>
    <row r="108" spans="1:28" x14ac:dyDescent="0.2">
      <c r="A108" s="4">
        <v>50</v>
      </c>
      <c r="B108" s="4">
        <v>0</v>
      </c>
      <c r="C108" s="4">
        <v>0</v>
      </c>
      <c r="D108" s="4">
        <v>1</v>
      </c>
      <c r="E108" s="4">
        <v>203</v>
      </c>
      <c r="F108" s="4">
        <f>ROUND(Source!Q96,O108)</f>
        <v>0</v>
      </c>
      <c r="G108" s="4" t="s">
        <v>41</v>
      </c>
      <c r="H108" s="4" t="s">
        <v>42</v>
      </c>
      <c r="I108" s="4"/>
      <c r="J108" s="4"/>
      <c r="K108" s="4">
        <v>203</v>
      </c>
      <c r="L108" s="4">
        <v>11</v>
      </c>
      <c r="M108" s="4">
        <v>3</v>
      </c>
      <c r="N108" s="4" t="s">
        <v>6</v>
      </c>
      <c r="O108" s="4">
        <v>0</v>
      </c>
      <c r="P108" s="4"/>
      <c r="Q108" s="4"/>
      <c r="R108" s="4"/>
      <c r="S108" s="4"/>
      <c r="T108" s="4"/>
      <c r="U108" s="4"/>
      <c r="V108" s="4"/>
      <c r="W108" s="4">
        <v>0</v>
      </c>
      <c r="X108" s="4">
        <v>1</v>
      </c>
      <c r="Y108" s="4">
        <v>0</v>
      </c>
      <c r="Z108" s="4"/>
      <c r="AA108" s="4"/>
      <c r="AB108" s="4"/>
    </row>
    <row r="109" spans="1:28" x14ac:dyDescent="0.2">
      <c r="A109" s="4">
        <v>50</v>
      </c>
      <c r="B109" s="4">
        <v>0</v>
      </c>
      <c r="C109" s="4">
        <v>0</v>
      </c>
      <c r="D109" s="4">
        <v>1</v>
      </c>
      <c r="E109" s="4">
        <v>231</v>
      </c>
      <c r="F109" s="4">
        <f>ROUND(Source!BB96,O109)</f>
        <v>0</v>
      </c>
      <c r="G109" s="4" t="s">
        <v>43</v>
      </c>
      <c r="H109" s="4" t="s">
        <v>44</v>
      </c>
      <c r="I109" s="4"/>
      <c r="J109" s="4"/>
      <c r="K109" s="4">
        <v>231</v>
      </c>
      <c r="L109" s="4">
        <v>12</v>
      </c>
      <c r="M109" s="4">
        <v>3</v>
      </c>
      <c r="N109" s="4" t="s">
        <v>6</v>
      </c>
      <c r="O109" s="4">
        <v>0</v>
      </c>
      <c r="P109" s="4"/>
      <c r="Q109" s="4"/>
      <c r="R109" s="4"/>
      <c r="S109" s="4"/>
      <c r="T109" s="4"/>
      <c r="U109" s="4"/>
      <c r="V109" s="4"/>
      <c r="W109" s="4">
        <v>0</v>
      </c>
      <c r="X109" s="4">
        <v>1</v>
      </c>
      <c r="Y109" s="4">
        <v>0</v>
      </c>
      <c r="Z109" s="4"/>
      <c r="AA109" s="4"/>
      <c r="AB109" s="4"/>
    </row>
    <row r="110" spans="1:28" x14ac:dyDescent="0.2">
      <c r="A110" s="4">
        <v>50</v>
      </c>
      <c r="B110" s="4">
        <v>0</v>
      </c>
      <c r="C110" s="4">
        <v>0</v>
      </c>
      <c r="D110" s="4">
        <v>1</v>
      </c>
      <c r="E110" s="4">
        <v>204</v>
      </c>
      <c r="F110" s="4">
        <f>ROUND(Source!R96,O110)</f>
        <v>0</v>
      </c>
      <c r="G110" s="4" t="s">
        <v>45</v>
      </c>
      <c r="H110" s="4" t="s">
        <v>46</v>
      </c>
      <c r="I110" s="4"/>
      <c r="J110" s="4"/>
      <c r="K110" s="4">
        <v>204</v>
      </c>
      <c r="L110" s="4">
        <v>13</v>
      </c>
      <c r="M110" s="4">
        <v>3</v>
      </c>
      <c r="N110" s="4" t="s">
        <v>6</v>
      </c>
      <c r="O110" s="4">
        <v>0</v>
      </c>
      <c r="P110" s="4"/>
      <c r="Q110" s="4"/>
      <c r="R110" s="4"/>
      <c r="S110" s="4"/>
      <c r="T110" s="4"/>
      <c r="U110" s="4"/>
      <c r="V110" s="4"/>
      <c r="W110" s="4">
        <v>0</v>
      </c>
      <c r="X110" s="4">
        <v>1</v>
      </c>
      <c r="Y110" s="4">
        <v>0</v>
      </c>
      <c r="Z110" s="4"/>
      <c r="AA110" s="4"/>
      <c r="AB110" s="4"/>
    </row>
    <row r="111" spans="1:28" x14ac:dyDescent="0.2">
      <c r="A111" s="4">
        <v>50</v>
      </c>
      <c r="B111" s="4">
        <v>0</v>
      </c>
      <c r="C111" s="4">
        <v>0</v>
      </c>
      <c r="D111" s="4">
        <v>1</v>
      </c>
      <c r="E111" s="4">
        <v>205</v>
      </c>
      <c r="F111" s="4">
        <f>ROUND(Source!S96,O111)</f>
        <v>0</v>
      </c>
      <c r="G111" s="4" t="s">
        <v>47</v>
      </c>
      <c r="H111" s="4" t="s">
        <v>48</v>
      </c>
      <c r="I111" s="4"/>
      <c r="J111" s="4"/>
      <c r="K111" s="4">
        <v>205</v>
      </c>
      <c r="L111" s="4">
        <v>14</v>
      </c>
      <c r="M111" s="4">
        <v>3</v>
      </c>
      <c r="N111" s="4" t="s">
        <v>6</v>
      </c>
      <c r="O111" s="4">
        <v>0</v>
      </c>
      <c r="P111" s="4"/>
      <c r="Q111" s="4"/>
      <c r="R111" s="4"/>
      <c r="S111" s="4"/>
      <c r="T111" s="4"/>
      <c r="U111" s="4"/>
      <c r="V111" s="4"/>
      <c r="W111" s="4">
        <v>0</v>
      </c>
      <c r="X111" s="4">
        <v>1</v>
      </c>
      <c r="Y111" s="4">
        <v>0</v>
      </c>
      <c r="Z111" s="4"/>
      <c r="AA111" s="4"/>
      <c r="AB111" s="4"/>
    </row>
    <row r="112" spans="1:28" x14ac:dyDescent="0.2">
      <c r="A112" s="4">
        <v>50</v>
      </c>
      <c r="B112" s="4">
        <v>0</v>
      </c>
      <c r="C112" s="4">
        <v>0</v>
      </c>
      <c r="D112" s="4">
        <v>1</v>
      </c>
      <c r="E112" s="4">
        <v>232</v>
      </c>
      <c r="F112" s="4">
        <f>ROUND(Source!BC96,O112)</f>
        <v>0</v>
      </c>
      <c r="G112" s="4" t="s">
        <v>49</v>
      </c>
      <c r="H112" s="4" t="s">
        <v>50</v>
      </c>
      <c r="I112" s="4"/>
      <c r="J112" s="4"/>
      <c r="K112" s="4">
        <v>232</v>
      </c>
      <c r="L112" s="4">
        <v>15</v>
      </c>
      <c r="M112" s="4">
        <v>3</v>
      </c>
      <c r="N112" s="4" t="s">
        <v>6</v>
      </c>
      <c r="O112" s="4">
        <v>0</v>
      </c>
      <c r="P112" s="4"/>
      <c r="Q112" s="4"/>
      <c r="R112" s="4"/>
      <c r="S112" s="4"/>
      <c r="T112" s="4"/>
      <c r="U112" s="4"/>
      <c r="V112" s="4"/>
      <c r="W112" s="4">
        <v>0</v>
      </c>
      <c r="X112" s="4">
        <v>1</v>
      </c>
      <c r="Y112" s="4">
        <v>0</v>
      </c>
      <c r="Z112" s="4"/>
      <c r="AA112" s="4"/>
      <c r="AB112" s="4"/>
    </row>
    <row r="113" spans="1:206" x14ac:dyDescent="0.2">
      <c r="A113" s="4">
        <v>50</v>
      </c>
      <c r="B113" s="4">
        <v>0</v>
      </c>
      <c r="C113" s="4">
        <v>0</v>
      </c>
      <c r="D113" s="4">
        <v>1</v>
      </c>
      <c r="E113" s="4">
        <v>214</v>
      </c>
      <c r="F113" s="4">
        <f>ROUND(Source!AS96,O113)</f>
        <v>0</v>
      </c>
      <c r="G113" s="4" t="s">
        <v>51</v>
      </c>
      <c r="H113" s="4" t="s">
        <v>52</v>
      </c>
      <c r="I113" s="4"/>
      <c r="J113" s="4"/>
      <c r="K113" s="4">
        <v>214</v>
      </c>
      <c r="L113" s="4">
        <v>16</v>
      </c>
      <c r="M113" s="4">
        <v>3</v>
      </c>
      <c r="N113" s="4" t="s">
        <v>6</v>
      </c>
      <c r="O113" s="4">
        <v>0</v>
      </c>
      <c r="P113" s="4"/>
      <c r="Q113" s="4"/>
      <c r="R113" s="4"/>
      <c r="S113" s="4"/>
      <c r="T113" s="4"/>
      <c r="U113" s="4"/>
      <c r="V113" s="4"/>
      <c r="W113" s="4">
        <v>0</v>
      </c>
      <c r="X113" s="4">
        <v>1</v>
      </c>
      <c r="Y113" s="4">
        <v>0</v>
      </c>
      <c r="Z113" s="4"/>
      <c r="AA113" s="4"/>
      <c r="AB113" s="4"/>
    </row>
    <row r="114" spans="1:206" x14ac:dyDescent="0.2">
      <c r="A114" s="4">
        <v>50</v>
      </c>
      <c r="B114" s="4">
        <v>0</v>
      </c>
      <c r="C114" s="4">
        <v>0</v>
      </c>
      <c r="D114" s="4">
        <v>1</v>
      </c>
      <c r="E114" s="4">
        <v>215</v>
      </c>
      <c r="F114" s="4">
        <f>ROUND(Source!AT96,O114)</f>
        <v>0</v>
      </c>
      <c r="G114" s="4" t="s">
        <v>53</v>
      </c>
      <c r="H114" s="4" t="s">
        <v>54</v>
      </c>
      <c r="I114" s="4"/>
      <c r="J114" s="4"/>
      <c r="K114" s="4">
        <v>215</v>
      </c>
      <c r="L114" s="4">
        <v>17</v>
      </c>
      <c r="M114" s="4">
        <v>3</v>
      </c>
      <c r="N114" s="4" t="s">
        <v>6</v>
      </c>
      <c r="O114" s="4">
        <v>0</v>
      </c>
      <c r="P114" s="4"/>
      <c r="Q114" s="4"/>
      <c r="R114" s="4"/>
      <c r="S114" s="4"/>
      <c r="T114" s="4"/>
      <c r="U114" s="4"/>
      <c r="V114" s="4"/>
      <c r="W114" s="4">
        <v>0</v>
      </c>
      <c r="X114" s="4">
        <v>1</v>
      </c>
      <c r="Y114" s="4">
        <v>0</v>
      </c>
      <c r="Z114" s="4"/>
      <c r="AA114" s="4"/>
      <c r="AB114" s="4"/>
    </row>
    <row r="115" spans="1:206" x14ac:dyDescent="0.2">
      <c r="A115" s="4">
        <v>50</v>
      </c>
      <c r="B115" s="4">
        <v>0</v>
      </c>
      <c r="C115" s="4">
        <v>0</v>
      </c>
      <c r="D115" s="4">
        <v>1</v>
      </c>
      <c r="E115" s="4">
        <v>217</v>
      </c>
      <c r="F115" s="4">
        <f>ROUND(Source!AU96,O115)</f>
        <v>0</v>
      </c>
      <c r="G115" s="4" t="s">
        <v>55</v>
      </c>
      <c r="H115" s="4" t="s">
        <v>56</v>
      </c>
      <c r="I115" s="4"/>
      <c r="J115" s="4"/>
      <c r="K115" s="4">
        <v>217</v>
      </c>
      <c r="L115" s="4">
        <v>18</v>
      </c>
      <c r="M115" s="4">
        <v>3</v>
      </c>
      <c r="N115" s="4" t="s">
        <v>6</v>
      </c>
      <c r="O115" s="4">
        <v>0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06" x14ac:dyDescent="0.2">
      <c r="A116" s="4">
        <v>50</v>
      </c>
      <c r="B116" s="4">
        <v>0</v>
      </c>
      <c r="C116" s="4">
        <v>0</v>
      </c>
      <c r="D116" s="4">
        <v>1</v>
      </c>
      <c r="E116" s="4">
        <v>230</v>
      </c>
      <c r="F116" s="4">
        <f>ROUND(Source!BA96,O116)</f>
        <v>0</v>
      </c>
      <c r="G116" s="4" t="s">
        <v>57</v>
      </c>
      <c r="H116" s="4" t="s">
        <v>58</v>
      </c>
      <c r="I116" s="4"/>
      <c r="J116" s="4"/>
      <c r="K116" s="4">
        <v>230</v>
      </c>
      <c r="L116" s="4">
        <v>19</v>
      </c>
      <c r="M116" s="4">
        <v>3</v>
      </c>
      <c r="N116" s="4" t="s">
        <v>6</v>
      </c>
      <c r="O116" s="4">
        <v>0</v>
      </c>
      <c r="P116" s="4"/>
      <c r="Q116" s="4"/>
      <c r="R116" s="4"/>
      <c r="S116" s="4"/>
      <c r="T116" s="4"/>
      <c r="U116" s="4"/>
      <c r="V116" s="4"/>
      <c r="W116" s="4">
        <v>0</v>
      </c>
      <c r="X116" s="4">
        <v>1</v>
      </c>
      <c r="Y116" s="4">
        <v>0</v>
      </c>
      <c r="Z116" s="4"/>
      <c r="AA116" s="4"/>
      <c r="AB116" s="4"/>
    </row>
    <row r="117" spans="1:206" x14ac:dyDescent="0.2">
      <c r="A117" s="4">
        <v>50</v>
      </c>
      <c r="B117" s="4">
        <v>0</v>
      </c>
      <c r="C117" s="4">
        <v>0</v>
      </c>
      <c r="D117" s="4">
        <v>1</v>
      </c>
      <c r="E117" s="4">
        <v>206</v>
      </c>
      <c r="F117" s="4">
        <f>ROUND(Source!T96,O117)</f>
        <v>0</v>
      </c>
      <c r="G117" s="4" t="s">
        <v>59</v>
      </c>
      <c r="H117" s="4" t="s">
        <v>60</v>
      </c>
      <c r="I117" s="4"/>
      <c r="J117" s="4"/>
      <c r="K117" s="4">
        <v>206</v>
      </c>
      <c r="L117" s="4">
        <v>20</v>
      </c>
      <c r="M117" s="4">
        <v>3</v>
      </c>
      <c r="N117" s="4" t="s">
        <v>6</v>
      </c>
      <c r="O117" s="4">
        <v>0</v>
      </c>
      <c r="P117" s="4"/>
      <c r="Q117" s="4"/>
      <c r="R117" s="4"/>
      <c r="S117" s="4"/>
      <c r="T117" s="4"/>
      <c r="U117" s="4"/>
      <c r="V117" s="4"/>
      <c r="W117" s="4">
        <v>0</v>
      </c>
      <c r="X117" s="4">
        <v>1</v>
      </c>
      <c r="Y117" s="4">
        <v>0</v>
      </c>
      <c r="Z117" s="4"/>
      <c r="AA117" s="4"/>
      <c r="AB117" s="4"/>
    </row>
    <row r="118" spans="1:206" x14ac:dyDescent="0.2">
      <c r="A118" s="4">
        <v>50</v>
      </c>
      <c r="B118" s="4">
        <v>0</v>
      </c>
      <c r="C118" s="4">
        <v>0</v>
      </c>
      <c r="D118" s="4">
        <v>1</v>
      </c>
      <c r="E118" s="4">
        <v>207</v>
      </c>
      <c r="F118" s="4">
        <f>ROUND(Source!U96,O118)</f>
        <v>0</v>
      </c>
      <c r="G118" s="4" t="s">
        <v>61</v>
      </c>
      <c r="H118" s="4" t="s">
        <v>62</v>
      </c>
      <c r="I118" s="4"/>
      <c r="J118" s="4"/>
      <c r="K118" s="4">
        <v>207</v>
      </c>
      <c r="L118" s="4">
        <v>21</v>
      </c>
      <c r="M118" s="4">
        <v>3</v>
      </c>
      <c r="N118" s="4" t="s">
        <v>6</v>
      </c>
      <c r="O118" s="4">
        <v>7</v>
      </c>
      <c r="P118" s="4"/>
      <c r="Q118" s="4"/>
      <c r="R118" s="4"/>
      <c r="S118" s="4"/>
      <c r="T118" s="4"/>
      <c r="U118" s="4"/>
      <c r="V118" s="4"/>
      <c r="W118" s="4">
        <v>0</v>
      </c>
      <c r="X118" s="4">
        <v>1</v>
      </c>
      <c r="Y118" s="4">
        <v>0</v>
      </c>
      <c r="Z118" s="4"/>
      <c r="AA118" s="4"/>
      <c r="AB118" s="4"/>
    </row>
    <row r="119" spans="1:206" x14ac:dyDescent="0.2">
      <c r="A119" s="4">
        <v>50</v>
      </c>
      <c r="B119" s="4">
        <v>0</v>
      </c>
      <c r="C119" s="4">
        <v>0</v>
      </c>
      <c r="D119" s="4">
        <v>1</v>
      </c>
      <c r="E119" s="4">
        <v>208</v>
      </c>
      <c r="F119" s="4">
        <f>ROUND(Source!V96,O119)</f>
        <v>0</v>
      </c>
      <c r="G119" s="4" t="s">
        <v>63</v>
      </c>
      <c r="H119" s="4" t="s">
        <v>64</v>
      </c>
      <c r="I119" s="4"/>
      <c r="J119" s="4"/>
      <c r="K119" s="4">
        <v>208</v>
      </c>
      <c r="L119" s="4">
        <v>22</v>
      </c>
      <c r="M119" s="4">
        <v>3</v>
      </c>
      <c r="N119" s="4" t="s">
        <v>6</v>
      </c>
      <c r="O119" s="4">
        <v>7</v>
      </c>
      <c r="P119" s="4"/>
      <c r="Q119" s="4"/>
      <c r="R119" s="4"/>
      <c r="S119" s="4"/>
      <c r="T119" s="4"/>
      <c r="U119" s="4"/>
      <c r="V119" s="4"/>
      <c r="W119" s="4">
        <v>0</v>
      </c>
      <c r="X119" s="4">
        <v>1</v>
      </c>
      <c r="Y119" s="4">
        <v>0</v>
      </c>
      <c r="Z119" s="4"/>
      <c r="AA119" s="4"/>
      <c r="AB119" s="4"/>
    </row>
    <row r="120" spans="1:206" x14ac:dyDescent="0.2">
      <c r="A120" s="4">
        <v>50</v>
      </c>
      <c r="B120" s="4">
        <v>0</v>
      </c>
      <c r="C120" s="4">
        <v>0</v>
      </c>
      <c r="D120" s="4">
        <v>1</v>
      </c>
      <c r="E120" s="4">
        <v>209</v>
      </c>
      <c r="F120" s="4">
        <f>ROUND(Source!W96,O120)</f>
        <v>0</v>
      </c>
      <c r="G120" s="4" t="s">
        <v>65</v>
      </c>
      <c r="H120" s="4" t="s">
        <v>66</v>
      </c>
      <c r="I120" s="4"/>
      <c r="J120" s="4"/>
      <c r="K120" s="4">
        <v>209</v>
      </c>
      <c r="L120" s="4">
        <v>23</v>
      </c>
      <c r="M120" s="4">
        <v>3</v>
      </c>
      <c r="N120" s="4" t="s">
        <v>6</v>
      </c>
      <c r="O120" s="4">
        <v>0</v>
      </c>
      <c r="P120" s="4"/>
      <c r="Q120" s="4"/>
      <c r="R120" s="4"/>
      <c r="S120" s="4"/>
      <c r="T120" s="4"/>
      <c r="U120" s="4"/>
      <c r="V120" s="4"/>
      <c r="W120" s="4">
        <v>0</v>
      </c>
      <c r="X120" s="4">
        <v>1</v>
      </c>
      <c r="Y120" s="4">
        <v>0</v>
      </c>
      <c r="Z120" s="4"/>
      <c r="AA120" s="4"/>
      <c r="AB120" s="4"/>
    </row>
    <row r="121" spans="1:206" x14ac:dyDescent="0.2">
      <c r="A121" s="4">
        <v>50</v>
      </c>
      <c r="B121" s="4">
        <v>0</v>
      </c>
      <c r="C121" s="4">
        <v>0</v>
      </c>
      <c r="D121" s="4">
        <v>1</v>
      </c>
      <c r="E121" s="4">
        <v>233</v>
      </c>
      <c r="F121" s="4">
        <f>ROUND(Source!BD96,O121)</f>
        <v>0</v>
      </c>
      <c r="G121" s="4" t="s">
        <v>67</v>
      </c>
      <c r="H121" s="4" t="s">
        <v>68</v>
      </c>
      <c r="I121" s="4"/>
      <c r="J121" s="4"/>
      <c r="K121" s="4">
        <v>233</v>
      </c>
      <c r="L121" s="4">
        <v>24</v>
      </c>
      <c r="M121" s="4">
        <v>3</v>
      </c>
      <c r="N121" s="4" t="s">
        <v>6</v>
      </c>
      <c r="O121" s="4">
        <v>0</v>
      </c>
      <c r="P121" s="4"/>
      <c r="Q121" s="4"/>
      <c r="R121" s="4"/>
      <c r="S121" s="4"/>
      <c r="T121" s="4"/>
      <c r="U121" s="4"/>
      <c r="V121" s="4"/>
      <c r="W121" s="4">
        <v>0</v>
      </c>
      <c r="X121" s="4">
        <v>1</v>
      </c>
      <c r="Y121" s="4">
        <v>0</v>
      </c>
      <c r="Z121" s="4"/>
      <c r="AA121" s="4"/>
      <c r="AB121" s="4"/>
    </row>
    <row r="122" spans="1:206" x14ac:dyDescent="0.2">
      <c r="A122" s="4">
        <v>50</v>
      </c>
      <c r="B122" s="4">
        <v>0</v>
      </c>
      <c r="C122" s="4">
        <v>0</v>
      </c>
      <c r="D122" s="4">
        <v>1</v>
      </c>
      <c r="E122" s="4">
        <v>210</v>
      </c>
      <c r="F122" s="4">
        <f>ROUND(Source!X96,O122)</f>
        <v>0</v>
      </c>
      <c r="G122" s="4" t="s">
        <v>69</v>
      </c>
      <c r="H122" s="4" t="s">
        <v>70</v>
      </c>
      <c r="I122" s="4"/>
      <c r="J122" s="4"/>
      <c r="K122" s="4">
        <v>210</v>
      </c>
      <c r="L122" s="4">
        <v>25</v>
      </c>
      <c r="M122" s="4">
        <v>3</v>
      </c>
      <c r="N122" s="4" t="s">
        <v>6</v>
      </c>
      <c r="O122" s="4">
        <v>0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06" x14ac:dyDescent="0.2">
      <c r="A123" s="4">
        <v>50</v>
      </c>
      <c r="B123" s="4">
        <v>0</v>
      </c>
      <c r="C123" s="4">
        <v>0</v>
      </c>
      <c r="D123" s="4">
        <v>1</v>
      </c>
      <c r="E123" s="4">
        <v>211</v>
      </c>
      <c r="F123" s="4">
        <f>ROUND(Source!Y96,O123)</f>
        <v>0</v>
      </c>
      <c r="G123" s="4" t="s">
        <v>71</v>
      </c>
      <c r="H123" s="4" t="s">
        <v>72</v>
      </c>
      <c r="I123" s="4"/>
      <c r="J123" s="4"/>
      <c r="K123" s="4">
        <v>211</v>
      </c>
      <c r="L123" s="4">
        <v>26</v>
      </c>
      <c r="M123" s="4">
        <v>3</v>
      </c>
      <c r="N123" s="4" t="s">
        <v>6</v>
      </c>
      <c r="O123" s="4">
        <v>0</v>
      </c>
      <c r="P123" s="4"/>
      <c r="Q123" s="4"/>
      <c r="R123" s="4"/>
      <c r="S123" s="4"/>
      <c r="T123" s="4"/>
      <c r="U123" s="4"/>
      <c r="V123" s="4"/>
      <c r="W123" s="4">
        <v>0</v>
      </c>
      <c r="X123" s="4">
        <v>1</v>
      </c>
      <c r="Y123" s="4">
        <v>0</v>
      </c>
      <c r="Z123" s="4"/>
      <c r="AA123" s="4"/>
      <c r="AB123" s="4"/>
    </row>
    <row r="124" spans="1:206" x14ac:dyDescent="0.2">
      <c r="A124" s="4">
        <v>50</v>
      </c>
      <c r="B124" s="4">
        <v>0</v>
      </c>
      <c r="C124" s="4">
        <v>0</v>
      </c>
      <c r="D124" s="4">
        <v>1</v>
      </c>
      <c r="E124" s="4">
        <v>224</v>
      </c>
      <c r="F124" s="4">
        <f>ROUND(Source!AR96,O124)</f>
        <v>0</v>
      </c>
      <c r="G124" s="4" t="s">
        <v>73</v>
      </c>
      <c r="H124" s="4" t="s">
        <v>74</v>
      </c>
      <c r="I124" s="4"/>
      <c r="J124" s="4"/>
      <c r="K124" s="4">
        <v>224</v>
      </c>
      <c r="L124" s="4">
        <v>27</v>
      </c>
      <c r="M124" s="4">
        <v>3</v>
      </c>
      <c r="N124" s="4" t="s">
        <v>6</v>
      </c>
      <c r="O124" s="4">
        <v>0</v>
      </c>
      <c r="P124" s="4"/>
      <c r="Q124" s="4"/>
      <c r="R124" s="4"/>
      <c r="S124" s="4"/>
      <c r="T124" s="4"/>
      <c r="U124" s="4"/>
      <c r="V124" s="4"/>
      <c r="W124" s="4">
        <v>0</v>
      </c>
      <c r="X124" s="4">
        <v>1</v>
      </c>
      <c r="Y124" s="4">
        <v>0</v>
      </c>
      <c r="Z124" s="4"/>
      <c r="AA124" s="4"/>
      <c r="AB124" s="4"/>
    </row>
    <row r="126" spans="1:206" x14ac:dyDescent="0.2">
      <c r="A126" s="1">
        <v>4</v>
      </c>
      <c r="B126" s="1">
        <v>1</v>
      </c>
      <c r="C126" s="1"/>
      <c r="D126" s="1">
        <f>ROW(A130)</f>
        <v>130</v>
      </c>
      <c r="E126" s="1"/>
      <c r="F126" s="1" t="s">
        <v>79</v>
      </c>
      <c r="G126" s="1" t="s">
        <v>80</v>
      </c>
      <c r="H126" s="1" t="s">
        <v>6</v>
      </c>
      <c r="I126" s="1">
        <v>0</v>
      </c>
      <c r="J126" s="1"/>
      <c r="K126" s="1">
        <v>-1</v>
      </c>
      <c r="L126" s="1"/>
      <c r="M126" s="1" t="s">
        <v>6</v>
      </c>
      <c r="N126" s="1"/>
      <c r="O126" s="1"/>
      <c r="P126" s="1"/>
      <c r="Q126" s="1"/>
      <c r="R126" s="1"/>
      <c r="S126" s="1">
        <v>0</v>
      </c>
      <c r="T126" s="1"/>
      <c r="U126" s="1" t="s">
        <v>6</v>
      </c>
      <c r="V126" s="1">
        <v>0</v>
      </c>
      <c r="W126" s="1"/>
      <c r="X126" s="1"/>
      <c r="Y126" s="1"/>
      <c r="Z126" s="1"/>
      <c r="AA126" s="1"/>
      <c r="AB126" s="1" t="s">
        <v>6</v>
      </c>
      <c r="AC126" s="1" t="s">
        <v>6</v>
      </c>
      <c r="AD126" s="1" t="s">
        <v>6</v>
      </c>
      <c r="AE126" s="1" t="s">
        <v>6</v>
      </c>
      <c r="AF126" s="1" t="s">
        <v>6</v>
      </c>
      <c r="AG126" s="1" t="s">
        <v>6</v>
      </c>
      <c r="AH126" s="1"/>
      <c r="AI126" s="1"/>
      <c r="AJ126" s="1"/>
      <c r="AK126" s="1"/>
      <c r="AL126" s="1"/>
      <c r="AM126" s="1"/>
      <c r="AN126" s="1"/>
      <c r="AO126" s="1"/>
      <c r="AP126" s="1" t="s">
        <v>6</v>
      </c>
      <c r="AQ126" s="1" t="s">
        <v>6</v>
      </c>
      <c r="AR126" s="1" t="s">
        <v>6</v>
      </c>
      <c r="AS126" s="1"/>
      <c r="AT126" s="1"/>
      <c r="AU126" s="1"/>
      <c r="AV126" s="1"/>
      <c r="AW126" s="1"/>
      <c r="AX126" s="1"/>
      <c r="AY126" s="1"/>
      <c r="AZ126" s="1" t="s">
        <v>6</v>
      </c>
      <c r="BA126" s="1"/>
      <c r="BB126" s="1" t="s">
        <v>6</v>
      </c>
      <c r="BC126" s="1" t="s">
        <v>6</v>
      </c>
      <c r="BD126" s="1" t="s">
        <v>6</v>
      </c>
      <c r="BE126" s="1" t="s">
        <v>6</v>
      </c>
      <c r="BF126" s="1" t="s">
        <v>6</v>
      </c>
      <c r="BG126" s="1" t="s">
        <v>6</v>
      </c>
      <c r="BH126" s="1" t="s">
        <v>6</v>
      </c>
      <c r="BI126" s="1" t="s">
        <v>6</v>
      </c>
      <c r="BJ126" s="1" t="s">
        <v>6</v>
      </c>
      <c r="BK126" s="1" t="s">
        <v>6</v>
      </c>
      <c r="BL126" s="1" t="s">
        <v>6</v>
      </c>
      <c r="BM126" s="1" t="s">
        <v>6</v>
      </c>
      <c r="BN126" s="1" t="s">
        <v>6</v>
      </c>
      <c r="BO126" s="1" t="s">
        <v>6</v>
      </c>
      <c r="BP126" s="1" t="s">
        <v>6</v>
      </c>
      <c r="BQ126" s="1"/>
      <c r="BR126" s="1"/>
      <c r="BS126" s="1"/>
      <c r="BT126" s="1"/>
      <c r="BU126" s="1"/>
      <c r="BV126" s="1"/>
      <c r="BW126" s="1"/>
      <c r="BX126" s="1">
        <v>0</v>
      </c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>
        <v>0</v>
      </c>
    </row>
    <row r="128" spans="1:206" x14ac:dyDescent="0.2">
      <c r="A128" s="2">
        <v>52</v>
      </c>
      <c r="B128" s="2">
        <f t="shared" ref="B128:G128" si="41">B130</f>
        <v>1</v>
      </c>
      <c r="C128" s="2">
        <f t="shared" si="41"/>
        <v>4</v>
      </c>
      <c r="D128" s="2">
        <f t="shared" si="41"/>
        <v>126</v>
      </c>
      <c r="E128" s="2">
        <f t="shared" si="41"/>
        <v>0</v>
      </c>
      <c r="F128" s="2" t="str">
        <f t="shared" si="41"/>
        <v>10</v>
      </c>
      <c r="G128" s="2" t="str">
        <f t="shared" si="41"/>
        <v>БЛОК САНУЗЛОВ 4 (2-ой ЭТАЖ)</v>
      </c>
      <c r="H128" s="2"/>
      <c r="I128" s="2"/>
      <c r="J128" s="2"/>
      <c r="K128" s="2"/>
      <c r="L128" s="2"/>
      <c r="M128" s="2"/>
      <c r="N128" s="2"/>
      <c r="O128" s="2">
        <f t="shared" ref="O128:AT128" si="42">O130</f>
        <v>0</v>
      </c>
      <c r="P128" s="2">
        <f t="shared" si="42"/>
        <v>0</v>
      </c>
      <c r="Q128" s="2">
        <f t="shared" si="42"/>
        <v>0</v>
      </c>
      <c r="R128" s="2">
        <f t="shared" si="42"/>
        <v>0</v>
      </c>
      <c r="S128" s="2">
        <f t="shared" si="42"/>
        <v>0</v>
      </c>
      <c r="T128" s="2">
        <f t="shared" si="42"/>
        <v>0</v>
      </c>
      <c r="U128" s="2">
        <f t="shared" si="42"/>
        <v>0</v>
      </c>
      <c r="V128" s="2">
        <f t="shared" si="42"/>
        <v>0</v>
      </c>
      <c r="W128" s="2">
        <f t="shared" si="42"/>
        <v>0</v>
      </c>
      <c r="X128" s="2">
        <f t="shared" si="42"/>
        <v>0</v>
      </c>
      <c r="Y128" s="2">
        <f t="shared" si="42"/>
        <v>0</v>
      </c>
      <c r="Z128" s="2">
        <f t="shared" si="42"/>
        <v>0</v>
      </c>
      <c r="AA128" s="2">
        <f t="shared" si="42"/>
        <v>0</v>
      </c>
      <c r="AB128" s="2">
        <f t="shared" si="42"/>
        <v>0</v>
      </c>
      <c r="AC128" s="2">
        <f t="shared" si="42"/>
        <v>0</v>
      </c>
      <c r="AD128" s="2">
        <f t="shared" si="42"/>
        <v>0</v>
      </c>
      <c r="AE128" s="2">
        <f t="shared" si="42"/>
        <v>0</v>
      </c>
      <c r="AF128" s="2">
        <f t="shared" si="42"/>
        <v>0</v>
      </c>
      <c r="AG128" s="2">
        <f t="shared" si="42"/>
        <v>0</v>
      </c>
      <c r="AH128" s="2">
        <f t="shared" si="42"/>
        <v>0</v>
      </c>
      <c r="AI128" s="2">
        <f t="shared" si="42"/>
        <v>0</v>
      </c>
      <c r="AJ128" s="2">
        <f t="shared" si="42"/>
        <v>0</v>
      </c>
      <c r="AK128" s="2">
        <f t="shared" si="42"/>
        <v>0</v>
      </c>
      <c r="AL128" s="2">
        <f t="shared" si="42"/>
        <v>0</v>
      </c>
      <c r="AM128" s="2">
        <f t="shared" si="42"/>
        <v>0</v>
      </c>
      <c r="AN128" s="2">
        <f t="shared" si="42"/>
        <v>0</v>
      </c>
      <c r="AO128" s="2">
        <f t="shared" si="42"/>
        <v>0</v>
      </c>
      <c r="AP128" s="2">
        <f t="shared" si="42"/>
        <v>0</v>
      </c>
      <c r="AQ128" s="2">
        <f t="shared" si="42"/>
        <v>0</v>
      </c>
      <c r="AR128" s="2">
        <f t="shared" si="42"/>
        <v>0</v>
      </c>
      <c r="AS128" s="2">
        <f t="shared" si="42"/>
        <v>0</v>
      </c>
      <c r="AT128" s="2">
        <f t="shared" si="42"/>
        <v>0</v>
      </c>
      <c r="AU128" s="2">
        <f t="shared" ref="AU128:BZ128" si="43">AU130</f>
        <v>0</v>
      </c>
      <c r="AV128" s="2">
        <f t="shared" si="43"/>
        <v>0</v>
      </c>
      <c r="AW128" s="2">
        <f t="shared" si="43"/>
        <v>0</v>
      </c>
      <c r="AX128" s="2">
        <f t="shared" si="43"/>
        <v>0</v>
      </c>
      <c r="AY128" s="2">
        <f t="shared" si="43"/>
        <v>0</v>
      </c>
      <c r="AZ128" s="2">
        <f t="shared" si="43"/>
        <v>0</v>
      </c>
      <c r="BA128" s="2">
        <f t="shared" si="43"/>
        <v>0</v>
      </c>
      <c r="BB128" s="2">
        <f t="shared" si="43"/>
        <v>0</v>
      </c>
      <c r="BC128" s="2">
        <f t="shared" si="43"/>
        <v>0</v>
      </c>
      <c r="BD128" s="2">
        <f t="shared" si="43"/>
        <v>0</v>
      </c>
      <c r="BE128" s="2">
        <f t="shared" si="43"/>
        <v>0</v>
      </c>
      <c r="BF128" s="2">
        <f t="shared" si="43"/>
        <v>0</v>
      </c>
      <c r="BG128" s="2">
        <f t="shared" si="43"/>
        <v>0</v>
      </c>
      <c r="BH128" s="2">
        <f t="shared" si="43"/>
        <v>0</v>
      </c>
      <c r="BI128" s="2">
        <f t="shared" si="43"/>
        <v>0</v>
      </c>
      <c r="BJ128" s="2">
        <f t="shared" si="43"/>
        <v>0</v>
      </c>
      <c r="BK128" s="2">
        <f t="shared" si="43"/>
        <v>0</v>
      </c>
      <c r="BL128" s="2">
        <f t="shared" si="43"/>
        <v>0</v>
      </c>
      <c r="BM128" s="2">
        <f t="shared" si="43"/>
        <v>0</v>
      </c>
      <c r="BN128" s="2">
        <f t="shared" si="43"/>
        <v>0</v>
      </c>
      <c r="BO128" s="2">
        <f t="shared" si="43"/>
        <v>0</v>
      </c>
      <c r="BP128" s="2">
        <f t="shared" si="43"/>
        <v>0</v>
      </c>
      <c r="BQ128" s="2">
        <f t="shared" si="43"/>
        <v>0</v>
      </c>
      <c r="BR128" s="2">
        <f t="shared" si="43"/>
        <v>0</v>
      </c>
      <c r="BS128" s="2">
        <f t="shared" si="43"/>
        <v>0</v>
      </c>
      <c r="BT128" s="2">
        <f t="shared" si="43"/>
        <v>0</v>
      </c>
      <c r="BU128" s="2">
        <f t="shared" si="43"/>
        <v>0</v>
      </c>
      <c r="BV128" s="2">
        <f t="shared" si="43"/>
        <v>0</v>
      </c>
      <c r="BW128" s="2">
        <f t="shared" si="43"/>
        <v>0</v>
      </c>
      <c r="BX128" s="2">
        <f t="shared" si="43"/>
        <v>0</v>
      </c>
      <c r="BY128" s="2">
        <f t="shared" si="43"/>
        <v>0</v>
      </c>
      <c r="BZ128" s="2">
        <f t="shared" si="43"/>
        <v>0</v>
      </c>
      <c r="CA128" s="2">
        <f t="shared" ref="CA128:DF128" si="44">CA130</f>
        <v>0</v>
      </c>
      <c r="CB128" s="2">
        <f t="shared" si="44"/>
        <v>0</v>
      </c>
      <c r="CC128" s="2">
        <f t="shared" si="44"/>
        <v>0</v>
      </c>
      <c r="CD128" s="2">
        <f t="shared" si="44"/>
        <v>0</v>
      </c>
      <c r="CE128" s="2">
        <f t="shared" si="44"/>
        <v>0</v>
      </c>
      <c r="CF128" s="2">
        <f t="shared" si="44"/>
        <v>0</v>
      </c>
      <c r="CG128" s="2">
        <f t="shared" si="44"/>
        <v>0</v>
      </c>
      <c r="CH128" s="2">
        <f t="shared" si="44"/>
        <v>0</v>
      </c>
      <c r="CI128" s="2">
        <f t="shared" si="44"/>
        <v>0</v>
      </c>
      <c r="CJ128" s="2">
        <f t="shared" si="44"/>
        <v>0</v>
      </c>
      <c r="CK128" s="2">
        <f t="shared" si="44"/>
        <v>0</v>
      </c>
      <c r="CL128" s="2">
        <f t="shared" si="44"/>
        <v>0</v>
      </c>
      <c r="CM128" s="2">
        <f t="shared" si="44"/>
        <v>0</v>
      </c>
      <c r="CN128" s="2">
        <f t="shared" si="44"/>
        <v>0</v>
      </c>
      <c r="CO128" s="2">
        <f t="shared" si="44"/>
        <v>0</v>
      </c>
      <c r="CP128" s="2">
        <f t="shared" si="44"/>
        <v>0</v>
      </c>
      <c r="CQ128" s="2">
        <f t="shared" si="44"/>
        <v>0</v>
      </c>
      <c r="CR128" s="2">
        <f t="shared" si="44"/>
        <v>0</v>
      </c>
      <c r="CS128" s="2">
        <f t="shared" si="44"/>
        <v>0</v>
      </c>
      <c r="CT128" s="2">
        <f t="shared" si="44"/>
        <v>0</v>
      </c>
      <c r="CU128" s="2">
        <f t="shared" si="44"/>
        <v>0</v>
      </c>
      <c r="CV128" s="2">
        <f t="shared" si="44"/>
        <v>0</v>
      </c>
      <c r="CW128" s="2">
        <f t="shared" si="44"/>
        <v>0</v>
      </c>
      <c r="CX128" s="2">
        <f t="shared" si="44"/>
        <v>0</v>
      </c>
      <c r="CY128" s="2">
        <f t="shared" si="44"/>
        <v>0</v>
      </c>
      <c r="CZ128" s="2">
        <f t="shared" si="44"/>
        <v>0</v>
      </c>
      <c r="DA128" s="2">
        <f t="shared" si="44"/>
        <v>0</v>
      </c>
      <c r="DB128" s="2">
        <f t="shared" si="44"/>
        <v>0</v>
      </c>
      <c r="DC128" s="2">
        <f t="shared" si="44"/>
        <v>0</v>
      </c>
      <c r="DD128" s="2">
        <f t="shared" si="44"/>
        <v>0</v>
      </c>
      <c r="DE128" s="2">
        <f t="shared" si="44"/>
        <v>0</v>
      </c>
      <c r="DF128" s="2">
        <f t="shared" si="44"/>
        <v>0</v>
      </c>
      <c r="DG128" s="3">
        <f t="shared" ref="DG128:EL128" si="45">DG130</f>
        <v>0</v>
      </c>
      <c r="DH128" s="3">
        <f t="shared" si="45"/>
        <v>0</v>
      </c>
      <c r="DI128" s="3">
        <f t="shared" si="45"/>
        <v>0</v>
      </c>
      <c r="DJ128" s="3">
        <f t="shared" si="45"/>
        <v>0</v>
      </c>
      <c r="DK128" s="3">
        <f t="shared" si="45"/>
        <v>0</v>
      </c>
      <c r="DL128" s="3">
        <f t="shared" si="45"/>
        <v>0</v>
      </c>
      <c r="DM128" s="3">
        <f t="shared" si="45"/>
        <v>0</v>
      </c>
      <c r="DN128" s="3">
        <f t="shared" si="45"/>
        <v>0</v>
      </c>
      <c r="DO128" s="3">
        <f t="shared" si="45"/>
        <v>0</v>
      </c>
      <c r="DP128" s="3">
        <f t="shared" si="45"/>
        <v>0</v>
      </c>
      <c r="DQ128" s="3">
        <f t="shared" si="45"/>
        <v>0</v>
      </c>
      <c r="DR128" s="3">
        <f t="shared" si="45"/>
        <v>0</v>
      </c>
      <c r="DS128" s="3">
        <f t="shared" si="45"/>
        <v>0</v>
      </c>
      <c r="DT128" s="3">
        <f t="shared" si="45"/>
        <v>0</v>
      </c>
      <c r="DU128" s="3">
        <f t="shared" si="45"/>
        <v>0</v>
      </c>
      <c r="DV128" s="3">
        <f t="shared" si="45"/>
        <v>0</v>
      </c>
      <c r="DW128" s="3">
        <f t="shared" si="45"/>
        <v>0</v>
      </c>
      <c r="DX128" s="3">
        <f t="shared" si="45"/>
        <v>0</v>
      </c>
      <c r="DY128" s="3">
        <f t="shared" si="45"/>
        <v>0</v>
      </c>
      <c r="DZ128" s="3">
        <f t="shared" si="45"/>
        <v>0</v>
      </c>
      <c r="EA128" s="3">
        <f t="shared" si="45"/>
        <v>0</v>
      </c>
      <c r="EB128" s="3">
        <f t="shared" si="45"/>
        <v>0</v>
      </c>
      <c r="EC128" s="3">
        <f t="shared" si="45"/>
        <v>0</v>
      </c>
      <c r="ED128" s="3">
        <f t="shared" si="45"/>
        <v>0</v>
      </c>
      <c r="EE128" s="3">
        <f t="shared" si="45"/>
        <v>0</v>
      </c>
      <c r="EF128" s="3">
        <f t="shared" si="45"/>
        <v>0</v>
      </c>
      <c r="EG128" s="3">
        <f t="shared" si="45"/>
        <v>0</v>
      </c>
      <c r="EH128" s="3">
        <f t="shared" si="45"/>
        <v>0</v>
      </c>
      <c r="EI128" s="3">
        <f t="shared" si="45"/>
        <v>0</v>
      </c>
      <c r="EJ128" s="3">
        <f t="shared" si="45"/>
        <v>0</v>
      </c>
      <c r="EK128" s="3">
        <f t="shared" si="45"/>
        <v>0</v>
      </c>
      <c r="EL128" s="3">
        <f t="shared" si="45"/>
        <v>0</v>
      </c>
      <c r="EM128" s="3">
        <f t="shared" ref="EM128:FR128" si="46">EM130</f>
        <v>0</v>
      </c>
      <c r="EN128" s="3">
        <f t="shared" si="46"/>
        <v>0</v>
      </c>
      <c r="EO128" s="3">
        <f t="shared" si="46"/>
        <v>0</v>
      </c>
      <c r="EP128" s="3">
        <f t="shared" si="46"/>
        <v>0</v>
      </c>
      <c r="EQ128" s="3">
        <f t="shared" si="46"/>
        <v>0</v>
      </c>
      <c r="ER128" s="3">
        <f t="shared" si="46"/>
        <v>0</v>
      </c>
      <c r="ES128" s="3">
        <f t="shared" si="46"/>
        <v>0</v>
      </c>
      <c r="ET128" s="3">
        <f t="shared" si="46"/>
        <v>0</v>
      </c>
      <c r="EU128" s="3">
        <f t="shared" si="46"/>
        <v>0</v>
      </c>
      <c r="EV128" s="3">
        <f t="shared" si="46"/>
        <v>0</v>
      </c>
      <c r="EW128" s="3">
        <f t="shared" si="46"/>
        <v>0</v>
      </c>
      <c r="EX128" s="3">
        <f t="shared" si="46"/>
        <v>0</v>
      </c>
      <c r="EY128" s="3">
        <f t="shared" si="46"/>
        <v>0</v>
      </c>
      <c r="EZ128" s="3">
        <f t="shared" si="46"/>
        <v>0</v>
      </c>
      <c r="FA128" s="3">
        <f t="shared" si="46"/>
        <v>0</v>
      </c>
      <c r="FB128" s="3">
        <f t="shared" si="46"/>
        <v>0</v>
      </c>
      <c r="FC128" s="3">
        <f t="shared" si="46"/>
        <v>0</v>
      </c>
      <c r="FD128" s="3">
        <f t="shared" si="46"/>
        <v>0</v>
      </c>
      <c r="FE128" s="3">
        <f t="shared" si="46"/>
        <v>0</v>
      </c>
      <c r="FF128" s="3">
        <f t="shared" si="46"/>
        <v>0</v>
      </c>
      <c r="FG128" s="3">
        <f t="shared" si="46"/>
        <v>0</v>
      </c>
      <c r="FH128" s="3">
        <f t="shared" si="46"/>
        <v>0</v>
      </c>
      <c r="FI128" s="3">
        <f t="shared" si="46"/>
        <v>0</v>
      </c>
      <c r="FJ128" s="3">
        <f t="shared" si="46"/>
        <v>0</v>
      </c>
      <c r="FK128" s="3">
        <f t="shared" si="46"/>
        <v>0</v>
      </c>
      <c r="FL128" s="3">
        <f t="shared" si="46"/>
        <v>0</v>
      </c>
      <c r="FM128" s="3">
        <f t="shared" si="46"/>
        <v>0</v>
      </c>
      <c r="FN128" s="3">
        <f t="shared" si="46"/>
        <v>0</v>
      </c>
      <c r="FO128" s="3">
        <f t="shared" si="46"/>
        <v>0</v>
      </c>
      <c r="FP128" s="3">
        <f t="shared" si="46"/>
        <v>0</v>
      </c>
      <c r="FQ128" s="3">
        <f t="shared" si="46"/>
        <v>0</v>
      </c>
      <c r="FR128" s="3">
        <f t="shared" si="46"/>
        <v>0</v>
      </c>
      <c r="FS128" s="3">
        <f t="shared" ref="FS128:GX128" si="47">FS130</f>
        <v>0</v>
      </c>
      <c r="FT128" s="3">
        <f t="shared" si="47"/>
        <v>0</v>
      </c>
      <c r="FU128" s="3">
        <f t="shared" si="47"/>
        <v>0</v>
      </c>
      <c r="FV128" s="3">
        <f t="shared" si="47"/>
        <v>0</v>
      </c>
      <c r="FW128" s="3">
        <f t="shared" si="47"/>
        <v>0</v>
      </c>
      <c r="FX128" s="3">
        <f t="shared" si="47"/>
        <v>0</v>
      </c>
      <c r="FY128" s="3">
        <f t="shared" si="47"/>
        <v>0</v>
      </c>
      <c r="FZ128" s="3">
        <f t="shared" si="47"/>
        <v>0</v>
      </c>
      <c r="GA128" s="3">
        <f t="shared" si="47"/>
        <v>0</v>
      </c>
      <c r="GB128" s="3">
        <f t="shared" si="47"/>
        <v>0</v>
      </c>
      <c r="GC128" s="3">
        <f t="shared" si="47"/>
        <v>0</v>
      </c>
      <c r="GD128" s="3">
        <f t="shared" si="47"/>
        <v>0</v>
      </c>
      <c r="GE128" s="3">
        <f t="shared" si="47"/>
        <v>0</v>
      </c>
      <c r="GF128" s="3">
        <f t="shared" si="47"/>
        <v>0</v>
      </c>
      <c r="GG128" s="3">
        <f t="shared" si="47"/>
        <v>0</v>
      </c>
      <c r="GH128" s="3">
        <f t="shared" si="47"/>
        <v>0</v>
      </c>
      <c r="GI128" s="3">
        <f t="shared" si="47"/>
        <v>0</v>
      </c>
      <c r="GJ128" s="3">
        <f t="shared" si="47"/>
        <v>0</v>
      </c>
      <c r="GK128" s="3">
        <f t="shared" si="47"/>
        <v>0</v>
      </c>
      <c r="GL128" s="3">
        <f t="shared" si="47"/>
        <v>0</v>
      </c>
      <c r="GM128" s="3">
        <f t="shared" si="47"/>
        <v>0</v>
      </c>
      <c r="GN128" s="3">
        <f t="shared" si="47"/>
        <v>0</v>
      </c>
      <c r="GO128" s="3">
        <f t="shared" si="47"/>
        <v>0</v>
      </c>
      <c r="GP128" s="3">
        <f t="shared" si="47"/>
        <v>0</v>
      </c>
      <c r="GQ128" s="3">
        <f t="shared" si="47"/>
        <v>0</v>
      </c>
      <c r="GR128" s="3">
        <f t="shared" si="47"/>
        <v>0</v>
      </c>
      <c r="GS128" s="3">
        <f t="shared" si="47"/>
        <v>0</v>
      </c>
      <c r="GT128" s="3">
        <f t="shared" si="47"/>
        <v>0</v>
      </c>
      <c r="GU128" s="3">
        <f t="shared" si="47"/>
        <v>0</v>
      </c>
      <c r="GV128" s="3">
        <f t="shared" si="47"/>
        <v>0</v>
      </c>
      <c r="GW128" s="3">
        <f t="shared" si="47"/>
        <v>0</v>
      </c>
      <c r="GX128" s="3">
        <f t="shared" si="47"/>
        <v>0</v>
      </c>
    </row>
    <row r="130" spans="1:206" x14ac:dyDescent="0.2">
      <c r="A130" s="2">
        <v>51</v>
      </c>
      <c r="B130" s="2">
        <f>B126</f>
        <v>1</v>
      </c>
      <c r="C130" s="2">
        <f>A126</f>
        <v>4</v>
      </c>
      <c r="D130" s="2">
        <f>ROW(A126)</f>
        <v>126</v>
      </c>
      <c r="E130" s="2"/>
      <c r="F130" s="2" t="str">
        <f>IF(F126&lt;&gt;"",F126,"")</f>
        <v>10</v>
      </c>
      <c r="G130" s="2" t="str">
        <f>IF(G126&lt;&gt;"",G126,"")</f>
        <v>БЛОК САНУЗЛОВ 4 (2-ой ЭТАЖ)</v>
      </c>
      <c r="H130" s="2">
        <v>0</v>
      </c>
      <c r="I130" s="2"/>
      <c r="J130" s="2"/>
      <c r="K130" s="2"/>
      <c r="L130" s="2"/>
      <c r="M130" s="2"/>
      <c r="N130" s="2"/>
      <c r="O130" s="2">
        <f t="shared" ref="O130:Y130" si="48">AB130</f>
        <v>0</v>
      </c>
      <c r="P130" s="2">
        <f t="shared" si="48"/>
        <v>0</v>
      </c>
      <c r="Q130" s="2">
        <f t="shared" si="48"/>
        <v>0</v>
      </c>
      <c r="R130" s="2">
        <f t="shared" si="48"/>
        <v>0</v>
      </c>
      <c r="S130" s="2">
        <f t="shared" si="48"/>
        <v>0</v>
      </c>
      <c r="T130" s="2">
        <f t="shared" si="48"/>
        <v>0</v>
      </c>
      <c r="U130" s="2">
        <f t="shared" si="48"/>
        <v>0</v>
      </c>
      <c r="V130" s="2">
        <f t="shared" si="48"/>
        <v>0</v>
      </c>
      <c r="W130" s="2">
        <f t="shared" si="48"/>
        <v>0</v>
      </c>
      <c r="X130" s="2">
        <f t="shared" si="48"/>
        <v>0</v>
      </c>
      <c r="Y130" s="2">
        <f t="shared" si="48"/>
        <v>0</v>
      </c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>
        <f t="shared" ref="AO130:BD130" si="49">BX130</f>
        <v>0</v>
      </c>
      <c r="AP130" s="2">
        <f t="shared" si="49"/>
        <v>0</v>
      </c>
      <c r="AQ130" s="2">
        <f t="shared" si="49"/>
        <v>0</v>
      </c>
      <c r="AR130" s="2">
        <f t="shared" si="49"/>
        <v>0</v>
      </c>
      <c r="AS130" s="2">
        <f t="shared" si="49"/>
        <v>0</v>
      </c>
      <c r="AT130" s="2">
        <f t="shared" si="49"/>
        <v>0</v>
      </c>
      <c r="AU130" s="2">
        <f t="shared" si="49"/>
        <v>0</v>
      </c>
      <c r="AV130" s="2">
        <f t="shared" si="49"/>
        <v>0</v>
      </c>
      <c r="AW130" s="2">
        <f t="shared" si="49"/>
        <v>0</v>
      </c>
      <c r="AX130" s="2">
        <f t="shared" si="49"/>
        <v>0</v>
      </c>
      <c r="AY130" s="2">
        <f t="shared" si="49"/>
        <v>0</v>
      </c>
      <c r="AZ130" s="2">
        <f t="shared" si="49"/>
        <v>0</v>
      </c>
      <c r="BA130" s="2">
        <f t="shared" si="49"/>
        <v>0</v>
      </c>
      <c r="BB130" s="2">
        <f t="shared" si="49"/>
        <v>0</v>
      </c>
      <c r="BC130" s="2">
        <f t="shared" si="49"/>
        <v>0</v>
      </c>
      <c r="BD130" s="2">
        <f t="shared" si="49"/>
        <v>0</v>
      </c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>
        <v>0</v>
      </c>
    </row>
    <row r="132" spans="1:206" x14ac:dyDescent="0.2">
      <c r="A132" s="4">
        <v>50</v>
      </c>
      <c r="B132" s="4">
        <v>0</v>
      </c>
      <c r="C132" s="4">
        <v>0</v>
      </c>
      <c r="D132" s="4">
        <v>1</v>
      </c>
      <c r="E132" s="4">
        <v>201</v>
      </c>
      <c r="F132" s="4">
        <f>ROUND(Source!O130,O132)</f>
        <v>0</v>
      </c>
      <c r="G132" s="4" t="s">
        <v>21</v>
      </c>
      <c r="H132" s="4" t="s">
        <v>22</v>
      </c>
      <c r="I132" s="4"/>
      <c r="J132" s="4"/>
      <c r="K132" s="4">
        <v>201</v>
      </c>
      <c r="L132" s="4">
        <v>1</v>
      </c>
      <c r="M132" s="4">
        <v>3</v>
      </c>
      <c r="N132" s="4" t="s">
        <v>6</v>
      </c>
      <c r="O132" s="4">
        <v>0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06" x14ac:dyDescent="0.2">
      <c r="A133" s="4">
        <v>50</v>
      </c>
      <c r="B133" s="4">
        <v>0</v>
      </c>
      <c r="C133" s="4">
        <v>0</v>
      </c>
      <c r="D133" s="4">
        <v>1</v>
      </c>
      <c r="E133" s="4">
        <v>202</v>
      </c>
      <c r="F133" s="4">
        <f>ROUND(Source!P130,O133)</f>
        <v>0</v>
      </c>
      <c r="G133" s="4" t="s">
        <v>23</v>
      </c>
      <c r="H133" s="4" t="s">
        <v>24</v>
      </c>
      <c r="I133" s="4"/>
      <c r="J133" s="4"/>
      <c r="K133" s="4">
        <v>202</v>
      </c>
      <c r="L133" s="4">
        <v>2</v>
      </c>
      <c r="M133" s="4">
        <v>3</v>
      </c>
      <c r="N133" s="4" t="s">
        <v>6</v>
      </c>
      <c r="O133" s="4">
        <v>0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06" x14ac:dyDescent="0.2">
      <c r="A134" s="4">
        <v>50</v>
      </c>
      <c r="B134" s="4">
        <v>0</v>
      </c>
      <c r="C134" s="4">
        <v>0</v>
      </c>
      <c r="D134" s="4">
        <v>1</v>
      </c>
      <c r="E134" s="4">
        <v>222</v>
      </c>
      <c r="F134" s="4">
        <f>ROUND(Source!AO130,O134)</f>
        <v>0</v>
      </c>
      <c r="G134" s="4" t="s">
        <v>25</v>
      </c>
      <c r="H134" s="4" t="s">
        <v>26</v>
      </c>
      <c r="I134" s="4"/>
      <c r="J134" s="4"/>
      <c r="K134" s="4">
        <v>222</v>
      </c>
      <c r="L134" s="4">
        <v>3</v>
      </c>
      <c r="M134" s="4">
        <v>3</v>
      </c>
      <c r="N134" s="4" t="s">
        <v>6</v>
      </c>
      <c r="O134" s="4">
        <v>0</v>
      </c>
      <c r="P134" s="4"/>
      <c r="Q134" s="4"/>
      <c r="R134" s="4"/>
      <c r="S134" s="4"/>
      <c r="T134" s="4"/>
      <c r="U134" s="4"/>
      <c r="V134" s="4"/>
      <c r="W134" s="4">
        <v>0</v>
      </c>
      <c r="X134" s="4">
        <v>1</v>
      </c>
      <c r="Y134" s="4">
        <v>0</v>
      </c>
      <c r="Z134" s="4"/>
      <c r="AA134" s="4"/>
      <c r="AB134" s="4"/>
    </row>
    <row r="135" spans="1:206" x14ac:dyDescent="0.2">
      <c r="A135" s="4">
        <v>50</v>
      </c>
      <c r="B135" s="4">
        <v>0</v>
      </c>
      <c r="C135" s="4">
        <v>0</v>
      </c>
      <c r="D135" s="4">
        <v>1</v>
      </c>
      <c r="E135" s="4">
        <v>225</v>
      </c>
      <c r="F135" s="4">
        <f>ROUND(Source!AV130,O135)</f>
        <v>0</v>
      </c>
      <c r="G135" s="4" t="s">
        <v>27</v>
      </c>
      <c r="H135" s="4" t="s">
        <v>28</v>
      </c>
      <c r="I135" s="4"/>
      <c r="J135" s="4"/>
      <c r="K135" s="4">
        <v>225</v>
      </c>
      <c r="L135" s="4">
        <v>4</v>
      </c>
      <c r="M135" s="4">
        <v>3</v>
      </c>
      <c r="N135" s="4" t="s">
        <v>6</v>
      </c>
      <c r="O135" s="4">
        <v>0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06" x14ac:dyDescent="0.2">
      <c r="A136" s="4">
        <v>50</v>
      </c>
      <c r="B136" s="4">
        <v>0</v>
      </c>
      <c r="C136" s="4">
        <v>0</v>
      </c>
      <c r="D136" s="4">
        <v>1</v>
      </c>
      <c r="E136" s="4">
        <v>226</v>
      </c>
      <c r="F136" s="4">
        <f>ROUND(Source!AW130,O136)</f>
        <v>0</v>
      </c>
      <c r="G136" s="4" t="s">
        <v>29</v>
      </c>
      <c r="H136" s="4" t="s">
        <v>30</v>
      </c>
      <c r="I136" s="4"/>
      <c r="J136" s="4"/>
      <c r="K136" s="4">
        <v>226</v>
      </c>
      <c r="L136" s="4">
        <v>5</v>
      </c>
      <c r="M136" s="4">
        <v>3</v>
      </c>
      <c r="N136" s="4" t="s">
        <v>6</v>
      </c>
      <c r="O136" s="4">
        <v>0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06" x14ac:dyDescent="0.2">
      <c r="A137" s="4">
        <v>50</v>
      </c>
      <c r="B137" s="4">
        <v>0</v>
      </c>
      <c r="C137" s="4">
        <v>0</v>
      </c>
      <c r="D137" s="4">
        <v>1</v>
      </c>
      <c r="E137" s="4">
        <v>227</v>
      </c>
      <c r="F137" s="4">
        <f>ROUND(Source!AX130,O137)</f>
        <v>0</v>
      </c>
      <c r="G137" s="4" t="s">
        <v>31</v>
      </c>
      <c r="H137" s="4" t="s">
        <v>32</v>
      </c>
      <c r="I137" s="4"/>
      <c r="J137" s="4"/>
      <c r="K137" s="4">
        <v>227</v>
      </c>
      <c r="L137" s="4">
        <v>6</v>
      </c>
      <c r="M137" s="4">
        <v>3</v>
      </c>
      <c r="N137" s="4" t="s">
        <v>6</v>
      </c>
      <c r="O137" s="4">
        <v>0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06" x14ac:dyDescent="0.2">
      <c r="A138" s="4">
        <v>50</v>
      </c>
      <c r="B138" s="4">
        <v>0</v>
      </c>
      <c r="C138" s="4">
        <v>0</v>
      </c>
      <c r="D138" s="4">
        <v>1</v>
      </c>
      <c r="E138" s="4">
        <v>228</v>
      </c>
      <c r="F138" s="4">
        <f>ROUND(Source!AY130,O138)</f>
        <v>0</v>
      </c>
      <c r="G138" s="4" t="s">
        <v>33</v>
      </c>
      <c r="H138" s="4" t="s">
        <v>34</v>
      </c>
      <c r="I138" s="4"/>
      <c r="J138" s="4"/>
      <c r="K138" s="4">
        <v>228</v>
      </c>
      <c r="L138" s="4">
        <v>7</v>
      </c>
      <c r="M138" s="4">
        <v>3</v>
      </c>
      <c r="N138" s="4" t="s">
        <v>6</v>
      </c>
      <c r="O138" s="4">
        <v>0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06" x14ac:dyDescent="0.2">
      <c r="A139" s="4">
        <v>50</v>
      </c>
      <c r="B139" s="4">
        <v>0</v>
      </c>
      <c r="C139" s="4">
        <v>0</v>
      </c>
      <c r="D139" s="4">
        <v>1</v>
      </c>
      <c r="E139" s="4">
        <v>216</v>
      </c>
      <c r="F139" s="4">
        <f>ROUND(Source!AP130,O139)</f>
        <v>0</v>
      </c>
      <c r="G139" s="4" t="s">
        <v>35</v>
      </c>
      <c r="H139" s="4" t="s">
        <v>36</v>
      </c>
      <c r="I139" s="4"/>
      <c r="J139" s="4"/>
      <c r="K139" s="4">
        <v>216</v>
      </c>
      <c r="L139" s="4">
        <v>8</v>
      </c>
      <c r="M139" s="4">
        <v>3</v>
      </c>
      <c r="N139" s="4" t="s">
        <v>6</v>
      </c>
      <c r="O139" s="4">
        <v>0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06" x14ac:dyDescent="0.2">
      <c r="A140" s="4">
        <v>50</v>
      </c>
      <c r="B140" s="4">
        <v>0</v>
      </c>
      <c r="C140" s="4">
        <v>0</v>
      </c>
      <c r="D140" s="4">
        <v>1</v>
      </c>
      <c r="E140" s="4">
        <v>223</v>
      </c>
      <c r="F140" s="4">
        <f>ROUND(Source!AQ130,O140)</f>
        <v>0</v>
      </c>
      <c r="G140" s="4" t="s">
        <v>37</v>
      </c>
      <c r="H140" s="4" t="s">
        <v>38</v>
      </c>
      <c r="I140" s="4"/>
      <c r="J140" s="4"/>
      <c r="K140" s="4">
        <v>223</v>
      </c>
      <c r="L140" s="4">
        <v>9</v>
      </c>
      <c r="M140" s="4">
        <v>3</v>
      </c>
      <c r="N140" s="4" t="s">
        <v>6</v>
      </c>
      <c r="O140" s="4">
        <v>0</v>
      </c>
      <c r="P140" s="4"/>
      <c r="Q140" s="4"/>
      <c r="R140" s="4"/>
      <c r="S140" s="4"/>
      <c r="T140" s="4"/>
      <c r="U140" s="4"/>
      <c r="V140" s="4"/>
      <c r="W140" s="4">
        <v>0</v>
      </c>
      <c r="X140" s="4">
        <v>1</v>
      </c>
      <c r="Y140" s="4">
        <v>0</v>
      </c>
      <c r="Z140" s="4"/>
      <c r="AA140" s="4"/>
      <c r="AB140" s="4"/>
    </row>
    <row r="141" spans="1:206" x14ac:dyDescent="0.2">
      <c r="A141" s="4">
        <v>50</v>
      </c>
      <c r="B141" s="4">
        <v>0</v>
      </c>
      <c r="C141" s="4">
        <v>0</v>
      </c>
      <c r="D141" s="4">
        <v>1</v>
      </c>
      <c r="E141" s="4">
        <v>229</v>
      </c>
      <c r="F141" s="4">
        <f>ROUND(Source!AZ130,O141)</f>
        <v>0</v>
      </c>
      <c r="G141" s="4" t="s">
        <v>39</v>
      </c>
      <c r="H141" s="4" t="s">
        <v>40</v>
      </c>
      <c r="I141" s="4"/>
      <c r="J141" s="4"/>
      <c r="K141" s="4">
        <v>229</v>
      </c>
      <c r="L141" s="4">
        <v>10</v>
      </c>
      <c r="M141" s="4">
        <v>3</v>
      </c>
      <c r="N141" s="4" t="s">
        <v>6</v>
      </c>
      <c r="O141" s="4">
        <v>0</v>
      </c>
      <c r="P141" s="4"/>
      <c r="Q141" s="4"/>
      <c r="R141" s="4"/>
      <c r="S141" s="4"/>
      <c r="T141" s="4"/>
      <c r="U141" s="4"/>
      <c r="V141" s="4"/>
      <c r="W141" s="4">
        <v>0</v>
      </c>
      <c r="X141" s="4">
        <v>1</v>
      </c>
      <c r="Y141" s="4">
        <v>0</v>
      </c>
      <c r="Z141" s="4"/>
      <c r="AA141" s="4"/>
      <c r="AB141" s="4"/>
    </row>
    <row r="142" spans="1:206" x14ac:dyDescent="0.2">
      <c r="A142" s="4">
        <v>50</v>
      </c>
      <c r="B142" s="4">
        <v>0</v>
      </c>
      <c r="C142" s="4">
        <v>0</v>
      </c>
      <c r="D142" s="4">
        <v>1</v>
      </c>
      <c r="E142" s="4">
        <v>203</v>
      </c>
      <c r="F142" s="4">
        <f>ROUND(Source!Q130,O142)</f>
        <v>0</v>
      </c>
      <c r="G142" s="4" t="s">
        <v>41</v>
      </c>
      <c r="H142" s="4" t="s">
        <v>42</v>
      </c>
      <c r="I142" s="4"/>
      <c r="J142" s="4"/>
      <c r="K142" s="4">
        <v>203</v>
      </c>
      <c r="L142" s="4">
        <v>11</v>
      </c>
      <c r="M142" s="4">
        <v>3</v>
      </c>
      <c r="N142" s="4" t="s">
        <v>6</v>
      </c>
      <c r="O142" s="4">
        <v>0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06" x14ac:dyDescent="0.2">
      <c r="A143" s="4">
        <v>50</v>
      </c>
      <c r="B143" s="4">
        <v>0</v>
      </c>
      <c r="C143" s="4">
        <v>0</v>
      </c>
      <c r="D143" s="4">
        <v>1</v>
      </c>
      <c r="E143" s="4">
        <v>231</v>
      </c>
      <c r="F143" s="4">
        <f>ROUND(Source!BB130,O143)</f>
        <v>0</v>
      </c>
      <c r="G143" s="4" t="s">
        <v>43</v>
      </c>
      <c r="H143" s="4" t="s">
        <v>44</v>
      </c>
      <c r="I143" s="4"/>
      <c r="J143" s="4"/>
      <c r="K143" s="4">
        <v>231</v>
      </c>
      <c r="L143" s="4">
        <v>12</v>
      </c>
      <c r="M143" s="4">
        <v>3</v>
      </c>
      <c r="N143" s="4" t="s">
        <v>6</v>
      </c>
      <c r="O143" s="4">
        <v>0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06" x14ac:dyDescent="0.2">
      <c r="A144" s="4">
        <v>50</v>
      </c>
      <c r="B144" s="4">
        <v>0</v>
      </c>
      <c r="C144" s="4">
        <v>0</v>
      </c>
      <c r="D144" s="4">
        <v>1</v>
      </c>
      <c r="E144" s="4">
        <v>204</v>
      </c>
      <c r="F144" s="4">
        <f>ROUND(Source!R130,O144)</f>
        <v>0</v>
      </c>
      <c r="G144" s="4" t="s">
        <v>45</v>
      </c>
      <c r="H144" s="4" t="s">
        <v>46</v>
      </c>
      <c r="I144" s="4"/>
      <c r="J144" s="4"/>
      <c r="K144" s="4">
        <v>204</v>
      </c>
      <c r="L144" s="4">
        <v>13</v>
      </c>
      <c r="M144" s="4">
        <v>3</v>
      </c>
      <c r="N144" s="4" t="s">
        <v>6</v>
      </c>
      <c r="O144" s="4">
        <v>0</v>
      </c>
      <c r="P144" s="4"/>
      <c r="Q144" s="4"/>
      <c r="R144" s="4"/>
      <c r="S144" s="4"/>
      <c r="T144" s="4"/>
      <c r="U144" s="4"/>
      <c r="V144" s="4"/>
      <c r="W144" s="4">
        <v>0</v>
      </c>
      <c r="X144" s="4">
        <v>1</v>
      </c>
      <c r="Y144" s="4">
        <v>0</v>
      </c>
      <c r="Z144" s="4"/>
      <c r="AA144" s="4"/>
      <c r="AB144" s="4"/>
    </row>
    <row r="145" spans="1:88" x14ac:dyDescent="0.2">
      <c r="A145" s="4">
        <v>50</v>
      </c>
      <c r="B145" s="4">
        <v>0</v>
      </c>
      <c r="C145" s="4">
        <v>0</v>
      </c>
      <c r="D145" s="4">
        <v>1</v>
      </c>
      <c r="E145" s="4">
        <v>205</v>
      </c>
      <c r="F145" s="4">
        <f>ROUND(Source!S130,O145)</f>
        <v>0</v>
      </c>
      <c r="G145" s="4" t="s">
        <v>47</v>
      </c>
      <c r="H145" s="4" t="s">
        <v>48</v>
      </c>
      <c r="I145" s="4"/>
      <c r="J145" s="4"/>
      <c r="K145" s="4">
        <v>205</v>
      </c>
      <c r="L145" s="4">
        <v>14</v>
      </c>
      <c r="M145" s="4">
        <v>3</v>
      </c>
      <c r="N145" s="4" t="s">
        <v>6</v>
      </c>
      <c r="O145" s="4">
        <v>0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88" x14ac:dyDescent="0.2">
      <c r="A146" s="4">
        <v>50</v>
      </c>
      <c r="B146" s="4">
        <v>0</v>
      </c>
      <c r="C146" s="4">
        <v>0</v>
      </c>
      <c r="D146" s="4">
        <v>1</v>
      </c>
      <c r="E146" s="4">
        <v>232</v>
      </c>
      <c r="F146" s="4">
        <f>ROUND(Source!BC130,O146)</f>
        <v>0</v>
      </c>
      <c r="G146" s="4" t="s">
        <v>49</v>
      </c>
      <c r="H146" s="4" t="s">
        <v>50</v>
      </c>
      <c r="I146" s="4"/>
      <c r="J146" s="4"/>
      <c r="K146" s="4">
        <v>232</v>
      </c>
      <c r="L146" s="4">
        <v>15</v>
      </c>
      <c r="M146" s="4">
        <v>3</v>
      </c>
      <c r="N146" s="4" t="s">
        <v>6</v>
      </c>
      <c r="O146" s="4">
        <v>0</v>
      </c>
      <c r="P146" s="4"/>
      <c r="Q146" s="4"/>
      <c r="R146" s="4"/>
      <c r="S146" s="4"/>
      <c r="T146" s="4"/>
      <c r="U146" s="4"/>
      <c r="V146" s="4"/>
      <c r="W146" s="4">
        <v>0</v>
      </c>
      <c r="X146" s="4">
        <v>1</v>
      </c>
      <c r="Y146" s="4">
        <v>0</v>
      </c>
      <c r="Z146" s="4"/>
      <c r="AA146" s="4"/>
      <c r="AB146" s="4"/>
    </row>
    <row r="147" spans="1:88" x14ac:dyDescent="0.2">
      <c r="A147" s="4">
        <v>50</v>
      </c>
      <c r="B147" s="4">
        <v>0</v>
      </c>
      <c r="C147" s="4">
        <v>0</v>
      </c>
      <c r="D147" s="4">
        <v>1</v>
      </c>
      <c r="E147" s="4">
        <v>214</v>
      </c>
      <c r="F147" s="4">
        <f>ROUND(Source!AS130,O147)</f>
        <v>0</v>
      </c>
      <c r="G147" s="4" t="s">
        <v>51</v>
      </c>
      <c r="H147" s="4" t="s">
        <v>52</v>
      </c>
      <c r="I147" s="4"/>
      <c r="J147" s="4"/>
      <c r="K147" s="4">
        <v>214</v>
      </c>
      <c r="L147" s="4">
        <v>16</v>
      </c>
      <c r="M147" s="4">
        <v>3</v>
      </c>
      <c r="N147" s="4" t="s">
        <v>6</v>
      </c>
      <c r="O147" s="4">
        <v>0</v>
      </c>
      <c r="P147" s="4"/>
      <c r="Q147" s="4"/>
      <c r="R147" s="4"/>
      <c r="S147" s="4"/>
      <c r="T147" s="4"/>
      <c r="U147" s="4"/>
      <c r="V147" s="4"/>
      <c r="W147" s="4">
        <v>0</v>
      </c>
      <c r="X147" s="4">
        <v>1</v>
      </c>
      <c r="Y147" s="4">
        <v>0</v>
      </c>
      <c r="Z147" s="4"/>
      <c r="AA147" s="4"/>
      <c r="AB147" s="4"/>
    </row>
    <row r="148" spans="1:88" x14ac:dyDescent="0.2">
      <c r="A148" s="4">
        <v>50</v>
      </c>
      <c r="B148" s="4">
        <v>0</v>
      </c>
      <c r="C148" s="4">
        <v>0</v>
      </c>
      <c r="D148" s="4">
        <v>1</v>
      </c>
      <c r="E148" s="4">
        <v>215</v>
      </c>
      <c r="F148" s="4">
        <f>ROUND(Source!AT130,O148)</f>
        <v>0</v>
      </c>
      <c r="G148" s="4" t="s">
        <v>53</v>
      </c>
      <c r="H148" s="4" t="s">
        <v>54</v>
      </c>
      <c r="I148" s="4"/>
      <c r="J148" s="4"/>
      <c r="K148" s="4">
        <v>215</v>
      </c>
      <c r="L148" s="4">
        <v>17</v>
      </c>
      <c r="M148" s="4">
        <v>3</v>
      </c>
      <c r="N148" s="4" t="s">
        <v>6</v>
      </c>
      <c r="O148" s="4">
        <v>0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88" x14ac:dyDescent="0.2">
      <c r="A149" s="4">
        <v>50</v>
      </c>
      <c r="B149" s="4">
        <v>0</v>
      </c>
      <c r="C149" s="4">
        <v>0</v>
      </c>
      <c r="D149" s="4">
        <v>1</v>
      </c>
      <c r="E149" s="4">
        <v>217</v>
      </c>
      <c r="F149" s="4">
        <f>ROUND(Source!AU130,O149)</f>
        <v>0</v>
      </c>
      <c r="G149" s="4" t="s">
        <v>55</v>
      </c>
      <c r="H149" s="4" t="s">
        <v>56</v>
      </c>
      <c r="I149" s="4"/>
      <c r="J149" s="4"/>
      <c r="K149" s="4">
        <v>217</v>
      </c>
      <c r="L149" s="4">
        <v>18</v>
      </c>
      <c r="M149" s="4">
        <v>3</v>
      </c>
      <c r="N149" s="4" t="s">
        <v>6</v>
      </c>
      <c r="O149" s="4">
        <v>0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88" x14ac:dyDescent="0.2">
      <c r="A150" s="4">
        <v>50</v>
      </c>
      <c r="B150" s="4">
        <v>0</v>
      </c>
      <c r="C150" s="4">
        <v>0</v>
      </c>
      <c r="D150" s="4">
        <v>1</v>
      </c>
      <c r="E150" s="4">
        <v>230</v>
      </c>
      <c r="F150" s="4">
        <f>ROUND(Source!BA130,O150)</f>
        <v>0</v>
      </c>
      <c r="G150" s="4" t="s">
        <v>57</v>
      </c>
      <c r="H150" s="4" t="s">
        <v>58</v>
      </c>
      <c r="I150" s="4"/>
      <c r="J150" s="4"/>
      <c r="K150" s="4">
        <v>230</v>
      </c>
      <c r="L150" s="4">
        <v>19</v>
      </c>
      <c r="M150" s="4">
        <v>3</v>
      </c>
      <c r="N150" s="4" t="s">
        <v>6</v>
      </c>
      <c r="O150" s="4">
        <v>0</v>
      </c>
      <c r="P150" s="4"/>
      <c r="Q150" s="4"/>
      <c r="R150" s="4"/>
      <c r="S150" s="4"/>
      <c r="T150" s="4"/>
      <c r="U150" s="4"/>
      <c r="V150" s="4"/>
      <c r="W150" s="4">
        <v>0</v>
      </c>
      <c r="X150" s="4">
        <v>1</v>
      </c>
      <c r="Y150" s="4">
        <v>0</v>
      </c>
      <c r="Z150" s="4"/>
      <c r="AA150" s="4"/>
      <c r="AB150" s="4"/>
    </row>
    <row r="151" spans="1:88" x14ac:dyDescent="0.2">
      <c r="A151" s="4">
        <v>50</v>
      </c>
      <c r="B151" s="4">
        <v>0</v>
      </c>
      <c r="C151" s="4">
        <v>0</v>
      </c>
      <c r="D151" s="4">
        <v>1</v>
      </c>
      <c r="E151" s="4">
        <v>206</v>
      </c>
      <c r="F151" s="4">
        <f>ROUND(Source!T130,O151)</f>
        <v>0</v>
      </c>
      <c r="G151" s="4" t="s">
        <v>59</v>
      </c>
      <c r="H151" s="4" t="s">
        <v>60</v>
      </c>
      <c r="I151" s="4"/>
      <c r="J151" s="4"/>
      <c r="K151" s="4">
        <v>206</v>
      </c>
      <c r="L151" s="4">
        <v>20</v>
      </c>
      <c r="M151" s="4">
        <v>3</v>
      </c>
      <c r="N151" s="4" t="s">
        <v>6</v>
      </c>
      <c r="O151" s="4">
        <v>0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88" x14ac:dyDescent="0.2">
      <c r="A152" s="4">
        <v>50</v>
      </c>
      <c r="B152" s="4">
        <v>0</v>
      </c>
      <c r="C152" s="4">
        <v>0</v>
      </c>
      <c r="D152" s="4">
        <v>1</v>
      </c>
      <c r="E152" s="4">
        <v>207</v>
      </c>
      <c r="F152" s="4">
        <f>ROUND(Source!U130,O152)</f>
        <v>0</v>
      </c>
      <c r="G152" s="4" t="s">
        <v>61</v>
      </c>
      <c r="H152" s="4" t="s">
        <v>62</v>
      </c>
      <c r="I152" s="4"/>
      <c r="J152" s="4"/>
      <c r="K152" s="4">
        <v>207</v>
      </c>
      <c r="L152" s="4">
        <v>21</v>
      </c>
      <c r="M152" s="4">
        <v>3</v>
      </c>
      <c r="N152" s="4" t="s">
        <v>6</v>
      </c>
      <c r="O152" s="4">
        <v>7</v>
      </c>
      <c r="P152" s="4"/>
      <c r="Q152" s="4"/>
      <c r="R152" s="4"/>
      <c r="S152" s="4"/>
      <c r="T152" s="4"/>
      <c r="U152" s="4"/>
      <c r="V152" s="4"/>
      <c r="W152" s="4">
        <v>0</v>
      </c>
      <c r="X152" s="4">
        <v>1</v>
      </c>
      <c r="Y152" s="4">
        <v>0</v>
      </c>
      <c r="Z152" s="4"/>
      <c r="AA152" s="4"/>
      <c r="AB152" s="4"/>
    </row>
    <row r="153" spans="1:88" x14ac:dyDescent="0.2">
      <c r="A153" s="4">
        <v>50</v>
      </c>
      <c r="B153" s="4">
        <v>0</v>
      </c>
      <c r="C153" s="4">
        <v>0</v>
      </c>
      <c r="D153" s="4">
        <v>1</v>
      </c>
      <c r="E153" s="4">
        <v>208</v>
      </c>
      <c r="F153" s="4">
        <f>ROUND(Source!V130,O153)</f>
        <v>0</v>
      </c>
      <c r="G153" s="4" t="s">
        <v>63</v>
      </c>
      <c r="H153" s="4" t="s">
        <v>64</v>
      </c>
      <c r="I153" s="4"/>
      <c r="J153" s="4"/>
      <c r="K153" s="4">
        <v>208</v>
      </c>
      <c r="L153" s="4">
        <v>22</v>
      </c>
      <c r="M153" s="4">
        <v>3</v>
      </c>
      <c r="N153" s="4" t="s">
        <v>6</v>
      </c>
      <c r="O153" s="4">
        <v>7</v>
      </c>
      <c r="P153" s="4"/>
      <c r="Q153" s="4"/>
      <c r="R153" s="4"/>
      <c r="S153" s="4"/>
      <c r="T153" s="4"/>
      <c r="U153" s="4"/>
      <c r="V153" s="4"/>
      <c r="W153" s="4">
        <v>0</v>
      </c>
      <c r="X153" s="4">
        <v>1</v>
      </c>
      <c r="Y153" s="4">
        <v>0</v>
      </c>
      <c r="Z153" s="4"/>
      <c r="AA153" s="4"/>
      <c r="AB153" s="4"/>
    </row>
    <row r="154" spans="1:88" x14ac:dyDescent="0.2">
      <c r="A154" s="4">
        <v>50</v>
      </c>
      <c r="B154" s="4">
        <v>0</v>
      </c>
      <c r="C154" s="4">
        <v>0</v>
      </c>
      <c r="D154" s="4">
        <v>1</v>
      </c>
      <c r="E154" s="4">
        <v>209</v>
      </c>
      <c r="F154" s="4">
        <f>ROUND(Source!W130,O154)</f>
        <v>0</v>
      </c>
      <c r="G154" s="4" t="s">
        <v>65</v>
      </c>
      <c r="H154" s="4" t="s">
        <v>66</v>
      </c>
      <c r="I154" s="4"/>
      <c r="J154" s="4"/>
      <c r="K154" s="4">
        <v>209</v>
      </c>
      <c r="L154" s="4">
        <v>23</v>
      </c>
      <c r="M154" s="4">
        <v>3</v>
      </c>
      <c r="N154" s="4" t="s">
        <v>6</v>
      </c>
      <c r="O154" s="4">
        <v>0</v>
      </c>
      <c r="P154" s="4"/>
      <c r="Q154" s="4"/>
      <c r="R154" s="4"/>
      <c r="S154" s="4"/>
      <c r="T154" s="4"/>
      <c r="U154" s="4"/>
      <c r="V154" s="4"/>
      <c r="W154" s="4">
        <v>0</v>
      </c>
      <c r="X154" s="4">
        <v>1</v>
      </c>
      <c r="Y154" s="4">
        <v>0</v>
      </c>
      <c r="Z154" s="4"/>
      <c r="AA154" s="4"/>
      <c r="AB154" s="4"/>
    </row>
    <row r="155" spans="1:88" x14ac:dyDescent="0.2">
      <c r="A155" s="4">
        <v>50</v>
      </c>
      <c r="B155" s="4">
        <v>0</v>
      </c>
      <c r="C155" s="4">
        <v>0</v>
      </c>
      <c r="D155" s="4">
        <v>1</v>
      </c>
      <c r="E155" s="4">
        <v>233</v>
      </c>
      <c r="F155" s="4">
        <f>ROUND(Source!BD130,O155)</f>
        <v>0</v>
      </c>
      <c r="G155" s="4" t="s">
        <v>67</v>
      </c>
      <c r="H155" s="4" t="s">
        <v>68</v>
      </c>
      <c r="I155" s="4"/>
      <c r="J155" s="4"/>
      <c r="K155" s="4">
        <v>233</v>
      </c>
      <c r="L155" s="4">
        <v>24</v>
      </c>
      <c r="M155" s="4">
        <v>3</v>
      </c>
      <c r="N155" s="4" t="s">
        <v>6</v>
      </c>
      <c r="O155" s="4">
        <v>0</v>
      </c>
      <c r="P155" s="4"/>
      <c r="Q155" s="4"/>
      <c r="R155" s="4"/>
      <c r="S155" s="4"/>
      <c r="T155" s="4"/>
      <c r="U155" s="4"/>
      <c r="V155" s="4"/>
      <c r="W155" s="4">
        <v>0</v>
      </c>
      <c r="X155" s="4">
        <v>1</v>
      </c>
      <c r="Y155" s="4">
        <v>0</v>
      </c>
      <c r="Z155" s="4"/>
      <c r="AA155" s="4"/>
      <c r="AB155" s="4"/>
    </row>
    <row r="156" spans="1:88" x14ac:dyDescent="0.2">
      <c r="A156" s="4">
        <v>50</v>
      </c>
      <c r="B156" s="4">
        <v>0</v>
      </c>
      <c r="C156" s="4">
        <v>0</v>
      </c>
      <c r="D156" s="4">
        <v>1</v>
      </c>
      <c r="E156" s="4">
        <v>210</v>
      </c>
      <c r="F156" s="4">
        <f>ROUND(Source!X130,O156)</f>
        <v>0</v>
      </c>
      <c r="G156" s="4" t="s">
        <v>69</v>
      </c>
      <c r="H156" s="4" t="s">
        <v>70</v>
      </c>
      <c r="I156" s="4"/>
      <c r="J156" s="4"/>
      <c r="K156" s="4">
        <v>210</v>
      </c>
      <c r="L156" s="4">
        <v>25</v>
      </c>
      <c r="M156" s="4">
        <v>3</v>
      </c>
      <c r="N156" s="4" t="s">
        <v>6</v>
      </c>
      <c r="O156" s="4">
        <v>0</v>
      </c>
      <c r="P156" s="4"/>
      <c r="Q156" s="4"/>
      <c r="R156" s="4"/>
      <c r="S156" s="4"/>
      <c r="T156" s="4"/>
      <c r="U156" s="4"/>
      <c r="V156" s="4"/>
      <c r="W156" s="4">
        <v>0</v>
      </c>
      <c r="X156" s="4">
        <v>1</v>
      </c>
      <c r="Y156" s="4">
        <v>0</v>
      </c>
      <c r="Z156" s="4"/>
      <c r="AA156" s="4"/>
      <c r="AB156" s="4"/>
    </row>
    <row r="157" spans="1:88" x14ac:dyDescent="0.2">
      <c r="A157" s="4">
        <v>50</v>
      </c>
      <c r="B157" s="4">
        <v>0</v>
      </c>
      <c r="C157" s="4">
        <v>0</v>
      </c>
      <c r="D157" s="4">
        <v>1</v>
      </c>
      <c r="E157" s="4">
        <v>211</v>
      </c>
      <c r="F157" s="4">
        <f>ROUND(Source!Y130,O157)</f>
        <v>0</v>
      </c>
      <c r="G157" s="4" t="s">
        <v>71</v>
      </c>
      <c r="H157" s="4" t="s">
        <v>72</v>
      </c>
      <c r="I157" s="4"/>
      <c r="J157" s="4"/>
      <c r="K157" s="4">
        <v>211</v>
      </c>
      <c r="L157" s="4">
        <v>26</v>
      </c>
      <c r="M157" s="4">
        <v>3</v>
      </c>
      <c r="N157" s="4" t="s">
        <v>6</v>
      </c>
      <c r="O157" s="4">
        <v>0</v>
      </c>
      <c r="P157" s="4"/>
      <c r="Q157" s="4"/>
      <c r="R157" s="4"/>
      <c r="S157" s="4"/>
      <c r="T157" s="4"/>
      <c r="U157" s="4"/>
      <c r="V157" s="4"/>
      <c r="W157" s="4">
        <v>0</v>
      </c>
      <c r="X157" s="4">
        <v>1</v>
      </c>
      <c r="Y157" s="4">
        <v>0</v>
      </c>
      <c r="Z157" s="4"/>
      <c r="AA157" s="4"/>
      <c r="AB157" s="4"/>
    </row>
    <row r="158" spans="1:88" x14ac:dyDescent="0.2">
      <c r="A158" s="4">
        <v>50</v>
      </c>
      <c r="B158" s="4">
        <v>0</v>
      </c>
      <c r="C158" s="4">
        <v>0</v>
      </c>
      <c r="D158" s="4">
        <v>1</v>
      </c>
      <c r="E158" s="4">
        <v>224</v>
      </c>
      <c r="F158" s="4">
        <f>ROUND(Source!AR130,O158)</f>
        <v>0</v>
      </c>
      <c r="G158" s="4" t="s">
        <v>73</v>
      </c>
      <c r="H158" s="4" t="s">
        <v>74</v>
      </c>
      <c r="I158" s="4"/>
      <c r="J158" s="4"/>
      <c r="K158" s="4">
        <v>224</v>
      </c>
      <c r="L158" s="4">
        <v>27</v>
      </c>
      <c r="M158" s="4">
        <v>3</v>
      </c>
      <c r="N158" s="4" t="s">
        <v>6</v>
      </c>
      <c r="O158" s="4">
        <v>0</v>
      </c>
      <c r="P158" s="4"/>
      <c r="Q158" s="4"/>
      <c r="R158" s="4"/>
      <c r="S158" s="4"/>
      <c r="T158" s="4"/>
      <c r="U158" s="4"/>
      <c r="V158" s="4"/>
      <c r="W158" s="4">
        <v>0</v>
      </c>
      <c r="X158" s="4">
        <v>1</v>
      </c>
      <c r="Y158" s="4">
        <v>0</v>
      </c>
      <c r="Z158" s="4"/>
      <c r="AA158" s="4"/>
      <c r="AB158" s="4"/>
    </row>
    <row r="160" spans="1:88" x14ac:dyDescent="0.2">
      <c r="A160" s="1">
        <v>4</v>
      </c>
      <c r="B160" s="1">
        <v>1</v>
      </c>
      <c r="C160" s="1"/>
      <c r="D160" s="1">
        <f>ROW(A164)</f>
        <v>164</v>
      </c>
      <c r="E160" s="1"/>
      <c r="F160" s="1" t="s">
        <v>81</v>
      </c>
      <c r="G160" s="1" t="s">
        <v>82</v>
      </c>
      <c r="H160" s="1" t="s">
        <v>6</v>
      </c>
      <c r="I160" s="1">
        <v>0</v>
      </c>
      <c r="J160" s="1"/>
      <c r="K160" s="1">
        <v>-1</v>
      </c>
      <c r="L160" s="1"/>
      <c r="M160" s="1" t="s">
        <v>6</v>
      </c>
      <c r="N160" s="1"/>
      <c r="O160" s="1"/>
      <c r="P160" s="1"/>
      <c r="Q160" s="1"/>
      <c r="R160" s="1"/>
      <c r="S160" s="1">
        <v>0</v>
      </c>
      <c r="T160" s="1"/>
      <c r="U160" s="1" t="s">
        <v>6</v>
      </c>
      <c r="V160" s="1">
        <v>0</v>
      </c>
      <c r="W160" s="1"/>
      <c r="X160" s="1"/>
      <c r="Y160" s="1"/>
      <c r="Z160" s="1"/>
      <c r="AA160" s="1"/>
      <c r="AB160" s="1" t="s">
        <v>6</v>
      </c>
      <c r="AC160" s="1" t="s">
        <v>6</v>
      </c>
      <c r="AD160" s="1" t="s">
        <v>6</v>
      </c>
      <c r="AE160" s="1" t="s">
        <v>6</v>
      </c>
      <c r="AF160" s="1" t="s">
        <v>6</v>
      </c>
      <c r="AG160" s="1" t="s">
        <v>6</v>
      </c>
      <c r="AH160" s="1"/>
      <c r="AI160" s="1"/>
      <c r="AJ160" s="1"/>
      <c r="AK160" s="1"/>
      <c r="AL160" s="1"/>
      <c r="AM160" s="1"/>
      <c r="AN160" s="1"/>
      <c r="AO160" s="1"/>
      <c r="AP160" s="1" t="s">
        <v>6</v>
      </c>
      <c r="AQ160" s="1" t="s">
        <v>6</v>
      </c>
      <c r="AR160" s="1" t="s">
        <v>6</v>
      </c>
      <c r="AS160" s="1"/>
      <c r="AT160" s="1"/>
      <c r="AU160" s="1"/>
      <c r="AV160" s="1"/>
      <c r="AW160" s="1"/>
      <c r="AX160" s="1"/>
      <c r="AY160" s="1"/>
      <c r="AZ160" s="1" t="s">
        <v>6</v>
      </c>
      <c r="BA160" s="1"/>
      <c r="BB160" s="1" t="s">
        <v>6</v>
      </c>
      <c r="BC160" s="1" t="s">
        <v>6</v>
      </c>
      <c r="BD160" s="1" t="s">
        <v>6</v>
      </c>
      <c r="BE160" s="1" t="s">
        <v>6</v>
      </c>
      <c r="BF160" s="1" t="s">
        <v>6</v>
      </c>
      <c r="BG160" s="1" t="s">
        <v>6</v>
      </c>
      <c r="BH160" s="1" t="s">
        <v>6</v>
      </c>
      <c r="BI160" s="1" t="s">
        <v>6</v>
      </c>
      <c r="BJ160" s="1" t="s">
        <v>6</v>
      </c>
      <c r="BK160" s="1" t="s">
        <v>6</v>
      </c>
      <c r="BL160" s="1" t="s">
        <v>6</v>
      </c>
      <c r="BM160" s="1" t="s">
        <v>6</v>
      </c>
      <c r="BN160" s="1" t="s">
        <v>6</v>
      </c>
      <c r="BO160" s="1" t="s">
        <v>6</v>
      </c>
      <c r="BP160" s="1" t="s">
        <v>6</v>
      </c>
      <c r="BQ160" s="1"/>
      <c r="BR160" s="1"/>
      <c r="BS160" s="1"/>
      <c r="BT160" s="1"/>
      <c r="BU160" s="1"/>
      <c r="BV160" s="1"/>
      <c r="BW160" s="1"/>
      <c r="BX160" s="1">
        <v>0</v>
      </c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>
        <v>0</v>
      </c>
    </row>
    <row r="162" spans="1:206" x14ac:dyDescent="0.2">
      <c r="A162" s="2">
        <v>52</v>
      </c>
      <c r="B162" s="2">
        <f t="shared" ref="B162:G162" si="50">B164</f>
        <v>1</v>
      </c>
      <c r="C162" s="2">
        <f t="shared" si="50"/>
        <v>4</v>
      </c>
      <c r="D162" s="2">
        <f t="shared" si="50"/>
        <v>160</v>
      </c>
      <c r="E162" s="2">
        <f t="shared" si="50"/>
        <v>0</v>
      </c>
      <c r="F162" s="2" t="str">
        <f t="shared" si="50"/>
        <v>11</v>
      </c>
      <c r="G162" s="2" t="str">
        <f t="shared" si="50"/>
        <v>БЛОК САНУЗЛОВ 5 (3-ий ЭТАЖ)</v>
      </c>
      <c r="H162" s="2"/>
      <c r="I162" s="2"/>
      <c r="J162" s="2"/>
      <c r="K162" s="2"/>
      <c r="L162" s="2"/>
      <c r="M162" s="2"/>
      <c r="N162" s="2"/>
      <c r="O162" s="2">
        <f t="shared" ref="O162:AT162" si="51">O164</f>
        <v>0</v>
      </c>
      <c r="P162" s="2">
        <f t="shared" si="51"/>
        <v>0</v>
      </c>
      <c r="Q162" s="2">
        <f t="shared" si="51"/>
        <v>0</v>
      </c>
      <c r="R162" s="2">
        <f t="shared" si="51"/>
        <v>0</v>
      </c>
      <c r="S162" s="2">
        <f t="shared" si="51"/>
        <v>0</v>
      </c>
      <c r="T162" s="2">
        <f t="shared" si="51"/>
        <v>0</v>
      </c>
      <c r="U162" s="2">
        <f t="shared" si="51"/>
        <v>0</v>
      </c>
      <c r="V162" s="2">
        <f t="shared" si="51"/>
        <v>0</v>
      </c>
      <c r="W162" s="2">
        <f t="shared" si="51"/>
        <v>0</v>
      </c>
      <c r="X162" s="2">
        <f t="shared" si="51"/>
        <v>0</v>
      </c>
      <c r="Y162" s="2">
        <f t="shared" si="51"/>
        <v>0</v>
      </c>
      <c r="Z162" s="2">
        <f t="shared" si="51"/>
        <v>0</v>
      </c>
      <c r="AA162" s="2">
        <f t="shared" si="51"/>
        <v>0</v>
      </c>
      <c r="AB162" s="2">
        <f t="shared" si="51"/>
        <v>0</v>
      </c>
      <c r="AC162" s="2">
        <f t="shared" si="51"/>
        <v>0</v>
      </c>
      <c r="AD162" s="2">
        <f t="shared" si="51"/>
        <v>0</v>
      </c>
      <c r="AE162" s="2">
        <f t="shared" si="51"/>
        <v>0</v>
      </c>
      <c r="AF162" s="2">
        <f t="shared" si="51"/>
        <v>0</v>
      </c>
      <c r="AG162" s="2">
        <f t="shared" si="51"/>
        <v>0</v>
      </c>
      <c r="AH162" s="2">
        <f t="shared" si="51"/>
        <v>0</v>
      </c>
      <c r="AI162" s="2">
        <f t="shared" si="51"/>
        <v>0</v>
      </c>
      <c r="AJ162" s="2">
        <f t="shared" si="51"/>
        <v>0</v>
      </c>
      <c r="AK162" s="2">
        <f t="shared" si="51"/>
        <v>0</v>
      </c>
      <c r="AL162" s="2">
        <f t="shared" si="51"/>
        <v>0</v>
      </c>
      <c r="AM162" s="2">
        <f t="shared" si="51"/>
        <v>0</v>
      </c>
      <c r="AN162" s="2">
        <f t="shared" si="51"/>
        <v>0</v>
      </c>
      <c r="AO162" s="2">
        <f t="shared" si="51"/>
        <v>0</v>
      </c>
      <c r="AP162" s="2">
        <f t="shared" si="51"/>
        <v>0</v>
      </c>
      <c r="AQ162" s="2">
        <f t="shared" si="51"/>
        <v>0</v>
      </c>
      <c r="AR162" s="2">
        <f t="shared" si="51"/>
        <v>0</v>
      </c>
      <c r="AS162" s="2">
        <f t="shared" si="51"/>
        <v>0</v>
      </c>
      <c r="AT162" s="2">
        <f t="shared" si="51"/>
        <v>0</v>
      </c>
      <c r="AU162" s="2">
        <f t="shared" ref="AU162:BZ162" si="52">AU164</f>
        <v>0</v>
      </c>
      <c r="AV162" s="2">
        <f t="shared" si="52"/>
        <v>0</v>
      </c>
      <c r="AW162" s="2">
        <f t="shared" si="52"/>
        <v>0</v>
      </c>
      <c r="AX162" s="2">
        <f t="shared" si="52"/>
        <v>0</v>
      </c>
      <c r="AY162" s="2">
        <f t="shared" si="52"/>
        <v>0</v>
      </c>
      <c r="AZ162" s="2">
        <f t="shared" si="52"/>
        <v>0</v>
      </c>
      <c r="BA162" s="2">
        <f t="shared" si="52"/>
        <v>0</v>
      </c>
      <c r="BB162" s="2">
        <f t="shared" si="52"/>
        <v>0</v>
      </c>
      <c r="BC162" s="2">
        <f t="shared" si="52"/>
        <v>0</v>
      </c>
      <c r="BD162" s="2">
        <f t="shared" si="52"/>
        <v>0</v>
      </c>
      <c r="BE162" s="2">
        <f t="shared" si="52"/>
        <v>0</v>
      </c>
      <c r="BF162" s="2">
        <f t="shared" si="52"/>
        <v>0</v>
      </c>
      <c r="BG162" s="2">
        <f t="shared" si="52"/>
        <v>0</v>
      </c>
      <c r="BH162" s="2">
        <f t="shared" si="52"/>
        <v>0</v>
      </c>
      <c r="BI162" s="2">
        <f t="shared" si="52"/>
        <v>0</v>
      </c>
      <c r="BJ162" s="2">
        <f t="shared" si="52"/>
        <v>0</v>
      </c>
      <c r="BK162" s="2">
        <f t="shared" si="52"/>
        <v>0</v>
      </c>
      <c r="BL162" s="2">
        <f t="shared" si="52"/>
        <v>0</v>
      </c>
      <c r="BM162" s="2">
        <f t="shared" si="52"/>
        <v>0</v>
      </c>
      <c r="BN162" s="2">
        <f t="shared" si="52"/>
        <v>0</v>
      </c>
      <c r="BO162" s="2">
        <f t="shared" si="52"/>
        <v>0</v>
      </c>
      <c r="BP162" s="2">
        <f t="shared" si="52"/>
        <v>0</v>
      </c>
      <c r="BQ162" s="2">
        <f t="shared" si="52"/>
        <v>0</v>
      </c>
      <c r="BR162" s="2">
        <f t="shared" si="52"/>
        <v>0</v>
      </c>
      <c r="BS162" s="2">
        <f t="shared" si="52"/>
        <v>0</v>
      </c>
      <c r="BT162" s="2">
        <f t="shared" si="52"/>
        <v>0</v>
      </c>
      <c r="BU162" s="2">
        <f t="shared" si="52"/>
        <v>0</v>
      </c>
      <c r="BV162" s="2">
        <f t="shared" si="52"/>
        <v>0</v>
      </c>
      <c r="BW162" s="2">
        <f t="shared" si="52"/>
        <v>0</v>
      </c>
      <c r="BX162" s="2">
        <f t="shared" si="52"/>
        <v>0</v>
      </c>
      <c r="BY162" s="2">
        <f t="shared" si="52"/>
        <v>0</v>
      </c>
      <c r="BZ162" s="2">
        <f t="shared" si="52"/>
        <v>0</v>
      </c>
      <c r="CA162" s="2">
        <f t="shared" ref="CA162:DF162" si="53">CA164</f>
        <v>0</v>
      </c>
      <c r="CB162" s="2">
        <f t="shared" si="53"/>
        <v>0</v>
      </c>
      <c r="CC162" s="2">
        <f t="shared" si="53"/>
        <v>0</v>
      </c>
      <c r="CD162" s="2">
        <f t="shared" si="53"/>
        <v>0</v>
      </c>
      <c r="CE162" s="2">
        <f t="shared" si="53"/>
        <v>0</v>
      </c>
      <c r="CF162" s="2">
        <f t="shared" si="53"/>
        <v>0</v>
      </c>
      <c r="CG162" s="2">
        <f t="shared" si="53"/>
        <v>0</v>
      </c>
      <c r="CH162" s="2">
        <f t="shared" si="53"/>
        <v>0</v>
      </c>
      <c r="CI162" s="2">
        <f t="shared" si="53"/>
        <v>0</v>
      </c>
      <c r="CJ162" s="2">
        <f t="shared" si="53"/>
        <v>0</v>
      </c>
      <c r="CK162" s="2">
        <f t="shared" si="53"/>
        <v>0</v>
      </c>
      <c r="CL162" s="2">
        <f t="shared" si="53"/>
        <v>0</v>
      </c>
      <c r="CM162" s="2">
        <f t="shared" si="53"/>
        <v>0</v>
      </c>
      <c r="CN162" s="2">
        <f t="shared" si="53"/>
        <v>0</v>
      </c>
      <c r="CO162" s="2">
        <f t="shared" si="53"/>
        <v>0</v>
      </c>
      <c r="CP162" s="2">
        <f t="shared" si="53"/>
        <v>0</v>
      </c>
      <c r="CQ162" s="2">
        <f t="shared" si="53"/>
        <v>0</v>
      </c>
      <c r="CR162" s="2">
        <f t="shared" si="53"/>
        <v>0</v>
      </c>
      <c r="CS162" s="2">
        <f t="shared" si="53"/>
        <v>0</v>
      </c>
      <c r="CT162" s="2">
        <f t="shared" si="53"/>
        <v>0</v>
      </c>
      <c r="CU162" s="2">
        <f t="shared" si="53"/>
        <v>0</v>
      </c>
      <c r="CV162" s="2">
        <f t="shared" si="53"/>
        <v>0</v>
      </c>
      <c r="CW162" s="2">
        <f t="shared" si="53"/>
        <v>0</v>
      </c>
      <c r="CX162" s="2">
        <f t="shared" si="53"/>
        <v>0</v>
      </c>
      <c r="CY162" s="2">
        <f t="shared" si="53"/>
        <v>0</v>
      </c>
      <c r="CZ162" s="2">
        <f t="shared" si="53"/>
        <v>0</v>
      </c>
      <c r="DA162" s="2">
        <f t="shared" si="53"/>
        <v>0</v>
      </c>
      <c r="DB162" s="2">
        <f t="shared" si="53"/>
        <v>0</v>
      </c>
      <c r="DC162" s="2">
        <f t="shared" si="53"/>
        <v>0</v>
      </c>
      <c r="DD162" s="2">
        <f t="shared" si="53"/>
        <v>0</v>
      </c>
      <c r="DE162" s="2">
        <f t="shared" si="53"/>
        <v>0</v>
      </c>
      <c r="DF162" s="2">
        <f t="shared" si="53"/>
        <v>0</v>
      </c>
      <c r="DG162" s="3">
        <f t="shared" ref="DG162:EL162" si="54">DG164</f>
        <v>0</v>
      </c>
      <c r="DH162" s="3">
        <f t="shared" si="54"/>
        <v>0</v>
      </c>
      <c r="DI162" s="3">
        <f t="shared" si="54"/>
        <v>0</v>
      </c>
      <c r="DJ162" s="3">
        <f t="shared" si="54"/>
        <v>0</v>
      </c>
      <c r="DK162" s="3">
        <f t="shared" si="54"/>
        <v>0</v>
      </c>
      <c r="DL162" s="3">
        <f t="shared" si="54"/>
        <v>0</v>
      </c>
      <c r="DM162" s="3">
        <f t="shared" si="54"/>
        <v>0</v>
      </c>
      <c r="DN162" s="3">
        <f t="shared" si="54"/>
        <v>0</v>
      </c>
      <c r="DO162" s="3">
        <f t="shared" si="54"/>
        <v>0</v>
      </c>
      <c r="DP162" s="3">
        <f t="shared" si="54"/>
        <v>0</v>
      </c>
      <c r="DQ162" s="3">
        <f t="shared" si="54"/>
        <v>0</v>
      </c>
      <c r="DR162" s="3">
        <f t="shared" si="54"/>
        <v>0</v>
      </c>
      <c r="DS162" s="3">
        <f t="shared" si="54"/>
        <v>0</v>
      </c>
      <c r="DT162" s="3">
        <f t="shared" si="54"/>
        <v>0</v>
      </c>
      <c r="DU162" s="3">
        <f t="shared" si="54"/>
        <v>0</v>
      </c>
      <c r="DV162" s="3">
        <f t="shared" si="54"/>
        <v>0</v>
      </c>
      <c r="DW162" s="3">
        <f t="shared" si="54"/>
        <v>0</v>
      </c>
      <c r="DX162" s="3">
        <f t="shared" si="54"/>
        <v>0</v>
      </c>
      <c r="DY162" s="3">
        <f t="shared" si="54"/>
        <v>0</v>
      </c>
      <c r="DZ162" s="3">
        <f t="shared" si="54"/>
        <v>0</v>
      </c>
      <c r="EA162" s="3">
        <f t="shared" si="54"/>
        <v>0</v>
      </c>
      <c r="EB162" s="3">
        <f t="shared" si="54"/>
        <v>0</v>
      </c>
      <c r="EC162" s="3">
        <f t="shared" si="54"/>
        <v>0</v>
      </c>
      <c r="ED162" s="3">
        <f t="shared" si="54"/>
        <v>0</v>
      </c>
      <c r="EE162" s="3">
        <f t="shared" si="54"/>
        <v>0</v>
      </c>
      <c r="EF162" s="3">
        <f t="shared" si="54"/>
        <v>0</v>
      </c>
      <c r="EG162" s="3">
        <f t="shared" si="54"/>
        <v>0</v>
      </c>
      <c r="EH162" s="3">
        <f t="shared" si="54"/>
        <v>0</v>
      </c>
      <c r="EI162" s="3">
        <f t="shared" si="54"/>
        <v>0</v>
      </c>
      <c r="EJ162" s="3">
        <f t="shared" si="54"/>
        <v>0</v>
      </c>
      <c r="EK162" s="3">
        <f t="shared" si="54"/>
        <v>0</v>
      </c>
      <c r="EL162" s="3">
        <f t="shared" si="54"/>
        <v>0</v>
      </c>
      <c r="EM162" s="3">
        <f t="shared" ref="EM162:FR162" si="55">EM164</f>
        <v>0</v>
      </c>
      <c r="EN162" s="3">
        <f t="shared" si="55"/>
        <v>0</v>
      </c>
      <c r="EO162" s="3">
        <f t="shared" si="55"/>
        <v>0</v>
      </c>
      <c r="EP162" s="3">
        <f t="shared" si="55"/>
        <v>0</v>
      </c>
      <c r="EQ162" s="3">
        <f t="shared" si="55"/>
        <v>0</v>
      </c>
      <c r="ER162" s="3">
        <f t="shared" si="55"/>
        <v>0</v>
      </c>
      <c r="ES162" s="3">
        <f t="shared" si="55"/>
        <v>0</v>
      </c>
      <c r="ET162" s="3">
        <f t="shared" si="55"/>
        <v>0</v>
      </c>
      <c r="EU162" s="3">
        <f t="shared" si="55"/>
        <v>0</v>
      </c>
      <c r="EV162" s="3">
        <f t="shared" si="55"/>
        <v>0</v>
      </c>
      <c r="EW162" s="3">
        <f t="shared" si="55"/>
        <v>0</v>
      </c>
      <c r="EX162" s="3">
        <f t="shared" si="55"/>
        <v>0</v>
      </c>
      <c r="EY162" s="3">
        <f t="shared" si="55"/>
        <v>0</v>
      </c>
      <c r="EZ162" s="3">
        <f t="shared" si="55"/>
        <v>0</v>
      </c>
      <c r="FA162" s="3">
        <f t="shared" si="55"/>
        <v>0</v>
      </c>
      <c r="FB162" s="3">
        <f t="shared" si="55"/>
        <v>0</v>
      </c>
      <c r="FC162" s="3">
        <f t="shared" si="55"/>
        <v>0</v>
      </c>
      <c r="FD162" s="3">
        <f t="shared" si="55"/>
        <v>0</v>
      </c>
      <c r="FE162" s="3">
        <f t="shared" si="55"/>
        <v>0</v>
      </c>
      <c r="FF162" s="3">
        <f t="shared" si="55"/>
        <v>0</v>
      </c>
      <c r="FG162" s="3">
        <f t="shared" si="55"/>
        <v>0</v>
      </c>
      <c r="FH162" s="3">
        <f t="shared" si="55"/>
        <v>0</v>
      </c>
      <c r="FI162" s="3">
        <f t="shared" si="55"/>
        <v>0</v>
      </c>
      <c r="FJ162" s="3">
        <f t="shared" si="55"/>
        <v>0</v>
      </c>
      <c r="FK162" s="3">
        <f t="shared" si="55"/>
        <v>0</v>
      </c>
      <c r="FL162" s="3">
        <f t="shared" si="55"/>
        <v>0</v>
      </c>
      <c r="FM162" s="3">
        <f t="shared" si="55"/>
        <v>0</v>
      </c>
      <c r="FN162" s="3">
        <f t="shared" si="55"/>
        <v>0</v>
      </c>
      <c r="FO162" s="3">
        <f t="shared" si="55"/>
        <v>0</v>
      </c>
      <c r="FP162" s="3">
        <f t="shared" si="55"/>
        <v>0</v>
      </c>
      <c r="FQ162" s="3">
        <f t="shared" si="55"/>
        <v>0</v>
      </c>
      <c r="FR162" s="3">
        <f t="shared" si="55"/>
        <v>0</v>
      </c>
      <c r="FS162" s="3">
        <f t="shared" ref="FS162:GX162" si="56">FS164</f>
        <v>0</v>
      </c>
      <c r="FT162" s="3">
        <f t="shared" si="56"/>
        <v>0</v>
      </c>
      <c r="FU162" s="3">
        <f t="shared" si="56"/>
        <v>0</v>
      </c>
      <c r="FV162" s="3">
        <f t="shared" si="56"/>
        <v>0</v>
      </c>
      <c r="FW162" s="3">
        <f t="shared" si="56"/>
        <v>0</v>
      </c>
      <c r="FX162" s="3">
        <f t="shared" si="56"/>
        <v>0</v>
      </c>
      <c r="FY162" s="3">
        <f t="shared" si="56"/>
        <v>0</v>
      </c>
      <c r="FZ162" s="3">
        <f t="shared" si="56"/>
        <v>0</v>
      </c>
      <c r="GA162" s="3">
        <f t="shared" si="56"/>
        <v>0</v>
      </c>
      <c r="GB162" s="3">
        <f t="shared" si="56"/>
        <v>0</v>
      </c>
      <c r="GC162" s="3">
        <f t="shared" si="56"/>
        <v>0</v>
      </c>
      <c r="GD162" s="3">
        <f t="shared" si="56"/>
        <v>0</v>
      </c>
      <c r="GE162" s="3">
        <f t="shared" si="56"/>
        <v>0</v>
      </c>
      <c r="GF162" s="3">
        <f t="shared" si="56"/>
        <v>0</v>
      </c>
      <c r="GG162" s="3">
        <f t="shared" si="56"/>
        <v>0</v>
      </c>
      <c r="GH162" s="3">
        <f t="shared" si="56"/>
        <v>0</v>
      </c>
      <c r="GI162" s="3">
        <f t="shared" si="56"/>
        <v>0</v>
      </c>
      <c r="GJ162" s="3">
        <f t="shared" si="56"/>
        <v>0</v>
      </c>
      <c r="GK162" s="3">
        <f t="shared" si="56"/>
        <v>0</v>
      </c>
      <c r="GL162" s="3">
        <f t="shared" si="56"/>
        <v>0</v>
      </c>
      <c r="GM162" s="3">
        <f t="shared" si="56"/>
        <v>0</v>
      </c>
      <c r="GN162" s="3">
        <f t="shared" si="56"/>
        <v>0</v>
      </c>
      <c r="GO162" s="3">
        <f t="shared" si="56"/>
        <v>0</v>
      </c>
      <c r="GP162" s="3">
        <f t="shared" si="56"/>
        <v>0</v>
      </c>
      <c r="GQ162" s="3">
        <f t="shared" si="56"/>
        <v>0</v>
      </c>
      <c r="GR162" s="3">
        <f t="shared" si="56"/>
        <v>0</v>
      </c>
      <c r="GS162" s="3">
        <f t="shared" si="56"/>
        <v>0</v>
      </c>
      <c r="GT162" s="3">
        <f t="shared" si="56"/>
        <v>0</v>
      </c>
      <c r="GU162" s="3">
        <f t="shared" si="56"/>
        <v>0</v>
      </c>
      <c r="GV162" s="3">
        <f t="shared" si="56"/>
        <v>0</v>
      </c>
      <c r="GW162" s="3">
        <f t="shared" si="56"/>
        <v>0</v>
      </c>
      <c r="GX162" s="3">
        <f t="shared" si="56"/>
        <v>0</v>
      </c>
    </row>
    <row r="164" spans="1:206" x14ac:dyDescent="0.2">
      <c r="A164" s="2">
        <v>51</v>
      </c>
      <c r="B164" s="2">
        <f>B160</f>
        <v>1</v>
      </c>
      <c r="C164" s="2">
        <f>A160</f>
        <v>4</v>
      </c>
      <c r="D164" s="2">
        <f>ROW(A160)</f>
        <v>160</v>
      </c>
      <c r="E164" s="2"/>
      <c r="F164" s="2" t="str">
        <f>IF(F160&lt;&gt;"",F160,"")</f>
        <v>11</v>
      </c>
      <c r="G164" s="2" t="str">
        <f>IF(G160&lt;&gt;"",G160,"")</f>
        <v>БЛОК САНУЗЛОВ 5 (3-ий ЭТАЖ)</v>
      </c>
      <c r="H164" s="2">
        <v>0</v>
      </c>
      <c r="I164" s="2"/>
      <c r="J164" s="2"/>
      <c r="K164" s="2"/>
      <c r="L164" s="2"/>
      <c r="M164" s="2"/>
      <c r="N164" s="2"/>
      <c r="O164" s="2">
        <f t="shared" ref="O164:Y164" si="57">AB164</f>
        <v>0</v>
      </c>
      <c r="P164" s="2">
        <f t="shared" si="57"/>
        <v>0</v>
      </c>
      <c r="Q164" s="2">
        <f t="shared" si="57"/>
        <v>0</v>
      </c>
      <c r="R164" s="2">
        <f t="shared" si="57"/>
        <v>0</v>
      </c>
      <c r="S164" s="2">
        <f t="shared" si="57"/>
        <v>0</v>
      </c>
      <c r="T164" s="2">
        <f t="shared" si="57"/>
        <v>0</v>
      </c>
      <c r="U164" s="2">
        <f t="shared" si="57"/>
        <v>0</v>
      </c>
      <c r="V164" s="2">
        <f t="shared" si="57"/>
        <v>0</v>
      </c>
      <c r="W164" s="2">
        <f t="shared" si="57"/>
        <v>0</v>
      </c>
      <c r="X164" s="2">
        <f t="shared" si="57"/>
        <v>0</v>
      </c>
      <c r="Y164" s="2">
        <f t="shared" si="57"/>
        <v>0</v>
      </c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>
        <f t="shared" ref="AO164:BD164" si="58">BX164</f>
        <v>0</v>
      </c>
      <c r="AP164" s="2">
        <f t="shared" si="58"/>
        <v>0</v>
      </c>
      <c r="AQ164" s="2">
        <f t="shared" si="58"/>
        <v>0</v>
      </c>
      <c r="AR164" s="2">
        <f t="shared" si="58"/>
        <v>0</v>
      </c>
      <c r="AS164" s="2">
        <f t="shared" si="58"/>
        <v>0</v>
      </c>
      <c r="AT164" s="2">
        <f t="shared" si="58"/>
        <v>0</v>
      </c>
      <c r="AU164" s="2">
        <f t="shared" si="58"/>
        <v>0</v>
      </c>
      <c r="AV164" s="2">
        <f t="shared" si="58"/>
        <v>0</v>
      </c>
      <c r="AW164" s="2">
        <f t="shared" si="58"/>
        <v>0</v>
      </c>
      <c r="AX164" s="2">
        <f t="shared" si="58"/>
        <v>0</v>
      </c>
      <c r="AY164" s="2">
        <f t="shared" si="58"/>
        <v>0</v>
      </c>
      <c r="AZ164" s="2">
        <f t="shared" si="58"/>
        <v>0</v>
      </c>
      <c r="BA164" s="2">
        <f t="shared" si="58"/>
        <v>0</v>
      </c>
      <c r="BB164" s="2">
        <f t="shared" si="58"/>
        <v>0</v>
      </c>
      <c r="BC164" s="2">
        <f t="shared" si="58"/>
        <v>0</v>
      </c>
      <c r="BD164" s="2">
        <f t="shared" si="58"/>
        <v>0</v>
      </c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>
        <v>0</v>
      </c>
    </row>
    <row r="166" spans="1:206" x14ac:dyDescent="0.2">
      <c r="A166" s="4">
        <v>50</v>
      </c>
      <c r="B166" s="4">
        <v>0</v>
      </c>
      <c r="C166" s="4">
        <v>0</v>
      </c>
      <c r="D166" s="4">
        <v>1</v>
      </c>
      <c r="E166" s="4">
        <v>201</v>
      </c>
      <c r="F166" s="4">
        <f>ROUND(Source!O164,O166)</f>
        <v>0</v>
      </c>
      <c r="G166" s="4" t="s">
        <v>21</v>
      </c>
      <c r="H166" s="4" t="s">
        <v>22</v>
      </c>
      <c r="I166" s="4"/>
      <c r="J166" s="4"/>
      <c r="K166" s="4">
        <v>201</v>
      </c>
      <c r="L166" s="4">
        <v>1</v>
      </c>
      <c r="M166" s="4">
        <v>3</v>
      </c>
      <c r="N166" s="4" t="s">
        <v>6</v>
      </c>
      <c r="O166" s="4">
        <v>0</v>
      </c>
      <c r="P166" s="4"/>
      <c r="Q166" s="4"/>
      <c r="R166" s="4"/>
      <c r="S166" s="4"/>
      <c r="T166" s="4"/>
      <c r="U166" s="4"/>
      <c r="V166" s="4"/>
      <c r="W166" s="4">
        <v>0</v>
      </c>
      <c r="X166" s="4">
        <v>1</v>
      </c>
      <c r="Y166" s="4">
        <v>0</v>
      </c>
      <c r="Z166" s="4"/>
      <c r="AA166" s="4"/>
      <c r="AB166" s="4"/>
    </row>
    <row r="167" spans="1:206" x14ac:dyDescent="0.2">
      <c r="A167" s="4">
        <v>50</v>
      </c>
      <c r="B167" s="4">
        <v>0</v>
      </c>
      <c r="C167" s="4">
        <v>0</v>
      </c>
      <c r="D167" s="4">
        <v>1</v>
      </c>
      <c r="E167" s="4">
        <v>202</v>
      </c>
      <c r="F167" s="4">
        <f>ROUND(Source!P164,O167)</f>
        <v>0</v>
      </c>
      <c r="G167" s="4" t="s">
        <v>23</v>
      </c>
      <c r="H167" s="4" t="s">
        <v>24</v>
      </c>
      <c r="I167" s="4"/>
      <c r="J167" s="4"/>
      <c r="K167" s="4">
        <v>202</v>
      </c>
      <c r="L167" s="4">
        <v>2</v>
      </c>
      <c r="M167" s="4">
        <v>3</v>
      </c>
      <c r="N167" s="4" t="s">
        <v>6</v>
      </c>
      <c r="O167" s="4">
        <v>0</v>
      </c>
      <c r="P167" s="4"/>
      <c r="Q167" s="4"/>
      <c r="R167" s="4"/>
      <c r="S167" s="4"/>
      <c r="T167" s="4"/>
      <c r="U167" s="4"/>
      <c r="V167" s="4"/>
      <c r="W167" s="4">
        <v>0</v>
      </c>
      <c r="X167" s="4">
        <v>1</v>
      </c>
      <c r="Y167" s="4">
        <v>0</v>
      </c>
      <c r="Z167" s="4"/>
      <c r="AA167" s="4"/>
      <c r="AB167" s="4"/>
    </row>
    <row r="168" spans="1:206" x14ac:dyDescent="0.2">
      <c r="A168" s="4">
        <v>50</v>
      </c>
      <c r="B168" s="4">
        <v>0</v>
      </c>
      <c r="C168" s="4">
        <v>0</v>
      </c>
      <c r="D168" s="4">
        <v>1</v>
      </c>
      <c r="E168" s="4">
        <v>222</v>
      </c>
      <c r="F168" s="4">
        <f>ROUND(Source!AO164,O168)</f>
        <v>0</v>
      </c>
      <c r="G168" s="4" t="s">
        <v>25</v>
      </c>
      <c r="H168" s="4" t="s">
        <v>26</v>
      </c>
      <c r="I168" s="4"/>
      <c r="J168" s="4"/>
      <c r="K168" s="4">
        <v>222</v>
      </c>
      <c r="L168" s="4">
        <v>3</v>
      </c>
      <c r="M168" s="4">
        <v>3</v>
      </c>
      <c r="N168" s="4" t="s">
        <v>6</v>
      </c>
      <c r="O168" s="4">
        <v>0</v>
      </c>
      <c r="P168" s="4"/>
      <c r="Q168" s="4"/>
      <c r="R168" s="4"/>
      <c r="S168" s="4"/>
      <c r="T168" s="4"/>
      <c r="U168" s="4"/>
      <c r="V168" s="4"/>
      <c r="W168" s="4">
        <v>0</v>
      </c>
      <c r="X168" s="4">
        <v>1</v>
      </c>
      <c r="Y168" s="4">
        <v>0</v>
      </c>
      <c r="Z168" s="4"/>
      <c r="AA168" s="4"/>
      <c r="AB168" s="4"/>
    </row>
    <row r="169" spans="1:206" x14ac:dyDescent="0.2">
      <c r="A169" s="4">
        <v>50</v>
      </c>
      <c r="B169" s="4">
        <v>0</v>
      </c>
      <c r="C169" s="4">
        <v>0</v>
      </c>
      <c r="D169" s="4">
        <v>1</v>
      </c>
      <c r="E169" s="4">
        <v>225</v>
      </c>
      <c r="F169" s="4">
        <f>ROUND(Source!AV164,O169)</f>
        <v>0</v>
      </c>
      <c r="G169" s="4" t="s">
        <v>27</v>
      </c>
      <c r="H169" s="4" t="s">
        <v>28</v>
      </c>
      <c r="I169" s="4"/>
      <c r="J169" s="4"/>
      <c r="K169" s="4">
        <v>225</v>
      </c>
      <c r="L169" s="4">
        <v>4</v>
      </c>
      <c r="M169" s="4">
        <v>3</v>
      </c>
      <c r="N169" s="4" t="s">
        <v>6</v>
      </c>
      <c r="O169" s="4">
        <v>0</v>
      </c>
      <c r="P169" s="4"/>
      <c r="Q169" s="4"/>
      <c r="R169" s="4"/>
      <c r="S169" s="4"/>
      <c r="T169" s="4"/>
      <c r="U169" s="4"/>
      <c r="V169" s="4"/>
      <c r="W169" s="4">
        <v>0</v>
      </c>
      <c r="X169" s="4">
        <v>1</v>
      </c>
      <c r="Y169" s="4">
        <v>0</v>
      </c>
      <c r="Z169" s="4"/>
      <c r="AA169" s="4"/>
      <c r="AB169" s="4"/>
    </row>
    <row r="170" spans="1:206" x14ac:dyDescent="0.2">
      <c r="A170" s="4">
        <v>50</v>
      </c>
      <c r="B170" s="4">
        <v>0</v>
      </c>
      <c r="C170" s="4">
        <v>0</v>
      </c>
      <c r="D170" s="4">
        <v>1</v>
      </c>
      <c r="E170" s="4">
        <v>226</v>
      </c>
      <c r="F170" s="4">
        <f>ROUND(Source!AW164,O170)</f>
        <v>0</v>
      </c>
      <c r="G170" s="4" t="s">
        <v>29</v>
      </c>
      <c r="H170" s="4" t="s">
        <v>30</v>
      </c>
      <c r="I170" s="4"/>
      <c r="J170" s="4"/>
      <c r="K170" s="4">
        <v>226</v>
      </c>
      <c r="L170" s="4">
        <v>5</v>
      </c>
      <c r="M170" s="4">
        <v>3</v>
      </c>
      <c r="N170" s="4" t="s">
        <v>6</v>
      </c>
      <c r="O170" s="4">
        <v>0</v>
      </c>
      <c r="P170" s="4"/>
      <c r="Q170" s="4"/>
      <c r="R170" s="4"/>
      <c r="S170" s="4"/>
      <c r="T170" s="4"/>
      <c r="U170" s="4"/>
      <c r="V170" s="4"/>
      <c r="W170" s="4">
        <v>0</v>
      </c>
      <c r="X170" s="4">
        <v>1</v>
      </c>
      <c r="Y170" s="4">
        <v>0</v>
      </c>
      <c r="Z170" s="4"/>
      <c r="AA170" s="4"/>
      <c r="AB170" s="4"/>
    </row>
    <row r="171" spans="1:206" x14ac:dyDescent="0.2">
      <c r="A171" s="4">
        <v>50</v>
      </c>
      <c r="B171" s="4">
        <v>0</v>
      </c>
      <c r="C171" s="4">
        <v>0</v>
      </c>
      <c r="D171" s="4">
        <v>1</v>
      </c>
      <c r="E171" s="4">
        <v>227</v>
      </c>
      <c r="F171" s="4">
        <f>ROUND(Source!AX164,O171)</f>
        <v>0</v>
      </c>
      <c r="G171" s="4" t="s">
        <v>31</v>
      </c>
      <c r="H171" s="4" t="s">
        <v>32</v>
      </c>
      <c r="I171" s="4"/>
      <c r="J171" s="4"/>
      <c r="K171" s="4">
        <v>227</v>
      </c>
      <c r="L171" s="4">
        <v>6</v>
      </c>
      <c r="M171" s="4">
        <v>3</v>
      </c>
      <c r="N171" s="4" t="s">
        <v>6</v>
      </c>
      <c r="O171" s="4">
        <v>0</v>
      </c>
      <c r="P171" s="4"/>
      <c r="Q171" s="4"/>
      <c r="R171" s="4"/>
      <c r="S171" s="4"/>
      <c r="T171" s="4"/>
      <c r="U171" s="4"/>
      <c r="V171" s="4"/>
      <c r="W171" s="4">
        <v>0</v>
      </c>
      <c r="X171" s="4">
        <v>1</v>
      </c>
      <c r="Y171" s="4">
        <v>0</v>
      </c>
      <c r="Z171" s="4"/>
      <c r="AA171" s="4"/>
      <c r="AB171" s="4"/>
    </row>
    <row r="172" spans="1:206" x14ac:dyDescent="0.2">
      <c r="A172" s="4">
        <v>50</v>
      </c>
      <c r="B172" s="4">
        <v>0</v>
      </c>
      <c r="C172" s="4">
        <v>0</v>
      </c>
      <c r="D172" s="4">
        <v>1</v>
      </c>
      <c r="E172" s="4">
        <v>228</v>
      </c>
      <c r="F172" s="4">
        <f>ROUND(Source!AY164,O172)</f>
        <v>0</v>
      </c>
      <c r="G172" s="4" t="s">
        <v>33</v>
      </c>
      <c r="H172" s="4" t="s">
        <v>34</v>
      </c>
      <c r="I172" s="4"/>
      <c r="J172" s="4"/>
      <c r="K172" s="4">
        <v>228</v>
      </c>
      <c r="L172" s="4">
        <v>7</v>
      </c>
      <c r="M172" s="4">
        <v>3</v>
      </c>
      <c r="N172" s="4" t="s">
        <v>6</v>
      </c>
      <c r="O172" s="4">
        <v>0</v>
      </c>
      <c r="P172" s="4"/>
      <c r="Q172" s="4"/>
      <c r="R172" s="4"/>
      <c r="S172" s="4"/>
      <c r="T172" s="4"/>
      <c r="U172" s="4"/>
      <c r="V172" s="4"/>
      <c r="W172" s="4">
        <v>0</v>
      </c>
      <c r="X172" s="4">
        <v>1</v>
      </c>
      <c r="Y172" s="4">
        <v>0</v>
      </c>
      <c r="Z172" s="4"/>
      <c r="AA172" s="4"/>
      <c r="AB172" s="4"/>
    </row>
    <row r="173" spans="1:206" x14ac:dyDescent="0.2">
      <c r="A173" s="4">
        <v>50</v>
      </c>
      <c r="B173" s="4">
        <v>0</v>
      </c>
      <c r="C173" s="4">
        <v>0</v>
      </c>
      <c r="D173" s="4">
        <v>1</v>
      </c>
      <c r="E173" s="4">
        <v>216</v>
      </c>
      <c r="F173" s="4">
        <f>ROUND(Source!AP164,O173)</f>
        <v>0</v>
      </c>
      <c r="G173" s="4" t="s">
        <v>35</v>
      </c>
      <c r="H173" s="4" t="s">
        <v>36</v>
      </c>
      <c r="I173" s="4"/>
      <c r="J173" s="4"/>
      <c r="K173" s="4">
        <v>216</v>
      </c>
      <c r="L173" s="4">
        <v>8</v>
      </c>
      <c r="M173" s="4">
        <v>3</v>
      </c>
      <c r="N173" s="4" t="s">
        <v>6</v>
      </c>
      <c r="O173" s="4">
        <v>0</v>
      </c>
      <c r="P173" s="4"/>
      <c r="Q173" s="4"/>
      <c r="R173" s="4"/>
      <c r="S173" s="4"/>
      <c r="T173" s="4"/>
      <c r="U173" s="4"/>
      <c r="V173" s="4"/>
      <c r="W173" s="4">
        <v>0</v>
      </c>
      <c r="X173" s="4">
        <v>1</v>
      </c>
      <c r="Y173" s="4">
        <v>0</v>
      </c>
      <c r="Z173" s="4"/>
      <c r="AA173" s="4"/>
      <c r="AB173" s="4"/>
    </row>
    <row r="174" spans="1:206" x14ac:dyDescent="0.2">
      <c r="A174" s="4">
        <v>50</v>
      </c>
      <c r="B174" s="4">
        <v>0</v>
      </c>
      <c r="C174" s="4">
        <v>0</v>
      </c>
      <c r="D174" s="4">
        <v>1</v>
      </c>
      <c r="E174" s="4">
        <v>223</v>
      </c>
      <c r="F174" s="4">
        <f>ROUND(Source!AQ164,O174)</f>
        <v>0</v>
      </c>
      <c r="G174" s="4" t="s">
        <v>37</v>
      </c>
      <c r="H174" s="4" t="s">
        <v>38</v>
      </c>
      <c r="I174" s="4"/>
      <c r="J174" s="4"/>
      <c r="K174" s="4">
        <v>223</v>
      </c>
      <c r="L174" s="4">
        <v>9</v>
      </c>
      <c r="M174" s="4">
        <v>3</v>
      </c>
      <c r="N174" s="4" t="s">
        <v>6</v>
      </c>
      <c r="O174" s="4">
        <v>0</v>
      </c>
      <c r="P174" s="4"/>
      <c r="Q174" s="4"/>
      <c r="R174" s="4"/>
      <c r="S174" s="4"/>
      <c r="T174" s="4"/>
      <c r="U174" s="4"/>
      <c r="V174" s="4"/>
      <c r="W174" s="4">
        <v>0</v>
      </c>
      <c r="X174" s="4">
        <v>1</v>
      </c>
      <c r="Y174" s="4">
        <v>0</v>
      </c>
      <c r="Z174" s="4"/>
      <c r="AA174" s="4"/>
      <c r="AB174" s="4"/>
    </row>
    <row r="175" spans="1:206" x14ac:dyDescent="0.2">
      <c r="A175" s="4">
        <v>50</v>
      </c>
      <c r="B175" s="4">
        <v>0</v>
      </c>
      <c r="C175" s="4">
        <v>0</v>
      </c>
      <c r="D175" s="4">
        <v>1</v>
      </c>
      <c r="E175" s="4">
        <v>229</v>
      </c>
      <c r="F175" s="4">
        <f>ROUND(Source!AZ164,O175)</f>
        <v>0</v>
      </c>
      <c r="G175" s="4" t="s">
        <v>39</v>
      </c>
      <c r="H175" s="4" t="s">
        <v>40</v>
      </c>
      <c r="I175" s="4"/>
      <c r="J175" s="4"/>
      <c r="K175" s="4">
        <v>229</v>
      </c>
      <c r="L175" s="4">
        <v>10</v>
      </c>
      <c r="M175" s="4">
        <v>3</v>
      </c>
      <c r="N175" s="4" t="s">
        <v>6</v>
      </c>
      <c r="O175" s="4">
        <v>0</v>
      </c>
      <c r="P175" s="4"/>
      <c r="Q175" s="4"/>
      <c r="R175" s="4"/>
      <c r="S175" s="4"/>
      <c r="T175" s="4"/>
      <c r="U175" s="4"/>
      <c r="V175" s="4"/>
      <c r="W175" s="4">
        <v>0</v>
      </c>
      <c r="X175" s="4">
        <v>1</v>
      </c>
      <c r="Y175" s="4">
        <v>0</v>
      </c>
      <c r="Z175" s="4"/>
      <c r="AA175" s="4"/>
      <c r="AB175" s="4"/>
    </row>
    <row r="176" spans="1:206" x14ac:dyDescent="0.2">
      <c r="A176" s="4">
        <v>50</v>
      </c>
      <c r="B176" s="4">
        <v>0</v>
      </c>
      <c r="C176" s="4">
        <v>0</v>
      </c>
      <c r="D176" s="4">
        <v>1</v>
      </c>
      <c r="E176" s="4">
        <v>203</v>
      </c>
      <c r="F176" s="4">
        <f>ROUND(Source!Q164,O176)</f>
        <v>0</v>
      </c>
      <c r="G176" s="4" t="s">
        <v>41</v>
      </c>
      <c r="H176" s="4" t="s">
        <v>42</v>
      </c>
      <c r="I176" s="4"/>
      <c r="J176" s="4"/>
      <c r="K176" s="4">
        <v>203</v>
      </c>
      <c r="L176" s="4">
        <v>11</v>
      </c>
      <c r="M176" s="4">
        <v>3</v>
      </c>
      <c r="N176" s="4" t="s">
        <v>6</v>
      </c>
      <c r="O176" s="4">
        <v>0</v>
      </c>
      <c r="P176" s="4"/>
      <c r="Q176" s="4"/>
      <c r="R176" s="4"/>
      <c r="S176" s="4"/>
      <c r="T176" s="4"/>
      <c r="U176" s="4"/>
      <c r="V176" s="4"/>
      <c r="W176" s="4">
        <v>0</v>
      </c>
      <c r="X176" s="4">
        <v>1</v>
      </c>
      <c r="Y176" s="4">
        <v>0</v>
      </c>
      <c r="Z176" s="4"/>
      <c r="AA176" s="4"/>
      <c r="AB176" s="4"/>
    </row>
    <row r="177" spans="1:28" x14ac:dyDescent="0.2">
      <c r="A177" s="4">
        <v>50</v>
      </c>
      <c r="B177" s="4">
        <v>0</v>
      </c>
      <c r="C177" s="4">
        <v>0</v>
      </c>
      <c r="D177" s="4">
        <v>1</v>
      </c>
      <c r="E177" s="4">
        <v>231</v>
      </c>
      <c r="F177" s="4">
        <f>ROUND(Source!BB164,O177)</f>
        <v>0</v>
      </c>
      <c r="G177" s="4" t="s">
        <v>43</v>
      </c>
      <c r="H177" s="4" t="s">
        <v>44</v>
      </c>
      <c r="I177" s="4"/>
      <c r="J177" s="4"/>
      <c r="K177" s="4">
        <v>231</v>
      </c>
      <c r="L177" s="4">
        <v>12</v>
      </c>
      <c r="M177" s="4">
        <v>3</v>
      </c>
      <c r="N177" s="4" t="s">
        <v>6</v>
      </c>
      <c r="O177" s="4">
        <v>0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8" x14ac:dyDescent="0.2">
      <c r="A178" s="4">
        <v>50</v>
      </c>
      <c r="B178" s="4">
        <v>0</v>
      </c>
      <c r="C178" s="4">
        <v>0</v>
      </c>
      <c r="D178" s="4">
        <v>1</v>
      </c>
      <c r="E178" s="4">
        <v>204</v>
      </c>
      <c r="F178" s="4">
        <f>ROUND(Source!R164,O178)</f>
        <v>0</v>
      </c>
      <c r="G178" s="4" t="s">
        <v>45</v>
      </c>
      <c r="H178" s="4" t="s">
        <v>46</v>
      </c>
      <c r="I178" s="4"/>
      <c r="J178" s="4"/>
      <c r="K178" s="4">
        <v>204</v>
      </c>
      <c r="L178" s="4">
        <v>13</v>
      </c>
      <c r="M178" s="4">
        <v>3</v>
      </c>
      <c r="N178" s="4" t="s">
        <v>6</v>
      </c>
      <c r="O178" s="4">
        <v>0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8" x14ac:dyDescent="0.2">
      <c r="A179" s="4">
        <v>50</v>
      </c>
      <c r="B179" s="4">
        <v>0</v>
      </c>
      <c r="C179" s="4">
        <v>0</v>
      </c>
      <c r="D179" s="4">
        <v>1</v>
      </c>
      <c r="E179" s="4">
        <v>205</v>
      </c>
      <c r="F179" s="4">
        <f>ROUND(Source!S164,O179)</f>
        <v>0</v>
      </c>
      <c r="G179" s="4" t="s">
        <v>47</v>
      </c>
      <c r="H179" s="4" t="s">
        <v>48</v>
      </c>
      <c r="I179" s="4"/>
      <c r="J179" s="4"/>
      <c r="K179" s="4">
        <v>205</v>
      </c>
      <c r="L179" s="4">
        <v>14</v>
      </c>
      <c r="M179" s="4">
        <v>3</v>
      </c>
      <c r="N179" s="4" t="s">
        <v>6</v>
      </c>
      <c r="O179" s="4">
        <v>0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8" x14ac:dyDescent="0.2">
      <c r="A180" s="4">
        <v>50</v>
      </c>
      <c r="B180" s="4">
        <v>0</v>
      </c>
      <c r="C180" s="4">
        <v>0</v>
      </c>
      <c r="D180" s="4">
        <v>1</v>
      </c>
      <c r="E180" s="4">
        <v>232</v>
      </c>
      <c r="F180" s="4">
        <f>ROUND(Source!BC164,O180)</f>
        <v>0</v>
      </c>
      <c r="G180" s="4" t="s">
        <v>49</v>
      </c>
      <c r="H180" s="4" t="s">
        <v>50</v>
      </c>
      <c r="I180" s="4"/>
      <c r="J180" s="4"/>
      <c r="K180" s="4">
        <v>232</v>
      </c>
      <c r="L180" s="4">
        <v>15</v>
      </c>
      <c r="M180" s="4">
        <v>3</v>
      </c>
      <c r="N180" s="4" t="s">
        <v>6</v>
      </c>
      <c r="O180" s="4">
        <v>0</v>
      </c>
      <c r="P180" s="4"/>
      <c r="Q180" s="4"/>
      <c r="R180" s="4"/>
      <c r="S180" s="4"/>
      <c r="T180" s="4"/>
      <c r="U180" s="4"/>
      <c r="V180" s="4"/>
      <c r="W180" s="4">
        <v>0</v>
      </c>
      <c r="X180" s="4">
        <v>1</v>
      </c>
      <c r="Y180" s="4">
        <v>0</v>
      </c>
      <c r="Z180" s="4"/>
      <c r="AA180" s="4"/>
      <c r="AB180" s="4"/>
    </row>
    <row r="181" spans="1:28" x14ac:dyDescent="0.2">
      <c r="A181" s="4">
        <v>50</v>
      </c>
      <c r="B181" s="4">
        <v>0</v>
      </c>
      <c r="C181" s="4">
        <v>0</v>
      </c>
      <c r="D181" s="4">
        <v>1</v>
      </c>
      <c r="E181" s="4">
        <v>214</v>
      </c>
      <c r="F181" s="4">
        <f>ROUND(Source!AS164,O181)</f>
        <v>0</v>
      </c>
      <c r="G181" s="4" t="s">
        <v>51</v>
      </c>
      <c r="H181" s="4" t="s">
        <v>52</v>
      </c>
      <c r="I181" s="4"/>
      <c r="J181" s="4"/>
      <c r="K181" s="4">
        <v>214</v>
      </c>
      <c r="L181" s="4">
        <v>16</v>
      </c>
      <c r="M181" s="4">
        <v>3</v>
      </c>
      <c r="N181" s="4" t="s">
        <v>6</v>
      </c>
      <c r="O181" s="4">
        <v>0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8" x14ac:dyDescent="0.2">
      <c r="A182" s="4">
        <v>50</v>
      </c>
      <c r="B182" s="4">
        <v>0</v>
      </c>
      <c r="C182" s="4">
        <v>0</v>
      </c>
      <c r="D182" s="4">
        <v>1</v>
      </c>
      <c r="E182" s="4">
        <v>215</v>
      </c>
      <c r="F182" s="4">
        <f>ROUND(Source!AT164,O182)</f>
        <v>0</v>
      </c>
      <c r="G182" s="4" t="s">
        <v>53</v>
      </c>
      <c r="H182" s="4" t="s">
        <v>54</v>
      </c>
      <c r="I182" s="4"/>
      <c r="J182" s="4"/>
      <c r="K182" s="4">
        <v>215</v>
      </c>
      <c r="L182" s="4">
        <v>17</v>
      </c>
      <c r="M182" s="4">
        <v>3</v>
      </c>
      <c r="N182" s="4" t="s">
        <v>6</v>
      </c>
      <c r="O182" s="4">
        <v>0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8" x14ac:dyDescent="0.2">
      <c r="A183" s="4">
        <v>50</v>
      </c>
      <c r="B183" s="4">
        <v>0</v>
      </c>
      <c r="C183" s="4">
        <v>0</v>
      </c>
      <c r="D183" s="4">
        <v>1</v>
      </c>
      <c r="E183" s="4">
        <v>217</v>
      </c>
      <c r="F183" s="4">
        <f>ROUND(Source!AU164,O183)</f>
        <v>0</v>
      </c>
      <c r="G183" s="4" t="s">
        <v>55</v>
      </c>
      <c r="H183" s="4" t="s">
        <v>56</v>
      </c>
      <c r="I183" s="4"/>
      <c r="J183" s="4"/>
      <c r="K183" s="4">
        <v>217</v>
      </c>
      <c r="L183" s="4">
        <v>18</v>
      </c>
      <c r="M183" s="4">
        <v>3</v>
      </c>
      <c r="N183" s="4" t="s">
        <v>6</v>
      </c>
      <c r="O183" s="4">
        <v>0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8" x14ac:dyDescent="0.2">
      <c r="A184" s="4">
        <v>50</v>
      </c>
      <c r="B184" s="4">
        <v>0</v>
      </c>
      <c r="C184" s="4">
        <v>0</v>
      </c>
      <c r="D184" s="4">
        <v>1</v>
      </c>
      <c r="E184" s="4">
        <v>230</v>
      </c>
      <c r="F184" s="4">
        <f>ROUND(Source!BA164,O184)</f>
        <v>0</v>
      </c>
      <c r="G184" s="4" t="s">
        <v>57</v>
      </c>
      <c r="H184" s="4" t="s">
        <v>58</v>
      </c>
      <c r="I184" s="4"/>
      <c r="J184" s="4"/>
      <c r="K184" s="4">
        <v>230</v>
      </c>
      <c r="L184" s="4">
        <v>19</v>
      </c>
      <c r="M184" s="4">
        <v>3</v>
      </c>
      <c r="N184" s="4" t="s">
        <v>6</v>
      </c>
      <c r="O184" s="4">
        <v>0</v>
      </c>
      <c r="P184" s="4"/>
      <c r="Q184" s="4"/>
      <c r="R184" s="4"/>
      <c r="S184" s="4"/>
      <c r="T184" s="4"/>
      <c r="U184" s="4"/>
      <c r="V184" s="4"/>
      <c r="W184" s="4">
        <v>0</v>
      </c>
      <c r="X184" s="4">
        <v>1</v>
      </c>
      <c r="Y184" s="4">
        <v>0</v>
      </c>
      <c r="Z184" s="4"/>
      <c r="AA184" s="4"/>
      <c r="AB184" s="4"/>
    </row>
    <row r="185" spans="1:28" x14ac:dyDescent="0.2">
      <c r="A185" s="4">
        <v>50</v>
      </c>
      <c r="B185" s="4">
        <v>0</v>
      </c>
      <c r="C185" s="4">
        <v>0</v>
      </c>
      <c r="D185" s="4">
        <v>1</v>
      </c>
      <c r="E185" s="4">
        <v>206</v>
      </c>
      <c r="F185" s="4">
        <f>ROUND(Source!T164,O185)</f>
        <v>0</v>
      </c>
      <c r="G185" s="4" t="s">
        <v>59</v>
      </c>
      <c r="H185" s="4" t="s">
        <v>60</v>
      </c>
      <c r="I185" s="4"/>
      <c r="J185" s="4"/>
      <c r="K185" s="4">
        <v>206</v>
      </c>
      <c r="L185" s="4">
        <v>20</v>
      </c>
      <c r="M185" s="4">
        <v>3</v>
      </c>
      <c r="N185" s="4" t="s">
        <v>6</v>
      </c>
      <c r="O185" s="4">
        <v>0</v>
      </c>
      <c r="P185" s="4"/>
      <c r="Q185" s="4"/>
      <c r="R185" s="4"/>
      <c r="S185" s="4"/>
      <c r="T185" s="4"/>
      <c r="U185" s="4"/>
      <c r="V185" s="4"/>
      <c r="W185" s="4">
        <v>0</v>
      </c>
      <c r="X185" s="4">
        <v>1</v>
      </c>
      <c r="Y185" s="4">
        <v>0</v>
      </c>
      <c r="Z185" s="4"/>
      <c r="AA185" s="4"/>
      <c r="AB185" s="4"/>
    </row>
    <row r="186" spans="1:28" x14ac:dyDescent="0.2">
      <c r="A186" s="4">
        <v>50</v>
      </c>
      <c r="B186" s="4">
        <v>0</v>
      </c>
      <c r="C186" s="4">
        <v>0</v>
      </c>
      <c r="D186" s="4">
        <v>1</v>
      </c>
      <c r="E186" s="4">
        <v>207</v>
      </c>
      <c r="F186" s="4">
        <f>ROUND(Source!U164,O186)</f>
        <v>0</v>
      </c>
      <c r="G186" s="4" t="s">
        <v>61</v>
      </c>
      <c r="H186" s="4" t="s">
        <v>62</v>
      </c>
      <c r="I186" s="4"/>
      <c r="J186" s="4"/>
      <c r="K186" s="4">
        <v>207</v>
      </c>
      <c r="L186" s="4">
        <v>21</v>
      </c>
      <c r="M186" s="4">
        <v>3</v>
      </c>
      <c r="N186" s="4" t="s">
        <v>6</v>
      </c>
      <c r="O186" s="4">
        <v>7</v>
      </c>
      <c r="P186" s="4"/>
      <c r="Q186" s="4"/>
      <c r="R186" s="4"/>
      <c r="S186" s="4"/>
      <c r="T186" s="4"/>
      <c r="U186" s="4"/>
      <c r="V186" s="4"/>
      <c r="W186" s="4">
        <v>0</v>
      </c>
      <c r="X186" s="4">
        <v>1</v>
      </c>
      <c r="Y186" s="4">
        <v>0</v>
      </c>
      <c r="Z186" s="4"/>
      <c r="AA186" s="4"/>
      <c r="AB186" s="4"/>
    </row>
    <row r="187" spans="1:28" x14ac:dyDescent="0.2">
      <c r="A187" s="4">
        <v>50</v>
      </c>
      <c r="B187" s="4">
        <v>0</v>
      </c>
      <c r="C187" s="4">
        <v>0</v>
      </c>
      <c r="D187" s="4">
        <v>1</v>
      </c>
      <c r="E187" s="4">
        <v>208</v>
      </c>
      <c r="F187" s="4">
        <f>ROUND(Source!V164,O187)</f>
        <v>0</v>
      </c>
      <c r="G187" s="4" t="s">
        <v>63</v>
      </c>
      <c r="H187" s="4" t="s">
        <v>64</v>
      </c>
      <c r="I187" s="4"/>
      <c r="J187" s="4"/>
      <c r="K187" s="4">
        <v>208</v>
      </c>
      <c r="L187" s="4">
        <v>22</v>
      </c>
      <c r="M187" s="4">
        <v>3</v>
      </c>
      <c r="N187" s="4" t="s">
        <v>6</v>
      </c>
      <c r="O187" s="4">
        <v>7</v>
      </c>
      <c r="P187" s="4"/>
      <c r="Q187" s="4"/>
      <c r="R187" s="4"/>
      <c r="S187" s="4"/>
      <c r="T187" s="4"/>
      <c r="U187" s="4"/>
      <c r="V187" s="4"/>
      <c r="W187" s="4">
        <v>0</v>
      </c>
      <c r="X187" s="4">
        <v>1</v>
      </c>
      <c r="Y187" s="4">
        <v>0</v>
      </c>
      <c r="Z187" s="4"/>
      <c r="AA187" s="4"/>
      <c r="AB187" s="4"/>
    </row>
    <row r="188" spans="1:28" x14ac:dyDescent="0.2">
      <c r="A188" s="4">
        <v>50</v>
      </c>
      <c r="B188" s="4">
        <v>0</v>
      </c>
      <c r="C188" s="4">
        <v>0</v>
      </c>
      <c r="D188" s="4">
        <v>1</v>
      </c>
      <c r="E188" s="4">
        <v>209</v>
      </c>
      <c r="F188" s="4">
        <f>ROUND(Source!W164,O188)</f>
        <v>0</v>
      </c>
      <c r="G188" s="4" t="s">
        <v>65</v>
      </c>
      <c r="H188" s="4" t="s">
        <v>66</v>
      </c>
      <c r="I188" s="4"/>
      <c r="J188" s="4"/>
      <c r="K188" s="4">
        <v>209</v>
      </c>
      <c r="L188" s="4">
        <v>23</v>
      </c>
      <c r="M188" s="4">
        <v>3</v>
      </c>
      <c r="N188" s="4" t="s">
        <v>6</v>
      </c>
      <c r="O188" s="4">
        <v>0</v>
      </c>
      <c r="P188" s="4"/>
      <c r="Q188" s="4"/>
      <c r="R188" s="4"/>
      <c r="S188" s="4"/>
      <c r="T188" s="4"/>
      <c r="U188" s="4"/>
      <c r="V188" s="4"/>
      <c r="W188" s="4">
        <v>0</v>
      </c>
      <c r="X188" s="4">
        <v>1</v>
      </c>
      <c r="Y188" s="4">
        <v>0</v>
      </c>
      <c r="Z188" s="4"/>
      <c r="AA188" s="4"/>
      <c r="AB188" s="4"/>
    </row>
    <row r="189" spans="1:28" x14ac:dyDescent="0.2">
      <c r="A189" s="4">
        <v>50</v>
      </c>
      <c r="B189" s="4">
        <v>0</v>
      </c>
      <c r="C189" s="4">
        <v>0</v>
      </c>
      <c r="D189" s="4">
        <v>1</v>
      </c>
      <c r="E189" s="4">
        <v>233</v>
      </c>
      <c r="F189" s="4">
        <f>ROUND(Source!BD164,O189)</f>
        <v>0</v>
      </c>
      <c r="G189" s="4" t="s">
        <v>67</v>
      </c>
      <c r="H189" s="4" t="s">
        <v>68</v>
      </c>
      <c r="I189" s="4"/>
      <c r="J189" s="4"/>
      <c r="K189" s="4">
        <v>233</v>
      </c>
      <c r="L189" s="4">
        <v>24</v>
      </c>
      <c r="M189" s="4">
        <v>3</v>
      </c>
      <c r="N189" s="4" t="s">
        <v>6</v>
      </c>
      <c r="O189" s="4">
        <v>0</v>
      </c>
      <c r="P189" s="4"/>
      <c r="Q189" s="4"/>
      <c r="R189" s="4"/>
      <c r="S189" s="4"/>
      <c r="T189" s="4"/>
      <c r="U189" s="4"/>
      <c r="V189" s="4"/>
      <c r="W189" s="4">
        <v>0</v>
      </c>
      <c r="X189" s="4">
        <v>1</v>
      </c>
      <c r="Y189" s="4">
        <v>0</v>
      </c>
      <c r="Z189" s="4"/>
      <c r="AA189" s="4"/>
      <c r="AB189" s="4"/>
    </row>
    <row r="190" spans="1:28" x14ac:dyDescent="0.2">
      <c r="A190" s="4">
        <v>50</v>
      </c>
      <c r="B190" s="4">
        <v>0</v>
      </c>
      <c r="C190" s="4">
        <v>0</v>
      </c>
      <c r="D190" s="4">
        <v>1</v>
      </c>
      <c r="E190" s="4">
        <v>210</v>
      </c>
      <c r="F190" s="4">
        <f>ROUND(Source!X164,O190)</f>
        <v>0</v>
      </c>
      <c r="G190" s="4" t="s">
        <v>69</v>
      </c>
      <c r="H190" s="4" t="s">
        <v>70</v>
      </c>
      <c r="I190" s="4"/>
      <c r="J190" s="4"/>
      <c r="K190" s="4">
        <v>210</v>
      </c>
      <c r="L190" s="4">
        <v>25</v>
      </c>
      <c r="M190" s="4">
        <v>3</v>
      </c>
      <c r="N190" s="4" t="s">
        <v>6</v>
      </c>
      <c r="O190" s="4">
        <v>0</v>
      </c>
      <c r="P190" s="4"/>
      <c r="Q190" s="4"/>
      <c r="R190" s="4"/>
      <c r="S190" s="4"/>
      <c r="T190" s="4"/>
      <c r="U190" s="4"/>
      <c r="V190" s="4"/>
      <c r="W190" s="4">
        <v>0</v>
      </c>
      <c r="X190" s="4">
        <v>1</v>
      </c>
      <c r="Y190" s="4">
        <v>0</v>
      </c>
      <c r="Z190" s="4"/>
      <c r="AA190" s="4"/>
      <c r="AB190" s="4"/>
    </row>
    <row r="191" spans="1:28" x14ac:dyDescent="0.2">
      <c r="A191" s="4">
        <v>50</v>
      </c>
      <c r="B191" s="4">
        <v>0</v>
      </c>
      <c r="C191" s="4">
        <v>0</v>
      </c>
      <c r="D191" s="4">
        <v>1</v>
      </c>
      <c r="E191" s="4">
        <v>211</v>
      </c>
      <c r="F191" s="4">
        <f>ROUND(Source!Y164,O191)</f>
        <v>0</v>
      </c>
      <c r="G191" s="4" t="s">
        <v>71</v>
      </c>
      <c r="H191" s="4" t="s">
        <v>72</v>
      </c>
      <c r="I191" s="4"/>
      <c r="J191" s="4"/>
      <c r="K191" s="4">
        <v>211</v>
      </c>
      <c r="L191" s="4">
        <v>26</v>
      </c>
      <c r="M191" s="4">
        <v>3</v>
      </c>
      <c r="N191" s="4" t="s">
        <v>6</v>
      </c>
      <c r="O191" s="4">
        <v>0</v>
      </c>
      <c r="P191" s="4"/>
      <c r="Q191" s="4"/>
      <c r="R191" s="4"/>
      <c r="S191" s="4"/>
      <c r="T191" s="4"/>
      <c r="U191" s="4"/>
      <c r="V191" s="4"/>
      <c r="W191" s="4">
        <v>0</v>
      </c>
      <c r="X191" s="4">
        <v>1</v>
      </c>
      <c r="Y191" s="4">
        <v>0</v>
      </c>
      <c r="Z191" s="4"/>
      <c r="AA191" s="4"/>
      <c r="AB191" s="4"/>
    </row>
    <row r="192" spans="1:28" x14ac:dyDescent="0.2">
      <c r="A192" s="4">
        <v>50</v>
      </c>
      <c r="B192" s="4">
        <v>0</v>
      </c>
      <c r="C192" s="4">
        <v>0</v>
      </c>
      <c r="D192" s="4">
        <v>1</v>
      </c>
      <c r="E192" s="4">
        <v>224</v>
      </c>
      <c r="F192" s="4">
        <f>ROUND(Source!AR164,O192)</f>
        <v>0</v>
      </c>
      <c r="G192" s="4" t="s">
        <v>73</v>
      </c>
      <c r="H192" s="4" t="s">
        <v>74</v>
      </c>
      <c r="I192" s="4"/>
      <c r="J192" s="4"/>
      <c r="K192" s="4">
        <v>224</v>
      </c>
      <c r="L192" s="4">
        <v>27</v>
      </c>
      <c r="M192" s="4">
        <v>3</v>
      </c>
      <c r="N192" s="4" t="s">
        <v>6</v>
      </c>
      <c r="O192" s="4">
        <v>0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4" spans="1:206" x14ac:dyDescent="0.2">
      <c r="A194" s="1">
        <v>4</v>
      </c>
      <c r="B194" s="1">
        <v>1</v>
      </c>
      <c r="C194" s="1"/>
      <c r="D194" s="1">
        <f>ROW(A198)</f>
        <v>198</v>
      </c>
      <c r="E194" s="1"/>
      <c r="F194" s="1" t="s">
        <v>83</v>
      </c>
      <c r="G194" s="1" t="s">
        <v>84</v>
      </c>
      <c r="H194" s="1" t="s">
        <v>6</v>
      </c>
      <c r="I194" s="1">
        <v>0</v>
      </c>
      <c r="J194" s="1"/>
      <c r="K194" s="1">
        <v>-1</v>
      </c>
      <c r="L194" s="1"/>
      <c r="M194" s="1" t="s">
        <v>6</v>
      </c>
      <c r="N194" s="1"/>
      <c r="O194" s="1"/>
      <c r="P194" s="1"/>
      <c r="Q194" s="1"/>
      <c r="R194" s="1"/>
      <c r="S194" s="1">
        <v>0</v>
      </c>
      <c r="T194" s="1"/>
      <c r="U194" s="1" t="s">
        <v>6</v>
      </c>
      <c r="V194" s="1">
        <v>0</v>
      </c>
      <c r="W194" s="1"/>
      <c r="X194" s="1"/>
      <c r="Y194" s="1"/>
      <c r="Z194" s="1"/>
      <c r="AA194" s="1"/>
      <c r="AB194" s="1" t="s">
        <v>6</v>
      </c>
      <c r="AC194" s="1" t="s">
        <v>6</v>
      </c>
      <c r="AD194" s="1" t="s">
        <v>6</v>
      </c>
      <c r="AE194" s="1" t="s">
        <v>6</v>
      </c>
      <c r="AF194" s="1" t="s">
        <v>6</v>
      </c>
      <c r="AG194" s="1" t="s">
        <v>6</v>
      </c>
      <c r="AH194" s="1"/>
      <c r="AI194" s="1"/>
      <c r="AJ194" s="1"/>
      <c r="AK194" s="1"/>
      <c r="AL194" s="1"/>
      <c r="AM194" s="1"/>
      <c r="AN194" s="1"/>
      <c r="AO194" s="1"/>
      <c r="AP194" s="1" t="s">
        <v>6</v>
      </c>
      <c r="AQ194" s="1" t="s">
        <v>6</v>
      </c>
      <c r="AR194" s="1" t="s">
        <v>6</v>
      </c>
      <c r="AS194" s="1"/>
      <c r="AT194" s="1"/>
      <c r="AU194" s="1"/>
      <c r="AV194" s="1"/>
      <c r="AW194" s="1"/>
      <c r="AX194" s="1"/>
      <c r="AY194" s="1"/>
      <c r="AZ194" s="1" t="s">
        <v>6</v>
      </c>
      <c r="BA194" s="1"/>
      <c r="BB194" s="1" t="s">
        <v>6</v>
      </c>
      <c r="BC194" s="1" t="s">
        <v>6</v>
      </c>
      <c r="BD194" s="1" t="s">
        <v>6</v>
      </c>
      <c r="BE194" s="1" t="s">
        <v>6</v>
      </c>
      <c r="BF194" s="1" t="s">
        <v>6</v>
      </c>
      <c r="BG194" s="1" t="s">
        <v>6</v>
      </c>
      <c r="BH194" s="1" t="s">
        <v>6</v>
      </c>
      <c r="BI194" s="1" t="s">
        <v>6</v>
      </c>
      <c r="BJ194" s="1" t="s">
        <v>6</v>
      </c>
      <c r="BK194" s="1" t="s">
        <v>6</v>
      </c>
      <c r="BL194" s="1" t="s">
        <v>6</v>
      </c>
      <c r="BM194" s="1" t="s">
        <v>6</v>
      </c>
      <c r="BN194" s="1" t="s">
        <v>6</v>
      </c>
      <c r="BO194" s="1" t="s">
        <v>6</v>
      </c>
      <c r="BP194" s="1" t="s">
        <v>6</v>
      </c>
      <c r="BQ194" s="1"/>
      <c r="BR194" s="1"/>
      <c r="BS194" s="1"/>
      <c r="BT194" s="1"/>
      <c r="BU194" s="1"/>
      <c r="BV194" s="1"/>
      <c r="BW194" s="1"/>
      <c r="BX194" s="1">
        <v>0</v>
      </c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>
        <v>0</v>
      </c>
    </row>
    <row r="196" spans="1:206" x14ac:dyDescent="0.2">
      <c r="A196" s="2">
        <v>52</v>
      </c>
      <c r="B196" s="2">
        <f t="shared" ref="B196:G196" si="59">B198</f>
        <v>1</v>
      </c>
      <c r="C196" s="2">
        <f t="shared" si="59"/>
        <v>4</v>
      </c>
      <c r="D196" s="2">
        <f t="shared" si="59"/>
        <v>194</v>
      </c>
      <c r="E196" s="2">
        <f t="shared" si="59"/>
        <v>0</v>
      </c>
      <c r="F196" s="2" t="str">
        <f t="shared" si="59"/>
        <v>12</v>
      </c>
      <c r="G196" s="2" t="str">
        <f t="shared" si="59"/>
        <v>БЛОК САНУЗЛОВ 6 (3-ий ЭТАЖ)</v>
      </c>
      <c r="H196" s="2"/>
      <c r="I196" s="2"/>
      <c r="J196" s="2"/>
      <c r="K196" s="2"/>
      <c r="L196" s="2"/>
      <c r="M196" s="2"/>
      <c r="N196" s="2"/>
      <c r="O196" s="2">
        <f t="shared" ref="O196:AT196" si="60">O198</f>
        <v>0</v>
      </c>
      <c r="P196" s="2">
        <f t="shared" si="60"/>
        <v>0</v>
      </c>
      <c r="Q196" s="2">
        <f t="shared" si="60"/>
        <v>0</v>
      </c>
      <c r="R196" s="2">
        <f t="shared" si="60"/>
        <v>0</v>
      </c>
      <c r="S196" s="2">
        <f t="shared" si="60"/>
        <v>0</v>
      </c>
      <c r="T196" s="2">
        <f t="shared" si="60"/>
        <v>0</v>
      </c>
      <c r="U196" s="2">
        <f t="shared" si="60"/>
        <v>0</v>
      </c>
      <c r="V196" s="2">
        <f t="shared" si="60"/>
        <v>0</v>
      </c>
      <c r="W196" s="2">
        <f t="shared" si="60"/>
        <v>0</v>
      </c>
      <c r="X196" s="2">
        <f t="shared" si="60"/>
        <v>0</v>
      </c>
      <c r="Y196" s="2">
        <f t="shared" si="60"/>
        <v>0</v>
      </c>
      <c r="Z196" s="2">
        <f t="shared" si="60"/>
        <v>0</v>
      </c>
      <c r="AA196" s="2">
        <f t="shared" si="60"/>
        <v>0</v>
      </c>
      <c r="AB196" s="2">
        <f t="shared" si="60"/>
        <v>0</v>
      </c>
      <c r="AC196" s="2">
        <f t="shared" si="60"/>
        <v>0</v>
      </c>
      <c r="AD196" s="2">
        <f t="shared" si="60"/>
        <v>0</v>
      </c>
      <c r="AE196" s="2">
        <f t="shared" si="60"/>
        <v>0</v>
      </c>
      <c r="AF196" s="2">
        <f t="shared" si="60"/>
        <v>0</v>
      </c>
      <c r="AG196" s="2">
        <f t="shared" si="60"/>
        <v>0</v>
      </c>
      <c r="AH196" s="2">
        <f t="shared" si="60"/>
        <v>0</v>
      </c>
      <c r="AI196" s="2">
        <f t="shared" si="60"/>
        <v>0</v>
      </c>
      <c r="AJ196" s="2">
        <f t="shared" si="60"/>
        <v>0</v>
      </c>
      <c r="AK196" s="2">
        <f t="shared" si="60"/>
        <v>0</v>
      </c>
      <c r="AL196" s="2">
        <f t="shared" si="60"/>
        <v>0</v>
      </c>
      <c r="AM196" s="2">
        <f t="shared" si="60"/>
        <v>0</v>
      </c>
      <c r="AN196" s="2">
        <f t="shared" si="60"/>
        <v>0</v>
      </c>
      <c r="AO196" s="2">
        <f t="shared" si="60"/>
        <v>0</v>
      </c>
      <c r="AP196" s="2">
        <f t="shared" si="60"/>
        <v>0</v>
      </c>
      <c r="AQ196" s="2">
        <f t="shared" si="60"/>
        <v>0</v>
      </c>
      <c r="AR196" s="2">
        <f t="shared" si="60"/>
        <v>0</v>
      </c>
      <c r="AS196" s="2">
        <f t="shared" si="60"/>
        <v>0</v>
      </c>
      <c r="AT196" s="2">
        <f t="shared" si="60"/>
        <v>0</v>
      </c>
      <c r="AU196" s="2">
        <f t="shared" ref="AU196:BZ196" si="61">AU198</f>
        <v>0</v>
      </c>
      <c r="AV196" s="2">
        <f t="shared" si="61"/>
        <v>0</v>
      </c>
      <c r="AW196" s="2">
        <f t="shared" si="61"/>
        <v>0</v>
      </c>
      <c r="AX196" s="2">
        <f t="shared" si="61"/>
        <v>0</v>
      </c>
      <c r="AY196" s="2">
        <f t="shared" si="61"/>
        <v>0</v>
      </c>
      <c r="AZ196" s="2">
        <f t="shared" si="61"/>
        <v>0</v>
      </c>
      <c r="BA196" s="2">
        <f t="shared" si="61"/>
        <v>0</v>
      </c>
      <c r="BB196" s="2">
        <f t="shared" si="61"/>
        <v>0</v>
      </c>
      <c r="BC196" s="2">
        <f t="shared" si="61"/>
        <v>0</v>
      </c>
      <c r="BD196" s="2">
        <f t="shared" si="61"/>
        <v>0</v>
      </c>
      <c r="BE196" s="2">
        <f t="shared" si="61"/>
        <v>0</v>
      </c>
      <c r="BF196" s="2">
        <f t="shared" si="61"/>
        <v>0</v>
      </c>
      <c r="BG196" s="2">
        <f t="shared" si="61"/>
        <v>0</v>
      </c>
      <c r="BH196" s="2">
        <f t="shared" si="61"/>
        <v>0</v>
      </c>
      <c r="BI196" s="2">
        <f t="shared" si="61"/>
        <v>0</v>
      </c>
      <c r="BJ196" s="2">
        <f t="shared" si="61"/>
        <v>0</v>
      </c>
      <c r="BK196" s="2">
        <f t="shared" si="61"/>
        <v>0</v>
      </c>
      <c r="BL196" s="2">
        <f t="shared" si="61"/>
        <v>0</v>
      </c>
      <c r="BM196" s="2">
        <f t="shared" si="61"/>
        <v>0</v>
      </c>
      <c r="BN196" s="2">
        <f t="shared" si="61"/>
        <v>0</v>
      </c>
      <c r="BO196" s="2">
        <f t="shared" si="61"/>
        <v>0</v>
      </c>
      <c r="BP196" s="2">
        <f t="shared" si="61"/>
        <v>0</v>
      </c>
      <c r="BQ196" s="2">
        <f t="shared" si="61"/>
        <v>0</v>
      </c>
      <c r="BR196" s="2">
        <f t="shared" si="61"/>
        <v>0</v>
      </c>
      <c r="BS196" s="2">
        <f t="shared" si="61"/>
        <v>0</v>
      </c>
      <c r="BT196" s="2">
        <f t="shared" si="61"/>
        <v>0</v>
      </c>
      <c r="BU196" s="2">
        <f t="shared" si="61"/>
        <v>0</v>
      </c>
      <c r="BV196" s="2">
        <f t="shared" si="61"/>
        <v>0</v>
      </c>
      <c r="BW196" s="2">
        <f t="shared" si="61"/>
        <v>0</v>
      </c>
      <c r="BX196" s="2">
        <f t="shared" si="61"/>
        <v>0</v>
      </c>
      <c r="BY196" s="2">
        <f t="shared" si="61"/>
        <v>0</v>
      </c>
      <c r="BZ196" s="2">
        <f t="shared" si="61"/>
        <v>0</v>
      </c>
      <c r="CA196" s="2">
        <f t="shared" ref="CA196:DF196" si="62">CA198</f>
        <v>0</v>
      </c>
      <c r="CB196" s="2">
        <f t="shared" si="62"/>
        <v>0</v>
      </c>
      <c r="CC196" s="2">
        <f t="shared" si="62"/>
        <v>0</v>
      </c>
      <c r="CD196" s="2">
        <f t="shared" si="62"/>
        <v>0</v>
      </c>
      <c r="CE196" s="2">
        <f t="shared" si="62"/>
        <v>0</v>
      </c>
      <c r="CF196" s="2">
        <f t="shared" si="62"/>
        <v>0</v>
      </c>
      <c r="CG196" s="2">
        <f t="shared" si="62"/>
        <v>0</v>
      </c>
      <c r="CH196" s="2">
        <f t="shared" si="62"/>
        <v>0</v>
      </c>
      <c r="CI196" s="2">
        <f t="shared" si="62"/>
        <v>0</v>
      </c>
      <c r="CJ196" s="2">
        <f t="shared" si="62"/>
        <v>0</v>
      </c>
      <c r="CK196" s="2">
        <f t="shared" si="62"/>
        <v>0</v>
      </c>
      <c r="CL196" s="2">
        <f t="shared" si="62"/>
        <v>0</v>
      </c>
      <c r="CM196" s="2">
        <f t="shared" si="62"/>
        <v>0</v>
      </c>
      <c r="CN196" s="2">
        <f t="shared" si="62"/>
        <v>0</v>
      </c>
      <c r="CO196" s="2">
        <f t="shared" si="62"/>
        <v>0</v>
      </c>
      <c r="CP196" s="2">
        <f t="shared" si="62"/>
        <v>0</v>
      </c>
      <c r="CQ196" s="2">
        <f t="shared" si="62"/>
        <v>0</v>
      </c>
      <c r="CR196" s="2">
        <f t="shared" si="62"/>
        <v>0</v>
      </c>
      <c r="CS196" s="2">
        <f t="shared" si="62"/>
        <v>0</v>
      </c>
      <c r="CT196" s="2">
        <f t="shared" si="62"/>
        <v>0</v>
      </c>
      <c r="CU196" s="2">
        <f t="shared" si="62"/>
        <v>0</v>
      </c>
      <c r="CV196" s="2">
        <f t="shared" si="62"/>
        <v>0</v>
      </c>
      <c r="CW196" s="2">
        <f t="shared" si="62"/>
        <v>0</v>
      </c>
      <c r="CX196" s="2">
        <f t="shared" si="62"/>
        <v>0</v>
      </c>
      <c r="CY196" s="2">
        <f t="shared" si="62"/>
        <v>0</v>
      </c>
      <c r="CZ196" s="2">
        <f t="shared" si="62"/>
        <v>0</v>
      </c>
      <c r="DA196" s="2">
        <f t="shared" si="62"/>
        <v>0</v>
      </c>
      <c r="DB196" s="2">
        <f t="shared" si="62"/>
        <v>0</v>
      </c>
      <c r="DC196" s="2">
        <f t="shared" si="62"/>
        <v>0</v>
      </c>
      <c r="DD196" s="2">
        <f t="shared" si="62"/>
        <v>0</v>
      </c>
      <c r="DE196" s="2">
        <f t="shared" si="62"/>
        <v>0</v>
      </c>
      <c r="DF196" s="2">
        <f t="shared" si="62"/>
        <v>0</v>
      </c>
      <c r="DG196" s="3">
        <f t="shared" ref="DG196:EL196" si="63">DG198</f>
        <v>0</v>
      </c>
      <c r="DH196" s="3">
        <f t="shared" si="63"/>
        <v>0</v>
      </c>
      <c r="DI196" s="3">
        <f t="shared" si="63"/>
        <v>0</v>
      </c>
      <c r="DJ196" s="3">
        <f t="shared" si="63"/>
        <v>0</v>
      </c>
      <c r="DK196" s="3">
        <f t="shared" si="63"/>
        <v>0</v>
      </c>
      <c r="DL196" s="3">
        <f t="shared" si="63"/>
        <v>0</v>
      </c>
      <c r="DM196" s="3">
        <f t="shared" si="63"/>
        <v>0</v>
      </c>
      <c r="DN196" s="3">
        <f t="shared" si="63"/>
        <v>0</v>
      </c>
      <c r="DO196" s="3">
        <f t="shared" si="63"/>
        <v>0</v>
      </c>
      <c r="DP196" s="3">
        <f t="shared" si="63"/>
        <v>0</v>
      </c>
      <c r="DQ196" s="3">
        <f t="shared" si="63"/>
        <v>0</v>
      </c>
      <c r="DR196" s="3">
        <f t="shared" si="63"/>
        <v>0</v>
      </c>
      <c r="DS196" s="3">
        <f t="shared" si="63"/>
        <v>0</v>
      </c>
      <c r="DT196" s="3">
        <f t="shared" si="63"/>
        <v>0</v>
      </c>
      <c r="DU196" s="3">
        <f t="shared" si="63"/>
        <v>0</v>
      </c>
      <c r="DV196" s="3">
        <f t="shared" si="63"/>
        <v>0</v>
      </c>
      <c r="DW196" s="3">
        <f t="shared" si="63"/>
        <v>0</v>
      </c>
      <c r="DX196" s="3">
        <f t="shared" si="63"/>
        <v>0</v>
      </c>
      <c r="DY196" s="3">
        <f t="shared" si="63"/>
        <v>0</v>
      </c>
      <c r="DZ196" s="3">
        <f t="shared" si="63"/>
        <v>0</v>
      </c>
      <c r="EA196" s="3">
        <f t="shared" si="63"/>
        <v>0</v>
      </c>
      <c r="EB196" s="3">
        <f t="shared" si="63"/>
        <v>0</v>
      </c>
      <c r="EC196" s="3">
        <f t="shared" si="63"/>
        <v>0</v>
      </c>
      <c r="ED196" s="3">
        <f t="shared" si="63"/>
        <v>0</v>
      </c>
      <c r="EE196" s="3">
        <f t="shared" si="63"/>
        <v>0</v>
      </c>
      <c r="EF196" s="3">
        <f t="shared" si="63"/>
        <v>0</v>
      </c>
      <c r="EG196" s="3">
        <f t="shared" si="63"/>
        <v>0</v>
      </c>
      <c r="EH196" s="3">
        <f t="shared" si="63"/>
        <v>0</v>
      </c>
      <c r="EI196" s="3">
        <f t="shared" si="63"/>
        <v>0</v>
      </c>
      <c r="EJ196" s="3">
        <f t="shared" si="63"/>
        <v>0</v>
      </c>
      <c r="EK196" s="3">
        <f t="shared" si="63"/>
        <v>0</v>
      </c>
      <c r="EL196" s="3">
        <f t="shared" si="63"/>
        <v>0</v>
      </c>
      <c r="EM196" s="3">
        <f t="shared" ref="EM196:FR196" si="64">EM198</f>
        <v>0</v>
      </c>
      <c r="EN196" s="3">
        <f t="shared" si="64"/>
        <v>0</v>
      </c>
      <c r="EO196" s="3">
        <f t="shared" si="64"/>
        <v>0</v>
      </c>
      <c r="EP196" s="3">
        <f t="shared" si="64"/>
        <v>0</v>
      </c>
      <c r="EQ196" s="3">
        <f t="shared" si="64"/>
        <v>0</v>
      </c>
      <c r="ER196" s="3">
        <f t="shared" si="64"/>
        <v>0</v>
      </c>
      <c r="ES196" s="3">
        <f t="shared" si="64"/>
        <v>0</v>
      </c>
      <c r="ET196" s="3">
        <f t="shared" si="64"/>
        <v>0</v>
      </c>
      <c r="EU196" s="3">
        <f t="shared" si="64"/>
        <v>0</v>
      </c>
      <c r="EV196" s="3">
        <f t="shared" si="64"/>
        <v>0</v>
      </c>
      <c r="EW196" s="3">
        <f t="shared" si="64"/>
        <v>0</v>
      </c>
      <c r="EX196" s="3">
        <f t="shared" si="64"/>
        <v>0</v>
      </c>
      <c r="EY196" s="3">
        <f t="shared" si="64"/>
        <v>0</v>
      </c>
      <c r="EZ196" s="3">
        <f t="shared" si="64"/>
        <v>0</v>
      </c>
      <c r="FA196" s="3">
        <f t="shared" si="64"/>
        <v>0</v>
      </c>
      <c r="FB196" s="3">
        <f t="shared" si="64"/>
        <v>0</v>
      </c>
      <c r="FC196" s="3">
        <f t="shared" si="64"/>
        <v>0</v>
      </c>
      <c r="FD196" s="3">
        <f t="shared" si="64"/>
        <v>0</v>
      </c>
      <c r="FE196" s="3">
        <f t="shared" si="64"/>
        <v>0</v>
      </c>
      <c r="FF196" s="3">
        <f t="shared" si="64"/>
        <v>0</v>
      </c>
      <c r="FG196" s="3">
        <f t="shared" si="64"/>
        <v>0</v>
      </c>
      <c r="FH196" s="3">
        <f t="shared" si="64"/>
        <v>0</v>
      </c>
      <c r="FI196" s="3">
        <f t="shared" si="64"/>
        <v>0</v>
      </c>
      <c r="FJ196" s="3">
        <f t="shared" si="64"/>
        <v>0</v>
      </c>
      <c r="FK196" s="3">
        <f t="shared" si="64"/>
        <v>0</v>
      </c>
      <c r="FL196" s="3">
        <f t="shared" si="64"/>
        <v>0</v>
      </c>
      <c r="FM196" s="3">
        <f t="shared" si="64"/>
        <v>0</v>
      </c>
      <c r="FN196" s="3">
        <f t="shared" si="64"/>
        <v>0</v>
      </c>
      <c r="FO196" s="3">
        <f t="shared" si="64"/>
        <v>0</v>
      </c>
      <c r="FP196" s="3">
        <f t="shared" si="64"/>
        <v>0</v>
      </c>
      <c r="FQ196" s="3">
        <f t="shared" si="64"/>
        <v>0</v>
      </c>
      <c r="FR196" s="3">
        <f t="shared" si="64"/>
        <v>0</v>
      </c>
      <c r="FS196" s="3">
        <f t="shared" ref="FS196:GX196" si="65">FS198</f>
        <v>0</v>
      </c>
      <c r="FT196" s="3">
        <f t="shared" si="65"/>
        <v>0</v>
      </c>
      <c r="FU196" s="3">
        <f t="shared" si="65"/>
        <v>0</v>
      </c>
      <c r="FV196" s="3">
        <f t="shared" si="65"/>
        <v>0</v>
      </c>
      <c r="FW196" s="3">
        <f t="shared" si="65"/>
        <v>0</v>
      </c>
      <c r="FX196" s="3">
        <f t="shared" si="65"/>
        <v>0</v>
      </c>
      <c r="FY196" s="3">
        <f t="shared" si="65"/>
        <v>0</v>
      </c>
      <c r="FZ196" s="3">
        <f t="shared" si="65"/>
        <v>0</v>
      </c>
      <c r="GA196" s="3">
        <f t="shared" si="65"/>
        <v>0</v>
      </c>
      <c r="GB196" s="3">
        <f t="shared" si="65"/>
        <v>0</v>
      </c>
      <c r="GC196" s="3">
        <f t="shared" si="65"/>
        <v>0</v>
      </c>
      <c r="GD196" s="3">
        <f t="shared" si="65"/>
        <v>0</v>
      </c>
      <c r="GE196" s="3">
        <f t="shared" si="65"/>
        <v>0</v>
      </c>
      <c r="GF196" s="3">
        <f t="shared" si="65"/>
        <v>0</v>
      </c>
      <c r="GG196" s="3">
        <f t="shared" si="65"/>
        <v>0</v>
      </c>
      <c r="GH196" s="3">
        <f t="shared" si="65"/>
        <v>0</v>
      </c>
      <c r="GI196" s="3">
        <f t="shared" si="65"/>
        <v>0</v>
      </c>
      <c r="GJ196" s="3">
        <f t="shared" si="65"/>
        <v>0</v>
      </c>
      <c r="GK196" s="3">
        <f t="shared" si="65"/>
        <v>0</v>
      </c>
      <c r="GL196" s="3">
        <f t="shared" si="65"/>
        <v>0</v>
      </c>
      <c r="GM196" s="3">
        <f t="shared" si="65"/>
        <v>0</v>
      </c>
      <c r="GN196" s="3">
        <f t="shared" si="65"/>
        <v>0</v>
      </c>
      <c r="GO196" s="3">
        <f t="shared" si="65"/>
        <v>0</v>
      </c>
      <c r="GP196" s="3">
        <f t="shared" si="65"/>
        <v>0</v>
      </c>
      <c r="GQ196" s="3">
        <f t="shared" si="65"/>
        <v>0</v>
      </c>
      <c r="GR196" s="3">
        <f t="shared" si="65"/>
        <v>0</v>
      </c>
      <c r="GS196" s="3">
        <f t="shared" si="65"/>
        <v>0</v>
      </c>
      <c r="GT196" s="3">
        <f t="shared" si="65"/>
        <v>0</v>
      </c>
      <c r="GU196" s="3">
        <f t="shared" si="65"/>
        <v>0</v>
      </c>
      <c r="GV196" s="3">
        <f t="shared" si="65"/>
        <v>0</v>
      </c>
      <c r="GW196" s="3">
        <f t="shared" si="65"/>
        <v>0</v>
      </c>
      <c r="GX196" s="3">
        <f t="shared" si="65"/>
        <v>0</v>
      </c>
    </row>
    <row r="198" spans="1:206" x14ac:dyDescent="0.2">
      <c r="A198" s="2">
        <v>51</v>
      </c>
      <c r="B198" s="2">
        <f>B194</f>
        <v>1</v>
      </c>
      <c r="C198" s="2">
        <f>A194</f>
        <v>4</v>
      </c>
      <c r="D198" s="2">
        <f>ROW(A194)</f>
        <v>194</v>
      </c>
      <c r="E198" s="2"/>
      <c r="F198" s="2" t="str">
        <f>IF(F194&lt;&gt;"",F194,"")</f>
        <v>12</v>
      </c>
      <c r="G198" s="2" t="str">
        <f>IF(G194&lt;&gt;"",G194,"")</f>
        <v>БЛОК САНУЗЛОВ 6 (3-ий ЭТАЖ)</v>
      </c>
      <c r="H198" s="2">
        <v>0</v>
      </c>
      <c r="I198" s="2"/>
      <c r="J198" s="2"/>
      <c r="K198" s="2"/>
      <c r="L198" s="2"/>
      <c r="M198" s="2"/>
      <c r="N198" s="2"/>
      <c r="O198" s="2">
        <f t="shared" ref="O198:Y198" si="66">AB198</f>
        <v>0</v>
      </c>
      <c r="P198" s="2">
        <f t="shared" si="66"/>
        <v>0</v>
      </c>
      <c r="Q198" s="2">
        <f t="shared" si="66"/>
        <v>0</v>
      </c>
      <c r="R198" s="2">
        <f t="shared" si="66"/>
        <v>0</v>
      </c>
      <c r="S198" s="2">
        <f t="shared" si="66"/>
        <v>0</v>
      </c>
      <c r="T198" s="2">
        <f t="shared" si="66"/>
        <v>0</v>
      </c>
      <c r="U198" s="2">
        <f t="shared" si="66"/>
        <v>0</v>
      </c>
      <c r="V198" s="2">
        <f t="shared" si="66"/>
        <v>0</v>
      </c>
      <c r="W198" s="2">
        <f t="shared" si="66"/>
        <v>0</v>
      </c>
      <c r="X198" s="2">
        <f t="shared" si="66"/>
        <v>0</v>
      </c>
      <c r="Y198" s="2">
        <f t="shared" si="66"/>
        <v>0</v>
      </c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>
        <f t="shared" ref="AO198:BD198" si="67">BX198</f>
        <v>0</v>
      </c>
      <c r="AP198" s="2">
        <f t="shared" si="67"/>
        <v>0</v>
      </c>
      <c r="AQ198" s="2">
        <f t="shared" si="67"/>
        <v>0</v>
      </c>
      <c r="AR198" s="2">
        <f t="shared" si="67"/>
        <v>0</v>
      </c>
      <c r="AS198" s="2">
        <f t="shared" si="67"/>
        <v>0</v>
      </c>
      <c r="AT198" s="2">
        <f t="shared" si="67"/>
        <v>0</v>
      </c>
      <c r="AU198" s="2">
        <f t="shared" si="67"/>
        <v>0</v>
      </c>
      <c r="AV198" s="2">
        <f t="shared" si="67"/>
        <v>0</v>
      </c>
      <c r="AW198" s="2">
        <f t="shared" si="67"/>
        <v>0</v>
      </c>
      <c r="AX198" s="2">
        <f t="shared" si="67"/>
        <v>0</v>
      </c>
      <c r="AY198" s="2">
        <f t="shared" si="67"/>
        <v>0</v>
      </c>
      <c r="AZ198" s="2">
        <f t="shared" si="67"/>
        <v>0</v>
      </c>
      <c r="BA198" s="2">
        <f t="shared" si="67"/>
        <v>0</v>
      </c>
      <c r="BB198" s="2">
        <f t="shared" si="67"/>
        <v>0</v>
      </c>
      <c r="BC198" s="2">
        <f t="shared" si="67"/>
        <v>0</v>
      </c>
      <c r="BD198" s="2">
        <f t="shared" si="67"/>
        <v>0</v>
      </c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>
        <v>0</v>
      </c>
    </row>
    <row r="200" spans="1:206" x14ac:dyDescent="0.2">
      <c r="A200" s="4">
        <v>50</v>
      </c>
      <c r="B200" s="4">
        <v>0</v>
      </c>
      <c r="C200" s="4">
        <v>0</v>
      </c>
      <c r="D200" s="4">
        <v>1</v>
      </c>
      <c r="E200" s="4">
        <v>201</v>
      </c>
      <c r="F200" s="4">
        <f>ROUND(Source!O198,O200)</f>
        <v>0</v>
      </c>
      <c r="G200" s="4" t="s">
        <v>21</v>
      </c>
      <c r="H200" s="4" t="s">
        <v>22</v>
      </c>
      <c r="I200" s="4"/>
      <c r="J200" s="4"/>
      <c r="K200" s="4">
        <v>201</v>
      </c>
      <c r="L200" s="4">
        <v>1</v>
      </c>
      <c r="M200" s="4">
        <v>3</v>
      </c>
      <c r="N200" s="4" t="s">
        <v>6</v>
      </c>
      <c r="O200" s="4">
        <v>0</v>
      </c>
      <c r="P200" s="4"/>
      <c r="Q200" s="4"/>
      <c r="R200" s="4"/>
      <c r="S200" s="4"/>
      <c r="T200" s="4"/>
      <c r="U200" s="4"/>
      <c r="V200" s="4"/>
      <c r="W200" s="4">
        <v>0</v>
      </c>
      <c r="X200" s="4">
        <v>1</v>
      </c>
      <c r="Y200" s="4">
        <v>0</v>
      </c>
      <c r="Z200" s="4"/>
      <c r="AA200" s="4"/>
      <c r="AB200" s="4"/>
    </row>
    <row r="201" spans="1:206" x14ac:dyDescent="0.2">
      <c r="A201" s="4">
        <v>50</v>
      </c>
      <c r="B201" s="4">
        <v>0</v>
      </c>
      <c r="C201" s="4">
        <v>0</v>
      </c>
      <c r="D201" s="4">
        <v>1</v>
      </c>
      <c r="E201" s="4">
        <v>202</v>
      </c>
      <c r="F201" s="4">
        <f>ROUND(Source!P198,O201)</f>
        <v>0</v>
      </c>
      <c r="G201" s="4" t="s">
        <v>23</v>
      </c>
      <c r="H201" s="4" t="s">
        <v>24</v>
      </c>
      <c r="I201" s="4"/>
      <c r="J201" s="4"/>
      <c r="K201" s="4">
        <v>202</v>
      </c>
      <c r="L201" s="4">
        <v>2</v>
      </c>
      <c r="M201" s="4">
        <v>3</v>
      </c>
      <c r="N201" s="4" t="s">
        <v>6</v>
      </c>
      <c r="O201" s="4">
        <v>0</v>
      </c>
      <c r="P201" s="4"/>
      <c r="Q201" s="4"/>
      <c r="R201" s="4"/>
      <c r="S201" s="4"/>
      <c r="T201" s="4"/>
      <c r="U201" s="4"/>
      <c r="V201" s="4"/>
      <c r="W201" s="4">
        <v>0</v>
      </c>
      <c r="X201" s="4">
        <v>1</v>
      </c>
      <c r="Y201" s="4">
        <v>0</v>
      </c>
      <c r="Z201" s="4"/>
      <c r="AA201" s="4"/>
      <c r="AB201" s="4"/>
    </row>
    <row r="202" spans="1:206" x14ac:dyDescent="0.2">
      <c r="A202" s="4">
        <v>50</v>
      </c>
      <c r="B202" s="4">
        <v>0</v>
      </c>
      <c r="C202" s="4">
        <v>0</v>
      </c>
      <c r="D202" s="4">
        <v>1</v>
      </c>
      <c r="E202" s="4">
        <v>222</v>
      </c>
      <c r="F202" s="4">
        <f>ROUND(Source!AO198,O202)</f>
        <v>0</v>
      </c>
      <c r="G202" s="4" t="s">
        <v>25</v>
      </c>
      <c r="H202" s="4" t="s">
        <v>26</v>
      </c>
      <c r="I202" s="4"/>
      <c r="J202" s="4"/>
      <c r="K202" s="4">
        <v>222</v>
      </c>
      <c r="L202" s="4">
        <v>3</v>
      </c>
      <c r="M202" s="4">
        <v>3</v>
      </c>
      <c r="N202" s="4" t="s">
        <v>6</v>
      </c>
      <c r="O202" s="4">
        <v>0</v>
      </c>
      <c r="P202" s="4"/>
      <c r="Q202" s="4"/>
      <c r="R202" s="4"/>
      <c r="S202" s="4"/>
      <c r="T202" s="4"/>
      <c r="U202" s="4"/>
      <c r="V202" s="4"/>
      <c r="W202" s="4">
        <v>0</v>
      </c>
      <c r="X202" s="4">
        <v>1</v>
      </c>
      <c r="Y202" s="4">
        <v>0</v>
      </c>
      <c r="Z202" s="4"/>
      <c r="AA202" s="4"/>
      <c r="AB202" s="4"/>
    </row>
    <row r="203" spans="1:206" x14ac:dyDescent="0.2">
      <c r="A203" s="4">
        <v>50</v>
      </c>
      <c r="B203" s="4">
        <v>0</v>
      </c>
      <c r="C203" s="4">
        <v>0</v>
      </c>
      <c r="D203" s="4">
        <v>1</v>
      </c>
      <c r="E203" s="4">
        <v>225</v>
      </c>
      <c r="F203" s="4">
        <f>ROUND(Source!AV198,O203)</f>
        <v>0</v>
      </c>
      <c r="G203" s="4" t="s">
        <v>27</v>
      </c>
      <c r="H203" s="4" t="s">
        <v>28</v>
      </c>
      <c r="I203" s="4"/>
      <c r="J203" s="4"/>
      <c r="K203" s="4">
        <v>225</v>
      </c>
      <c r="L203" s="4">
        <v>4</v>
      </c>
      <c r="M203" s="4">
        <v>3</v>
      </c>
      <c r="N203" s="4" t="s">
        <v>6</v>
      </c>
      <c r="O203" s="4">
        <v>0</v>
      </c>
      <c r="P203" s="4"/>
      <c r="Q203" s="4"/>
      <c r="R203" s="4"/>
      <c r="S203" s="4"/>
      <c r="T203" s="4"/>
      <c r="U203" s="4"/>
      <c r="V203" s="4"/>
      <c r="W203" s="4">
        <v>0</v>
      </c>
      <c r="X203" s="4">
        <v>1</v>
      </c>
      <c r="Y203" s="4">
        <v>0</v>
      </c>
      <c r="Z203" s="4"/>
      <c r="AA203" s="4"/>
      <c r="AB203" s="4"/>
    </row>
    <row r="204" spans="1:206" x14ac:dyDescent="0.2">
      <c r="A204" s="4">
        <v>50</v>
      </c>
      <c r="B204" s="4">
        <v>0</v>
      </c>
      <c r="C204" s="4">
        <v>0</v>
      </c>
      <c r="D204" s="4">
        <v>1</v>
      </c>
      <c r="E204" s="4">
        <v>226</v>
      </c>
      <c r="F204" s="4">
        <f>ROUND(Source!AW198,O204)</f>
        <v>0</v>
      </c>
      <c r="G204" s="4" t="s">
        <v>29</v>
      </c>
      <c r="H204" s="4" t="s">
        <v>30</v>
      </c>
      <c r="I204" s="4"/>
      <c r="J204" s="4"/>
      <c r="K204" s="4">
        <v>226</v>
      </c>
      <c r="L204" s="4">
        <v>5</v>
      </c>
      <c r="M204" s="4">
        <v>3</v>
      </c>
      <c r="N204" s="4" t="s">
        <v>6</v>
      </c>
      <c r="O204" s="4">
        <v>0</v>
      </c>
      <c r="P204" s="4"/>
      <c r="Q204" s="4"/>
      <c r="R204" s="4"/>
      <c r="S204" s="4"/>
      <c r="T204" s="4"/>
      <c r="U204" s="4"/>
      <c r="V204" s="4"/>
      <c r="W204" s="4">
        <v>0</v>
      </c>
      <c r="X204" s="4">
        <v>1</v>
      </c>
      <c r="Y204" s="4">
        <v>0</v>
      </c>
      <c r="Z204" s="4"/>
      <c r="AA204" s="4"/>
      <c r="AB204" s="4"/>
    </row>
    <row r="205" spans="1:206" x14ac:dyDescent="0.2">
      <c r="A205" s="4">
        <v>50</v>
      </c>
      <c r="B205" s="4">
        <v>0</v>
      </c>
      <c r="C205" s="4">
        <v>0</v>
      </c>
      <c r="D205" s="4">
        <v>1</v>
      </c>
      <c r="E205" s="4">
        <v>227</v>
      </c>
      <c r="F205" s="4">
        <f>ROUND(Source!AX198,O205)</f>
        <v>0</v>
      </c>
      <c r="G205" s="4" t="s">
        <v>31</v>
      </c>
      <c r="H205" s="4" t="s">
        <v>32</v>
      </c>
      <c r="I205" s="4"/>
      <c r="J205" s="4"/>
      <c r="K205" s="4">
        <v>227</v>
      </c>
      <c r="L205" s="4">
        <v>6</v>
      </c>
      <c r="M205" s="4">
        <v>3</v>
      </c>
      <c r="N205" s="4" t="s">
        <v>6</v>
      </c>
      <c r="O205" s="4">
        <v>0</v>
      </c>
      <c r="P205" s="4"/>
      <c r="Q205" s="4"/>
      <c r="R205" s="4"/>
      <c r="S205" s="4"/>
      <c r="T205" s="4"/>
      <c r="U205" s="4"/>
      <c r="V205" s="4"/>
      <c r="W205" s="4">
        <v>0</v>
      </c>
      <c r="X205" s="4">
        <v>1</v>
      </c>
      <c r="Y205" s="4">
        <v>0</v>
      </c>
      <c r="Z205" s="4"/>
      <c r="AA205" s="4"/>
      <c r="AB205" s="4"/>
    </row>
    <row r="206" spans="1:206" x14ac:dyDescent="0.2">
      <c r="A206" s="4">
        <v>50</v>
      </c>
      <c r="B206" s="4">
        <v>0</v>
      </c>
      <c r="C206" s="4">
        <v>0</v>
      </c>
      <c r="D206" s="4">
        <v>1</v>
      </c>
      <c r="E206" s="4">
        <v>228</v>
      </c>
      <c r="F206" s="4">
        <f>ROUND(Source!AY198,O206)</f>
        <v>0</v>
      </c>
      <c r="G206" s="4" t="s">
        <v>33</v>
      </c>
      <c r="H206" s="4" t="s">
        <v>34</v>
      </c>
      <c r="I206" s="4"/>
      <c r="J206" s="4"/>
      <c r="K206" s="4">
        <v>228</v>
      </c>
      <c r="L206" s="4">
        <v>7</v>
      </c>
      <c r="M206" s="4">
        <v>3</v>
      </c>
      <c r="N206" s="4" t="s">
        <v>6</v>
      </c>
      <c r="O206" s="4">
        <v>0</v>
      </c>
      <c r="P206" s="4"/>
      <c r="Q206" s="4"/>
      <c r="R206" s="4"/>
      <c r="S206" s="4"/>
      <c r="T206" s="4"/>
      <c r="U206" s="4"/>
      <c r="V206" s="4"/>
      <c r="W206" s="4">
        <v>0</v>
      </c>
      <c r="X206" s="4">
        <v>1</v>
      </c>
      <c r="Y206" s="4">
        <v>0</v>
      </c>
      <c r="Z206" s="4"/>
      <c r="AA206" s="4"/>
      <c r="AB206" s="4"/>
    </row>
    <row r="207" spans="1:206" x14ac:dyDescent="0.2">
      <c r="A207" s="4">
        <v>50</v>
      </c>
      <c r="B207" s="4">
        <v>0</v>
      </c>
      <c r="C207" s="4">
        <v>0</v>
      </c>
      <c r="D207" s="4">
        <v>1</v>
      </c>
      <c r="E207" s="4">
        <v>216</v>
      </c>
      <c r="F207" s="4">
        <f>ROUND(Source!AP198,O207)</f>
        <v>0</v>
      </c>
      <c r="G207" s="4" t="s">
        <v>35</v>
      </c>
      <c r="H207" s="4" t="s">
        <v>36</v>
      </c>
      <c r="I207" s="4"/>
      <c r="J207" s="4"/>
      <c r="K207" s="4">
        <v>216</v>
      </c>
      <c r="L207" s="4">
        <v>8</v>
      </c>
      <c r="M207" s="4">
        <v>3</v>
      </c>
      <c r="N207" s="4" t="s">
        <v>6</v>
      </c>
      <c r="O207" s="4">
        <v>0</v>
      </c>
      <c r="P207" s="4"/>
      <c r="Q207" s="4"/>
      <c r="R207" s="4"/>
      <c r="S207" s="4"/>
      <c r="T207" s="4"/>
      <c r="U207" s="4"/>
      <c r="V207" s="4"/>
      <c r="W207" s="4">
        <v>0</v>
      </c>
      <c r="X207" s="4">
        <v>1</v>
      </c>
      <c r="Y207" s="4">
        <v>0</v>
      </c>
      <c r="Z207" s="4"/>
      <c r="AA207" s="4"/>
      <c r="AB207" s="4"/>
    </row>
    <row r="208" spans="1:206" x14ac:dyDescent="0.2">
      <c r="A208" s="4">
        <v>50</v>
      </c>
      <c r="B208" s="4">
        <v>0</v>
      </c>
      <c r="C208" s="4">
        <v>0</v>
      </c>
      <c r="D208" s="4">
        <v>1</v>
      </c>
      <c r="E208" s="4">
        <v>223</v>
      </c>
      <c r="F208" s="4">
        <f>ROUND(Source!AQ198,O208)</f>
        <v>0</v>
      </c>
      <c r="G208" s="4" t="s">
        <v>37</v>
      </c>
      <c r="H208" s="4" t="s">
        <v>38</v>
      </c>
      <c r="I208" s="4"/>
      <c r="J208" s="4"/>
      <c r="K208" s="4">
        <v>223</v>
      </c>
      <c r="L208" s="4">
        <v>9</v>
      </c>
      <c r="M208" s="4">
        <v>3</v>
      </c>
      <c r="N208" s="4" t="s">
        <v>6</v>
      </c>
      <c r="O208" s="4">
        <v>0</v>
      </c>
      <c r="P208" s="4"/>
      <c r="Q208" s="4"/>
      <c r="R208" s="4"/>
      <c r="S208" s="4"/>
      <c r="T208" s="4"/>
      <c r="U208" s="4"/>
      <c r="V208" s="4"/>
      <c r="W208" s="4">
        <v>0</v>
      </c>
      <c r="X208" s="4">
        <v>1</v>
      </c>
      <c r="Y208" s="4">
        <v>0</v>
      </c>
      <c r="Z208" s="4"/>
      <c r="AA208" s="4"/>
      <c r="AB208" s="4"/>
    </row>
    <row r="209" spans="1:28" x14ac:dyDescent="0.2">
      <c r="A209" s="4">
        <v>50</v>
      </c>
      <c r="B209" s="4">
        <v>0</v>
      </c>
      <c r="C209" s="4">
        <v>0</v>
      </c>
      <c r="D209" s="4">
        <v>1</v>
      </c>
      <c r="E209" s="4">
        <v>229</v>
      </c>
      <c r="F209" s="4">
        <f>ROUND(Source!AZ198,O209)</f>
        <v>0</v>
      </c>
      <c r="G209" s="4" t="s">
        <v>39</v>
      </c>
      <c r="H209" s="4" t="s">
        <v>40</v>
      </c>
      <c r="I209" s="4"/>
      <c r="J209" s="4"/>
      <c r="K209" s="4">
        <v>229</v>
      </c>
      <c r="L209" s="4">
        <v>10</v>
      </c>
      <c r="M209" s="4">
        <v>3</v>
      </c>
      <c r="N209" s="4" t="s">
        <v>6</v>
      </c>
      <c r="O209" s="4">
        <v>0</v>
      </c>
      <c r="P209" s="4"/>
      <c r="Q209" s="4"/>
      <c r="R209" s="4"/>
      <c r="S209" s="4"/>
      <c r="T209" s="4"/>
      <c r="U209" s="4"/>
      <c r="V209" s="4"/>
      <c r="W209" s="4">
        <v>0</v>
      </c>
      <c r="X209" s="4">
        <v>1</v>
      </c>
      <c r="Y209" s="4">
        <v>0</v>
      </c>
      <c r="Z209" s="4"/>
      <c r="AA209" s="4"/>
      <c r="AB209" s="4"/>
    </row>
    <row r="210" spans="1:28" x14ac:dyDescent="0.2">
      <c r="A210" s="4">
        <v>50</v>
      </c>
      <c r="B210" s="4">
        <v>0</v>
      </c>
      <c r="C210" s="4">
        <v>0</v>
      </c>
      <c r="D210" s="4">
        <v>1</v>
      </c>
      <c r="E210" s="4">
        <v>203</v>
      </c>
      <c r="F210" s="4">
        <f>ROUND(Source!Q198,O210)</f>
        <v>0</v>
      </c>
      <c r="G210" s="4" t="s">
        <v>41</v>
      </c>
      <c r="H210" s="4" t="s">
        <v>42</v>
      </c>
      <c r="I210" s="4"/>
      <c r="J210" s="4"/>
      <c r="K210" s="4">
        <v>203</v>
      </c>
      <c r="L210" s="4">
        <v>11</v>
      </c>
      <c r="M210" s="4">
        <v>3</v>
      </c>
      <c r="N210" s="4" t="s">
        <v>6</v>
      </c>
      <c r="O210" s="4">
        <v>0</v>
      </c>
      <c r="P210" s="4"/>
      <c r="Q210" s="4"/>
      <c r="R210" s="4"/>
      <c r="S210" s="4"/>
      <c r="T210" s="4"/>
      <c r="U210" s="4"/>
      <c r="V210" s="4"/>
      <c r="W210" s="4">
        <v>0</v>
      </c>
      <c r="X210" s="4">
        <v>1</v>
      </c>
      <c r="Y210" s="4">
        <v>0</v>
      </c>
      <c r="Z210" s="4"/>
      <c r="AA210" s="4"/>
      <c r="AB210" s="4"/>
    </row>
    <row r="211" spans="1:28" x14ac:dyDescent="0.2">
      <c r="A211" s="4">
        <v>50</v>
      </c>
      <c r="B211" s="4">
        <v>0</v>
      </c>
      <c r="C211" s="4">
        <v>0</v>
      </c>
      <c r="D211" s="4">
        <v>1</v>
      </c>
      <c r="E211" s="4">
        <v>231</v>
      </c>
      <c r="F211" s="4">
        <f>ROUND(Source!BB198,O211)</f>
        <v>0</v>
      </c>
      <c r="G211" s="4" t="s">
        <v>43</v>
      </c>
      <c r="H211" s="4" t="s">
        <v>44</v>
      </c>
      <c r="I211" s="4"/>
      <c r="J211" s="4"/>
      <c r="K211" s="4">
        <v>231</v>
      </c>
      <c r="L211" s="4">
        <v>12</v>
      </c>
      <c r="M211" s="4">
        <v>3</v>
      </c>
      <c r="N211" s="4" t="s">
        <v>6</v>
      </c>
      <c r="O211" s="4">
        <v>0</v>
      </c>
      <c r="P211" s="4"/>
      <c r="Q211" s="4"/>
      <c r="R211" s="4"/>
      <c r="S211" s="4"/>
      <c r="T211" s="4"/>
      <c r="U211" s="4"/>
      <c r="V211" s="4"/>
      <c r="W211" s="4">
        <v>0</v>
      </c>
      <c r="X211" s="4">
        <v>1</v>
      </c>
      <c r="Y211" s="4">
        <v>0</v>
      </c>
      <c r="Z211" s="4"/>
      <c r="AA211" s="4"/>
      <c r="AB211" s="4"/>
    </row>
    <row r="212" spans="1:28" x14ac:dyDescent="0.2">
      <c r="A212" s="4">
        <v>50</v>
      </c>
      <c r="B212" s="4">
        <v>0</v>
      </c>
      <c r="C212" s="4">
        <v>0</v>
      </c>
      <c r="D212" s="4">
        <v>1</v>
      </c>
      <c r="E212" s="4">
        <v>204</v>
      </c>
      <c r="F212" s="4">
        <f>ROUND(Source!R198,O212)</f>
        <v>0</v>
      </c>
      <c r="G212" s="4" t="s">
        <v>45</v>
      </c>
      <c r="H212" s="4" t="s">
        <v>46</v>
      </c>
      <c r="I212" s="4"/>
      <c r="J212" s="4"/>
      <c r="K212" s="4">
        <v>204</v>
      </c>
      <c r="L212" s="4">
        <v>13</v>
      </c>
      <c r="M212" s="4">
        <v>3</v>
      </c>
      <c r="N212" s="4" t="s">
        <v>6</v>
      </c>
      <c r="O212" s="4">
        <v>0</v>
      </c>
      <c r="P212" s="4"/>
      <c r="Q212" s="4"/>
      <c r="R212" s="4"/>
      <c r="S212" s="4"/>
      <c r="T212" s="4"/>
      <c r="U212" s="4"/>
      <c r="V212" s="4"/>
      <c r="W212" s="4">
        <v>0</v>
      </c>
      <c r="X212" s="4">
        <v>1</v>
      </c>
      <c r="Y212" s="4">
        <v>0</v>
      </c>
      <c r="Z212" s="4"/>
      <c r="AA212" s="4"/>
      <c r="AB212" s="4"/>
    </row>
    <row r="213" spans="1:28" x14ac:dyDescent="0.2">
      <c r="A213" s="4">
        <v>50</v>
      </c>
      <c r="B213" s="4">
        <v>0</v>
      </c>
      <c r="C213" s="4">
        <v>0</v>
      </c>
      <c r="D213" s="4">
        <v>1</v>
      </c>
      <c r="E213" s="4">
        <v>205</v>
      </c>
      <c r="F213" s="4">
        <f>ROUND(Source!S198,O213)</f>
        <v>0</v>
      </c>
      <c r="G213" s="4" t="s">
        <v>47</v>
      </c>
      <c r="H213" s="4" t="s">
        <v>48</v>
      </c>
      <c r="I213" s="4"/>
      <c r="J213" s="4"/>
      <c r="K213" s="4">
        <v>205</v>
      </c>
      <c r="L213" s="4">
        <v>14</v>
      </c>
      <c r="M213" s="4">
        <v>3</v>
      </c>
      <c r="N213" s="4" t="s">
        <v>6</v>
      </c>
      <c r="O213" s="4">
        <v>0</v>
      </c>
      <c r="P213" s="4"/>
      <c r="Q213" s="4"/>
      <c r="R213" s="4"/>
      <c r="S213" s="4"/>
      <c r="T213" s="4"/>
      <c r="U213" s="4"/>
      <c r="V213" s="4"/>
      <c r="W213" s="4">
        <v>0</v>
      </c>
      <c r="X213" s="4">
        <v>1</v>
      </c>
      <c r="Y213" s="4">
        <v>0</v>
      </c>
      <c r="Z213" s="4"/>
      <c r="AA213" s="4"/>
      <c r="AB213" s="4"/>
    </row>
    <row r="214" spans="1:28" x14ac:dyDescent="0.2">
      <c r="A214" s="4">
        <v>50</v>
      </c>
      <c r="B214" s="4">
        <v>0</v>
      </c>
      <c r="C214" s="4">
        <v>0</v>
      </c>
      <c r="D214" s="4">
        <v>1</v>
      </c>
      <c r="E214" s="4">
        <v>232</v>
      </c>
      <c r="F214" s="4">
        <f>ROUND(Source!BC198,O214)</f>
        <v>0</v>
      </c>
      <c r="G214" s="4" t="s">
        <v>49</v>
      </c>
      <c r="H214" s="4" t="s">
        <v>50</v>
      </c>
      <c r="I214" s="4"/>
      <c r="J214" s="4"/>
      <c r="K214" s="4">
        <v>232</v>
      </c>
      <c r="L214" s="4">
        <v>15</v>
      </c>
      <c r="M214" s="4">
        <v>3</v>
      </c>
      <c r="N214" s="4" t="s">
        <v>6</v>
      </c>
      <c r="O214" s="4">
        <v>0</v>
      </c>
      <c r="P214" s="4"/>
      <c r="Q214" s="4"/>
      <c r="R214" s="4"/>
      <c r="S214" s="4"/>
      <c r="T214" s="4"/>
      <c r="U214" s="4"/>
      <c r="V214" s="4"/>
      <c r="W214" s="4">
        <v>0</v>
      </c>
      <c r="X214" s="4">
        <v>1</v>
      </c>
      <c r="Y214" s="4">
        <v>0</v>
      </c>
      <c r="Z214" s="4"/>
      <c r="AA214" s="4"/>
      <c r="AB214" s="4"/>
    </row>
    <row r="215" spans="1:28" x14ac:dyDescent="0.2">
      <c r="A215" s="4">
        <v>50</v>
      </c>
      <c r="B215" s="4">
        <v>0</v>
      </c>
      <c r="C215" s="4">
        <v>0</v>
      </c>
      <c r="D215" s="4">
        <v>1</v>
      </c>
      <c r="E215" s="4">
        <v>214</v>
      </c>
      <c r="F215" s="4">
        <f>ROUND(Source!AS198,O215)</f>
        <v>0</v>
      </c>
      <c r="G215" s="4" t="s">
        <v>51</v>
      </c>
      <c r="H215" s="4" t="s">
        <v>52</v>
      </c>
      <c r="I215" s="4"/>
      <c r="J215" s="4"/>
      <c r="K215" s="4">
        <v>214</v>
      </c>
      <c r="L215" s="4">
        <v>16</v>
      </c>
      <c r="M215" s="4">
        <v>3</v>
      </c>
      <c r="N215" s="4" t="s">
        <v>6</v>
      </c>
      <c r="O215" s="4">
        <v>0</v>
      </c>
      <c r="P215" s="4"/>
      <c r="Q215" s="4"/>
      <c r="R215" s="4"/>
      <c r="S215" s="4"/>
      <c r="T215" s="4"/>
      <c r="U215" s="4"/>
      <c r="V215" s="4"/>
      <c r="W215" s="4">
        <v>0</v>
      </c>
      <c r="X215" s="4">
        <v>1</v>
      </c>
      <c r="Y215" s="4">
        <v>0</v>
      </c>
      <c r="Z215" s="4"/>
      <c r="AA215" s="4"/>
      <c r="AB215" s="4"/>
    </row>
    <row r="216" spans="1:28" x14ac:dyDescent="0.2">
      <c r="A216" s="4">
        <v>50</v>
      </c>
      <c r="B216" s="4">
        <v>0</v>
      </c>
      <c r="C216" s="4">
        <v>0</v>
      </c>
      <c r="D216" s="4">
        <v>1</v>
      </c>
      <c r="E216" s="4">
        <v>215</v>
      </c>
      <c r="F216" s="4">
        <f>ROUND(Source!AT198,O216)</f>
        <v>0</v>
      </c>
      <c r="G216" s="4" t="s">
        <v>53</v>
      </c>
      <c r="H216" s="4" t="s">
        <v>54</v>
      </c>
      <c r="I216" s="4"/>
      <c r="J216" s="4"/>
      <c r="K216" s="4">
        <v>215</v>
      </c>
      <c r="L216" s="4">
        <v>17</v>
      </c>
      <c r="M216" s="4">
        <v>3</v>
      </c>
      <c r="N216" s="4" t="s">
        <v>6</v>
      </c>
      <c r="O216" s="4">
        <v>0</v>
      </c>
      <c r="P216" s="4"/>
      <c r="Q216" s="4"/>
      <c r="R216" s="4"/>
      <c r="S216" s="4"/>
      <c r="T216" s="4"/>
      <c r="U216" s="4"/>
      <c r="V216" s="4"/>
      <c r="W216" s="4">
        <v>0</v>
      </c>
      <c r="X216" s="4">
        <v>1</v>
      </c>
      <c r="Y216" s="4">
        <v>0</v>
      </c>
      <c r="Z216" s="4"/>
      <c r="AA216" s="4"/>
      <c r="AB216" s="4"/>
    </row>
    <row r="217" spans="1:28" x14ac:dyDescent="0.2">
      <c r="A217" s="4">
        <v>50</v>
      </c>
      <c r="B217" s="4">
        <v>0</v>
      </c>
      <c r="C217" s="4">
        <v>0</v>
      </c>
      <c r="D217" s="4">
        <v>1</v>
      </c>
      <c r="E217" s="4">
        <v>217</v>
      </c>
      <c r="F217" s="4">
        <f>ROUND(Source!AU198,O217)</f>
        <v>0</v>
      </c>
      <c r="G217" s="4" t="s">
        <v>55</v>
      </c>
      <c r="H217" s="4" t="s">
        <v>56</v>
      </c>
      <c r="I217" s="4"/>
      <c r="J217" s="4"/>
      <c r="K217" s="4">
        <v>217</v>
      </c>
      <c r="L217" s="4">
        <v>18</v>
      </c>
      <c r="M217" s="4">
        <v>3</v>
      </c>
      <c r="N217" s="4" t="s">
        <v>6</v>
      </c>
      <c r="O217" s="4">
        <v>0</v>
      </c>
      <c r="P217" s="4"/>
      <c r="Q217" s="4"/>
      <c r="R217" s="4"/>
      <c r="S217" s="4"/>
      <c r="T217" s="4"/>
      <c r="U217" s="4"/>
      <c r="V217" s="4"/>
      <c r="W217" s="4">
        <v>0</v>
      </c>
      <c r="X217" s="4">
        <v>1</v>
      </c>
      <c r="Y217" s="4">
        <v>0</v>
      </c>
      <c r="Z217" s="4"/>
      <c r="AA217" s="4"/>
      <c r="AB217" s="4"/>
    </row>
    <row r="218" spans="1:28" x14ac:dyDescent="0.2">
      <c r="A218" s="4">
        <v>50</v>
      </c>
      <c r="B218" s="4">
        <v>0</v>
      </c>
      <c r="C218" s="4">
        <v>0</v>
      </c>
      <c r="D218" s="4">
        <v>1</v>
      </c>
      <c r="E218" s="4">
        <v>230</v>
      </c>
      <c r="F218" s="4">
        <f>ROUND(Source!BA198,O218)</f>
        <v>0</v>
      </c>
      <c r="G218" s="4" t="s">
        <v>57</v>
      </c>
      <c r="H218" s="4" t="s">
        <v>58</v>
      </c>
      <c r="I218" s="4"/>
      <c r="J218" s="4"/>
      <c r="K218" s="4">
        <v>230</v>
      </c>
      <c r="L218" s="4">
        <v>19</v>
      </c>
      <c r="M218" s="4">
        <v>3</v>
      </c>
      <c r="N218" s="4" t="s">
        <v>6</v>
      </c>
      <c r="O218" s="4">
        <v>0</v>
      </c>
      <c r="P218" s="4"/>
      <c r="Q218" s="4"/>
      <c r="R218" s="4"/>
      <c r="S218" s="4"/>
      <c r="T218" s="4"/>
      <c r="U218" s="4"/>
      <c r="V218" s="4"/>
      <c r="W218" s="4">
        <v>0</v>
      </c>
      <c r="X218" s="4">
        <v>1</v>
      </c>
      <c r="Y218" s="4">
        <v>0</v>
      </c>
      <c r="Z218" s="4"/>
      <c r="AA218" s="4"/>
      <c r="AB218" s="4"/>
    </row>
    <row r="219" spans="1:28" x14ac:dyDescent="0.2">
      <c r="A219" s="4">
        <v>50</v>
      </c>
      <c r="B219" s="4">
        <v>0</v>
      </c>
      <c r="C219" s="4">
        <v>0</v>
      </c>
      <c r="D219" s="4">
        <v>1</v>
      </c>
      <c r="E219" s="4">
        <v>206</v>
      </c>
      <c r="F219" s="4">
        <f>ROUND(Source!T198,O219)</f>
        <v>0</v>
      </c>
      <c r="G219" s="4" t="s">
        <v>59</v>
      </c>
      <c r="H219" s="4" t="s">
        <v>60</v>
      </c>
      <c r="I219" s="4"/>
      <c r="J219" s="4"/>
      <c r="K219" s="4">
        <v>206</v>
      </c>
      <c r="L219" s="4">
        <v>20</v>
      </c>
      <c r="M219" s="4">
        <v>3</v>
      </c>
      <c r="N219" s="4" t="s">
        <v>6</v>
      </c>
      <c r="O219" s="4">
        <v>0</v>
      </c>
      <c r="P219" s="4"/>
      <c r="Q219" s="4"/>
      <c r="R219" s="4"/>
      <c r="S219" s="4"/>
      <c r="T219" s="4"/>
      <c r="U219" s="4"/>
      <c r="V219" s="4"/>
      <c r="W219" s="4">
        <v>0</v>
      </c>
      <c r="X219" s="4">
        <v>1</v>
      </c>
      <c r="Y219" s="4">
        <v>0</v>
      </c>
      <c r="Z219" s="4"/>
      <c r="AA219" s="4"/>
      <c r="AB219" s="4"/>
    </row>
    <row r="220" spans="1:28" x14ac:dyDescent="0.2">
      <c r="A220" s="4">
        <v>50</v>
      </c>
      <c r="B220" s="4">
        <v>0</v>
      </c>
      <c r="C220" s="4">
        <v>0</v>
      </c>
      <c r="D220" s="4">
        <v>1</v>
      </c>
      <c r="E220" s="4">
        <v>207</v>
      </c>
      <c r="F220" s="4">
        <f>ROUND(Source!U198,O220)</f>
        <v>0</v>
      </c>
      <c r="G220" s="4" t="s">
        <v>61</v>
      </c>
      <c r="H220" s="4" t="s">
        <v>62</v>
      </c>
      <c r="I220" s="4"/>
      <c r="J220" s="4"/>
      <c r="K220" s="4">
        <v>207</v>
      </c>
      <c r="L220" s="4">
        <v>21</v>
      </c>
      <c r="M220" s="4">
        <v>3</v>
      </c>
      <c r="N220" s="4" t="s">
        <v>6</v>
      </c>
      <c r="O220" s="4">
        <v>7</v>
      </c>
      <c r="P220" s="4"/>
      <c r="Q220" s="4"/>
      <c r="R220" s="4"/>
      <c r="S220" s="4"/>
      <c r="T220" s="4"/>
      <c r="U220" s="4"/>
      <c r="V220" s="4"/>
      <c r="W220" s="4">
        <v>0</v>
      </c>
      <c r="X220" s="4">
        <v>1</v>
      </c>
      <c r="Y220" s="4">
        <v>0</v>
      </c>
      <c r="Z220" s="4"/>
      <c r="AA220" s="4"/>
      <c r="AB220" s="4"/>
    </row>
    <row r="221" spans="1:28" x14ac:dyDescent="0.2">
      <c r="A221" s="4">
        <v>50</v>
      </c>
      <c r="B221" s="4">
        <v>0</v>
      </c>
      <c r="C221" s="4">
        <v>0</v>
      </c>
      <c r="D221" s="4">
        <v>1</v>
      </c>
      <c r="E221" s="4">
        <v>208</v>
      </c>
      <c r="F221" s="4">
        <f>ROUND(Source!V198,O221)</f>
        <v>0</v>
      </c>
      <c r="G221" s="4" t="s">
        <v>63</v>
      </c>
      <c r="H221" s="4" t="s">
        <v>64</v>
      </c>
      <c r="I221" s="4"/>
      <c r="J221" s="4"/>
      <c r="K221" s="4">
        <v>208</v>
      </c>
      <c r="L221" s="4">
        <v>22</v>
      </c>
      <c r="M221" s="4">
        <v>3</v>
      </c>
      <c r="N221" s="4" t="s">
        <v>6</v>
      </c>
      <c r="O221" s="4">
        <v>7</v>
      </c>
      <c r="P221" s="4"/>
      <c r="Q221" s="4"/>
      <c r="R221" s="4"/>
      <c r="S221" s="4"/>
      <c r="T221" s="4"/>
      <c r="U221" s="4"/>
      <c r="V221" s="4"/>
      <c r="W221" s="4">
        <v>0</v>
      </c>
      <c r="X221" s="4">
        <v>1</v>
      </c>
      <c r="Y221" s="4">
        <v>0</v>
      </c>
      <c r="Z221" s="4"/>
      <c r="AA221" s="4"/>
      <c r="AB221" s="4"/>
    </row>
    <row r="222" spans="1:28" x14ac:dyDescent="0.2">
      <c r="A222" s="4">
        <v>50</v>
      </c>
      <c r="B222" s="4">
        <v>0</v>
      </c>
      <c r="C222" s="4">
        <v>0</v>
      </c>
      <c r="D222" s="4">
        <v>1</v>
      </c>
      <c r="E222" s="4">
        <v>209</v>
      </c>
      <c r="F222" s="4">
        <f>ROUND(Source!W198,O222)</f>
        <v>0</v>
      </c>
      <c r="G222" s="4" t="s">
        <v>65</v>
      </c>
      <c r="H222" s="4" t="s">
        <v>66</v>
      </c>
      <c r="I222" s="4"/>
      <c r="J222" s="4"/>
      <c r="K222" s="4">
        <v>209</v>
      </c>
      <c r="L222" s="4">
        <v>23</v>
      </c>
      <c r="M222" s="4">
        <v>3</v>
      </c>
      <c r="N222" s="4" t="s">
        <v>6</v>
      </c>
      <c r="O222" s="4">
        <v>0</v>
      </c>
      <c r="P222" s="4"/>
      <c r="Q222" s="4"/>
      <c r="R222" s="4"/>
      <c r="S222" s="4"/>
      <c r="T222" s="4"/>
      <c r="U222" s="4"/>
      <c r="V222" s="4"/>
      <c r="W222" s="4">
        <v>0</v>
      </c>
      <c r="X222" s="4">
        <v>1</v>
      </c>
      <c r="Y222" s="4">
        <v>0</v>
      </c>
      <c r="Z222" s="4"/>
      <c r="AA222" s="4"/>
      <c r="AB222" s="4"/>
    </row>
    <row r="223" spans="1:28" x14ac:dyDescent="0.2">
      <c r="A223" s="4">
        <v>50</v>
      </c>
      <c r="B223" s="4">
        <v>0</v>
      </c>
      <c r="C223" s="4">
        <v>0</v>
      </c>
      <c r="D223" s="4">
        <v>1</v>
      </c>
      <c r="E223" s="4">
        <v>233</v>
      </c>
      <c r="F223" s="4">
        <f>ROUND(Source!BD198,O223)</f>
        <v>0</v>
      </c>
      <c r="G223" s="4" t="s">
        <v>67</v>
      </c>
      <c r="H223" s="4" t="s">
        <v>68</v>
      </c>
      <c r="I223" s="4"/>
      <c r="J223" s="4"/>
      <c r="K223" s="4">
        <v>233</v>
      </c>
      <c r="L223" s="4">
        <v>24</v>
      </c>
      <c r="M223" s="4">
        <v>3</v>
      </c>
      <c r="N223" s="4" t="s">
        <v>6</v>
      </c>
      <c r="O223" s="4">
        <v>0</v>
      </c>
      <c r="P223" s="4"/>
      <c r="Q223" s="4"/>
      <c r="R223" s="4"/>
      <c r="S223" s="4"/>
      <c r="T223" s="4"/>
      <c r="U223" s="4"/>
      <c r="V223" s="4"/>
      <c r="W223" s="4">
        <v>0</v>
      </c>
      <c r="X223" s="4">
        <v>1</v>
      </c>
      <c r="Y223" s="4">
        <v>0</v>
      </c>
      <c r="Z223" s="4"/>
      <c r="AA223" s="4"/>
      <c r="AB223" s="4"/>
    </row>
    <row r="224" spans="1:28" x14ac:dyDescent="0.2">
      <c r="A224" s="4">
        <v>50</v>
      </c>
      <c r="B224" s="4">
        <v>0</v>
      </c>
      <c r="C224" s="4">
        <v>0</v>
      </c>
      <c r="D224" s="4">
        <v>1</v>
      </c>
      <c r="E224" s="4">
        <v>210</v>
      </c>
      <c r="F224" s="4">
        <f>ROUND(Source!X198,O224)</f>
        <v>0</v>
      </c>
      <c r="G224" s="4" t="s">
        <v>69</v>
      </c>
      <c r="H224" s="4" t="s">
        <v>70</v>
      </c>
      <c r="I224" s="4"/>
      <c r="J224" s="4"/>
      <c r="K224" s="4">
        <v>210</v>
      </c>
      <c r="L224" s="4">
        <v>25</v>
      </c>
      <c r="M224" s="4">
        <v>3</v>
      </c>
      <c r="N224" s="4" t="s">
        <v>6</v>
      </c>
      <c r="O224" s="4">
        <v>0</v>
      </c>
      <c r="P224" s="4"/>
      <c r="Q224" s="4"/>
      <c r="R224" s="4"/>
      <c r="S224" s="4"/>
      <c r="T224" s="4"/>
      <c r="U224" s="4"/>
      <c r="V224" s="4"/>
      <c r="W224" s="4">
        <v>0</v>
      </c>
      <c r="X224" s="4">
        <v>1</v>
      </c>
      <c r="Y224" s="4">
        <v>0</v>
      </c>
      <c r="Z224" s="4"/>
      <c r="AA224" s="4"/>
      <c r="AB224" s="4"/>
    </row>
    <row r="225" spans="1:255" x14ac:dyDescent="0.2">
      <c r="A225" s="4">
        <v>50</v>
      </c>
      <c r="B225" s="4">
        <v>0</v>
      </c>
      <c r="C225" s="4">
        <v>0</v>
      </c>
      <c r="D225" s="4">
        <v>1</v>
      </c>
      <c r="E225" s="4">
        <v>211</v>
      </c>
      <c r="F225" s="4">
        <f>ROUND(Source!Y198,O225)</f>
        <v>0</v>
      </c>
      <c r="G225" s="4" t="s">
        <v>71</v>
      </c>
      <c r="H225" s="4" t="s">
        <v>72</v>
      </c>
      <c r="I225" s="4"/>
      <c r="J225" s="4"/>
      <c r="K225" s="4">
        <v>211</v>
      </c>
      <c r="L225" s="4">
        <v>26</v>
      </c>
      <c r="M225" s="4">
        <v>3</v>
      </c>
      <c r="N225" s="4" t="s">
        <v>6</v>
      </c>
      <c r="O225" s="4">
        <v>0</v>
      </c>
      <c r="P225" s="4"/>
      <c r="Q225" s="4"/>
      <c r="R225" s="4"/>
      <c r="S225" s="4"/>
      <c r="T225" s="4"/>
      <c r="U225" s="4"/>
      <c r="V225" s="4"/>
      <c r="W225" s="4">
        <v>0</v>
      </c>
      <c r="X225" s="4">
        <v>1</v>
      </c>
      <c r="Y225" s="4">
        <v>0</v>
      </c>
      <c r="Z225" s="4"/>
      <c r="AA225" s="4"/>
      <c r="AB225" s="4"/>
    </row>
    <row r="226" spans="1:255" x14ac:dyDescent="0.2">
      <c r="A226" s="4">
        <v>50</v>
      </c>
      <c r="B226" s="4">
        <v>0</v>
      </c>
      <c r="C226" s="4">
        <v>0</v>
      </c>
      <c r="D226" s="4">
        <v>1</v>
      </c>
      <c r="E226" s="4">
        <v>224</v>
      </c>
      <c r="F226" s="4">
        <f>ROUND(Source!AR198,O226)</f>
        <v>0</v>
      </c>
      <c r="G226" s="4" t="s">
        <v>73</v>
      </c>
      <c r="H226" s="4" t="s">
        <v>74</v>
      </c>
      <c r="I226" s="4"/>
      <c r="J226" s="4"/>
      <c r="K226" s="4">
        <v>224</v>
      </c>
      <c r="L226" s="4">
        <v>27</v>
      </c>
      <c r="M226" s="4">
        <v>3</v>
      </c>
      <c r="N226" s="4" t="s">
        <v>6</v>
      </c>
      <c r="O226" s="4">
        <v>0</v>
      </c>
      <c r="P226" s="4"/>
      <c r="Q226" s="4"/>
      <c r="R226" s="4"/>
      <c r="S226" s="4"/>
      <c r="T226" s="4"/>
      <c r="U226" s="4"/>
      <c r="V226" s="4"/>
      <c r="W226" s="4">
        <v>0</v>
      </c>
      <c r="X226" s="4">
        <v>1</v>
      </c>
      <c r="Y226" s="4">
        <v>0</v>
      </c>
      <c r="Z226" s="4"/>
      <c r="AA226" s="4"/>
      <c r="AB226" s="4"/>
    </row>
    <row r="228" spans="1:255" x14ac:dyDescent="0.2">
      <c r="A228" s="1">
        <v>4</v>
      </c>
      <c r="B228" s="1">
        <v>1</v>
      </c>
      <c r="C228" s="1"/>
      <c r="D228" s="1">
        <f>ROW(A273)</f>
        <v>273</v>
      </c>
      <c r="E228" s="1"/>
      <c r="F228" s="1" t="s">
        <v>85</v>
      </c>
      <c r="G228" s="1" t="s">
        <v>86</v>
      </c>
      <c r="H228" s="1" t="s">
        <v>6</v>
      </c>
      <c r="I228" s="1">
        <v>0</v>
      </c>
      <c r="J228" s="1"/>
      <c r="K228" s="1">
        <v>-1</v>
      </c>
      <c r="L228" s="1"/>
      <c r="M228" s="1" t="s">
        <v>6</v>
      </c>
      <c r="N228" s="1"/>
      <c r="O228" s="1"/>
      <c r="P228" s="1"/>
      <c r="Q228" s="1"/>
      <c r="R228" s="1"/>
      <c r="S228" s="1">
        <v>0</v>
      </c>
      <c r="T228" s="1"/>
      <c r="U228" s="1" t="s">
        <v>6</v>
      </c>
      <c r="V228" s="1">
        <v>0</v>
      </c>
      <c r="W228" s="1"/>
      <c r="X228" s="1"/>
      <c r="Y228" s="1"/>
      <c r="Z228" s="1"/>
      <c r="AA228" s="1"/>
      <c r="AB228" s="1" t="s">
        <v>6</v>
      </c>
      <c r="AC228" s="1" t="s">
        <v>6</v>
      </c>
      <c r="AD228" s="1" t="s">
        <v>6</v>
      </c>
      <c r="AE228" s="1" t="s">
        <v>6</v>
      </c>
      <c r="AF228" s="1" t="s">
        <v>6</v>
      </c>
      <c r="AG228" s="1" t="s">
        <v>6</v>
      </c>
      <c r="AH228" s="1"/>
      <c r="AI228" s="1"/>
      <c r="AJ228" s="1"/>
      <c r="AK228" s="1"/>
      <c r="AL228" s="1"/>
      <c r="AM228" s="1"/>
      <c r="AN228" s="1"/>
      <c r="AO228" s="1"/>
      <c r="AP228" s="1" t="s">
        <v>6</v>
      </c>
      <c r="AQ228" s="1" t="s">
        <v>6</v>
      </c>
      <c r="AR228" s="1" t="s">
        <v>6</v>
      </c>
      <c r="AS228" s="1"/>
      <c r="AT228" s="1"/>
      <c r="AU228" s="1"/>
      <c r="AV228" s="1"/>
      <c r="AW228" s="1"/>
      <c r="AX228" s="1"/>
      <c r="AY228" s="1"/>
      <c r="AZ228" s="1" t="s">
        <v>6</v>
      </c>
      <c r="BA228" s="1"/>
      <c r="BB228" s="1" t="s">
        <v>6</v>
      </c>
      <c r="BC228" s="1" t="s">
        <v>6</v>
      </c>
      <c r="BD228" s="1" t="s">
        <v>6</v>
      </c>
      <c r="BE228" s="1" t="s">
        <v>6</v>
      </c>
      <c r="BF228" s="1" t="s">
        <v>6</v>
      </c>
      <c r="BG228" s="1" t="s">
        <v>6</v>
      </c>
      <c r="BH228" s="1" t="s">
        <v>6</v>
      </c>
      <c r="BI228" s="1" t="s">
        <v>6</v>
      </c>
      <c r="BJ228" s="1" t="s">
        <v>6</v>
      </c>
      <c r="BK228" s="1" t="s">
        <v>6</v>
      </c>
      <c r="BL228" s="1" t="s">
        <v>6</v>
      </c>
      <c r="BM228" s="1" t="s">
        <v>6</v>
      </c>
      <c r="BN228" s="1" t="s">
        <v>6</v>
      </c>
      <c r="BO228" s="1" t="s">
        <v>6</v>
      </c>
      <c r="BP228" s="1" t="s">
        <v>6</v>
      </c>
      <c r="BQ228" s="1"/>
      <c r="BR228" s="1"/>
      <c r="BS228" s="1"/>
      <c r="BT228" s="1"/>
      <c r="BU228" s="1"/>
      <c r="BV228" s="1"/>
      <c r="BW228" s="1"/>
      <c r="BX228" s="1">
        <v>0</v>
      </c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>
        <v>0</v>
      </c>
    </row>
    <row r="230" spans="1:255" x14ac:dyDescent="0.2">
      <c r="A230" s="2">
        <v>52</v>
      </c>
      <c r="B230" s="2">
        <f t="shared" ref="B230:G230" si="68">B273</f>
        <v>1</v>
      </c>
      <c r="C230" s="2">
        <f t="shared" si="68"/>
        <v>4</v>
      </c>
      <c r="D230" s="2">
        <f t="shared" si="68"/>
        <v>228</v>
      </c>
      <c r="E230" s="2">
        <f t="shared" si="68"/>
        <v>0</v>
      </c>
      <c r="F230" s="2" t="str">
        <f t="shared" si="68"/>
        <v>1</v>
      </c>
      <c r="G230" s="2" t="str">
        <f t="shared" si="68"/>
        <v>Помещения 74-78 (3 этаж)</v>
      </c>
      <c r="H230" s="2"/>
      <c r="I230" s="2"/>
      <c r="J230" s="2"/>
      <c r="K230" s="2"/>
      <c r="L230" s="2"/>
      <c r="M230" s="2"/>
      <c r="N230" s="2"/>
      <c r="O230" s="2">
        <f t="shared" ref="O230:AT230" si="69">O273</f>
        <v>300110.44</v>
      </c>
      <c r="P230" s="2">
        <f t="shared" si="69"/>
        <v>199160.15</v>
      </c>
      <c r="Q230" s="2">
        <f t="shared" si="69"/>
        <v>2742.3</v>
      </c>
      <c r="R230" s="2">
        <f t="shared" si="69"/>
        <v>2816.3</v>
      </c>
      <c r="S230" s="2">
        <f t="shared" si="69"/>
        <v>95391.69</v>
      </c>
      <c r="T230" s="2">
        <f t="shared" si="69"/>
        <v>0</v>
      </c>
      <c r="U230" s="2">
        <f t="shared" si="69"/>
        <v>316.76887700000003</v>
      </c>
      <c r="V230" s="2">
        <f t="shared" si="69"/>
        <v>9.1510058000000001</v>
      </c>
      <c r="W230" s="2">
        <f t="shared" si="69"/>
        <v>0</v>
      </c>
      <c r="X230" s="2">
        <f t="shared" si="69"/>
        <v>89709.9</v>
      </c>
      <c r="Y230" s="2">
        <f t="shared" si="69"/>
        <v>44273.22</v>
      </c>
      <c r="Z230" s="2">
        <f t="shared" si="69"/>
        <v>0</v>
      </c>
      <c r="AA230" s="2">
        <f t="shared" si="69"/>
        <v>0</v>
      </c>
      <c r="AB230" s="2">
        <f t="shared" si="69"/>
        <v>300110.44</v>
      </c>
      <c r="AC230" s="2">
        <f t="shared" si="69"/>
        <v>199160.15</v>
      </c>
      <c r="AD230" s="2">
        <f t="shared" si="69"/>
        <v>2742.3</v>
      </c>
      <c r="AE230" s="2">
        <f t="shared" si="69"/>
        <v>2816.3</v>
      </c>
      <c r="AF230" s="2">
        <f t="shared" si="69"/>
        <v>95391.69</v>
      </c>
      <c r="AG230" s="2">
        <f t="shared" si="69"/>
        <v>0</v>
      </c>
      <c r="AH230" s="2">
        <f t="shared" si="69"/>
        <v>316.76887700000003</v>
      </c>
      <c r="AI230" s="2">
        <f t="shared" si="69"/>
        <v>9.1510058000000001</v>
      </c>
      <c r="AJ230" s="2">
        <f t="shared" si="69"/>
        <v>0</v>
      </c>
      <c r="AK230" s="2">
        <f t="shared" si="69"/>
        <v>89709.9</v>
      </c>
      <c r="AL230" s="2">
        <f t="shared" si="69"/>
        <v>44273.22</v>
      </c>
      <c r="AM230" s="2">
        <f t="shared" si="69"/>
        <v>0</v>
      </c>
      <c r="AN230" s="2">
        <f t="shared" si="69"/>
        <v>0</v>
      </c>
      <c r="AO230" s="2">
        <f t="shared" si="69"/>
        <v>0</v>
      </c>
      <c r="AP230" s="2">
        <f t="shared" si="69"/>
        <v>0</v>
      </c>
      <c r="AQ230" s="2">
        <f t="shared" si="69"/>
        <v>0</v>
      </c>
      <c r="AR230" s="2">
        <f t="shared" si="69"/>
        <v>434093.56</v>
      </c>
      <c r="AS230" s="2">
        <f t="shared" si="69"/>
        <v>434093.56</v>
      </c>
      <c r="AT230" s="2">
        <f t="shared" si="69"/>
        <v>0</v>
      </c>
      <c r="AU230" s="2">
        <f t="shared" ref="AU230:BZ230" si="70">AU273</f>
        <v>0</v>
      </c>
      <c r="AV230" s="2">
        <f t="shared" si="70"/>
        <v>199160.15</v>
      </c>
      <c r="AW230" s="2">
        <f t="shared" si="70"/>
        <v>199160.15</v>
      </c>
      <c r="AX230" s="2">
        <f t="shared" si="70"/>
        <v>0</v>
      </c>
      <c r="AY230" s="2">
        <f t="shared" si="70"/>
        <v>199160.15</v>
      </c>
      <c r="AZ230" s="2">
        <f t="shared" si="70"/>
        <v>0</v>
      </c>
      <c r="BA230" s="2">
        <f t="shared" si="70"/>
        <v>0</v>
      </c>
      <c r="BB230" s="2">
        <f t="shared" si="70"/>
        <v>0</v>
      </c>
      <c r="BC230" s="2">
        <f t="shared" si="70"/>
        <v>0</v>
      </c>
      <c r="BD230" s="2">
        <f t="shared" si="70"/>
        <v>0</v>
      </c>
      <c r="BE230" s="2">
        <f t="shared" si="70"/>
        <v>0</v>
      </c>
      <c r="BF230" s="2">
        <f t="shared" si="70"/>
        <v>0</v>
      </c>
      <c r="BG230" s="2">
        <f t="shared" si="70"/>
        <v>0</v>
      </c>
      <c r="BH230" s="2">
        <f t="shared" si="70"/>
        <v>0</v>
      </c>
      <c r="BI230" s="2">
        <f t="shared" si="70"/>
        <v>0</v>
      </c>
      <c r="BJ230" s="2">
        <f t="shared" si="70"/>
        <v>0</v>
      </c>
      <c r="BK230" s="2">
        <f t="shared" si="70"/>
        <v>0</v>
      </c>
      <c r="BL230" s="2">
        <f t="shared" si="70"/>
        <v>0</v>
      </c>
      <c r="BM230" s="2">
        <f t="shared" si="70"/>
        <v>0</v>
      </c>
      <c r="BN230" s="2">
        <f t="shared" si="70"/>
        <v>0</v>
      </c>
      <c r="BO230" s="2">
        <f t="shared" si="70"/>
        <v>0</v>
      </c>
      <c r="BP230" s="2">
        <f t="shared" si="70"/>
        <v>0</v>
      </c>
      <c r="BQ230" s="2">
        <f t="shared" si="70"/>
        <v>0</v>
      </c>
      <c r="BR230" s="2">
        <f t="shared" si="70"/>
        <v>0</v>
      </c>
      <c r="BS230" s="2">
        <f t="shared" si="70"/>
        <v>0</v>
      </c>
      <c r="BT230" s="2">
        <f t="shared" si="70"/>
        <v>0</v>
      </c>
      <c r="BU230" s="2">
        <f t="shared" si="70"/>
        <v>0</v>
      </c>
      <c r="BV230" s="2">
        <f t="shared" si="70"/>
        <v>0</v>
      </c>
      <c r="BW230" s="2">
        <f t="shared" si="70"/>
        <v>0</v>
      </c>
      <c r="BX230" s="2">
        <f t="shared" si="70"/>
        <v>0</v>
      </c>
      <c r="BY230" s="2">
        <f t="shared" si="70"/>
        <v>0</v>
      </c>
      <c r="BZ230" s="2">
        <f t="shared" si="70"/>
        <v>0</v>
      </c>
      <c r="CA230" s="2">
        <f t="shared" ref="CA230:DF230" si="71">CA273</f>
        <v>434093.56</v>
      </c>
      <c r="CB230" s="2">
        <f t="shared" si="71"/>
        <v>434093.56</v>
      </c>
      <c r="CC230" s="2">
        <f t="shared" si="71"/>
        <v>0</v>
      </c>
      <c r="CD230" s="2">
        <f t="shared" si="71"/>
        <v>0</v>
      </c>
      <c r="CE230" s="2">
        <f t="shared" si="71"/>
        <v>199160.15</v>
      </c>
      <c r="CF230" s="2">
        <f t="shared" si="71"/>
        <v>199160.15</v>
      </c>
      <c r="CG230" s="2">
        <f t="shared" si="71"/>
        <v>0</v>
      </c>
      <c r="CH230" s="2">
        <f t="shared" si="71"/>
        <v>199160.15</v>
      </c>
      <c r="CI230" s="2">
        <f t="shared" si="71"/>
        <v>0</v>
      </c>
      <c r="CJ230" s="2">
        <f t="shared" si="71"/>
        <v>0</v>
      </c>
      <c r="CK230" s="2">
        <f t="shared" si="71"/>
        <v>0</v>
      </c>
      <c r="CL230" s="2">
        <f t="shared" si="71"/>
        <v>0</v>
      </c>
      <c r="CM230" s="2">
        <f t="shared" si="71"/>
        <v>0</v>
      </c>
      <c r="CN230" s="2">
        <f t="shared" si="71"/>
        <v>0</v>
      </c>
      <c r="CO230" s="2">
        <f t="shared" si="71"/>
        <v>0</v>
      </c>
      <c r="CP230" s="2">
        <f t="shared" si="71"/>
        <v>0</v>
      </c>
      <c r="CQ230" s="2">
        <f t="shared" si="71"/>
        <v>0</v>
      </c>
      <c r="CR230" s="2">
        <f t="shared" si="71"/>
        <v>0</v>
      </c>
      <c r="CS230" s="2">
        <f t="shared" si="71"/>
        <v>0</v>
      </c>
      <c r="CT230" s="2">
        <f t="shared" si="71"/>
        <v>0</v>
      </c>
      <c r="CU230" s="2">
        <f t="shared" si="71"/>
        <v>0</v>
      </c>
      <c r="CV230" s="2">
        <f t="shared" si="71"/>
        <v>0</v>
      </c>
      <c r="CW230" s="2">
        <f t="shared" si="71"/>
        <v>0</v>
      </c>
      <c r="CX230" s="2">
        <f t="shared" si="71"/>
        <v>0</v>
      </c>
      <c r="CY230" s="2">
        <f t="shared" si="71"/>
        <v>0</v>
      </c>
      <c r="CZ230" s="2">
        <f t="shared" si="71"/>
        <v>0</v>
      </c>
      <c r="DA230" s="2">
        <f t="shared" si="71"/>
        <v>0</v>
      </c>
      <c r="DB230" s="2">
        <f t="shared" si="71"/>
        <v>0</v>
      </c>
      <c r="DC230" s="2">
        <f t="shared" si="71"/>
        <v>0</v>
      </c>
      <c r="DD230" s="2">
        <f t="shared" si="71"/>
        <v>0</v>
      </c>
      <c r="DE230" s="2">
        <f t="shared" si="71"/>
        <v>0</v>
      </c>
      <c r="DF230" s="2">
        <f t="shared" si="71"/>
        <v>0</v>
      </c>
      <c r="DG230" s="3">
        <f t="shared" ref="DG230:EL230" si="72">DG273</f>
        <v>0</v>
      </c>
      <c r="DH230" s="3">
        <f t="shared" si="72"/>
        <v>0</v>
      </c>
      <c r="DI230" s="3">
        <f t="shared" si="72"/>
        <v>0</v>
      </c>
      <c r="DJ230" s="3">
        <f t="shared" si="72"/>
        <v>0</v>
      </c>
      <c r="DK230" s="3">
        <f t="shared" si="72"/>
        <v>0</v>
      </c>
      <c r="DL230" s="3">
        <f t="shared" si="72"/>
        <v>0</v>
      </c>
      <c r="DM230" s="3">
        <f t="shared" si="72"/>
        <v>0</v>
      </c>
      <c r="DN230" s="3">
        <f t="shared" si="72"/>
        <v>0</v>
      </c>
      <c r="DO230" s="3">
        <f t="shared" si="72"/>
        <v>0</v>
      </c>
      <c r="DP230" s="3">
        <f t="shared" si="72"/>
        <v>0</v>
      </c>
      <c r="DQ230" s="3">
        <f t="shared" si="72"/>
        <v>0</v>
      </c>
      <c r="DR230" s="3">
        <f t="shared" si="72"/>
        <v>0</v>
      </c>
      <c r="DS230" s="3">
        <f t="shared" si="72"/>
        <v>0</v>
      </c>
      <c r="DT230" s="3">
        <f t="shared" si="72"/>
        <v>0</v>
      </c>
      <c r="DU230" s="3">
        <f t="shared" si="72"/>
        <v>0</v>
      </c>
      <c r="DV230" s="3">
        <f t="shared" si="72"/>
        <v>0</v>
      </c>
      <c r="DW230" s="3">
        <f t="shared" si="72"/>
        <v>0</v>
      </c>
      <c r="DX230" s="3">
        <f t="shared" si="72"/>
        <v>0</v>
      </c>
      <c r="DY230" s="3">
        <f t="shared" si="72"/>
        <v>0</v>
      </c>
      <c r="DZ230" s="3">
        <f t="shared" si="72"/>
        <v>0</v>
      </c>
      <c r="EA230" s="3">
        <f t="shared" si="72"/>
        <v>0</v>
      </c>
      <c r="EB230" s="3">
        <f t="shared" si="72"/>
        <v>0</v>
      </c>
      <c r="EC230" s="3">
        <f t="shared" si="72"/>
        <v>0</v>
      </c>
      <c r="ED230" s="3">
        <f t="shared" si="72"/>
        <v>0</v>
      </c>
      <c r="EE230" s="3">
        <f t="shared" si="72"/>
        <v>0</v>
      </c>
      <c r="EF230" s="3">
        <f t="shared" si="72"/>
        <v>0</v>
      </c>
      <c r="EG230" s="3">
        <f t="shared" si="72"/>
        <v>0</v>
      </c>
      <c r="EH230" s="3">
        <f t="shared" si="72"/>
        <v>0</v>
      </c>
      <c r="EI230" s="3">
        <f t="shared" si="72"/>
        <v>0</v>
      </c>
      <c r="EJ230" s="3">
        <f t="shared" si="72"/>
        <v>0</v>
      </c>
      <c r="EK230" s="3">
        <f t="shared" si="72"/>
        <v>0</v>
      </c>
      <c r="EL230" s="3">
        <f t="shared" si="72"/>
        <v>0</v>
      </c>
      <c r="EM230" s="3">
        <f t="shared" ref="EM230:FR230" si="73">EM273</f>
        <v>0</v>
      </c>
      <c r="EN230" s="3">
        <f t="shared" si="73"/>
        <v>0</v>
      </c>
      <c r="EO230" s="3">
        <f t="shared" si="73"/>
        <v>0</v>
      </c>
      <c r="EP230" s="3">
        <f t="shared" si="73"/>
        <v>0</v>
      </c>
      <c r="EQ230" s="3">
        <f t="shared" si="73"/>
        <v>0</v>
      </c>
      <c r="ER230" s="3">
        <f t="shared" si="73"/>
        <v>0</v>
      </c>
      <c r="ES230" s="3">
        <f t="shared" si="73"/>
        <v>0</v>
      </c>
      <c r="ET230" s="3">
        <f t="shared" si="73"/>
        <v>0</v>
      </c>
      <c r="EU230" s="3">
        <f t="shared" si="73"/>
        <v>0</v>
      </c>
      <c r="EV230" s="3">
        <f t="shared" si="73"/>
        <v>0</v>
      </c>
      <c r="EW230" s="3">
        <f t="shared" si="73"/>
        <v>0</v>
      </c>
      <c r="EX230" s="3">
        <f t="shared" si="73"/>
        <v>0</v>
      </c>
      <c r="EY230" s="3">
        <f t="shared" si="73"/>
        <v>0</v>
      </c>
      <c r="EZ230" s="3">
        <f t="shared" si="73"/>
        <v>0</v>
      </c>
      <c r="FA230" s="3">
        <f t="shared" si="73"/>
        <v>0</v>
      </c>
      <c r="FB230" s="3">
        <f t="shared" si="73"/>
        <v>0</v>
      </c>
      <c r="FC230" s="3">
        <f t="shared" si="73"/>
        <v>0</v>
      </c>
      <c r="FD230" s="3">
        <f t="shared" si="73"/>
        <v>0</v>
      </c>
      <c r="FE230" s="3">
        <f t="shared" si="73"/>
        <v>0</v>
      </c>
      <c r="FF230" s="3">
        <f t="shared" si="73"/>
        <v>0</v>
      </c>
      <c r="FG230" s="3">
        <f t="shared" si="73"/>
        <v>0</v>
      </c>
      <c r="FH230" s="3">
        <f t="shared" si="73"/>
        <v>0</v>
      </c>
      <c r="FI230" s="3">
        <f t="shared" si="73"/>
        <v>0</v>
      </c>
      <c r="FJ230" s="3">
        <f t="shared" si="73"/>
        <v>0</v>
      </c>
      <c r="FK230" s="3">
        <f t="shared" si="73"/>
        <v>0</v>
      </c>
      <c r="FL230" s="3">
        <f t="shared" si="73"/>
        <v>0</v>
      </c>
      <c r="FM230" s="3">
        <f t="shared" si="73"/>
        <v>0</v>
      </c>
      <c r="FN230" s="3">
        <f t="shared" si="73"/>
        <v>0</v>
      </c>
      <c r="FO230" s="3">
        <f t="shared" si="73"/>
        <v>0</v>
      </c>
      <c r="FP230" s="3">
        <f t="shared" si="73"/>
        <v>0</v>
      </c>
      <c r="FQ230" s="3">
        <f t="shared" si="73"/>
        <v>0</v>
      </c>
      <c r="FR230" s="3">
        <f t="shared" si="73"/>
        <v>0</v>
      </c>
      <c r="FS230" s="3">
        <f t="shared" ref="FS230:GX230" si="74">FS273</f>
        <v>0</v>
      </c>
      <c r="FT230" s="3">
        <f t="shared" si="74"/>
        <v>0</v>
      </c>
      <c r="FU230" s="3">
        <f t="shared" si="74"/>
        <v>0</v>
      </c>
      <c r="FV230" s="3">
        <f t="shared" si="74"/>
        <v>0</v>
      </c>
      <c r="FW230" s="3">
        <f t="shared" si="74"/>
        <v>0</v>
      </c>
      <c r="FX230" s="3">
        <f t="shared" si="74"/>
        <v>0</v>
      </c>
      <c r="FY230" s="3">
        <f t="shared" si="74"/>
        <v>0</v>
      </c>
      <c r="FZ230" s="3">
        <f t="shared" si="74"/>
        <v>0</v>
      </c>
      <c r="GA230" s="3">
        <f t="shared" si="74"/>
        <v>0</v>
      </c>
      <c r="GB230" s="3">
        <f t="shared" si="74"/>
        <v>0</v>
      </c>
      <c r="GC230" s="3">
        <f t="shared" si="74"/>
        <v>0</v>
      </c>
      <c r="GD230" s="3">
        <f t="shared" si="74"/>
        <v>0</v>
      </c>
      <c r="GE230" s="3">
        <f t="shared" si="74"/>
        <v>0</v>
      </c>
      <c r="GF230" s="3">
        <f t="shared" si="74"/>
        <v>0</v>
      </c>
      <c r="GG230" s="3">
        <f t="shared" si="74"/>
        <v>0</v>
      </c>
      <c r="GH230" s="3">
        <f t="shared" si="74"/>
        <v>0</v>
      </c>
      <c r="GI230" s="3">
        <f t="shared" si="74"/>
        <v>0</v>
      </c>
      <c r="GJ230" s="3">
        <f t="shared" si="74"/>
        <v>0</v>
      </c>
      <c r="GK230" s="3">
        <f t="shared" si="74"/>
        <v>0</v>
      </c>
      <c r="GL230" s="3">
        <f t="shared" si="74"/>
        <v>0</v>
      </c>
      <c r="GM230" s="3">
        <f t="shared" si="74"/>
        <v>0</v>
      </c>
      <c r="GN230" s="3">
        <f t="shared" si="74"/>
        <v>0</v>
      </c>
      <c r="GO230" s="3">
        <f t="shared" si="74"/>
        <v>0</v>
      </c>
      <c r="GP230" s="3">
        <f t="shared" si="74"/>
        <v>0</v>
      </c>
      <c r="GQ230" s="3">
        <f t="shared" si="74"/>
        <v>0</v>
      </c>
      <c r="GR230" s="3">
        <f t="shared" si="74"/>
        <v>0</v>
      </c>
      <c r="GS230" s="3">
        <f t="shared" si="74"/>
        <v>0</v>
      </c>
      <c r="GT230" s="3">
        <f t="shared" si="74"/>
        <v>0</v>
      </c>
      <c r="GU230" s="3">
        <f t="shared" si="74"/>
        <v>0</v>
      </c>
      <c r="GV230" s="3">
        <f t="shared" si="74"/>
        <v>0</v>
      </c>
      <c r="GW230" s="3">
        <f t="shared" si="74"/>
        <v>0</v>
      </c>
      <c r="GX230" s="3">
        <f t="shared" si="74"/>
        <v>0</v>
      </c>
    </row>
    <row r="232" spans="1:255" x14ac:dyDescent="0.2">
      <c r="A232">
        <v>19</v>
      </c>
      <c r="B232">
        <v>1</v>
      </c>
      <c r="F232" t="s">
        <v>6</v>
      </c>
      <c r="G232" t="s">
        <v>87</v>
      </c>
      <c r="H232" t="s">
        <v>6</v>
      </c>
      <c r="AA232">
        <v>1</v>
      </c>
      <c r="IK232">
        <v>0</v>
      </c>
    </row>
    <row r="233" spans="1:255" x14ac:dyDescent="0.2">
      <c r="A233" s="5">
        <v>17</v>
      </c>
      <c r="B233" s="5">
        <v>1</v>
      </c>
      <c r="C233" s="5">
        <f>ROW(SmtRes!A3)</f>
        <v>3</v>
      </c>
      <c r="D233" s="5">
        <f>ROW(EtalonRes!A4)</f>
        <v>4</v>
      </c>
      <c r="E233" s="5" t="s">
        <v>85</v>
      </c>
      <c r="F233" s="5" t="s">
        <v>88</v>
      </c>
      <c r="G233" s="5" t="s">
        <v>89</v>
      </c>
      <c r="H233" s="5" t="s">
        <v>90</v>
      </c>
      <c r="I233" s="5">
        <f>ROUND(0.322,7)</f>
        <v>0.32200000000000001</v>
      </c>
      <c r="J233" s="5">
        <v>0</v>
      </c>
      <c r="K233" s="5">
        <f>ROUND(0.322,7)</f>
        <v>0.32200000000000001</v>
      </c>
      <c r="L233" s="5"/>
      <c r="M233" s="5"/>
      <c r="N233" s="5"/>
      <c r="O233" s="5">
        <f t="shared" ref="O233:O246" si="75">ROUND(CP233,2)</f>
        <v>1013.92</v>
      </c>
      <c r="P233" s="5">
        <f>SUMIF(SmtRes!AQ1:'SmtRes'!AQ3,"=1",SmtRes!DF1:'SmtRes'!DF3)</f>
        <v>0</v>
      </c>
      <c r="Q233" s="5">
        <f>SUMIF(SmtRes!AQ1:'SmtRes'!AQ3,"=1",SmtRes!DG1:'SmtRes'!DG3)</f>
        <v>2.31</v>
      </c>
      <c r="R233" s="5">
        <f>SUMIF(SmtRes!AQ1:'SmtRes'!AQ3,"=1",SmtRes!DH1:'SmtRes'!DH3)</f>
        <v>12.45</v>
      </c>
      <c r="S233" s="5">
        <f>SUMIF(SmtRes!AQ1:'SmtRes'!AQ3,"=1",SmtRes!DI1:'SmtRes'!DI3)</f>
        <v>999.16</v>
      </c>
      <c r="T233" s="5">
        <f t="shared" ref="T233:T246" si="76">ROUND(CU233*I233,2)</f>
        <v>0</v>
      </c>
      <c r="U233" s="5">
        <f>SUMIF(SmtRes!AQ1:'SmtRes'!AQ3,"=1",SmtRes!CV1:'SmtRes'!CV3)</f>
        <v>3.6675800000000001</v>
      </c>
      <c r="V233" s="5">
        <f>SUMIF(SmtRes!AQ1:'SmtRes'!AQ3,"=1",SmtRes!CW1:'SmtRes'!CW3)</f>
        <v>4.1860000000000001E-2</v>
      </c>
      <c r="W233" s="5">
        <f t="shared" ref="W233:W246" si="77">ROUND(CX233*I233,2)</f>
        <v>0</v>
      </c>
      <c r="X233" s="5">
        <f t="shared" ref="X233:X246" si="78">ROUND(CY233,2)</f>
        <v>900.33</v>
      </c>
      <c r="Y233" s="5">
        <f t="shared" ref="Y233:Y246" si="79">ROUND(CZ233,2)</f>
        <v>495.69</v>
      </c>
      <c r="Z233" s="5"/>
      <c r="AA233" s="5">
        <v>74852007</v>
      </c>
      <c r="AB233" s="5">
        <f t="shared" ref="AB233:AB246" si="80">ROUND((AC233+AD233+AF233),2)</f>
        <v>3107.84</v>
      </c>
      <c r="AC233" s="5">
        <f>ROUND((0),2)</f>
        <v>0</v>
      </c>
      <c r="AD233" s="5">
        <f>ROUND((((SUM(SmtRes!BR1:'SmtRes'!BR3))-(SUM(SmtRes!BS1:'SmtRes'!BS3)))+AE233),2)</f>
        <v>4.8600000000000003</v>
      </c>
      <c r="AE233" s="5">
        <f>ROUND((SUM(SmtRes!BS1:'SmtRes'!BS3)),2)</f>
        <v>38.67</v>
      </c>
      <c r="AF233" s="5">
        <f>ROUND((SUM(SmtRes!BT1:'SmtRes'!BT3)),2)</f>
        <v>3102.98</v>
      </c>
      <c r="AG233" s="5">
        <f t="shared" ref="AG233:AG246" si="81">ROUND((AP233),2)</f>
        <v>0</v>
      </c>
      <c r="AH233" s="5">
        <f>(SUM(SmtRes!BU1:'SmtRes'!BU3))</f>
        <v>11.39</v>
      </c>
      <c r="AI233" s="5">
        <f>(SUM(SmtRes!BV1:'SmtRes'!BV3))</f>
        <v>0.13</v>
      </c>
      <c r="AJ233" s="5">
        <f t="shared" ref="AJ233:AJ246" si="82">(AS233)</f>
        <v>0</v>
      </c>
      <c r="AK233" s="5">
        <v>3146.4952000000003</v>
      </c>
      <c r="AL233" s="5">
        <v>0</v>
      </c>
      <c r="AM233" s="5">
        <v>4.8516000000000004</v>
      </c>
      <c r="AN233" s="5">
        <v>38.665900000000001</v>
      </c>
      <c r="AO233" s="5">
        <v>3102.9777000000004</v>
      </c>
      <c r="AP233" s="5">
        <v>0</v>
      </c>
      <c r="AQ233" s="5">
        <v>11.39</v>
      </c>
      <c r="AR233" s="5">
        <v>0.13</v>
      </c>
      <c r="AS233" s="5">
        <v>0</v>
      </c>
      <c r="AT233" s="5">
        <v>89</v>
      </c>
      <c r="AU233" s="5">
        <v>49</v>
      </c>
      <c r="AV233" s="5">
        <v>1</v>
      </c>
      <c r="AW233" s="5">
        <v>1</v>
      </c>
      <c r="AX233" s="5"/>
      <c r="AY233" s="5"/>
      <c r="AZ233" s="5">
        <v>1</v>
      </c>
      <c r="BA233" s="5">
        <v>1</v>
      </c>
      <c r="BB233" s="5">
        <v>1</v>
      </c>
      <c r="BC233" s="5">
        <v>1</v>
      </c>
      <c r="BD233" s="5" t="s">
        <v>6</v>
      </c>
      <c r="BE233" s="5" t="s">
        <v>6</v>
      </c>
      <c r="BF233" s="5" t="s">
        <v>6</v>
      </c>
      <c r="BG233" s="5" t="s">
        <v>6</v>
      </c>
      <c r="BH233" s="5">
        <v>0</v>
      </c>
      <c r="BI233" s="5">
        <v>1</v>
      </c>
      <c r="BJ233" s="5" t="s">
        <v>91</v>
      </c>
      <c r="BK233" s="5"/>
      <c r="BL233" s="5"/>
      <c r="BM233" s="5">
        <v>57001</v>
      </c>
      <c r="BN233" s="5">
        <v>66927928</v>
      </c>
      <c r="BO233" s="5" t="s">
        <v>6</v>
      </c>
      <c r="BP233" s="5">
        <v>0</v>
      </c>
      <c r="BQ233" s="5">
        <v>6</v>
      </c>
      <c r="BR233" s="5">
        <v>0</v>
      </c>
      <c r="BS233" s="5">
        <v>1</v>
      </c>
      <c r="BT233" s="5">
        <v>1</v>
      </c>
      <c r="BU233" s="5">
        <v>1</v>
      </c>
      <c r="BV233" s="5">
        <v>1</v>
      </c>
      <c r="BW233" s="5">
        <v>1</v>
      </c>
      <c r="BX233" s="5">
        <v>1</v>
      </c>
      <c r="BY233" s="5" t="s">
        <v>6</v>
      </c>
      <c r="BZ233" s="5">
        <v>89</v>
      </c>
      <c r="CA233" s="5">
        <v>49</v>
      </c>
      <c r="CB233" s="5" t="s">
        <v>6</v>
      </c>
      <c r="CC233" s="5"/>
      <c r="CD233" s="5"/>
      <c r="CE233" s="5">
        <v>0</v>
      </c>
      <c r="CF233" s="5">
        <v>0</v>
      </c>
      <c r="CG233" s="5">
        <v>0</v>
      </c>
      <c r="CH233" s="5"/>
      <c r="CI233" s="5"/>
      <c r="CJ233" s="5"/>
      <c r="CK233" s="5"/>
      <c r="CL233" s="5"/>
      <c r="CM233" s="5">
        <v>0</v>
      </c>
      <c r="CN233" s="5" t="s">
        <v>6</v>
      </c>
      <c r="CO233" s="5">
        <v>0</v>
      </c>
      <c r="CP233" s="5">
        <f t="shared" ref="CP233:CP246" si="83">(P233+Q233+S233+R233)</f>
        <v>1013.92</v>
      </c>
      <c r="CQ233" s="5">
        <f>SUMIF(SmtRes!AQ1:'SmtRes'!AQ3,"=1",SmtRes!AA1:'SmtRes'!AA3)</f>
        <v>0</v>
      </c>
      <c r="CR233" s="5">
        <f>SUMIF(SmtRes!AQ1:'SmtRes'!AQ3,"=1",SmtRes!AB1:'SmtRes'!AB3)</f>
        <v>55.23</v>
      </c>
      <c r="CS233" s="5">
        <f>SUMIF(SmtRes!AQ1:'SmtRes'!AQ3,"=1",SmtRes!AC1:'SmtRes'!AC3)</f>
        <v>297.43</v>
      </c>
      <c r="CT233" s="5">
        <f>SUMIF(SmtRes!AQ1:'SmtRes'!AQ3,"=1",SmtRes!AD1:'SmtRes'!AD3)</f>
        <v>272.43</v>
      </c>
      <c r="CU233" s="5">
        <f t="shared" ref="CU233:CU246" si="84">AG233</f>
        <v>0</v>
      </c>
      <c r="CV233" s="5">
        <f>SUMIF(SmtRes!AQ1:'SmtRes'!AQ3,"=1",SmtRes!BU1:'SmtRes'!BU3)</f>
        <v>11.39</v>
      </c>
      <c r="CW233" s="5">
        <f>SUMIF(SmtRes!AQ1:'SmtRes'!AQ3,"=1",SmtRes!BV1:'SmtRes'!BV3)</f>
        <v>0.13</v>
      </c>
      <c r="CX233" s="5">
        <f t="shared" ref="CX233:CX246" si="85">AJ233</f>
        <v>0</v>
      </c>
      <c r="CY233" s="5">
        <f t="shared" ref="CY233:CY238" si="86">(((S233+R233)*AT233)/100)</f>
        <v>900.33290000000011</v>
      </c>
      <c r="CZ233" s="5">
        <f t="shared" ref="CZ233:CZ238" si="87">(((S233+R233)*AU233)/100)</f>
        <v>495.68889999999999</v>
      </c>
      <c r="DA233" s="5"/>
      <c r="DB233" s="5"/>
      <c r="DC233" s="5" t="s">
        <v>6</v>
      </c>
      <c r="DD233" s="5" t="s">
        <v>6</v>
      </c>
      <c r="DE233" s="5" t="s">
        <v>6</v>
      </c>
      <c r="DF233" s="5" t="s">
        <v>6</v>
      </c>
      <c r="DG233" s="5" t="s">
        <v>6</v>
      </c>
      <c r="DH233" s="5" t="s">
        <v>6</v>
      </c>
      <c r="DI233" s="5" t="s">
        <v>6</v>
      </c>
      <c r="DJ233" s="5" t="s">
        <v>6</v>
      </c>
      <c r="DK233" s="5" t="s">
        <v>6</v>
      </c>
      <c r="DL233" s="5" t="s">
        <v>6</v>
      </c>
      <c r="DM233" s="5" t="s">
        <v>6</v>
      </c>
      <c r="DN233" s="5">
        <v>0</v>
      </c>
      <c r="DO233" s="5">
        <v>0</v>
      </c>
      <c r="DP233" s="5">
        <v>1</v>
      </c>
      <c r="DQ233" s="5">
        <v>1</v>
      </c>
      <c r="DR233" s="5"/>
      <c r="DS233" s="5"/>
      <c r="DT233" s="5"/>
      <c r="DU233" s="5">
        <v>1005</v>
      </c>
      <c r="DV233" s="5" t="s">
        <v>90</v>
      </c>
      <c r="DW233" s="5" t="s">
        <v>90</v>
      </c>
      <c r="DX233" s="5">
        <v>100</v>
      </c>
      <c r="DY233" s="5"/>
      <c r="DZ233" s="5" t="s">
        <v>6</v>
      </c>
      <c r="EA233" s="5" t="s">
        <v>6</v>
      </c>
      <c r="EB233" s="5" t="s">
        <v>6</v>
      </c>
      <c r="EC233" s="5" t="s">
        <v>6</v>
      </c>
      <c r="ED233" s="5"/>
      <c r="EE233" s="5">
        <v>67841971</v>
      </c>
      <c r="EF233" s="5">
        <v>6</v>
      </c>
      <c r="EG233" s="5" t="s">
        <v>92</v>
      </c>
      <c r="EH233" s="5">
        <v>11</v>
      </c>
      <c r="EI233" s="5" t="s">
        <v>87</v>
      </c>
      <c r="EJ233" s="5">
        <v>1</v>
      </c>
      <c r="EK233" s="5">
        <v>57001</v>
      </c>
      <c r="EL233" s="5" t="s">
        <v>87</v>
      </c>
      <c r="EM233" s="5" t="s">
        <v>93</v>
      </c>
      <c r="EN233" s="5"/>
      <c r="EO233" s="5" t="s">
        <v>6</v>
      </c>
      <c r="EP233" s="5"/>
      <c r="EQ233" s="5">
        <v>0</v>
      </c>
      <c r="ER233" s="5">
        <v>0</v>
      </c>
      <c r="ES233" s="5">
        <v>0</v>
      </c>
      <c r="ET233" s="5">
        <v>0</v>
      </c>
      <c r="EU233" s="5">
        <v>0</v>
      </c>
      <c r="EV233" s="5">
        <v>0</v>
      </c>
      <c r="EW233" s="5">
        <v>11.39</v>
      </c>
      <c r="EX233" s="5">
        <v>0.13</v>
      </c>
      <c r="EY233" s="5">
        <v>0</v>
      </c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>
        <v>0</v>
      </c>
      <c r="FR233" s="5">
        <v>0</v>
      </c>
      <c r="FS233" s="5">
        <v>0</v>
      </c>
      <c r="FT233" s="5"/>
      <c r="FU233" s="5"/>
      <c r="FV233" s="5"/>
      <c r="FW233" s="5"/>
      <c r="FX233" s="5">
        <v>89</v>
      </c>
      <c r="FY233" s="5">
        <v>49</v>
      </c>
      <c r="FZ233" s="5"/>
      <c r="GA233" s="5" t="s">
        <v>6</v>
      </c>
      <c r="GB233" s="5"/>
      <c r="GC233" s="5"/>
      <c r="GD233" s="5">
        <v>1</v>
      </c>
      <c r="GE233" s="5"/>
      <c r="GF233" s="5">
        <v>-1115243169</v>
      </c>
      <c r="GG233" s="5">
        <v>2</v>
      </c>
      <c r="GH233" s="5">
        <v>1</v>
      </c>
      <c r="GI233" s="5">
        <v>-2</v>
      </c>
      <c r="GJ233" s="5">
        <v>0</v>
      </c>
      <c r="GK233" s="5">
        <v>0</v>
      </c>
      <c r="GL233" s="5">
        <f t="shared" ref="GL233:GL246" si="88">ROUND(IF(AND(BH233=3,BI233=3,FS233&lt;&gt;0),P233,0),2)</f>
        <v>0</v>
      </c>
      <c r="GM233" s="5">
        <f t="shared" ref="GM233:GM246" si="89">ROUND(O233+X233+Y233,2)+GX233</f>
        <v>2409.94</v>
      </c>
      <c r="GN233" s="5">
        <f t="shared" ref="GN233:GN246" si="90">IF(OR(BI233=0,BI233=1),GM233-GX233,0)</f>
        <v>2409.94</v>
      </c>
      <c r="GO233" s="5">
        <f t="shared" ref="GO233:GO246" si="91">IF(BI233=2,GM233-GX233,0)</f>
        <v>0</v>
      </c>
      <c r="GP233" s="5">
        <f t="shared" ref="GP233:GP246" si="92">IF(BI233=4,GM233-GX233,0)</f>
        <v>0</v>
      </c>
      <c r="GQ233" s="5"/>
      <c r="GR233" s="5">
        <v>0</v>
      </c>
      <c r="GS233" s="5">
        <v>3</v>
      </c>
      <c r="GT233" s="5">
        <v>0</v>
      </c>
      <c r="GU233" s="5" t="s">
        <v>6</v>
      </c>
      <c r="GV233" s="5">
        <f t="shared" ref="GV233:GV246" si="93">ROUND((GT233),2)</f>
        <v>0</v>
      </c>
      <c r="GW233" s="5">
        <v>1</v>
      </c>
      <c r="GX233" s="5">
        <f t="shared" ref="GX233:GX246" si="94">ROUND(HC233*I233,2)</f>
        <v>0</v>
      </c>
      <c r="GY233" s="5"/>
      <c r="GZ233" s="5"/>
      <c r="HA233" s="5">
        <v>0</v>
      </c>
      <c r="HB233" s="5">
        <v>0</v>
      </c>
      <c r="HC233" s="5">
        <f t="shared" ref="HC233:HC246" si="95">GV233*GW233</f>
        <v>0</v>
      </c>
      <c r="HD233" s="5"/>
      <c r="HE233" s="5" t="s">
        <v>6</v>
      </c>
      <c r="HF233" s="5" t="s">
        <v>6</v>
      </c>
      <c r="HG233" s="5"/>
      <c r="HH233" s="5"/>
      <c r="HI233" s="5"/>
      <c r="HJ233" s="5"/>
      <c r="HK233" s="5"/>
      <c r="HL233" s="5"/>
      <c r="HM233" s="5" t="s">
        <v>6</v>
      </c>
      <c r="HN233" s="5" t="s">
        <v>94</v>
      </c>
      <c r="HO233" s="5" t="s">
        <v>95</v>
      </c>
      <c r="HP233" s="5" t="s">
        <v>87</v>
      </c>
      <c r="HQ233" s="5" t="s">
        <v>87</v>
      </c>
      <c r="HR233" s="5"/>
      <c r="HS233" s="5">
        <v>0</v>
      </c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>
        <v>0</v>
      </c>
      <c r="IL233" s="5"/>
      <c r="IM233" s="5"/>
      <c r="IN233" s="5"/>
      <c r="IO233" s="5"/>
      <c r="IP233" s="5"/>
      <c r="IQ233" s="5"/>
      <c r="IR233" s="5"/>
      <c r="IS233" s="5"/>
      <c r="IT233" s="5"/>
      <c r="IU233" s="5"/>
    </row>
    <row r="234" spans="1:255" x14ac:dyDescent="0.2">
      <c r="A234" s="5">
        <v>17</v>
      </c>
      <c r="B234" s="5">
        <v>1</v>
      </c>
      <c r="C234" s="5">
        <f>ROW(SmtRes!A6)</f>
        <v>6</v>
      </c>
      <c r="D234" s="5">
        <f>ROW(EtalonRes!A8)</f>
        <v>8</v>
      </c>
      <c r="E234" s="5" t="s">
        <v>96</v>
      </c>
      <c r="F234" s="5" t="s">
        <v>97</v>
      </c>
      <c r="G234" s="5" t="s">
        <v>98</v>
      </c>
      <c r="H234" s="5" t="s">
        <v>90</v>
      </c>
      <c r="I234" s="5">
        <f>ROUND(0.323,7)</f>
        <v>0.32300000000000001</v>
      </c>
      <c r="J234" s="5">
        <v>0</v>
      </c>
      <c r="K234" s="5">
        <f>ROUND(0.323,7)</f>
        <v>0.32300000000000001</v>
      </c>
      <c r="L234" s="5"/>
      <c r="M234" s="5"/>
      <c r="N234" s="5"/>
      <c r="O234" s="5">
        <f t="shared" si="75"/>
        <v>6876.43</v>
      </c>
      <c r="P234" s="5">
        <f>SUMIF(SmtRes!AQ4:'SmtRes'!AQ6,"=1",SmtRes!DF4:'SmtRes'!DF6)</f>
        <v>0</v>
      </c>
      <c r="Q234" s="5">
        <f>SUMIF(SmtRes!AQ4:'SmtRes'!AQ6,"=1",SmtRes!DG4:'SmtRes'!DG6)</f>
        <v>25.69</v>
      </c>
      <c r="R234" s="5">
        <f>SUMIF(SmtRes!AQ4:'SmtRes'!AQ6,"=1",SmtRes!DH4:'SmtRes'!DH6)</f>
        <v>138.34</v>
      </c>
      <c r="S234" s="5">
        <f>SUMIF(SmtRes!AQ4:'SmtRes'!AQ6,"=1",SmtRes!DI4:'SmtRes'!DI6)</f>
        <v>6712.4</v>
      </c>
      <c r="T234" s="5">
        <f t="shared" si="76"/>
        <v>0</v>
      </c>
      <c r="U234" s="5">
        <f>SUMIF(SmtRes!AQ4:'SmtRes'!AQ6,"=1",SmtRes!CV4:'SmtRes'!CV6)</f>
        <v>22.568010000000001</v>
      </c>
      <c r="V234" s="5">
        <f>SUMIF(SmtRes!AQ4:'SmtRes'!AQ6,"=1",SmtRes!CW4:'SmtRes'!CW6)</f>
        <v>0.46511999999999998</v>
      </c>
      <c r="W234" s="5">
        <f t="shared" si="77"/>
        <v>0</v>
      </c>
      <c r="X234" s="5">
        <f t="shared" si="78"/>
        <v>6097.16</v>
      </c>
      <c r="Y234" s="5">
        <f t="shared" si="79"/>
        <v>3356.86</v>
      </c>
      <c r="Z234" s="5"/>
      <c r="AA234" s="5">
        <v>74852007</v>
      </c>
      <c r="AB234" s="5">
        <f t="shared" si="80"/>
        <v>20835.169999999998</v>
      </c>
      <c r="AC234" s="5">
        <f>ROUND((0),2)</f>
        <v>0</v>
      </c>
      <c r="AD234" s="5">
        <f>ROUND((((SUM(SmtRes!BR4:'SmtRes'!BR6))-(SUM(SmtRes!BS4:'SmtRes'!BS6)))+AE234),2)</f>
        <v>53.74</v>
      </c>
      <c r="AE234" s="5">
        <f>ROUND((SUM(SmtRes!BS4:'SmtRes'!BS6)),2)</f>
        <v>428.3</v>
      </c>
      <c r="AF234" s="5">
        <f>ROUND((SUM(SmtRes!BT4:'SmtRes'!BT6)),2)</f>
        <v>20781.43</v>
      </c>
      <c r="AG234" s="5">
        <f t="shared" si="81"/>
        <v>0</v>
      </c>
      <c r="AH234" s="5">
        <f>(SUM(SmtRes!BU4:'SmtRes'!BU6))</f>
        <v>69.87</v>
      </c>
      <c r="AI234" s="5">
        <f>(SUM(SmtRes!BV4:'SmtRes'!BV6))</f>
        <v>1.44</v>
      </c>
      <c r="AJ234" s="5">
        <f t="shared" si="82"/>
        <v>0</v>
      </c>
      <c r="AK234" s="5">
        <v>21263.474100000003</v>
      </c>
      <c r="AL234" s="5">
        <v>0</v>
      </c>
      <c r="AM234" s="5">
        <v>53.7408</v>
      </c>
      <c r="AN234" s="5">
        <v>428.29919999999998</v>
      </c>
      <c r="AO234" s="5">
        <v>20781.434100000002</v>
      </c>
      <c r="AP234" s="5">
        <v>0</v>
      </c>
      <c r="AQ234" s="5">
        <v>69.87</v>
      </c>
      <c r="AR234" s="5">
        <v>1.44</v>
      </c>
      <c r="AS234" s="5">
        <v>0</v>
      </c>
      <c r="AT234" s="5">
        <v>89</v>
      </c>
      <c r="AU234" s="5">
        <v>49</v>
      </c>
      <c r="AV234" s="5">
        <v>1</v>
      </c>
      <c r="AW234" s="5">
        <v>1</v>
      </c>
      <c r="AX234" s="5"/>
      <c r="AY234" s="5"/>
      <c r="AZ234" s="5">
        <v>1</v>
      </c>
      <c r="BA234" s="5">
        <v>1</v>
      </c>
      <c r="BB234" s="5">
        <v>1</v>
      </c>
      <c r="BC234" s="5">
        <v>1</v>
      </c>
      <c r="BD234" s="5" t="s">
        <v>6</v>
      </c>
      <c r="BE234" s="5" t="s">
        <v>6</v>
      </c>
      <c r="BF234" s="5" t="s">
        <v>6</v>
      </c>
      <c r="BG234" s="5" t="s">
        <v>6</v>
      </c>
      <c r="BH234" s="5">
        <v>0</v>
      </c>
      <c r="BI234" s="5">
        <v>1</v>
      </c>
      <c r="BJ234" s="5" t="s">
        <v>99</v>
      </c>
      <c r="BK234" s="5"/>
      <c r="BL234" s="5"/>
      <c r="BM234" s="5">
        <v>57001</v>
      </c>
      <c r="BN234" s="5">
        <v>66927928</v>
      </c>
      <c r="BO234" s="5" t="s">
        <v>6</v>
      </c>
      <c r="BP234" s="5">
        <v>0</v>
      </c>
      <c r="BQ234" s="5">
        <v>6</v>
      </c>
      <c r="BR234" s="5">
        <v>0</v>
      </c>
      <c r="BS234" s="5">
        <v>1</v>
      </c>
      <c r="BT234" s="5">
        <v>1</v>
      </c>
      <c r="BU234" s="5">
        <v>1</v>
      </c>
      <c r="BV234" s="5">
        <v>1</v>
      </c>
      <c r="BW234" s="5">
        <v>1</v>
      </c>
      <c r="BX234" s="5">
        <v>1</v>
      </c>
      <c r="BY234" s="5" t="s">
        <v>6</v>
      </c>
      <c r="BZ234" s="5">
        <v>89</v>
      </c>
      <c r="CA234" s="5">
        <v>49</v>
      </c>
      <c r="CB234" s="5" t="s">
        <v>6</v>
      </c>
      <c r="CC234" s="5"/>
      <c r="CD234" s="5"/>
      <c r="CE234" s="5">
        <v>0</v>
      </c>
      <c r="CF234" s="5">
        <v>0</v>
      </c>
      <c r="CG234" s="5">
        <v>0</v>
      </c>
      <c r="CH234" s="5"/>
      <c r="CI234" s="5"/>
      <c r="CJ234" s="5"/>
      <c r="CK234" s="5"/>
      <c r="CL234" s="5"/>
      <c r="CM234" s="5">
        <v>0</v>
      </c>
      <c r="CN234" s="5" t="s">
        <v>6</v>
      </c>
      <c r="CO234" s="5">
        <v>0</v>
      </c>
      <c r="CP234" s="5">
        <f t="shared" si="83"/>
        <v>6876.4299999999994</v>
      </c>
      <c r="CQ234" s="5">
        <f>SUMIF(SmtRes!AQ4:'SmtRes'!AQ6,"=1",SmtRes!AA4:'SmtRes'!AA6)</f>
        <v>0</v>
      </c>
      <c r="CR234" s="5">
        <f>SUMIF(SmtRes!AQ4:'SmtRes'!AQ6,"=1",SmtRes!AB4:'SmtRes'!AB6)</f>
        <v>55.23</v>
      </c>
      <c r="CS234" s="5">
        <f>SUMIF(SmtRes!AQ4:'SmtRes'!AQ6,"=1",SmtRes!AC4:'SmtRes'!AC6)</f>
        <v>297.43</v>
      </c>
      <c r="CT234" s="5">
        <f>SUMIF(SmtRes!AQ4:'SmtRes'!AQ6,"=1",SmtRes!AD4:'SmtRes'!AD6)</f>
        <v>297.43</v>
      </c>
      <c r="CU234" s="5">
        <f t="shared" si="84"/>
        <v>0</v>
      </c>
      <c r="CV234" s="5">
        <f>SUMIF(SmtRes!AQ4:'SmtRes'!AQ6,"=1",SmtRes!BU4:'SmtRes'!BU6)</f>
        <v>69.87</v>
      </c>
      <c r="CW234" s="5">
        <f>SUMIF(SmtRes!AQ4:'SmtRes'!AQ6,"=1",SmtRes!BV4:'SmtRes'!BV6)</f>
        <v>1.44</v>
      </c>
      <c r="CX234" s="5">
        <f t="shared" si="85"/>
        <v>0</v>
      </c>
      <c r="CY234" s="5">
        <f t="shared" si="86"/>
        <v>6097.1585999999998</v>
      </c>
      <c r="CZ234" s="5">
        <f t="shared" si="87"/>
        <v>3356.8625999999999</v>
      </c>
      <c r="DA234" s="5"/>
      <c r="DB234" s="5"/>
      <c r="DC234" s="5" t="s">
        <v>6</v>
      </c>
      <c r="DD234" s="5" t="s">
        <v>6</v>
      </c>
      <c r="DE234" s="5" t="s">
        <v>6</v>
      </c>
      <c r="DF234" s="5" t="s">
        <v>6</v>
      </c>
      <c r="DG234" s="5" t="s">
        <v>6</v>
      </c>
      <c r="DH234" s="5" t="s">
        <v>6</v>
      </c>
      <c r="DI234" s="5" t="s">
        <v>6</v>
      </c>
      <c r="DJ234" s="5" t="s">
        <v>6</v>
      </c>
      <c r="DK234" s="5" t="s">
        <v>6</v>
      </c>
      <c r="DL234" s="5" t="s">
        <v>6</v>
      </c>
      <c r="DM234" s="5" t="s">
        <v>6</v>
      </c>
      <c r="DN234" s="5">
        <v>0</v>
      </c>
      <c r="DO234" s="5">
        <v>0</v>
      </c>
      <c r="DP234" s="5">
        <v>1</v>
      </c>
      <c r="DQ234" s="5">
        <v>1</v>
      </c>
      <c r="DR234" s="5"/>
      <c r="DS234" s="5"/>
      <c r="DT234" s="5"/>
      <c r="DU234" s="5">
        <v>1005</v>
      </c>
      <c r="DV234" s="5" t="s">
        <v>90</v>
      </c>
      <c r="DW234" s="5" t="s">
        <v>90</v>
      </c>
      <c r="DX234" s="5">
        <v>100</v>
      </c>
      <c r="DY234" s="5"/>
      <c r="DZ234" s="5" t="s">
        <v>6</v>
      </c>
      <c r="EA234" s="5" t="s">
        <v>6</v>
      </c>
      <c r="EB234" s="5" t="s">
        <v>6</v>
      </c>
      <c r="EC234" s="5" t="s">
        <v>6</v>
      </c>
      <c r="ED234" s="5"/>
      <c r="EE234" s="5">
        <v>67841971</v>
      </c>
      <c r="EF234" s="5">
        <v>6</v>
      </c>
      <c r="EG234" s="5" t="s">
        <v>92</v>
      </c>
      <c r="EH234" s="5">
        <v>11</v>
      </c>
      <c r="EI234" s="5" t="s">
        <v>87</v>
      </c>
      <c r="EJ234" s="5">
        <v>1</v>
      </c>
      <c r="EK234" s="5">
        <v>57001</v>
      </c>
      <c r="EL234" s="5" t="s">
        <v>87</v>
      </c>
      <c r="EM234" s="5" t="s">
        <v>93</v>
      </c>
      <c r="EN234" s="5"/>
      <c r="EO234" s="5" t="s">
        <v>6</v>
      </c>
      <c r="EP234" s="5"/>
      <c r="EQ234" s="5">
        <v>0</v>
      </c>
      <c r="ER234" s="5">
        <v>0</v>
      </c>
      <c r="ES234" s="5">
        <v>0</v>
      </c>
      <c r="ET234" s="5">
        <v>0</v>
      </c>
      <c r="EU234" s="5">
        <v>0</v>
      </c>
      <c r="EV234" s="5">
        <v>0</v>
      </c>
      <c r="EW234" s="5">
        <v>69.87</v>
      </c>
      <c r="EX234" s="5">
        <v>1.44</v>
      </c>
      <c r="EY234" s="5">
        <v>0</v>
      </c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>
        <v>0</v>
      </c>
      <c r="FR234" s="5">
        <v>0</v>
      </c>
      <c r="FS234" s="5">
        <v>0</v>
      </c>
      <c r="FT234" s="5"/>
      <c r="FU234" s="5"/>
      <c r="FV234" s="5"/>
      <c r="FW234" s="5"/>
      <c r="FX234" s="5">
        <v>89</v>
      </c>
      <c r="FY234" s="5">
        <v>49</v>
      </c>
      <c r="FZ234" s="5"/>
      <c r="GA234" s="5" t="s">
        <v>6</v>
      </c>
      <c r="GB234" s="5"/>
      <c r="GC234" s="5"/>
      <c r="GD234" s="5">
        <v>1</v>
      </c>
      <c r="GE234" s="5"/>
      <c r="GF234" s="5">
        <v>-1637379703</v>
      </c>
      <c r="GG234" s="5">
        <v>2</v>
      </c>
      <c r="GH234" s="5">
        <v>1</v>
      </c>
      <c r="GI234" s="5">
        <v>-2</v>
      </c>
      <c r="GJ234" s="5">
        <v>0</v>
      </c>
      <c r="GK234" s="5">
        <v>0</v>
      </c>
      <c r="GL234" s="5">
        <f t="shared" si="88"/>
        <v>0</v>
      </c>
      <c r="GM234" s="5">
        <f t="shared" si="89"/>
        <v>16330.45</v>
      </c>
      <c r="GN234" s="5">
        <f t="shared" si="90"/>
        <v>16330.45</v>
      </c>
      <c r="GO234" s="5">
        <f t="shared" si="91"/>
        <v>0</v>
      </c>
      <c r="GP234" s="5">
        <f t="shared" si="92"/>
        <v>0</v>
      </c>
      <c r="GQ234" s="5"/>
      <c r="GR234" s="5">
        <v>0</v>
      </c>
      <c r="GS234" s="5">
        <v>3</v>
      </c>
      <c r="GT234" s="5">
        <v>0</v>
      </c>
      <c r="GU234" s="5" t="s">
        <v>6</v>
      </c>
      <c r="GV234" s="5">
        <f t="shared" si="93"/>
        <v>0</v>
      </c>
      <c r="GW234" s="5">
        <v>1</v>
      </c>
      <c r="GX234" s="5">
        <f t="shared" si="94"/>
        <v>0</v>
      </c>
      <c r="GY234" s="5"/>
      <c r="GZ234" s="5"/>
      <c r="HA234" s="5">
        <v>0</v>
      </c>
      <c r="HB234" s="5">
        <v>0</v>
      </c>
      <c r="HC234" s="5">
        <f t="shared" si="95"/>
        <v>0</v>
      </c>
      <c r="HD234" s="5"/>
      <c r="HE234" s="5" t="s">
        <v>6</v>
      </c>
      <c r="HF234" s="5" t="s">
        <v>6</v>
      </c>
      <c r="HG234" s="5"/>
      <c r="HH234" s="5"/>
      <c r="HI234" s="5"/>
      <c r="HJ234" s="5"/>
      <c r="HK234" s="5"/>
      <c r="HL234" s="5"/>
      <c r="HM234" s="5" t="s">
        <v>6</v>
      </c>
      <c r="HN234" s="5" t="s">
        <v>94</v>
      </c>
      <c r="HO234" s="5" t="s">
        <v>95</v>
      </c>
      <c r="HP234" s="5" t="s">
        <v>87</v>
      </c>
      <c r="HQ234" s="5" t="s">
        <v>87</v>
      </c>
      <c r="HR234" s="5"/>
      <c r="HS234" s="5">
        <v>0</v>
      </c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>
        <v>0</v>
      </c>
      <c r="IL234" s="5"/>
      <c r="IM234" s="5"/>
      <c r="IN234" s="5"/>
      <c r="IO234" s="5"/>
      <c r="IP234" s="5"/>
      <c r="IQ234" s="5"/>
      <c r="IR234" s="5"/>
      <c r="IS234" s="5"/>
      <c r="IT234" s="5"/>
      <c r="IU234" s="5"/>
    </row>
    <row r="235" spans="1:255" x14ac:dyDescent="0.2">
      <c r="A235" s="5">
        <v>17</v>
      </c>
      <c r="B235" s="5">
        <v>1</v>
      </c>
      <c r="C235" s="5">
        <f>ROW(SmtRes!A9)</f>
        <v>9</v>
      </c>
      <c r="D235" s="5">
        <f>ROW(EtalonRes!A12)</f>
        <v>12</v>
      </c>
      <c r="E235" s="5" t="s">
        <v>100</v>
      </c>
      <c r="F235" s="5" t="s">
        <v>101</v>
      </c>
      <c r="G235" s="5" t="s">
        <v>102</v>
      </c>
      <c r="H235" s="5" t="s">
        <v>90</v>
      </c>
      <c r="I235" s="5">
        <f>ROUND(0.322,7)</f>
        <v>0.32200000000000001</v>
      </c>
      <c r="J235" s="5">
        <v>0</v>
      </c>
      <c r="K235" s="5">
        <f>ROUND(0.322,7)</f>
        <v>0.32200000000000001</v>
      </c>
      <c r="L235" s="5"/>
      <c r="M235" s="5"/>
      <c r="N235" s="5"/>
      <c r="O235" s="5">
        <f t="shared" si="75"/>
        <v>1730.68</v>
      </c>
      <c r="P235" s="5">
        <f>SUMIF(SmtRes!AQ7:'SmtRes'!AQ9,"=1",SmtRes!DF7:'SmtRes'!DF9)</f>
        <v>0</v>
      </c>
      <c r="Q235" s="5">
        <f>SUMIF(SmtRes!AQ7:'SmtRes'!AQ9,"=1",SmtRes!DG7:'SmtRes'!DG9)</f>
        <v>459.47999999999996</v>
      </c>
      <c r="R235" s="5">
        <f>SUMIF(SmtRes!AQ7:'SmtRes'!AQ9,"=1",SmtRes!DH7:'SmtRes'!DH9)</f>
        <v>0</v>
      </c>
      <c r="S235" s="5">
        <f>SUMIF(SmtRes!AQ7:'SmtRes'!AQ9,"=1",SmtRes!DI7:'SmtRes'!DI9)</f>
        <v>1271.2</v>
      </c>
      <c r="T235" s="5">
        <f t="shared" si="76"/>
        <v>0</v>
      </c>
      <c r="U235" s="5">
        <f>SUMIF(SmtRes!AQ7:'SmtRes'!AQ9,"=1",SmtRes!CV7:'SmtRes'!CV9)</f>
        <v>4.5820600000000002</v>
      </c>
      <c r="V235" s="5">
        <f>SUMIF(SmtRes!AQ7:'SmtRes'!AQ9,"=1",SmtRes!CW7:'SmtRes'!CW9)</f>
        <v>0</v>
      </c>
      <c r="W235" s="5">
        <f t="shared" si="77"/>
        <v>0</v>
      </c>
      <c r="X235" s="5">
        <f t="shared" si="78"/>
        <v>1131.3699999999999</v>
      </c>
      <c r="Y235" s="5">
        <f t="shared" si="79"/>
        <v>622.89</v>
      </c>
      <c r="Z235" s="5"/>
      <c r="AA235" s="5">
        <v>74852007</v>
      </c>
      <c r="AB235" s="5">
        <f t="shared" si="80"/>
        <v>4894.63</v>
      </c>
      <c r="AC235" s="5">
        <f>ROUND((0),2)</f>
        <v>0</v>
      </c>
      <c r="AD235" s="5">
        <f>ROUND((((SUM(SmtRes!BR7:'SmtRes'!BR9))-(0))+AE235),2)</f>
        <v>946.8</v>
      </c>
      <c r="AE235" s="5">
        <f>ROUND((0),2)</f>
        <v>0</v>
      </c>
      <c r="AF235" s="5">
        <f>ROUND((SUM(SmtRes!BT7:'SmtRes'!BT9)),2)</f>
        <v>3947.83</v>
      </c>
      <c r="AG235" s="5">
        <f t="shared" si="81"/>
        <v>0</v>
      </c>
      <c r="AH235" s="5">
        <f>(SUM(SmtRes!BU7:'SmtRes'!BU9))</f>
        <v>14.23</v>
      </c>
      <c r="AI235" s="5">
        <f>(0)</f>
        <v>0</v>
      </c>
      <c r="AJ235" s="5">
        <f t="shared" si="82"/>
        <v>0</v>
      </c>
      <c r="AK235" s="5">
        <v>4894.6289000000006</v>
      </c>
      <c r="AL235" s="5">
        <v>0</v>
      </c>
      <c r="AM235" s="5">
        <v>946.80000000000007</v>
      </c>
      <c r="AN235" s="5">
        <v>0</v>
      </c>
      <c r="AO235" s="5">
        <v>3947.8289000000004</v>
      </c>
      <c r="AP235" s="5">
        <v>0</v>
      </c>
      <c r="AQ235" s="5">
        <v>14.23</v>
      </c>
      <c r="AR235" s="5">
        <v>0</v>
      </c>
      <c r="AS235" s="5">
        <v>0</v>
      </c>
      <c r="AT235" s="5">
        <v>89</v>
      </c>
      <c r="AU235" s="5">
        <v>49</v>
      </c>
      <c r="AV235" s="5">
        <v>1</v>
      </c>
      <c r="AW235" s="5">
        <v>1</v>
      </c>
      <c r="AX235" s="5"/>
      <c r="AY235" s="5"/>
      <c r="AZ235" s="5">
        <v>1</v>
      </c>
      <c r="BA235" s="5">
        <v>1</v>
      </c>
      <c r="BB235" s="5">
        <v>1</v>
      </c>
      <c r="BC235" s="5">
        <v>1</v>
      </c>
      <c r="BD235" s="5" t="s">
        <v>6</v>
      </c>
      <c r="BE235" s="5" t="s">
        <v>6</v>
      </c>
      <c r="BF235" s="5" t="s">
        <v>6</v>
      </c>
      <c r="BG235" s="5" t="s">
        <v>6</v>
      </c>
      <c r="BH235" s="5">
        <v>0</v>
      </c>
      <c r="BI235" s="5">
        <v>1</v>
      </c>
      <c r="BJ235" s="5" t="s">
        <v>103</v>
      </c>
      <c r="BK235" s="5"/>
      <c r="BL235" s="5"/>
      <c r="BM235" s="5">
        <v>57001</v>
      </c>
      <c r="BN235" s="5">
        <v>66927928</v>
      </c>
      <c r="BO235" s="5" t="s">
        <v>6</v>
      </c>
      <c r="BP235" s="5">
        <v>0</v>
      </c>
      <c r="BQ235" s="5">
        <v>6</v>
      </c>
      <c r="BR235" s="5">
        <v>0</v>
      </c>
      <c r="BS235" s="5">
        <v>1</v>
      </c>
      <c r="BT235" s="5">
        <v>1</v>
      </c>
      <c r="BU235" s="5">
        <v>1</v>
      </c>
      <c r="BV235" s="5">
        <v>1</v>
      </c>
      <c r="BW235" s="5">
        <v>1</v>
      </c>
      <c r="BX235" s="5">
        <v>1</v>
      </c>
      <c r="BY235" s="5" t="s">
        <v>6</v>
      </c>
      <c r="BZ235" s="5">
        <v>89</v>
      </c>
      <c r="CA235" s="5">
        <v>49</v>
      </c>
      <c r="CB235" s="5" t="s">
        <v>6</v>
      </c>
      <c r="CC235" s="5"/>
      <c r="CD235" s="5"/>
      <c r="CE235" s="5">
        <v>0</v>
      </c>
      <c r="CF235" s="5">
        <v>0</v>
      </c>
      <c r="CG235" s="5">
        <v>0</v>
      </c>
      <c r="CH235" s="5"/>
      <c r="CI235" s="5"/>
      <c r="CJ235" s="5"/>
      <c r="CK235" s="5"/>
      <c r="CL235" s="5"/>
      <c r="CM235" s="5">
        <v>0</v>
      </c>
      <c r="CN235" s="5" t="s">
        <v>6</v>
      </c>
      <c r="CO235" s="5">
        <v>0</v>
      </c>
      <c r="CP235" s="5">
        <f t="shared" si="83"/>
        <v>1730.68</v>
      </c>
      <c r="CQ235" s="5">
        <f>SUMIF(SmtRes!AQ7:'SmtRes'!AQ9,"=1",SmtRes!AA7:'SmtRes'!AA9)</f>
        <v>0</v>
      </c>
      <c r="CR235" s="5">
        <f>SUMIF(SmtRes!AQ7:'SmtRes'!AQ9,"=1",SmtRes!AB7:'SmtRes'!AB9)</f>
        <v>178.36999999999998</v>
      </c>
      <c r="CS235" s="5">
        <f>SUMIF(SmtRes!AQ7:'SmtRes'!AQ9,"=1",SmtRes!AC7:'SmtRes'!AC9)</f>
        <v>0</v>
      </c>
      <c r="CT235" s="5">
        <f>SUMIF(SmtRes!AQ7:'SmtRes'!AQ9,"=1",SmtRes!AD7:'SmtRes'!AD9)</f>
        <v>277.43</v>
      </c>
      <c r="CU235" s="5">
        <f t="shared" si="84"/>
        <v>0</v>
      </c>
      <c r="CV235" s="5">
        <f>SUMIF(SmtRes!AQ7:'SmtRes'!AQ9,"=1",SmtRes!BU7:'SmtRes'!BU9)</f>
        <v>14.23</v>
      </c>
      <c r="CW235" s="5">
        <f>SUMIF(SmtRes!AQ7:'SmtRes'!AQ9,"=1",SmtRes!BV7:'SmtRes'!BV9)</f>
        <v>0</v>
      </c>
      <c r="CX235" s="5">
        <f t="shared" si="85"/>
        <v>0</v>
      </c>
      <c r="CY235" s="5">
        <f t="shared" si="86"/>
        <v>1131.3679999999999</v>
      </c>
      <c r="CZ235" s="5">
        <f t="shared" si="87"/>
        <v>622.88800000000003</v>
      </c>
      <c r="DA235" s="5"/>
      <c r="DB235" s="5"/>
      <c r="DC235" s="5" t="s">
        <v>6</v>
      </c>
      <c r="DD235" s="5" t="s">
        <v>6</v>
      </c>
      <c r="DE235" s="5" t="s">
        <v>6</v>
      </c>
      <c r="DF235" s="5" t="s">
        <v>6</v>
      </c>
      <c r="DG235" s="5" t="s">
        <v>6</v>
      </c>
      <c r="DH235" s="5" t="s">
        <v>6</v>
      </c>
      <c r="DI235" s="5" t="s">
        <v>6</v>
      </c>
      <c r="DJ235" s="5" t="s">
        <v>6</v>
      </c>
      <c r="DK235" s="5" t="s">
        <v>6</v>
      </c>
      <c r="DL235" s="5" t="s">
        <v>6</v>
      </c>
      <c r="DM235" s="5" t="s">
        <v>6</v>
      </c>
      <c r="DN235" s="5">
        <v>0</v>
      </c>
      <c r="DO235" s="5">
        <v>0</v>
      </c>
      <c r="DP235" s="5">
        <v>1</v>
      </c>
      <c r="DQ235" s="5">
        <v>1</v>
      </c>
      <c r="DR235" s="5"/>
      <c r="DS235" s="5"/>
      <c r="DT235" s="5"/>
      <c r="DU235" s="5">
        <v>1005</v>
      </c>
      <c r="DV235" s="5" t="s">
        <v>90</v>
      </c>
      <c r="DW235" s="5" t="s">
        <v>90</v>
      </c>
      <c r="DX235" s="5">
        <v>100</v>
      </c>
      <c r="DY235" s="5"/>
      <c r="DZ235" s="5" t="s">
        <v>6</v>
      </c>
      <c r="EA235" s="5" t="s">
        <v>6</v>
      </c>
      <c r="EB235" s="5" t="s">
        <v>6</v>
      </c>
      <c r="EC235" s="5" t="s">
        <v>6</v>
      </c>
      <c r="ED235" s="5"/>
      <c r="EE235" s="5">
        <v>67841971</v>
      </c>
      <c r="EF235" s="5">
        <v>6</v>
      </c>
      <c r="EG235" s="5" t="s">
        <v>92</v>
      </c>
      <c r="EH235" s="5">
        <v>11</v>
      </c>
      <c r="EI235" s="5" t="s">
        <v>87</v>
      </c>
      <c r="EJ235" s="5">
        <v>1</v>
      </c>
      <c r="EK235" s="5">
        <v>57001</v>
      </c>
      <c r="EL235" s="5" t="s">
        <v>87</v>
      </c>
      <c r="EM235" s="5" t="s">
        <v>93</v>
      </c>
      <c r="EN235" s="5"/>
      <c r="EO235" s="5" t="s">
        <v>6</v>
      </c>
      <c r="EP235" s="5"/>
      <c r="EQ235" s="5">
        <v>0</v>
      </c>
      <c r="ER235" s="5">
        <v>0</v>
      </c>
      <c r="ES235" s="5">
        <v>0</v>
      </c>
      <c r="ET235" s="5">
        <v>0</v>
      </c>
      <c r="EU235" s="5">
        <v>0</v>
      </c>
      <c r="EV235" s="5">
        <v>0</v>
      </c>
      <c r="EW235" s="5">
        <v>14.23</v>
      </c>
      <c r="EX235" s="5">
        <v>0</v>
      </c>
      <c r="EY235" s="5">
        <v>0</v>
      </c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>
        <v>0</v>
      </c>
      <c r="FR235" s="5">
        <v>0</v>
      </c>
      <c r="FS235" s="5">
        <v>0</v>
      </c>
      <c r="FT235" s="5"/>
      <c r="FU235" s="5"/>
      <c r="FV235" s="5"/>
      <c r="FW235" s="5"/>
      <c r="FX235" s="5">
        <v>89</v>
      </c>
      <c r="FY235" s="5">
        <v>49</v>
      </c>
      <c r="FZ235" s="5"/>
      <c r="GA235" s="5" t="s">
        <v>6</v>
      </c>
      <c r="GB235" s="5"/>
      <c r="GC235" s="5"/>
      <c r="GD235" s="5">
        <v>1</v>
      </c>
      <c r="GE235" s="5"/>
      <c r="GF235" s="5">
        <v>1102461433</v>
      </c>
      <c r="GG235" s="5">
        <v>2</v>
      </c>
      <c r="GH235" s="5">
        <v>1</v>
      </c>
      <c r="GI235" s="5">
        <v>-2</v>
      </c>
      <c r="GJ235" s="5">
        <v>0</v>
      </c>
      <c r="GK235" s="5">
        <v>0</v>
      </c>
      <c r="GL235" s="5">
        <f t="shared" si="88"/>
        <v>0</v>
      </c>
      <c r="GM235" s="5">
        <f t="shared" si="89"/>
        <v>3484.94</v>
      </c>
      <c r="GN235" s="5">
        <f t="shared" si="90"/>
        <v>3484.94</v>
      </c>
      <c r="GO235" s="5">
        <f t="shared" si="91"/>
        <v>0</v>
      </c>
      <c r="GP235" s="5">
        <f t="shared" si="92"/>
        <v>0</v>
      </c>
      <c r="GQ235" s="5"/>
      <c r="GR235" s="5">
        <v>0</v>
      </c>
      <c r="GS235" s="5">
        <v>3</v>
      </c>
      <c r="GT235" s="5">
        <v>0</v>
      </c>
      <c r="GU235" s="5" t="s">
        <v>6</v>
      </c>
      <c r="GV235" s="5">
        <f t="shared" si="93"/>
        <v>0</v>
      </c>
      <c r="GW235" s="5">
        <v>1</v>
      </c>
      <c r="GX235" s="5">
        <f t="shared" si="94"/>
        <v>0</v>
      </c>
      <c r="GY235" s="5"/>
      <c r="GZ235" s="5"/>
      <c r="HA235" s="5">
        <v>0</v>
      </c>
      <c r="HB235" s="5">
        <v>0</v>
      </c>
      <c r="HC235" s="5">
        <f t="shared" si="95"/>
        <v>0</v>
      </c>
      <c r="HD235" s="5"/>
      <c r="HE235" s="5" t="s">
        <v>6</v>
      </c>
      <c r="HF235" s="5" t="s">
        <v>6</v>
      </c>
      <c r="HG235" s="5"/>
      <c r="HH235" s="5"/>
      <c r="HI235" s="5"/>
      <c r="HJ235" s="5"/>
      <c r="HK235" s="5"/>
      <c r="HL235" s="5"/>
      <c r="HM235" s="5" t="s">
        <v>6</v>
      </c>
      <c r="HN235" s="5" t="s">
        <v>94</v>
      </c>
      <c r="HO235" s="5" t="s">
        <v>95</v>
      </c>
      <c r="HP235" s="5" t="s">
        <v>87</v>
      </c>
      <c r="HQ235" s="5" t="s">
        <v>87</v>
      </c>
      <c r="HR235" s="5"/>
      <c r="HS235" s="5">
        <v>0</v>
      </c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>
        <v>0</v>
      </c>
      <c r="IL235" s="5"/>
      <c r="IM235" s="5"/>
      <c r="IN235" s="5"/>
      <c r="IO235" s="5"/>
      <c r="IP235" s="5"/>
      <c r="IQ235" s="5"/>
      <c r="IR235" s="5"/>
      <c r="IS235" s="5"/>
      <c r="IT235" s="5"/>
      <c r="IU235" s="5"/>
    </row>
    <row r="236" spans="1:255" x14ac:dyDescent="0.2">
      <c r="A236" s="5">
        <v>17</v>
      </c>
      <c r="B236" s="5">
        <v>1</v>
      </c>
      <c r="C236" s="5">
        <f>ROW(SmtRes!A12)</f>
        <v>12</v>
      </c>
      <c r="D236" s="5">
        <f>ROW(EtalonRes!A16)</f>
        <v>16</v>
      </c>
      <c r="E236" s="5" t="s">
        <v>104</v>
      </c>
      <c r="F236" s="5" t="s">
        <v>105</v>
      </c>
      <c r="G236" s="5" t="s">
        <v>106</v>
      </c>
      <c r="H236" s="5" t="s">
        <v>90</v>
      </c>
      <c r="I236" s="5">
        <f>ROUND(0.322,7)</f>
        <v>0.32200000000000001</v>
      </c>
      <c r="J236" s="5">
        <v>0</v>
      </c>
      <c r="K236" s="5">
        <f>ROUND(0.322,7)</f>
        <v>0.32200000000000001</v>
      </c>
      <c r="L236" s="5"/>
      <c r="M236" s="5"/>
      <c r="N236" s="5"/>
      <c r="O236" s="5">
        <f t="shared" si="75"/>
        <v>865.79</v>
      </c>
      <c r="P236" s="5">
        <f>SUMIF(SmtRes!AQ10:'SmtRes'!AQ12,"=1",SmtRes!DF10:'SmtRes'!DF12)</f>
        <v>0</v>
      </c>
      <c r="Q236" s="5">
        <f>SUMIF(SmtRes!AQ10:'SmtRes'!AQ12,"=1",SmtRes!DG10:'SmtRes'!DG12)</f>
        <v>229.73999999999998</v>
      </c>
      <c r="R236" s="5">
        <f>SUMIF(SmtRes!AQ10:'SmtRes'!AQ12,"=1",SmtRes!DH10:'SmtRes'!DH12)</f>
        <v>0</v>
      </c>
      <c r="S236" s="5">
        <f>SUMIF(SmtRes!AQ10:'SmtRes'!AQ12,"=1",SmtRes!DI10:'SmtRes'!DI12)</f>
        <v>636.04999999999995</v>
      </c>
      <c r="T236" s="5">
        <f t="shared" si="76"/>
        <v>0</v>
      </c>
      <c r="U236" s="5">
        <f>SUMIF(SmtRes!AQ10:'SmtRes'!AQ12,"=1",SmtRes!CV10:'SmtRes'!CV12)</f>
        <v>2.29264</v>
      </c>
      <c r="V236" s="5">
        <f>SUMIF(SmtRes!AQ10:'SmtRes'!AQ12,"=1",SmtRes!CW10:'SmtRes'!CW12)</f>
        <v>0</v>
      </c>
      <c r="W236" s="5">
        <f t="shared" si="77"/>
        <v>0</v>
      </c>
      <c r="X236" s="5">
        <f t="shared" si="78"/>
        <v>566.08000000000004</v>
      </c>
      <c r="Y236" s="5">
        <f t="shared" si="79"/>
        <v>311.66000000000003</v>
      </c>
      <c r="Z236" s="5"/>
      <c r="AA236" s="5">
        <v>74852007</v>
      </c>
      <c r="AB236" s="5">
        <f t="shared" si="80"/>
        <v>2448.6999999999998</v>
      </c>
      <c r="AC236" s="5">
        <f>ROUND((0),2)</f>
        <v>0</v>
      </c>
      <c r="AD236" s="5">
        <f>ROUND((((SUM(SmtRes!BR10:'SmtRes'!BR12))-(0))+AE236),2)</f>
        <v>473.4</v>
      </c>
      <c r="AE236" s="5">
        <f>ROUND((0),2)</f>
        <v>0</v>
      </c>
      <c r="AF236" s="5">
        <f>ROUND((SUM(SmtRes!BT10:'SmtRes'!BT12)),2)</f>
        <v>1975.3</v>
      </c>
      <c r="AG236" s="5">
        <f t="shared" si="81"/>
        <v>0</v>
      </c>
      <c r="AH236" s="5">
        <f>(SUM(SmtRes!BU10:'SmtRes'!BU12))</f>
        <v>7.12</v>
      </c>
      <c r="AI236" s="5">
        <f>(0)</f>
        <v>0</v>
      </c>
      <c r="AJ236" s="5">
        <f t="shared" si="82"/>
        <v>0</v>
      </c>
      <c r="AK236" s="5">
        <v>1224.3507999999999</v>
      </c>
      <c r="AL236" s="5">
        <v>0</v>
      </c>
      <c r="AM236" s="5">
        <v>236.70000000000002</v>
      </c>
      <c r="AN236" s="5">
        <v>0</v>
      </c>
      <c r="AO236" s="5">
        <v>987.6508</v>
      </c>
      <c r="AP236" s="5">
        <v>0</v>
      </c>
      <c r="AQ236" s="5">
        <v>3.56</v>
      </c>
      <c r="AR236" s="5">
        <v>0</v>
      </c>
      <c r="AS236" s="5">
        <v>0</v>
      </c>
      <c r="AT236" s="5">
        <v>89</v>
      </c>
      <c r="AU236" s="5">
        <v>49</v>
      </c>
      <c r="AV236" s="5">
        <v>1</v>
      </c>
      <c r="AW236" s="5">
        <v>1</v>
      </c>
      <c r="AX236" s="5"/>
      <c r="AY236" s="5"/>
      <c r="AZ236" s="5">
        <v>1</v>
      </c>
      <c r="BA236" s="5">
        <v>1</v>
      </c>
      <c r="BB236" s="5">
        <v>1</v>
      </c>
      <c r="BC236" s="5">
        <v>1</v>
      </c>
      <c r="BD236" s="5" t="s">
        <v>6</v>
      </c>
      <c r="BE236" s="5" t="s">
        <v>6</v>
      </c>
      <c r="BF236" s="5" t="s">
        <v>6</v>
      </c>
      <c r="BG236" s="5" t="s">
        <v>6</v>
      </c>
      <c r="BH236" s="5">
        <v>0</v>
      </c>
      <c r="BI236" s="5">
        <v>1</v>
      </c>
      <c r="BJ236" s="5" t="s">
        <v>107</v>
      </c>
      <c r="BK236" s="5"/>
      <c r="BL236" s="5"/>
      <c r="BM236" s="5">
        <v>57001</v>
      </c>
      <c r="BN236" s="5">
        <v>66927928</v>
      </c>
      <c r="BO236" s="5" t="s">
        <v>6</v>
      </c>
      <c r="BP236" s="5">
        <v>0</v>
      </c>
      <c r="BQ236" s="5">
        <v>6</v>
      </c>
      <c r="BR236" s="5">
        <v>0</v>
      </c>
      <c r="BS236" s="5">
        <v>1</v>
      </c>
      <c r="BT236" s="5">
        <v>1</v>
      </c>
      <c r="BU236" s="5">
        <v>1</v>
      </c>
      <c r="BV236" s="5">
        <v>1</v>
      </c>
      <c r="BW236" s="5">
        <v>1</v>
      </c>
      <c r="BX236" s="5">
        <v>1</v>
      </c>
      <c r="BY236" s="5" t="s">
        <v>6</v>
      </c>
      <c r="BZ236" s="5">
        <v>89</v>
      </c>
      <c r="CA236" s="5">
        <v>49</v>
      </c>
      <c r="CB236" s="5" t="s">
        <v>6</v>
      </c>
      <c r="CC236" s="5"/>
      <c r="CD236" s="5"/>
      <c r="CE236" s="5">
        <v>0</v>
      </c>
      <c r="CF236" s="5">
        <v>0</v>
      </c>
      <c r="CG236" s="5">
        <v>0</v>
      </c>
      <c r="CH236" s="5"/>
      <c r="CI236" s="5"/>
      <c r="CJ236" s="5"/>
      <c r="CK236" s="5"/>
      <c r="CL236" s="5"/>
      <c r="CM236" s="5">
        <v>0</v>
      </c>
      <c r="CN236" s="5" t="s">
        <v>108</v>
      </c>
      <c r="CO236" s="5">
        <v>0</v>
      </c>
      <c r="CP236" s="5">
        <f t="shared" si="83"/>
        <v>865.79</v>
      </c>
      <c r="CQ236" s="5">
        <f>SUMIF(SmtRes!AQ10:'SmtRes'!AQ12,"=1",SmtRes!AA10:'SmtRes'!AA12)</f>
        <v>0</v>
      </c>
      <c r="CR236" s="5">
        <f>SUMIF(SmtRes!AQ10:'SmtRes'!AQ12,"=1",SmtRes!AB10:'SmtRes'!AB12)</f>
        <v>178.36999999999998</v>
      </c>
      <c r="CS236" s="5">
        <f>SUMIF(SmtRes!AQ10:'SmtRes'!AQ12,"=1",SmtRes!AC10:'SmtRes'!AC12)</f>
        <v>0</v>
      </c>
      <c r="CT236" s="5">
        <f>SUMIF(SmtRes!AQ10:'SmtRes'!AQ12,"=1",SmtRes!AD10:'SmtRes'!AD12)</f>
        <v>277.43</v>
      </c>
      <c r="CU236" s="5">
        <f t="shared" si="84"/>
        <v>0</v>
      </c>
      <c r="CV236" s="5">
        <f>SUMIF(SmtRes!AQ10:'SmtRes'!AQ12,"=1",SmtRes!BU10:'SmtRes'!BU12)</f>
        <v>7.12</v>
      </c>
      <c r="CW236" s="5">
        <f>SUMIF(SmtRes!AQ10:'SmtRes'!AQ12,"=1",SmtRes!BV10:'SmtRes'!BV12)</f>
        <v>0</v>
      </c>
      <c r="CX236" s="5">
        <f t="shared" si="85"/>
        <v>0</v>
      </c>
      <c r="CY236" s="5">
        <f t="shared" si="86"/>
        <v>566.08449999999993</v>
      </c>
      <c r="CZ236" s="5">
        <f t="shared" si="87"/>
        <v>311.66449999999998</v>
      </c>
      <c r="DA236" s="5"/>
      <c r="DB236" s="5"/>
      <c r="DC236" s="5" t="s">
        <v>6</v>
      </c>
      <c r="DD236" s="5" t="s">
        <v>109</v>
      </c>
      <c r="DE236" s="5" t="s">
        <v>109</v>
      </c>
      <c r="DF236" s="5" t="s">
        <v>109</v>
      </c>
      <c r="DG236" s="5" t="s">
        <v>109</v>
      </c>
      <c r="DH236" s="5" t="s">
        <v>6</v>
      </c>
      <c r="DI236" s="5" t="s">
        <v>109</v>
      </c>
      <c r="DJ236" s="5" t="s">
        <v>109</v>
      </c>
      <c r="DK236" s="5" t="s">
        <v>6</v>
      </c>
      <c r="DL236" s="5" t="s">
        <v>6</v>
      </c>
      <c r="DM236" s="5" t="s">
        <v>6</v>
      </c>
      <c r="DN236" s="5">
        <v>0</v>
      </c>
      <c r="DO236" s="5">
        <v>0</v>
      </c>
      <c r="DP236" s="5">
        <v>1</v>
      </c>
      <c r="DQ236" s="5">
        <v>1</v>
      </c>
      <c r="DR236" s="5"/>
      <c r="DS236" s="5"/>
      <c r="DT236" s="5"/>
      <c r="DU236" s="5">
        <v>1005</v>
      </c>
      <c r="DV236" s="5" t="s">
        <v>90</v>
      </c>
      <c r="DW236" s="5" t="s">
        <v>90</v>
      </c>
      <c r="DX236" s="5">
        <v>100</v>
      </c>
      <c r="DY236" s="5"/>
      <c r="DZ236" s="5" t="s">
        <v>6</v>
      </c>
      <c r="EA236" s="5" t="s">
        <v>6</v>
      </c>
      <c r="EB236" s="5" t="s">
        <v>6</v>
      </c>
      <c r="EC236" s="5" t="s">
        <v>6</v>
      </c>
      <c r="ED236" s="5"/>
      <c r="EE236" s="5">
        <v>67841971</v>
      </c>
      <c r="EF236" s="5">
        <v>6</v>
      </c>
      <c r="EG236" s="5" t="s">
        <v>92</v>
      </c>
      <c r="EH236" s="5">
        <v>11</v>
      </c>
      <c r="EI236" s="5" t="s">
        <v>87</v>
      </c>
      <c r="EJ236" s="5">
        <v>1</v>
      </c>
      <c r="EK236" s="5">
        <v>57001</v>
      </c>
      <c r="EL236" s="5" t="s">
        <v>87</v>
      </c>
      <c r="EM236" s="5" t="s">
        <v>93</v>
      </c>
      <c r="EN236" s="5"/>
      <c r="EO236" s="5" t="s">
        <v>110</v>
      </c>
      <c r="EP236" s="5"/>
      <c r="EQ236" s="5">
        <v>0</v>
      </c>
      <c r="ER236" s="5">
        <v>0</v>
      </c>
      <c r="ES236" s="5">
        <v>0</v>
      </c>
      <c r="ET236" s="5">
        <v>0</v>
      </c>
      <c r="EU236" s="5">
        <v>0</v>
      </c>
      <c r="EV236" s="5">
        <v>0</v>
      </c>
      <c r="EW236" s="5">
        <v>3.56</v>
      </c>
      <c r="EX236" s="5">
        <v>0</v>
      </c>
      <c r="EY236" s="5">
        <v>0</v>
      </c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>
        <v>0</v>
      </c>
      <c r="FR236" s="5">
        <v>0</v>
      </c>
      <c r="FS236" s="5">
        <v>0</v>
      </c>
      <c r="FT236" s="5"/>
      <c r="FU236" s="5"/>
      <c r="FV236" s="5"/>
      <c r="FW236" s="5"/>
      <c r="FX236" s="5">
        <v>89</v>
      </c>
      <c r="FY236" s="5">
        <v>49</v>
      </c>
      <c r="FZ236" s="5"/>
      <c r="GA236" s="5" t="s">
        <v>6</v>
      </c>
      <c r="GB236" s="5"/>
      <c r="GC236" s="5"/>
      <c r="GD236" s="5">
        <v>1</v>
      </c>
      <c r="GE236" s="5"/>
      <c r="GF236" s="5">
        <v>1712549462</v>
      </c>
      <c r="GG236" s="5">
        <v>2</v>
      </c>
      <c r="GH236" s="5">
        <v>1</v>
      </c>
      <c r="GI236" s="5">
        <v>-2</v>
      </c>
      <c r="GJ236" s="5">
        <v>0</v>
      </c>
      <c r="GK236" s="5">
        <v>0</v>
      </c>
      <c r="GL236" s="5">
        <f t="shared" si="88"/>
        <v>0</v>
      </c>
      <c r="GM236" s="5">
        <f t="shared" si="89"/>
        <v>1743.53</v>
      </c>
      <c r="GN236" s="5">
        <f t="shared" si="90"/>
        <v>1743.53</v>
      </c>
      <c r="GO236" s="5">
        <f t="shared" si="91"/>
        <v>0</v>
      </c>
      <c r="GP236" s="5">
        <f t="shared" si="92"/>
        <v>0</v>
      </c>
      <c r="GQ236" s="5"/>
      <c r="GR236" s="5">
        <v>0</v>
      </c>
      <c r="GS236" s="5">
        <v>3</v>
      </c>
      <c r="GT236" s="5">
        <v>0</v>
      </c>
      <c r="GU236" s="5" t="s">
        <v>6</v>
      </c>
      <c r="GV236" s="5">
        <f t="shared" si="93"/>
        <v>0</v>
      </c>
      <c r="GW236" s="5">
        <v>1</v>
      </c>
      <c r="GX236" s="5">
        <f t="shared" si="94"/>
        <v>0</v>
      </c>
      <c r="GY236" s="5"/>
      <c r="GZ236" s="5"/>
      <c r="HA236" s="5">
        <v>0</v>
      </c>
      <c r="HB236" s="5">
        <v>0</v>
      </c>
      <c r="HC236" s="5">
        <f t="shared" si="95"/>
        <v>0</v>
      </c>
      <c r="HD236" s="5"/>
      <c r="HE236" s="5" t="s">
        <v>6</v>
      </c>
      <c r="HF236" s="5" t="s">
        <v>6</v>
      </c>
      <c r="HG236" s="5"/>
      <c r="HH236" s="5"/>
      <c r="HI236" s="5"/>
      <c r="HJ236" s="5"/>
      <c r="HK236" s="5"/>
      <c r="HL236" s="5"/>
      <c r="HM236" s="5" t="s">
        <v>6</v>
      </c>
      <c r="HN236" s="5" t="s">
        <v>94</v>
      </c>
      <c r="HO236" s="5" t="s">
        <v>95</v>
      </c>
      <c r="HP236" s="5" t="s">
        <v>87</v>
      </c>
      <c r="HQ236" s="5" t="s">
        <v>87</v>
      </c>
      <c r="HR236" s="5"/>
      <c r="HS236" s="5">
        <v>0</v>
      </c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>
        <v>0</v>
      </c>
      <c r="IL236" s="5"/>
      <c r="IM236" s="5"/>
      <c r="IN236" s="5"/>
      <c r="IO236" s="5"/>
      <c r="IP236" s="5"/>
      <c r="IQ236" s="5"/>
      <c r="IR236" s="5"/>
      <c r="IS236" s="5"/>
      <c r="IT236" s="5"/>
      <c r="IU236" s="5"/>
    </row>
    <row r="237" spans="1:255" x14ac:dyDescent="0.2">
      <c r="A237" s="5">
        <v>17</v>
      </c>
      <c r="B237" s="5">
        <v>1</v>
      </c>
      <c r="C237" s="5">
        <f>ROW(SmtRes!A17)</f>
        <v>17</v>
      </c>
      <c r="D237" s="5">
        <f>ROW(EtalonRes!A22)</f>
        <v>22</v>
      </c>
      <c r="E237" s="5" t="s">
        <v>111</v>
      </c>
      <c r="F237" s="5" t="s">
        <v>112</v>
      </c>
      <c r="G237" s="5" t="s">
        <v>113</v>
      </c>
      <c r="H237" s="5" t="s">
        <v>90</v>
      </c>
      <c r="I237" s="5">
        <f>ROUND(0.322,7)</f>
        <v>0.32200000000000001</v>
      </c>
      <c r="J237" s="5">
        <v>0</v>
      </c>
      <c r="K237" s="5">
        <f>ROUND(0.322,7)</f>
        <v>0.32200000000000001</v>
      </c>
      <c r="L237" s="5"/>
      <c r="M237" s="5"/>
      <c r="N237" s="5"/>
      <c r="O237" s="5">
        <f t="shared" si="75"/>
        <v>3904.41</v>
      </c>
      <c r="P237" s="5">
        <f>SUMIF(SmtRes!AQ13:'SmtRes'!AQ17,"=1",SmtRes!DF13:'SmtRes'!DF17)</f>
        <v>23.34</v>
      </c>
      <c r="Q237" s="5">
        <f>SUMIF(SmtRes!AQ13:'SmtRes'!AQ17,"=1",SmtRes!DG13:'SmtRes'!DG17)</f>
        <v>71.760000000000005</v>
      </c>
      <c r="R237" s="5">
        <f>SUMIF(SmtRes!AQ13:'SmtRes'!AQ17,"=1",SmtRes!DH13:'SmtRes'!DH17)</f>
        <v>152.04</v>
      </c>
      <c r="S237" s="5">
        <f>SUMIF(SmtRes!AQ13:'SmtRes'!AQ17,"=1",SmtRes!DI13:'SmtRes'!DI17)</f>
        <v>3657.27</v>
      </c>
      <c r="T237" s="5">
        <f t="shared" si="76"/>
        <v>0</v>
      </c>
      <c r="U237" s="5">
        <f>SUMIF(SmtRes!AQ13:'SmtRes'!AQ17,"=1",SmtRes!CV13:'SmtRes'!CV17)</f>
        <v>13.18268</v>
      </c>
      <c r="V237" s="5">
        <f>SUMIF(SmtRes!AQ13:'SmtRes'!AQ17,"=1",SmtRes!CW13:'SmtRes'!CW17)</f>
        <v>0.51117500000000005</v>
      </c>
      <c r="W237" s="5">
        <f t="shared" si="77"/>
        <v>0</v>
      </c>
      <c r="X237" s="5">
        <f t="shared" si="78"/>
        <v>3839.78</v>
      </c>
      <c r="Y237" s="5">
        <f t="shared" si="79"/>
        <v>2104.64</v>
      </c>
      <c r="Z237" s="5"/>
      <c r="AA237" s="5">
        <v>74852007</v>
      </c>
      <c r="AB237" s="5">
        <f t="shared" si="80"/>
        <v>11625.69</v>
      </c>
      <c r="AC237" s="5">
        <f>ROUND((SUM(SmtRes!BQ13:'SmtRes'!BQ17)),2)</f>
        <v>124.99</v>
      </c>
      <c r="AD237" s="5">
        <f>ROUND((((SUM(SmtRes!BR13:'SmtRes'!BR17))-(SUM(SmtRes!BS13:'SmtRes'!BS17)))+AE237),2)</f>
        <v>142.72</v>
      </c>
      <c r="AE237" s="5">
        <f>ROUND((SUM(SmtRes!BS13:'SmtRes'!BS17)),2)</f>
        <v>472.17</v>
      </c>
      <c r="AF237" s="5">
        <f>ROUND((SUM(SmtRes!BT13:'SmtRes'!BT17)),2)</f>
        <v>11357.98</v>
      </c>
      <c r="AG237" s="5">
        <f t="shared" si="81"/>
        <v>0</v>
      </c>
      <c r="AH237" s="5">
        <f>(SUM(SmtRes!BU13:'SmtRes'!BU17))</f>
        <v>40.94</v>
      </c>
      <c r="AI237" s="5">
        <f>(SUM(SmtRes!BV13:'SmtRes'!BV17))</f>
        <v>1.5874999999999999</v>
      </c>
      <c r="AJ237" s="5">
        <f t="shared" si="82"/>
        <v>0</v>
      </c>
      <c r="AK237" s="5">
        <v>10493.408299999999</v>
      </c>
      <c r="AL237" s="5">
        <v>124.985</v>
      </c>
      <c r="AM237" s="5">
        <v>114.17919999999999</v>
      </c>
      <c r="AN237" s="5">
        <v>377.73610000000002</v>
      </c>
      <c r="AO237" s="5">
        <v>9876.5079999999998</v>
      </c>
      <c r="AP237" s="5">
        <v>0</v>
      </c>
      <c r="AQ237" s="5">
        <v>35.6</v>
      </c>
      <c r="AR237" s="5">
        <v>1.27</v>
      </c>
      <c r="AS237" s="5">
        <v>0</v>
      </c>
      <c r="AT237" s="5">
        <v>100.8</v>
      </c>
      <c r="AU237" s="5">
        <v>55.25</v>
      </c>
      <c r="AV237" s="5">
        <v>1</v>
      </c>
      <c r="AW237" s="5">
        <v>1</v>
      </c>
      <c r="AX237" s="5"/>
      <c r="AY237" s="5"/>
      <c r="AZ237" s="5">
        <v>1</v>
      </c>
      <c r="BA237" s="5">
        <v>1</v>
      </c>
      <c r="BB237" s="5">
        <v>1</v>
      </c>
      <c r="BC237" s="5">
        <v>1</v>
      </c>
      <c r="BD237" s="5" t="s">
        <v>6</v>
      </c>
      <c r="BE237" s="5" t="s">
        <v>6</v>
      </c>
      <c r="BF237" s="5" t="s">
        <v>6</v>
      </c>
      <c r="BG237" s="5" t="s">
        <v>6</v>
      </c>
      <c r="BH237" s="5">
        <v>0</v>
      </c>
      <c r="BI237" s="5">
        <v>1</v>
      </c>
      <c r="BJ237" s="5" t="s">
        <v>114</v>
      </c>
      <c r="BK237" s="5"/>
      <c r="BL237" s="5"/>
      <c r="BM237" s="5">
        <v>11001</v>
      </c>
      <c r="BN237" s="5">
        <v>66927928</v>
      </c>
      <c r="BO237" s="5" t="s">
        <v>6</v>
      </c>
      <c r="BP237" s="5">
        <v>0</v>
      </c>
      <c r="BQ237" s="5">
        <v>2</v>
      </c>
      <c r="BR237" s="5">
        <v>0</v>
      </c>
      <c r="BS237" s="5">
        <v>1</v>
      </c>
      <c r="BT237" s="5">
        <v>1</v>
      </c>
      <c r="BU237" s="5">
        <v>1</v>
      </c>
      <c r="BV237" s="5">
        <v>1</v>
      </c>
      <c r="BW237" s="5">
        <v>1</v>
      </c>
      <c r="BX237" s="5">
        <v>1</v>
      </c>
      <c r="BY237" s="5" t="s">
        <v>6</v>
      </c>
      <c r="BZ237" s="5">
        <v>112</v>
      </c>
      <c r="CA237" s="5">
        <v>65</v>
      </c>
      <c r="CB237" s="5" t="s">
        <v>6</v>
      </c>
      <c r="CC237" s="5"/>
      <c r="CD237" s="5"/>
      <c r="CE237" s="5">
        <v>0</v>
      </c>
      <c r="CF237" s="5">
        <v>0</v>
      </c>
      <c r="CG237" s="5">
        <v>0</v>
      </c>
      <c r="CH237" s="5"/>
      <c r="CI237" s="5"/>
      <c r="CJ237" s="5"/>
      <c r="CK237" s="5"/>
      <c r="CL237" s="5"/>
      <c r="CM237" s="5">
        <v>0</v>
      </c>
      <c r="CN237" s="5" t="s">
        <v>115</v>
      </c>
      <c r="CO237" s="5">
        <v>0</v>
      </c>
      <c r="CP237" s="5">
        <f t="shared" si="83"/>
        <v>3904.41</v>
      </c>
      <c r="CQ237" s="5">
        <f>SUMIF(SmtRes!AQ13:'SmtRes'!AQ17,"=1",SmtRes!AA13:'SmtRes'!AA17)</f>
        <v>20.71</v>
      </c>
      <c r="CR237" s="5">
        <f>SUMIF(SmtRes!AQ13:'SmtRes'!AQ17,"=1",SmtRes!AB13:'SmtRes'!AB17)</f>
        <v>69.06</v>
      </c>
      <c r="CS237" s="5">
        <f>SUMIF(SmtRes!AQ13:'SmtRes'!AQ17,"=1",SmtRes!AC13:'SmtRes'!AC17)</f>
        <v>297.43</v>
      </c>
      <c r="CT237" s="5">
        <f>SUMIF(SmtRes!AQ13:'SmtRes'!AQ17,"=1",SmtRes!AD13:'SmtRes'!AD17)</f>
        <v>277.43</v>
      </c>
      <c r="CU237" s="5">
        <f t="shared" si="84"/>
        <v>0</v>
      </c>
      <c r="CV237" s="5">
        <f>SUMIF(SmtRes!AQ13:'SmtRes'!AQ17,"=1",SmtRes!BU13:'SmtRes'!BU17)</f>
        <v>40.94</v>
      </c>
      <c r="CW237" s="5">
        <f>SUMIF(SmtRes!AQ13:'SmtRes'!AQ17,"=1",SmtRes!BV13:'SmtRes'!BV17)</f>
        <v>1.5874999999999999</v>
      </c>
      <c r="CX237" s="5">
        <f t="shared" si="85"/>
        <v>0</v>
      </c>
      <c r="CY237" s="5">
        <f t="shared" si="86"/>
        <v>3839.7844799999998</v>
      </c>
      <c r="CZ237" s="5">
        <f t="shared" si="87"/>
        <v>2104.643775</v>
      </c>
      <c r="DA237" s="5"/>
      <c r="DB237" s="5"/>
      <c r="DC237" s="5" t="s">
        <v>6</v>
      </c>
      <c r="DD237" s="5" t="s">
        <v>6</v>
      </c>
      <c r="DE237" s="5" t="s">
        <v>116</v>
      </c>
      <c r="DF237" s="5" t="s">
        <v>116</v>
      </c>
      <c r="DG237" s="5" t="s">
        <v>117</v>
      </c>
      <c r="DH237" s="5" t="s">
        <v>6</v>
      </c>
      <c r="DI237" s="5" t="s">
        <v>117</v>
      </c>
      <c r="DJ237" s="5" t="s">
        <v>116</v>
      </c>
      <c r="DK237" s="5" t="s">
        <v>6</v>
      </c>
      <c r="DL237" s="5" t="s">
        <v>118</v>
      </c>
      <c r="DM237" s="5" t="s">
        <v>119</v>
      </c>
      <c r="DN237" s="5">
        <v>0</v>
      </c>
      <c r="DO237" s="5">
        <v>0</v>
      </c>
      <c r="DP237" s="5">
        <v>1</v>
      </c>
      <c r="DQ237" s="5">
        <v>1</v>
      </c>
      <c r="DR237" s="5"/>
      <c r="DS237" s="5"/>
      <c r="DT237" s="5"/>
      <c r="DU237" s="5">
        <v>1005</v>
      </c>
      <c r="DV237" s="5" t="s">
        <v>90</v>
      </c>
      <c r="DW237" s="5" t="s">
        <v>90</v>
      </c>
      <c r="DX237" s="5">
        <v>100</v>
      </c>
      <c r="DY237" s="5"/>
      <c r="DZ237" s="5" t="s">
        <v>6</v>
      </c>
      <c r="EA237" s="5" t="s">
        <v>6</v>
      </c>
      <c r="EB237" s="5" t="s">
        <v>6</v>
      </c>
      <c r="EC237" s="5" t="s">
        <v>6</v>
      </c>
      <c r="ED237" s="5"/>
      <c r="EE237" s="5">
        <v>67841894</v>
      </c>
      <c r="EF237" s="5">
        <v>2</v>
      </c>
      <c r="EG237" s="5" t="s">
        <v>18</v>
      </c>
      <c r="EH237" s="5">
        <v>11</v>
      </c>
      <c r="EI237" s="5" t="s">
        <v>87</v>
      </c>
      <c r="EJ237" s="5">
        <v>1</v>
      </c>
      <c r="EK237" s="5">
        <v>11001</v>
      </c>
      <c r="EL237" s="5" t="s">
        <v>87</v>
      </c>
      <c r="EM237" s="5" t="s">
        <v>120</v>
      </c>
      <c r="EN237" s="5"/>
      <c r="EO237" s="5" t="s">
        <v>121</v>
      </c>
      <c r="EP237" s="5"/>
      <c r="EQ237" s="5">
        <v>0</v>
      </c>
      <c r="ER237" s="5">
        <v>0</v>
      </c>
      <c r="ES237" s="5">
        <v>0</v>
      </c>
      <c r="ET237" s="5">
        <v>0</v>
      </c>
      <c r="EU237" s="5">
        <v>0</v>
      </c>
      <c r="EV237" s="5">
        <v>0</v>
      </c>
      <c r="EW237" s="5">
        <v>35.6</v>
      </c>
      <c r="EX237" s="5">
        <v>1.27</v>
      </c>
      <c r="EY237" s="5">
        <v>0</v>
      </c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>
        <v>0</v>
      </c>
      <c r="FR237" s="5">
        <v>0</v>
      </c>
      <c r="FS237" s="5">
        <v>0</v>
      </c>
      <c r="FT237" s="5"/>
      <c r="FU237" s="5"/>
      <c r="FV237" s="5"/>
      <c r="FW237" s="5"/>
      <c r="FX237" s="5">
        <v>100.8</v>
      </c>
      <c r="FY237" s="5">
        <v>55.25</v>
      </c>
      <c r="FZ237" s="5"/>
      <c r="GA237" s="5" t="s">
        <v>6</v>
      </c>
      <c r="GB237" s="5"/>
      <c r="GC237" s="5"/>
      <c r="GD237" s="5">
        <v>1</v>
      </c>
      <c r="GE237" s="5"/>
      <c r="GF237" s="5">
        <v>2092028620</v>
      </c>
      <c r="GG237" s="5">
        <v>2</v>
      </c>
      <c r="GH237" s="5">
        <v>1</v>
      </c>
      <c r="GI237" s="5">
        <v>-2</v>
      </c>
      <c r="GJ237" s="5">
        <v>0</v>
      </c>
      <c r="GK237" s="5">
        <v>0</v>
      </c>
      <c r="GL237" s="5">
        <f t="shared" si="88"/>
        <v>0</v>
      </c>
      <c r="GM237" s="5">
        <f t="shared" si="89"/>
        <v>9848.83</v>
      </c>
      <c r="GN237" s="5">
        <f t="shared" si="90"/>
        <v>9848.83</v>
      </c>
      <c r="GO237" s="5">
        <f t="shared" si="91"/>
        <v>0</v>
      </c>
      <c r="GP237" s="5">
        <f t="shared" si="92"/>
        <v>0</v>
      </c>
      <c r="GQ237" s="5"/>
      <c r="GR237" s="5">
        <v>0</v>
      </c>
      <c r="GS237" s="5">
        <v>3</v>
      </c>
      <c r="GT237" s="5">
        <v>0</v>
      </c>
      <c r="GU237" s="5" t="s">
        <v>6</v>
      </c>
      <c r="GV237" s="5">
        <f t="shared" si="93"/>
        <v>0</v>
      </c>
      <c r="GW237" s="5">
        <v>1</v>
      </c>
      <c r="GX237" s="5">
        <f t="shared" si="94"/>
        <v>0</v>
      </c>
      <c r="GY237" s="5"/>
      <c r="GZ237" s="5"/>
      <c r="HA237" s="5">
        <v>0</v>
      </c>
      <c r="HB237" s="5">
        <v>0</v>
      </c>
      <c r="HC237" s="5">
        <f t="shared" si="95"/>
        <v>0</v>
      </c>
      <c r="HD237" s="5"/>
      <c r="HE237" s="5" t="s">
        <v>6</v>
      </c>
      <c r="HF237" s="5" t="s">
        <v>6</v>
      </c>
      <c r="HG237" s="5"/>
      <c r="HH237" s="5"/>
      <c r="HI237" s="5"/>
      <c r="HJ237" s="5"/>
      <c r="HK237" s="5"/>
      <c r="HL237" s="5"/>
      <c r="HM237" s="5" t="s">
        <v>6</v>
      </c>
      <c r="HN237" s="5" t="s">
        <v>122</v>
      </c>
      <c r="HO237" s="5" t="s">
        <v>123</v>
      </c>
      <c r="HP237" s="5" t="s">
        <v>87</v>
      </c>
      <c r="HQ237" s="5" t="s">
        <v>87</v>
      </c>
      <c r="HR237" s="5"/>
      <c r="HS237" s="5">
        <v>0</v>
      </c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>
        <v>0</v>
      </c>
      <c r="IL237" s="5"/>
      <c r="IM237" s="5"/>
      <c r="IN237" s="5"/>
      <c r="IO237" s="5"/>
      <c r="IP237" s="5"/>
      <c r="IQ237" s="5"/>
      <c r="IR237" s="5"/>
      <c r="IS237" s="5"/>
      <c r="IT237" s="5"/>
      <c r="IU237" s="5"/>
    </row>
    <row r="238" spans="1:255" x14ac:dyDescent="0.2">
      <c r="A238" s="5">
        <v>17</v>
      </c>
      <c r="B238" s="5">
        <v>1</v>
      </c>
      <c r="C238" s="5">
        <f>ROW(SmtRes!A21)</f>
        <v>21</v>
      </c>
      <c r="D238" s="5">
        <f>ROW(EtalonRes!A27)</f>
        <v>27</v>
      </c>
      <c r="E238" s="5" t="s">
        <v>124</v>
      </c>
      <c r="F238" s="5" t="s">
        <v>125</v>
      </c>
      <c r="G238" s="5" t="s">
        <v>126</v>
      </c>
      <c r="H238" s="5" t="s">
        <v>90</v>
      </c>
      <c r="I238" s="5">
        <f>ROUND(0.322,7)</f>
        <v>0.32200000000000001</v>
      </c>
      <c r="J238" s="5">
        <v>0</v>
      </c>
      <c r="K238" s="5">
        <f>ROUND(0.322,7)</f>
        <v>0.32200000000000001</v>
      </c>
      <c r="L238" s="5"/>
      <c r="M238" s="5"/>
      <c r="N238" s="5"/>
      <c r="O238" s="5">
        <f t="shared" si="75"/>
        <v>172.29</v>
      </c>
      <c r="P238" s="5">
        <f>SUMIF(SmtRes!AQ18:'SmtRes'!AQ21,"=1",SmtRes!DF18:'SmtRes'!DF21)</f>
        <v>0</v>
      </c>
      <c r="Q238" s="5">
        <f>SUMIF(SmtRes!AQ18:'SmtRes'!AQ21,"=1",SmtRes!DG18:'SmtRes'!DG21)</f>
        <v>31.61</v>
      </c>
      <c r="R238" s="5">
        <f>SUMIF(SmtRes!AQ18:'SmtRes'!AQ21,"=1",SmtRes!DH18:'SmtRes'!DH21)</f>
        <v>50.28</v>
      </c>
      <c r="S238" s="5">
        <f>SUMIF(SmtRes!AQ18:'SmtRes'!AQ21,"=1",SmtRes!DI18:'SmtRes'!DI21)</f>
        <v>90.4</v>
      </c>
      <c r="T238" s="5">
        <f t="shared" si="76"/>
        <v>0</v>
      </c>
      <c r="U238" s="5">
        <f>SUMIF(SmtRes!AQ18:'SmtRes'!AQ21,"=1",SmtRes!CV18:'SmtRes'!CV21)</f>
        <v>0.32586399999999999</v>
      </c>
      <c r="V238" s="5">
        <f>SUMIF(SmtRes!AQ18:'SmtRes'!AQ21,"=1",SmtRes!CW18:'SmtRes'!CW21)</f>
        <v>0.16905000000000001</v>
      </c>
      <c r="W238" s="5">
        <f t="shared" si="77"/>
        <v>0</v>
      </c>
      <c r="X238" s="5">
        <f t="shared" si="78"/>
        <v>141.81</v>
      </c>
      <c r="Y238" s="5">
        <f t="shared" si="79"/>
        <v>77.73</v>
      </c>
      <c r="Z238" s="5"/>
      <c r="AA238" s="5">
        <v>74852007</v>
      </c>
      <c r="AB238" s="5">
        <f t="shared" si="80"/>
        <v>343.05</v>
      </c>
      <c r="AC238" s="5">
        <f>ROUND((0),2)</f>
        <v>0</v>
      </c>
      <c r="AD238" s="5">
        <f>ROUND((((SUM(SmtRes!BR18:'SmtRes'!BR21))-(SUM(SmtRes!BS18:'SmtRes'!BS21)))+AE238),2)</f>
        <v>62.29</v>
      </c>
      <c r="AE238" s="5">
        <f>ROUND((SUM(SmtRes!BS18:'SmtRes'!BS21)),2)</f>
        <v>156.15</v>
      </c>
      <c r="AF238" s="5">
        <f>ROUND((SUM(SmtRes!BT18:'SmtRes'!BT21)),2)</f>
        <v>280.76</v>
      </c>
      <c r="AG238" s="5">
        <f t="shared" si="81"/>
        <v>0</v>
      </c>
      <c r="AH238" s="5">
        <f>(SUM(SmtRes!BU18:'SmtRes'!BU21))</f>
        <v>1.012</v>
      </c>
      <c r="AI238" s="5">
        <f>(SUM(SmtRes!BV18:'SmtRes'!BV21))</f>
        <v>0.52500000000000002</v>
      </c>
      <c r="AJ238" s="5">
        <f t="shared" si="82"/>
        <v>0</v>
      </c>
      <c r="AK238" s="5">
        <v>209.44669999999999</v>
      </c>
      <c r="AL238" s="5">
        <v>0</v>
      </c>
      <c r="AM238" s="5">
        <v>24.917199999999998</v>
      </c>
      <c r="AN238" s="5">
        <v>62.460299999999997</v>
      </c>
      <c r="AO238" s="5">
        <v>122.06920000000001</v>
      </c>
      <c r="AP238" s="5">
        <v>0</v>
      </c>
      <c r="AQ238" s="5">
        <v>0.44</v>
      </c>
      <c r="AR238" s="5">
        <v>0.21</v>
      </c>
      <c r="AS238" s="5">
        <v>0</v>
      </c>
      <c r="AT238" s="5">
        <v>100.8</v>
      </c>
      <c r="AU238" s="5">
        <v>55.25</v>
      </c>
      <c r="AV238" s="5">
        <v>1</v>
      </c>
      <c r="AW238" s="5">
        <v>1</v>
      </c>
      <c r="AX238" s="5"/>
      <c r="AY238" s="5"/>
      <c r="AZ238" s="5">
        <v>1</v>
      </c>
      <c r="BA238" s="5">
        <v>1</v>
      </c>
      <c r="BB238" s="5">
        <v>1</v>
      </c>
      <c r="BC238" s="5">
        <v>1</v>
      </c>
      <c r="BD238" s="5" t="s">
        <v>6</v>
      </c>
      <c r="BE238" s="5" t="s">
        <v>6</v>
      </c>
      <c r="BF238" s="5" t="s">
        <v>6</v>
      </c>
      <c r="BG238" s="5" t="s">
        <v>6</v>
      </c>
      <c r="BH238" s="5">
        <v>0</v>
      </c>
      <c r="BI238" s="5">
        <v>1</v>
      </c>
      <c r="BJ238" s="5" t="s">
        <v>127</v>
      </c>
      <c r="BK238" s="5"/>
      <c r="BL238" s="5"/>
      <c r="BM238" s="5">
        <v>11001</v>
      </c>
      <c r="BN238" s="5">
        <v>66927928</v>
      </c>
      <c r="BO238" s="5" t="s">
        <v>6</v>
      </c>
      <c r="BP238" s="5">
        <v>0</v>
      </c>
      <c r="BQ238" s="5">
        <v>2</v>
      </c>
      <c r="BR238" s="5">
        <v>0</v>
      </c>
      <c r="BS238" s="5">
        <v>1</v>
      </c>
      <c r="BT238" s="5">
        <v>1</v>
      </c>
      <c r="BU238" s="5">
        <v>1</v>
      </c>
      <c r="BV238" s="5">
        <v>1</v>
      </c>
      <c r="BW238" s="5">
        <v>1</v>
      </c>
      <c r="BX238" s="5">
        <v>1</v>
      </c>
      <c r="BY238" s="5" t="s">
        <v>6</v>
      </c>
      <c r="BZ238" s="5">
        <v>112</v>
      </c>
      <c r="CA238" s="5">
        <v>65</v>
      </c>
      <c r="CB238" s="5" t="s">
        <v>6</v>
      </c>
      <c r="CC238" s="5"/>
      <c r="CD238" s="5"/>
      <c r="CE238" s="5">
        <v>0</v>
      </c>
      <c r="CF238" s="5">
        <v>0</v>
      </c>
      <c r="CG238" s="5">
        <v>0</v>
      </c>
      <c r="CH238" s="5"/>
      <c r="CI238" s="5"/>
      <c r="CJ238" s="5"/>
      <c r="CK238" s="5"/>
      <c r="CL238" s="5"/>
      <c r="CM238" s="5">
        <v>0</v>
      </c>
      <c r="CN238" s="5" t="s">
        <v>128</v>
      </c>
      <c r="CO238" s="5">
        <v>0</v>
      </c>
      <c r="CP238" s="5">
        <f t="shared" si="83"/>
        <v>172.29000000000002</v>
      </c>
      <c r="CQ238" s="5">
        <f>SUMIF(SmtRes!AQ18:'SmtRes'!AQ21,"=1",SmtRes!AA18:'SmtRes'!AA21)</f>
        <v>0</v>
      </c>
      <c r="CR238" s="5">
        <f>SUMIF(SmtRes!AQ18:'SmtRes'!AQ21,"=1",SmtRes!AB18:'SmtRes'!AB21)</f>
        <v>69.06</v>
      </c>
      <c r="CS238" s="5">
        <f>SUMIF(SmtRes!AQ18:'SmtRes'!AQ21,"=1",SmtRes!AC18:'SmtRes'!AC21)</f>
        <v>297.43</v>
      </c>
      <c r="CT238" s="5">
        <f>SUMIF(SmtRes!AQ18:'SmtRes'!AQ21,"=1",SmtRes!AD18:'SmtRes'!AD21)</f>
        <v>277.43</v>
      </c>
      <c r="CU238" s="5">
        <f t="shared" si="84"/>
        <v>0</v>
      </c>
      <c r="CV238" s="5">
        <f>SUMIF(SmtRes!AQ18:'SmtRes'!AQ21,"=1",SmtRes!BU18:'SmtRes'!BU21)</f>
        <v>1.012</v>
      </c>
      <c r="CW238" s="5">
        <f>SUMIF(SmtRes!AQ18:'SmtRes'!AQ21,"=1",SmtRes!BV18:'SmtRes'!BV21)</f>
        <v>0.52500000000000002</v>
      </c>
      <c r="CX238" s="5">
        <f t="shared" si="85"/>
        <v>0</v>
      </c>
      <c r="CY238" s="5">
        <f t="shared" si="86"/>
        <v>141.80544</v>
      </c>
      <c r="CZ238" s="5">
        <f t="shared" si="87"/>
        <v>77.725700000000003</v>
      </c>
      <c r="DA238" s="5"/>
      <c r="DB238" s="5"/>
      <c r="DC238" s="5" t="s">
        <v>6</v>
      </c>
      <c r="DD238" s="5" t="s">
        <v>109</v>
      </c>
      <c r="DE238" s="5" t="s">
        <v>129</v>
      </c>
      <c r="DF238" s="5" t="s">
        <v>129</v>
      </c>
      <c r="DG238" s="5" t="s">
        <v>130</v>
      </c>
      <c r="DH238" s="5" t="s">
        <v>6</v>
      </c>
      <c r="DI238" s="5" t="s">
        <v>130</v>
      </c>
      <c r="DJ238" s="5" t="s">
        <v>129</v>
      </c>
      <c r="DK238" s="5" t="s">
        <v>6</v>
      </c>
      <c r="DL238" s="5" t="s">
        <v>118</v>
      </c>
      <c r="DM238" s="5" t="s">
        <v>119</v>
      </c>
      <c r="DN238" s="5">
        <v>0</v>
      </c>
      <c r="DO238" s="5">
        <v>0</v>
      </c>
      <c r="DP238" s="5">
        <v>1</v>
      </c>
      <c r="DQ238" s="5">
        <v>1</v>
      </c>
      <c r="DR238" s="5"/>
      <c r="DS238" s="5"/>
      <c r="DT238" s="5"/>
      <c r="DU238" s="5">
        <v>1005</v>
      </c>
      <c r="DV238" s="5" t="s">
        <v>90</v>
      </c>
      <c r="DW238" s="5" t="s">
        <v>90</v>
      </c>
      <c r="DX238" s="5">
        <v>100</v>
      </c>
      <c r="DY238" s="5"/>
      <c r="DZ238" s="5" t="s">
        <v>6</v>
      </c>
      <c r="EA238" s="5" t="s">
        <v>6</v>
      </c>
      <c r="EB238" s="5" t="s">
        <v>6</v>
      </c>
      <c r="EC238" s="5" t="s">
        <v>6</v>
      </c>
      <c r="ED238" s="5"/>
      <c r="EE238" s="5">
        <v>67841894</v>
      </c>
      <c r="EF238" s="5">
        <v>2</v>
      </c>
      <c r="EG238" s="5" t="s">
        <v>18</v>
      </c>
      <c r="EH238" s="5">
        <v>11</v>
      </c>
      <c r="EI238" s="5" t="s">
        <v>87</v>
      </c>
      <c r="EJ238" s="5">
        <v>1</v>
      </c>
      <c r="EK238" s="5">
        <v>11001</v>
      </c>
      <c r="EL238" s="5" t="s">
        <v>87</v>
      </c>
      <c r="EM238" s="5" t="s">
        <v>120</v>
      </c>
      <c r="EN238" s="5"/>
      <c r="EO238" s="5" t="s">
        <v>131</v>
      </c>
      <c r="EP238" s="5"/>
      <c r="EQ238" s="5">
        <v>0</v>
      </c>
      <c r="ER238" s="5">
        <v>0</v>
      </c>
      <c r="ES238" s="5">
        <v>0</v>
      </c>
      <c r="ET238" s="5">
        <v>0</v>
      </c>
      <c r="EU238" s="5">
        <v>0</v>
      </c>
      <c r="EV238" s="5">
        <v>0</v>
      </c>
      <c r="EW238" s="5">
        <v>0.44</v>
      </c>
      <c r="EX238" s="5">
        <v>0.21</v>
      </c>
      <c r="EY238" s="5">
        <v>0</v>
      </c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>
        <v>0</v>
      </c>
      <c r="FR238" s="5">
        <v>0</v>
      </c>
      <c r="FS238" s="5">
        <v>0</v>
      </c>
      <c r="FT238" s="5"/>
      <c r="FU238" s="5"/>
      <c r="FV238" s="5"/>
      <c r="FW238" s="5"/>
      <c r="FX238" s="5">
        <v>100.8</v>
      </c>
      <c r="FY238" s="5">
        <v>55.25</v>
      </c>
      <c r="FZ238" s="5"/>
      <c r="GA238" s="5" t="s">
        <v>6</v>
      </c>
      <c r="GB238" s="5"/>
      <c r="GC238" s="5"/>
      <c r="GD238" s="5">
        <v>1</v>
      </c>
      <c r="GE238" s="5"/>
      <c r="GF238" s="5">
        <v>-841858376</v>
      </c>
      <c r="GG238" s="5">
        <v>2</v>
      </c>
      <c r="GH238" s="5">
        <v>1</v>
      </c>
      <c r="GI238" s="5">
        <v>-2</v>
      </c>
      <c r="GJ238" s="5">
        <v>0</v>
      </c>
      <c r="GK238" s="5">
        <v>0</v>
      </c>
      <c r="GL238" s="5">
        <f t="shared" si="88"/>
        <v>0</v>
      </c>
      <c r="GM238" s="5">
        <f t="shared" si="89"/>
        <v>391.83</v>
      </c>
      <c r="GN238" s="5">
        <f t="shared" si="90"/>
        <v>391.83</v>
      </c>
      <c r="GO238" s="5">
        <f t="shared" si="91"/>
        <v>0</v>
      </c>
      <c r="GP238" s="5">
        <f t="shared" si="92"/>
        <v>0</v>
      </c>
      <c r="GQ238" s="5"/>
      <c r="GR238" s="5">
        <v>0</v>
      </c>
      <c r="GS238" s="5">
        <v>3</v>
      </c>
      <c r="GT238" s="5">
        <v>0</v>
      </c>
      <c r="GU238" s="5" t="s">
        <v>6</v>
      </c>
      <c r="GV238" s="5">
        <f t="shared" si="93"/>
        <v>0</v>
      </c>
      <c r="GW238" s="5">
        <v>1</v>
      </c>
      <c r="GX238" s="5">
        <f t="shared" si="94"/>
        <v>0</v>
      </c>
      <c r="GY238" s="5"/>
      <c r="GZ238" s="5"/>
      <c r="HA238" s="5">
        <v>0</v>
      </c>
      <c r="HB238" s="5">
        <v>0</v>
      </c>
      <c r="HC238" s="5">
        <f t="shared" si="95"/>
        <v>0</v>
      </c>
      <c r="HD238" s="5"/>
      <c r="HE238" s="5" t="s">
        <v>6</v>
      </c>
      <c r="HF238" s="5" t="s">
        <v>6</v>
      </c>
      <c r="HG238" s="5"/>
      <c r="HH238" s="5"/>
      <c r="HI238" s="5"/>
      <c r="HJ238" s="5"/>
      <c r="HK238" s="5"/>
      <c r="HL238" s="5"/>
      <c r="HM238" s="5" t="s">
        <v>6</v>
      </c>
      <c r="HN238" s="5" t="s">
        <v>122</v>
      </c>
      <c r="HO238" s="5" t="s">
        <v>123</v>
      </c>
      <c r="HP238" s="5" t="s">
        <v>87</v>
      </c>
      <c r="HQ238" s="5" t="s">
        <v>87</v>
      </c>
      <c r="HR238" s="5"/>
      <c r="HS238" s="5">
        <v>0</v>
      </c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>
        <v>0</v>
      </c>
      <c r="IL238" s="5"/>
      <c r="IM238" s="5"/>
      <c r="IN238" s="5"/>
      <c r="IO238" s="5"/>
      <c r="IP238" s="5"/>
      <c r="IQ238" s="5"/>
      <c r="IR238" s="5"/>
      <c r="IS238" s="5"/>
      <c r="IT238" s="5"/>
      <c r="IU238" s="5"/>
    </row>
    <row r="239" spans="1:255" x14ac:dyDescent="0.2">
      <c r="A239" s="5">
        <v>17</v>
      </c>
      <c r="B239" s="5">
        <v>1</v>
      </c>
      <c r="C239" s="5"/>
      <c r="D239" s="5"/>
      <c r="E239" s="5" t="s">
        <v>19</v>
      </c>
      <c r="F239" s="5" t="s">
        <v>132</v>
      </c>
      <c r="G239" s="5" t="s">
        <v>133</v>
      </c>
      <c r="H239" s="5" t="s">
        <v>134</v>
      </c>
      <c r="I239" s="5">
        <f>ROUND(0.99,7)</f>
        <v>0.99</v>
      </c>
      <c r="J239" s="5">
        <v>0</v>
      </c>
      <c r="K239" s="5">
        <f>ROUND(0.99,7)</f>
        <v>0.99</v>
      </c>
      <c r="L239" s="5"/>
      <c r="M239" s="5"/>
      <c r="N239" s="5"/>
      <c r="O239" s="5">
        <f t="shared" si="75"/>
        <v>4769.1499999999996</v>
      </c>
      <c r="P239" s="5">
        <f>ROUND(CQ239*I239,2)</f>
        <v>4769.1499999999996</v>
      </c>
      <c r="Q239" s="5">
        <f>ROUND(CR239*I239,2)</f>
        <v>0</v>
      </c>
      <c r="R239" s="5">
        <f>ROUND(CS239*I239,2)</f>
        <v>0</v>
      </c>
      <c r="S239" s="5">
        <f>ROUND(CT239*I239,2)</f>
        <v>0</v>
      </c>
      <c r="T239" s="5">
        <f t="shared" si="76"/>
        <v>0</v>
      </c>
      <c r="U239" s="5">
        <f>ROUND(CV239*I239,7)</f>
        <v>0</v>
      </c>
      <c r="V239" s="5">
        <f>ROUND(CW239*I239,7)</f>
        <v>0</v>
      </c>
      <c r="W239" s="5">
        <f t="shared" si="77"/>
        <v>0</v>
      </c>
      <c r="X239" s="5">
        <f t="shared" si="78"/>
        <v>0</v>
      </c>
      <c r="Y239" s="5">
        <f t="shared" si="79"/>
        <v>0</v>
      </c>
      <c r="Z239" s="5"/>
      <c r="AA239" s="5">
        <v>74852007</v>
      </c>
      <c r="AB239" s="5">
        <f t="shared" si="80"/>
        <v>3948.62</v>
      </c>
      <c r="AC239" s="5">
        <f>ROUND((ES239),2)</f>
        <v>3948.62</v>
      </c>
      <c r="AD239" s="5">
        <f>ROUND((((ET239)-(EU239))+AE239),2)</f>
        <v>0</v>
      </c>
      <c r="AE239" s="5">
        <f>ROUND((EU239),2)</f>
        <v>0</v>
      </c>
      <c r="AF239" s="5">
        <f>ROUND((EV239),2)</f>
        <v>0</v>
      </c>
      <c r="AG239" s="5">
        <f t="shared" si="81"/>
        <v>0</v>
      </c>
      <c r="AH239" s="5">
        <f>(EW239)</f>
        <v>0</v>
      </c>
      <c r="AI239" s="5">
        <f>(EX239)</f>
        <v>0</v>
      </c>
      <c r="AJ239" s="5">
        <f t="shared" si="82"/>
        <v>0</v>
      </c>
      <c r="AK239" s="5">
        <v>3948.62</v>
      </c>
      <c r="AL239" s="5">
        <v>3948.62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1</v>
      </c>
      <c r="AW239" s="5">
        <v>1</v>
      </c>
      <c r="AX239" s="5"/>
      <c r="AY239" s="5"/>
      <c r="AZ239" s="5">
        <v>1</v>
      </c>
      <c r="BA239" s="5">
        <v>1</v>
      </c>
      <c r="BB239" s="5">
        <v>1</v>
      </c>
      <c r="BC239" s="5">
        <v>1.22</v>
      </c>
      <c r="BD239" s="5" t="s">
        <v>6</v>
      </c>
      <c r="BE239" s="5" t="s">
        <v>6</v>
      </c>
      <c r="BF239" s="5" t="s">
        <v>6</v>
      </c>
      <c r="BG239" s="5" t="s">
        <v>6</v>
      </c>
      <c r="BH239" s="5">
        <v>3</v>
      </c>
      <c r="BI239" s="5">
        <v>1</v>
      </c>
      <c r="BJ239" s="5" t="s">
        <v>135</v>
      </c>
      <c r="BK239" s="5"/>
      <c r="BL239" s="5"/>
      <c r="BM239" s="5">
        <v>500001</v>
      </c>
      <c r="BN239" s="5">
        <v>66927928</v>
      </c>
      <c r="BO239" s="5" t="s">
        <v>132</v>
      </c>
      <c r="BP239" s="5">
        <v>1</v>
      </c>
      <c r="BQ239" s="5">
        <v>8</v>
      </c>
      <c r="BR239" s="5">
        <v>0</v>
      </c>
      <c r="BS239" s="5">
        <v>1</v>
      </c>
      <c r="BT239" s="5">
        <v>1</v>
      </c>
      <c r="BU239" s="5">
        <v>1</v>
      </c>
      <c r="BV239" s="5">
        <v>1</v>
      </c>
      <c r="BW239" s="5">
        <v>1</v>
      </c>
      <c r="BX239" s="5">
        <v>1</v>
      </c>
      <c r="BY239" s="5" t="s">
        <v>6</v>
      </c>
      <c r="BZ239" s="5">
        <v>0</v>
      </c>
      <c r="CA239" s="5">
        <v>0</v>
      </c>
      <c r="CB239" s="5" t="s">
        <v>6</v>
      </c>
      <c r="CC239" s="5"/>
      <c r="CD239" s="5"/>
      <c r="CE239" s="5">
        <v>0</v>
      </c>
      <c r="CF239" s="5">
        <v>0</v>
      </c>
      <c r="CG239" s="5">
        <v>0</v>
      </c>
      <c r="CH239" s="5"/>
      <c r="CI239" s="5"/>
      <c r="CJ239" s="5"/>
      <c r="CK239" s="5"/>
      <c r="CL239" s="5"/>
      <c r="CM239" s="5">
        <v>0</v>
      </c>
      <c r="CN239" s="5" t="s">
        <v>6</v>
      </c>
      <c r="CO239" s="5">
        <v>0</v>
      </c>
      <c r="CP239" s="5">
        <f t="shared" si="83"/>
        <v>4769.1499999999996</v>
      </c>
      <c r="CQ239" s="5">
        <f>ROUND(AL239*BC239,2)</f>
        <v>4817.32</v>
      </c>
      <c r="CR239" s="5">
        <f>ROUND(AM239*BB239,2)</f>
        <v>0</v>
      </c>
      <c r="CS239" s="5">
        <f>ROUND(AN239*BS239,2)</f>
        <v>0</v>
      </c>
      <c r="CT239" s="5">
        <f>ROUND(AO239*BA239,2)</f>
        <v>0</v>
      </c>
      <c r="CU239" s="5">
        <f t="shared" si="84"/>
        <v>0</v>
      </c>
      <c r="CV239" s="5">
        <f>AH239</f>
        <v>0</v>
      </c>
      <c r="CW239" s="5">
        <f>AI239</f>
        <v>0</v>
      </c>
      <c r="CX239" s="5">
        <f t="shared" si="85"/>
        <v>0</v>
      </c>
      <c r="CY239" s="5">
        <f>0</f>
        <v>0</v>
      </c>
      <c r="CZ239" s="5">
        <f>0</f>
        <v>0</v>
      </c>
      <c r="DA239" s="5"/>
      <c r="DB239" s="5"/>
      <c r="DC239" s="5" t="s">
        <v>6</v>
      </c>
      <c r="DD239" s="5" t="s">
        <v>6</v>
      </c>
      <c r="DE239" s="5" t="s">
        <v>6</v>
      </c>
      <c r="DF239" s="5" t="s">
        <v>6</v>
      </c>
      <c r="DG239" s="5" t="s">
        <v>6</v>
      </c>
      <c r="DH239" s="5" t="s">
        <v>6</v>
      </c>
      <c r="DI239" s="5" t="s">
        <v>6</v>
      </c>
      <c r="DJ239" s="5" t="s">
        <v>6</v>
      </c>
      <c r="DK239" s="5" t="s">
        <v>6</v>
      </c>
      <c r="DL239" s="5" t="s">
        <v>6</v>
      </c>
      <c r="DM239" s="5" t="s">
        <v>6</v>
      </c>
      <c r="DN239" s="5">
        <v>0</v>
      </c>
      <c r="DO239" s="5">
        <v>0</v>
      </c>
      <c r="DP239" s="5">
        <v>1</v>
      </c>
      <c r="DQ239" s="5">
        <v>1</v>
      </c>
      <c r="DR239" s="5"/>
      <c r="DS239" s="5"/>
      <c r="DT239" s="5"/>
      <c r="DU239" s="5">
        <v>1007</v>
      </c>
      <c r="DV239" s="5" t="s">
        <v>134</v>
      </c>
      <c r="DW239" s="5" t="s">
        <v>134</v>
      </c>
      <c r="DX239" s="5">
        <v>1</v>
      </c>
      <c r="DY239" s="5"/>
      <c r="DZ239" s="5" t="s">
        <v>6</v>
      </c>
      <c r="EA239" s="5" t="s">
        <v>6</v>
      </c>
      <c r="EB239" s="5" t="s">
        <v>6</v>
      </c>
      <c r="EC239" s="5" t="s">
        <v>6</v>
      </c>
      <c r="ED239" s="5"/>
      <c r="EE239" s="5">
        <v>67841826</v>
      </c>
      <c r="EF239" s="5">
        <v>8</v>
      </c>
      <c r="EG239" s="5" t="s">
        <v>136</v>
      </c>
      <c r="EH239" s="5">
        <v>0</v>
      </c>
      <c r="EI239" s="5" t="s">
        <v>6</v>
      </c>
      <c r="EJ239" s="5">
        <v>1</v>
      </c>
      <c r="EK239" s="5">
        <v>500001</v>
      </c>
      <c r="EL239" s="5" t="s">
        <v>137</v>
      </c>
      <c r="EM239" s="5" t="s">
        <v>138</v>
      </c>
      <c r="EN239" s="5"/>
      <c r="EO239" s="5" t="s">
        <v>6</v>
      </c>
      <c r="EP239" s="5"/>
      <c r="EQ239" s="5">
        <v>0</v>
      </c>
      <c r="ER239" s="5">
        <v>3948.62</v>
      </c>
      <c r="ES239" s="5">
        <v>3948.62</v>
      </c>
      <c r="ET239" s="5">
        <v>0</v>
      </c>
      <c r="EU239" s="5">
        <v>0</v>
      </c>
      <c r="EV239" s="5">
        <v>0</v>
      </c>
      <c r="EW239" s="5">
        <v>0</v>
      </c>
      <c r="EX239" s="5">
        <v>0</v>
      </c>
      <c r="EY239" s="5">
        <v>0</v>
      </c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>
        <v>0</v>
      </c>
      <c r="FR239" s="5">
        <v>0</v>
      </c>
      <c r="FS239" s="5">
        <v>0</v>
      </c>
      <c r="FT239" s="5"/>
      <c r="FU239" s="5"/>
      <c r="FV239" s="5"/>
      <c r="FW239" s="5"/>
      <c r="FX239" s="5">
        <v>0</v>
      </c>
      <c r="FY239" s="5">
        <v>0</v>
      </c>
      <c r="FZ239" s="5"/>
      <c r="GA239" s="5" t="s">
        <v>6</v>
      </c>
      <c r="GB239" s="5"/>
      <c r="GC239" s="5"/>
      <c r="GD239" s="5">
        <v>1</v>
      </c>
      <c r="GE239" s="5"/>
      <c r="GF239" s="5">
        <v>282989626</v>
      </c>
      <c r="GG239" s="5">
        <v>2</v>
      </c>
      <c r="GH239" s="5">
        <v>1</v>
      </c>
      <c r="GI239" s="5">
        <v>2</v>
      </c>
      <c r="GJ239" s="5">
        <v>0</v>
      </c>
      <c r="GK239" s="5">
        <v>0</v>
      </c>
      <c r="GL239" s="5">
        <f t="shared" si="88"/>
        <v>0</v>
      </c>
      <c r="GM239" s="5">
        <f t="shared" si="89"/>
        <v>4769.1499999999996</v>
      </c>
      <c r="GN239" s="5">
        <f t="shared" si="90"/>
        <v>4769.1499999999996</v>
      </c>
      <c r="GO239" s="5">
        <f t="shared" si="91"/>
        <v>0</v>
      </c>
      <c r="GP239" s="5">
        <f t="shared" si="92"/>
        <v>0</v>
      </c>
      <c r="GQ239" s="5"/>
      <c r="GR239" s="5">
        <v>0</v>
      </c>
      <c r="GS239" s="5">
        <v>3</v>
      </c>
      <c r="GT239" s="5">
        <v>0</v>
      </c>
      <c r="GU239" s="5" t="s">
        <v>6</v>
      </c>
      <c r="GV239" s="5">
        <f t="shared" si="93"/>
        <v>0</v>
      </c>
      <c r="GW239" s="5">
        <v>1</v>
      </c>
      <c r="GX239" s="5">
        <f t="shared" si="94"/>
        <v>0</v>
      </c>
      <c r="GY239" s="5"/>
      <c r="GZ239" s="5"/>
      <c r="HA239" s="5">
        <v>0</v>
      </c>
      <c r="HB239" s="5">
        <v>0</v>
      </c>
      <c r="HC239" s="5">
        <f t="shared" si="95"/>
        <v>0</v>
      </c>
      <c r="HD239" s="5"/>
      <c r="HE239" s="5" t="s">
        <v>6</v>
      </c>
      <c r="HF239" s="5" t="s">
        <v>6</v>
      </c>
      <c r="HG239" s="5"/>
      <c r="HH239" s="5"/>
      <c r="HI239" s="5"/>
      <c r="HJ239" s="5"/>
      <c r="HK239" s="5"/>
      <c r="HL239" s="5"/>
      <c r="HM239" s="5" t="s">
        <v>6</v>
      </c>
      <c r="HN239" s="5" t="s">
        <v>6</v>
      </c>
      <c r="HO239" s="5" t="s">
        <v>6</v>
      </c>
      <c r="HP239" s="5" t="s">
        <v>6</v>
      </c>
      <c r="HQ239" s="5" t="s">
        <v>6</v>
      </c>
      <c r="HR239" s="5"/>
      <c r="HS239" s="5">
        <v>0</v>
      </c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>
        <v>0</v>
      </c>
      <c r="IL239" s="5"/>
      <c r="IM239" s="5"/>
      <c r="IN239" s="5"/>
      <c r="IO239" s="5"/>
      <c r="IP239" s="5"/>
      <c r="IQ239" s="5"/>
      <c r="IR239" s="5"/>
      <c r="IS239" s="5"/>
      <c r="IT239" s="5"/>
      <c r="IU239" s="5"/>
    </row>
    <row r="240" spans="1:255" x14ac:dyDescent="0.2">
      <c r="A240" s="5">
        <v>17</v>
      </c>
      <c r="B240" s="5">
        <v>1</v>
      </c>
      <c r="C240" s="5">
        <f>ROW(SmtRes!A26)</f>
        <v>26</v>
      </c>
      <c r="D240" s="5">
        <f>ROW(EtalonRes!A34)</f>
        <v>34</v>
      </c>
      <c r="E240" s="5" t="s">
        <v>75</v>
      </c>
      <c r="F240" s="5" t="s">
        <v>139</v>
      </c>
      <c r="G240" s="5" t="s">
        <v>140</v>
      </c>
      <c r="H240" s="5" t="s">
        <v>90</v>
      </c>
      <c r="I240" s="5">
        <f>ROUND(0.322,7)</f>
        <v>0.32200000000000001</v>
      </c>
      <c r="J240" s="5">
        <v>0</v>
      </c>
      <c r="K240" s="5">
        <f>ROUND(0.322,7)</f>
        <v>0.32200000000000001</v>
      </c>
      <c r="L240" s="5"/>
      <c r="M240" s="5"/>
      <c r="N240" s="5"/>
      <c r="O240" s="5">
        <f t="shared" si="75"/>
        <v>4354.6899999999996</v>
      </c>
      <c r="P240" s="5">
        <f>SUMIF(SmtRes!AQ22:'SmtRes'!AQ26,"=1",SmtRes!DF22:'SmtRes'!DF26)</f>
        <v>13.46</v>
      </c>
      <c r="Q240" s="5">
        <f>SUMIF(SmtRes!AQ22:'SmtRes'!AQ26,"=1",SmtRes!DG22:'SmtRes'!DG26)</f>
        <v>130.73999999999998</v>
      </c>
      <c r="R240" s="5">
        <f>SUMIF(SmtRes!AQ22:'SmtRes'!AQ26,"=1",SmtRes!DH22:'SmtRes'!DH26)</f>
        <v>109.30000000000001</v>
      </c>
      <c r="S240" s="5">
        <f>SUMIF(SmtRes!AQ22:'SmtRes'!AQ26,"=1",SmtRes!DI22:'SmtRes'!DI26)</f>
        <v>4101.1899999999996</v>
      </c>
      <c r="T240" s="5">
        <f t="shared" si="76"/>
        <v>0</v>
      </c>
      <c r="U240" s="5">
        <f>SUMIF(SmtRes!AQ22:'SmtRes'!AQ26,"=1",SmtRes!CV22:'SmtRes'!CV26)</f>
        <v>14.14546</v>
      </c>
      <c r="V240" s="5">
        <f>SUMIF(SmtRes!AQ22:'SmtRes'!AQ26,"=1",SmtRes!CW22:'SmtRes'!CW26)</f>
        <v>0.34212500000000001</v>
      </c>
      <c r="W240" s="5">
        <f t="shared" si="77"/>
        <v>0</v>
      </c>
      <c r="X240" s="5">
        <f t="shared" si="78"/>
        <v>4244.17</v>
      </c>
      <c r="Y240" s="5">
        <f t="shared" si="79"/>
        <v>2326.3000000000002</v>
      </c>
      <c r="Z240" s="5"/>
      <c r="AA240" s="5">
        <v>74852007</v>
      </c>
      <c r="AB240" s="5">
        <f t="shared" si="80"/>
        <v>13162.88</v>
      </c>
      <c r="AC240" s="5">
        <f>ROUND((SUM(SmtRes!BQ22:'SmtRes'!BQ26)),2)</f>
        <v>28.06</v>
      </c>
      <c r="AD240" s="5">
        <f>ROUND((((SUM(SmtRes!BR22:'SmtRes'!BR26))-(SUM(SmtRes!BS22:'SmtRes'!BS26)))+AE240),2)</f>
        <v>398.2</v>
      </c>
      <c r="AE240" s="5">
        <f>ROUND((SUM(SmtRes!BS22:'SmtRes'!BS26)),2)</f>
        <v>339.45</v>
      </c>
      <c r="AF240" s="5">
        <f>ROUND((SUM(SmtRes!BT22:'SmtRes'!BT26)),2)</f>
        <v>12736.62</v>
      </c>
      <c r="AG240" s="5">
        <f t="shared" si="81"/>
        <v>0</v>
      </c>
      <c r="AH240" s="5">
        <f>(SUM(SmtRes!BU22:'SmtRes'!BU26))</f>
        <v>43.93</v>
      </c>
      <c r="AI240" s="5">
        <f>(SUM(SmtRes!BV22:'SmtRes'!BV26))</f>
        <v>1.0625</v>
      </c>
      <c r="AJ240" s="5">
        <f t="shared" si="82"/>
        <v>0</v>
      </c>
      <c r="AK240" s="5">
        <v>11693.503500000001</v>
      </c>
      <c r="AL240" s="5">
        <v>28.055</v>
      </c>
      <c r="AM240" s="5">
        <v>318.56200000000001</v>
      </c>
      <c r="AN240" s="5">
        <v>271.56049999999999</v>
      </c>
      <c r="AO240" s="5">
        <v>11075.326000000001</v>
      </c>
      <c r="AP240" s="5">
        <v>0</v>
      </c>
      <c r="AQ240" s="5">
        <v>38.200000000000003</v>
      </c>
      <c r="AR240" s="5">
        <v>0.85</v>
      </c>
      <c r="AS240" s="5">
        <v>0</v>
      </c>
      <c r="AT240" s="5">
        <v>100.8</v>
      </c>
      <c r="AU240" s="5">
        <v>55.25</v>
      </c>
      <c r="AV240" s="5">
        <v>1</v>
      </c>
      <c r="AW240" s="5">
        <v>1</v>
      </c>
      <c r="AX240" s="5"/>
      <c r="AY240" s="5"/>
      <c r="AZ240" s="5">
        <v>1</v>
      </c>
      <c r="BA240" s="5">
        <v>1</v>
      </c>
      <c r="BB240" s="5">
        <v>1</v>
      </c>
      <c r="BC240" s="5">
        <v>1</v>
      </c>
      <c r="BD240" s="5" t="s">
        <v>6</v>
      </c>
      <c r="BE240" s="5" t="s">
        <v>6</v>
      </c>
      <c r="BF240" s="5" t="s">
        <v>6</v>
      </c>
      <c r="BG240" s="5" t="s">
        <v>6</v>
      </c>
      <c r="BH240" s="5">
        <v>0</v>
      </c>
      <c r="BI240" s="5">
        <v>1</v>
      </c>
      <c r="BJ240" s="5" t="s">
        <v>141</v>
      </c>
      <c r="BK240" s="5"/>
      <c r="BL240" s="5"/>
      <c r="BM240" s="5">
        <v>11001</v>
      </c>
      <c r="BN240" s="5">
        <v>66927928</v>
      </c>
      <c r="BO240" s="5" t="s">
        <v>6</v>
      </c>
      <c r="BP240" s="5">
        <v>0</v>
      </c>
      <c r="BQ240" s="5">
        <v>2</v>
      </c>
      <c r="BR240" s="5">
        <v>0</v>
      </c>
      <c r="BS240" s="5">
        <v>1</v>
      </c>
      <c r="BT240" s="5">
        <v>1</v>
      </c>
      <c r="BU240" s="5">
        <v>1</v>
      </c>
      <c r="BV240" s="5">
        <v>1</v>
      </c>
      <c r="BW240" s="5">
        <v>1</v>
      </c>
      <c r="BX240" s="5">
        <v>1</v>
      </c>
      <c r="BY240" s="5" t="s">
        <v>6</v>
      </c>
      <c r="BZ240" s="5">
        <v>112</v>
      </c>
      <c r="CA240" s="5">
        <v>65</v>
      </c>
      <c r="CB240" s="5" t="s">
        <v>6</v>
      </c>
      <c r="CC240" s="5"/>
      <c r="CD240" s="5"/>
      <c r="CE240" s="5">
        <v>0</v>
      </c>
      <c r="CF240" s="5">
        <v>0</v>
      </c>
      <c r="CG240" s="5">
        <v>0</v>
      </c>
      <c r="CH240" s="5"/>
      <c r="CI240" s="5"/>
      <c r="CJ240" s="5"/>
      <c r="CK240" s="5"/>
      <c r="CL240" s="5"/>
      <c r="CM240" s="5">
        <v>0</v>
      </c>
      <c r="CN240" s="5" t="s">
        <v>115</v>
      </c>
      <c r="CO240" s="5">
        <v>0</v>
      </c>
      <c r="CP240" s="5">
        <f t="shared" si="83"/>
        <v>4354.6899999999996</v>
      </c>
      <c r="CQ240" s="5">
        <f>SUMIF(SmtRes!AQ22:'SmtRes'!AQ26,"=1",SmtRes!AA22:'SmtRes'!AA26)</f>
        <v>83.6</v>
      </c>
      <c r="CR240" s="5">
        <f>SUMIF(SmtRes!AQ22:'SmtRes'!AQ26,"=1",SmtRes!AB22:'SmtRes'!AB26)</f>
        <v>666.23</v>
      </c>
      <c r="CS240" s="5">
        <f>SUMIF(SmtRes!AQ22:'SmtRes'!AQ26,"=1",SmtRes!AC22:'SmtRes'!AC26)</f>
        <v>632.35</v>
      </c>
      <c r="CT240" s="5">
        <f>SUMIF(SmtRes!AQ22:'SmtRes'!AQ26,"=1",SmtRes!AD22:'SmtRes'!AD26)</f>
        <v>289.93</v>
      </c>
      <c r="CU240" s="5">
        <f t="shared" si="84"/>
        <v>0</v>
      </c>
      <c r="CV240" s="5">
        <f>SUMIF(SmtRes!AQ22:'SmtRes'!AQ26,"=1",SmtRes!BU22:'SmtRes'!BU26)</f>
        <v>43.93</v>
      </c>
      <c r="CW240" s="5">
        <f>SUMIF(SmtRes!AQ22:'SmtRes'!AQ26,"=1",SmtRes!BV22:'SmtRes'!BV26)</f>
        <v>1.0625</v>
      </c>
      <c r="CX240" s="5">
        <f t="shared" si="85"/>
        <v>0</v>
      </c>
      <c r="CY240" s="5">
        <f>(((S240+R240)*AT240)/100)</f>
        <v>4244.1739200000002</v>
      </c>
      <c r="CZ240" s="5">
        <f>(((S240+R240)*AU240)/100)</f>
        <v>2326.2957249999999</v>
      </c>
      <c r="DA240" s="5"/>
      <c r="DB240" s="5"/>
      <c r="DC240" s="5" t="s">
        <v>6</v>
      </c>
      <c r="DD240" s="5" t="s">
        <v>6</v>
      </c>
      <c r="DE240" s="5" t="s">
        <v>116</v>
      </c>
      <c r="DF240" s="5" t="s">
        <v>116</v>
      </c>
      <c r="DG240" s="5" t="s">
        <v>117</v>
      </c>
      <c r="DH240" s="5" t="s">
        <v>6</v>
      </c>
      <c r="DI240" s="5" t="s">
        <v>117</v>
      </c>
      <c r="DJ240" s="5" t="s">
        <v>116</v>
      </c>
      <c r="DK240" s="5" t="s">
        <v>6</v>
      </c>
      <c r="DL240" s="5" t="s">
        <v>118</v>
      </c>
      <c r="DM240" s="5" t="s">
        <v>119</v>
      </c>
      <c r="DN240" s="5">
        <v>0</v>
      </c>
      <c r="DO240" s="5">
        <v>0</v>
      </c>
      <c r="DP240" s="5">
        <v>1</v>
      </c>
      <c r="DQ240" s="5">
        <v>1</v>
      </c>
      <c r="DR240" s="5"/>
      <c r="DS240" s="5"/>
      <c r="DT240" s="5"/>
      <c r="DU240" s="5">
        <v>1005</v>
      </c>
      <c r="DV240" s="5" t="s">
        <v>90</v>
      </c>
      <c r="DW240" s="5" t="s">
        <v>90</v>
      </c>
      <c r="DX240" s="5">
        <v>100</v>
      </c>
      <c r="DY240" s="5"/>
      <c r="DZ240" s="5" t="s">
        <v>6</v>
      </c>
      <c r="EA240" s="5" t="s">
        <v>6</v>
      </c>
      <c r="EB240" s="5" t="s">
        <v>6</v>
      </c>
      <c r="EC240" s="5" t="s">
        <v>6</v>
      </c>
      <c r="ED240" s="5"/>
      <c r="EE240" s="5">
        <v>67841894</v>
      </c>
      <c r="EF240" s="5">
        <v>2</v>
      </c>
      <c r="EG240" s="5" t="s">
        <v>18</v>
      </c>
      <c r="EH240" s="5">
        <v>11</v>
      </c>
      <c r="EI240" s="5" t="s">
        <v>87</v>
      </c>
      <c r="EJ240" s="5">
        <v>1</v>
      </c>
      <c r="EK240" s="5">
        <v>11001</v>
      </c>
      <c r="EL240" s="5" t="s">
        <v>87</v>
      </c>
      <c r="EM240" s="5" t="s">
        <v>120</v>
      </c>
      <c r="EN240" s="5"/>
      <c r="EO240" s="5" t="s">
        <v>121</v>
      </c>
      <c r="EP240" s="5"/>
      <c r="EQ240" s="5">
        <v>0</v>
      </c>
      <c r="ER240" s="5">
        <v>0</v>
      </c>
      <c r="ES240" s="5">
        <v>0</v>
      </c>
      <c r="ET240" s="5">
        <v>0</v>
      </c>
      <c r="EU240" s="5">
        <v>0</v>
      </c>
      <c r="EV240" s="5">
        <v>0</v>
      </c>
      <c r="EW240" s="5">
        <v>38.200000000000003</v>
      </c>
      <c r="EX240" s="5">
        <v>0.85</v>
      </c>
      <c r="EY240" s="5">
        <v>0</v>
      </c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>
        <v>0</v>
      </c>
      <c r="FR240" s="5">
        <v>0</v>
      </c>
      <c r="FS240" s="5">
        <v>0</v>
      </c>
      <c r="FT240" s="5"/>
      <c r="FU240" s="5"/>
      <c r="FV240" s="5"/>
      <c r="FW240" s="5"/>
      <c r="FX240" s="5">
        <v>100.8</v>
      </c>
      <c r="FY240" s="5">
        <v>55.25</v>
      </c>
      <c r="FZ240" s="5"/>
      <c r="GA240" s="5" t="s">
        <v>6</v>
      </c>
      <c r="GB240" s="5"/>
      <c r="GC240" s="5"/>
      <c r="GD240" s="5">
        <v>1</v>
      </c>
      <c r="GE240" s="5"/>
      <c r="GF240" s="5">
        <v>-1709364669</v>
      </c>
      <c r="GG240" s="5">
        <v>2</v>
      </c>
      <c r="GH240" s="5">
        <v>1</v>
      </c>
      <c r="GI240" s="5">
        <v>-2</v>
      </c>
      <c r="GJ240" s="5">
        <v>0</v>
      </c>
      <c r="GK240" s="5">
        <v>0</v>
      </c>
      <c r="GL240" s="5">
        <f t="shared" si="88"/>
        <v>0</v>
      </c>
      <c r="GM240" s="5">
        <f t="shared" si="89"/>
        <v>10925.16</v>
      </c>
      <c r="GN240" s="5">
        <f t="shared" si="90"/>
        <v>10925.16</v>
      </c>
      <c r="GO240" s="5">
        <f t="shared" si="91"/>
        <v>0</v>
      </c>
      <c r="GP240" s="5">
        <f t="shared" si="92"/>
        <v>0</v>
      </c>
      <c r="GQ240" s="5"/>
      <c r="GR240" s="5">
        <v>0</v>
      </c>
      <c r="GS240" s="5">
        <v>3</v>
      </c>
      <c r="GT240" s="5">
        <v>0</v>
      </c>
      <c r="GU240" s="5" t="s">
        <v>6</v>
      </c>
      <c r="GV240" s="5">
        <f t="shared" si="93"/>
        <v>0</v>
      </c>
      <c r="GW240" s="5">
        <v>1</v>
      </c>
      <c r="GX240" s="5">
        <f t="shared" si="94"/>
        <v>0</v>
      </c>
      <c r="GY240" s="5"/>
      <c r="GZ240" s="5"/>
      <c r="HA240" s="5">
        <v>0</v>
      </c>
      <c r="HB240" s="5">
        <v>0</v>
      </c>
      <c r="HC240" s="5">
        <f t="shared" si="95"/>
        <v>0</v>
      </c>
      <c r="HD240" s="5"/>
      <c r="HE240" s="5" t="s">
        <v>6</v>
      </c>
      <c r="HF240" s="5" t="s">
        <v>6</v>
      </c>
      <c r="HG240" s="5"/>
      <c r="HH240" s="5"/>
      <c r="HI240" s="5"/>
      <c r="HJ240" s="5"/>
      <c r="HK240" s="5"/>
      <c r="HL240" s="5"/>
      <c r="HM240" s="5" t="s">
        <v>6</v>
      </c>
      <c r="HN240" s="5" t="s">
        <v>122</v>
      </c>
      <c r="HO240" s="5" t="s">
        <v>123</v>
      </c>
      <c r="HP240" s="5" t="s">
        <v>87</v>
      </c>
      <c r="HQ240" s="5" t="s">
        <v>87</v>
      </c>
      <c r="HR240" s="5"/>
      <c r="HS240" s="5">
        <v>0</v>
      </c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>
        <v>0</v>
      </c>
      <c r="IL240" s="5"/>
      <c r="IM240" s="5"/>
      <c r="IN240" s="5"/>
      <c r="IO240" s="5"/>
      <c r="IP240" s="5"/>
      <c r="IQ240" s="5"/>
      <c r="IR240" s="5"/>
      <c r="IS240" s="5"/>
      <c r="IT240" s="5"/>
      <c r="IU240" s="5"/>
    </row>
    <row r="241" spans="1:255" x14ac:dyDescent="0.2">
      <c r="A241" s="5">
        <v>17</v>
      </c>
      <c r="B241" s="5">
        <v>1</v>
      </c>
      <c r="C241" s="5"/>
      <c r="D241" s="5"/>
      <c r="E241" s="5" t="s">
        <v>142</v>
      </c>
      <c r="F241" s="5" t="s">
        <v>143</v>
      </c>
      <c r="G241" s="5" t="s">
        <v>144</v>
      </c>
      <c r="H241" s="5" t="s">
        <v>145</v>
      </c>
      <c r="I241" s="5">
        <f>ROUND(32.84,7)</f>
        <v>32.840000000000003</v>
      </c>
      <c r="J241" s="5">
        <v>0</v>
      </c>
      <c r="K241" s="5">
        <f>ROUND(32.84,7)</f>
        <v>32.840000000000003</v>
      </c>
      <c r="L241" s="5"/>
      <c r="M241" s="5"/>
      <c r="N241" s="5"/>
      <c r="O241" s="5">
        <f t="shared" si="75"/>
        <v>34172.65</v>
      </c>
      <c r="P241" s="5">
        <f>ROUND(CQ241*I241,2)</f>
        <v>34172.65</v>
      </c>
      <c r="Q241" s="5">
        <f>ROUND(CR241*I241,2)</f>
        <v>0</v>
      </c>
      <c r="R241" s="5">
        <f>ROUND(CS241*I241,2)</f>
        <v>0</v>
      </c>
      <c r="S241" s="5">
        <f>ROUND(CT241*I241,2)</f>
        <v>0</v>
      </c>
      <c r="T241" s="5">
        <f t="shared" si="76"/>
        <v>0</v>
      </c>
      <c r="U241" s="5">
        <f>ROUND(CV241*I241,7)</f>
        <v>0</v>
      </c>
      <c r="V241" s="5">
        <f>ROUND(CW241*I241,7)</f>
        <v>0</v>
      </c>
      <c r="W241" s="5">
        <f t="shared" si="77"/>
        <v>0</v>
      </c>
      <c r="X241" s="5">
        <f t="shared" si="78"/>
        <v>0</v>
      </c>
      <c r="Y241" s="5">
        <f t="shared" si="79"/>
        <v>0</v>
      </c>
      <c r="Z241" s="5"/>
      <c r="AA241" s="5">
        <v>74852007</v>
      </c>
      <c r="AB241" s="5">
        <f t="shared" si="80"/>
        <v>874.44</v>
      </c>
      <c r="AC241" s="5">
        <f>ROUND((ES241),2)</f>
        <v>874.44</v>
      </c>
      <c r="AD241" s="5">
        <f>ROUND((((ET241)-(EU241))+AE241),2)</f>
        <v>0</v>
      </c>
      <c r="AE241" s="5">
        <f>ROUND((EU241),2)</f>
        <v>0</v>
      </c>
      <c r="AF241" s="5">
        <f>ROUND((EV241),2)</f>
        <v>0</v>
      </c>
      <c r="AG241" s="5">
        <f t="shared" si="81"/>
        <v>0</v>
      </c>
      <c r="AH241" s="5">
        <f>(EW241)</f>
        <v>0</v>
      </c>
      <c r="AI241" s="5">
        <f>(EX241)</f>
        <v>0</v>
      </c>
      <c r="AJ241" s="5">
        <f t="shared" si="82"/>
        <v>0</v>
      </c>
      <c r="AK241" s="5">
        <v>874.44</v>
      </c>
      <c r="AL241" s="5">
        <v>874.44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1</v>
      </c>
      <c r="AW241" s="5">
        <v>1</v>
      </c>
      <c r="AX241" s="5"/>
      <c r="AY241" s="5"/>
      <c r="AZ241" s="5">
        <v>1</v>
      </c>
      <c r="BA241" s="5">
        <v>1</v>
      </c>
      <c r="BB241" s="5">
        <v>1</v>
      </c>
      <c r="BC241" s="5">
        <v>1.19</v>
      </c>
      <c r="BD241" s="5" t="s">
        <v>6</v>
      </c>
      <c r="BE241" s="5" t="s">
        <v>6</v>
      </c>
      <c r="BF241" s="5" t="s">
        <v>6</v>
      </c>
      <c r="BG241" s="5" t="s">
        <v>6</v>
      </c>
      <c r="BH241" s="5">
        <v>3</v>
      </c>
      <c r="BI241" s="5">
        <v>1</v>
      </c>
      <c r="BJ241" s="5" t="s">
        <v>146</v>
      </c>
      <c r="BK241" s="5"/>
      <c r="BL241" s="5"/>
      <c r="BM241" s="5">
        <v>500001</v>
      </c>
      <c r="BN241" s="5">
        <v>66927928</v>
      </c>
      <c r="BO241" s="5" t="s">
        <v>143</v>
      </c>
      <c r="BP241" s="5">
        <v>1</v>
      </c>
      <c r="BQ241" s="5">
        <v>8</v>
      </c>
      <c r="BR241" s="5">
        <v>0</v>
      </c>
      <c r="BS241" s="5">
        <v>1</v>
      </c>
      <c r="BT241" s="5">
        <v>1</v>
      </c>
      <c r="BU241" s="5">
        <v>1</v>
      </c>
      <c r="BV241" s="5">
        <v>1</v>
      </c>
      <c r="BW241" s="5">
        <v>1</v>
      </c>
      <c r="BX241" s="5">
        <v>1</v>
      </c>
      <c r="BY241" s="5" t="s">
        <v>6</v>
      </c>
      <c r="BZ241" s="5">
        <v>0</v>
      </c>
      <c r="CA241" s="5">
        <v>0</v>
      </c>
      <c r="CB241" s="5" t="s">
        <v>6</v>
      </c>
      <c r="CC241" s="5"/>
      <c r="CD241" s="5"/>
      <c r="CE241" s="5">
        <v>0</v>
      </c>
      <c r="CF241" s="5">
        <v>0</v>
      </c>
      <c r="CG241" s="5">
        <v>0</v>
      </c>
      <c r="CH241" s="5"/>
      <c r="CI241" s="5"/>
      <c r="CJ241" s="5"/>
      <c r="CK241" s="5"/>
      <c r="CL241" s="5"/>
      <c r="CM241" s="5">
        <v>0</v>
      </c>
      <c r="CN241" s="5" t="s">
        <v>6</v>
      </c>
      <c r="CO241" s="5">
        <v>0</v>
      </c>
      <c r="CP241" s="5">
        <f t="shared" si="83"/>
        <v>34172.65</v>
      </c>
      <c r="CQ241" s="5">
        <f>ROUND(AL241*BC241,2)</f>
        <v>1040.58</v>
      </c>
      <c r="CR241" s="5">
        <f>ROUND(AM241*BB241,2)</f>
        <v>0</v>
      </c>
      <c r="CS241" s="5">
        <f>ROUND(AN241*BS241,2)</f>
        <v>0</v>
      </c>
      <c r="CT241" s="5">
        <f>ROUND(AO241*BA241,2)</f>
        <v>0</v>
      </c>
      <c r="CU241" s="5">
        <f t="shared" si="84"/>
        <v>0</v>
      </c>
      <c r="CV241" s="5">
        <f>AH241</f>
        <v>0</v>
      </c>
      <c r="CW241" s="5">
        <f>AI241</f>
        <v>0</v>
      </c>
      <c r="CX241" s="5">
        <f t="shared" si="85"/>
        <v>0</v>
      </c>
      <c r="CY241" s="5">
        <f>0</f>
        <v>0</v>
      </c>
      <c r="CZ241" s="5">
        <f>0</f>
        <v>0</v>
      </c>
      <c r="DA241" s="5"/>
      <c r="DB241" s="5"/>
      <c r="DC241" s="5" t="s">
        <v>6</v>
      </c>
      <c r="DD241" s="5" t="s">
        <v>6</v>
      </c>
      <c r="DE241" s="5" t="s">
        <v>6</v>
      </c>
      <c r="DF241" s="5" t="s">
        <v>6</v>
      </c>
      <c r="DG241" s="5" t="s">
        <v>6</v>
      </c>
      <c r="DH241" s="5" t="s">
        <v>6</v>
      </c>
      <c r="DI241" s="5" t="s">
        <v>6</v>
      </c>
      <c r="DJ241" s="5" t="s">
        <v>6</v>
      </c>
      <c r="DK241" s="5" t="s">
        <v>6</v>
      </c>
      <c r="DL241" s="5" t="s">
        <v>6</v>
      </c>
      <c r="DM241" s="5" t="s">
        <v>6</v>
      </c>
      <c r="DN241" s="5">
        <v>0</v>
      </c>
      <c r="DO241" s="5">
        <v>0</v>
      </c>
      <c r="DP241" s="5">
        <v>1</v>
      </c>
      <c r="DQ241" s="5">
        <v>1</v>
      </c>
      <c r="DR241" s="5"/>
      <c r="DS241" s="5"/>
      <c r="DT241" s="5"/>
      <c r="DU241" s="5">
        <v>1005</v>
      </c>
      <c r="DV241" s="5" t="s">
        <v>145</v>
      </c>
      <c r="DW241" s="5" t="s">
        <v>145</v>
      </c>
      <c r="DX241" s="5">
        <v>1</v>
      </c>
      <c r="DY241" s="5"/>
      <c r="DZ241" s="5" t="s">
        <v>6</v>
      </c>
      <c r="EA241" s="5" t="s">
        <v>6</v>
      </c>
      <c r="EB241" s="5" t="s">
        <v>6</v>
      </c>
      <c r="EC241" s="5" t="s">
        <v>6</v>
      </c>
      <c r="ED241" s="5"/>
      <c r="EE241" s="5">
        <v>67841826</v>
      </c>
      <c r="EF241" s="5">
        <v>8</v>
      </c>
      <c r="EG241" s="5" t="s">
        <v>136</v>
      </c>
      <c r="EH241" s="5">
        <v>0</v>
      </c>
      <c r="EI241" s="5" t="s">
        <v>6</v>
      </c>
      <c r="EJ241" s="5">
        <v>1</v>
      </c>
      <c r="EK241" s="5">
        <v>500001</v>
      </c>
      <c r="EL241" s="5" t="s">
        <v>137</v>
      </c>
      <c r="EM241" s="5" t="s">
        <v>138</v>
      </c>
      <c r="EN241" s="5"/>
      <c r="EO241" s="5" t="s">
        <v>6</v>
      </c>
      <c r="EP241" s="5"/>
      <c r="EQ241" s="5">
        <v>0</v>
      </c>
      <c r="ER241" s="5">
        <v>874.44</v>
      </c>
      <c r="ES241" s="5">
        <v>874.44</v>
      </c>
      <c r="ET241" s="5">
        <v>0</v>
      </c>
      <c r="EU241" s="5">
        <v>0</v>
      </c>
      <c r="EV241" s="5">
        <v>0</v>
      </c>
      <c r="EW241" s="5">
        <v>0</v>
      </c>
      <c r="EX241" s="5">
        <v>0</v>
      </c>
      <c r="EY241" s="5">
        <v>0</v>
      </c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>
        <v>0</v>
      </c>
      <c r="FR241" s="5">
        <v>0</v>
      </c>
      <c r="FS241" s="5">
        <v>0</v>
      </c>
      <c r="FT241" s="5"/>
      <c r="FU241" s="5"/>
      <c r="FV241" s="5"/>
      <c r="FW241" s="5"/>
      <c r="FX241" s="5">
        <v>0</v>
      </c>
      <c r="FY241" s="5">
        <v>0</v>
      </c>
      <c r="FZ241" s="5"/>
      <c r="GA241" s="5" t="s">
        <v>6</v>
      </c>
      <c r="GB241" s="5"/>
      <c r="GC241" s="5"/>
      <c r="GD241" s="5">
        <v>1</v>
      </c>
      <c r="GE241" s="5"/>
      <c r="GF241" s="5">
        <v>1218256611</v>
      </c>
      <c r="GG241" s="5">
        <v>2</v>
      </c>
      <c r="GH241" s="5">
        <v>1</v>
      </c>
      <c r="GI241" s="5">
        <v>2</v>
      </c>
      <c r="GJ241" s="5">
        <v>0</v>
      </c>
      <c r="GK241" s="5">
        <v>0</v>
      </c>
      <c r="GL241" s="5">
        <f t="shared" si="88"/>
        <v>0</v>
      </c>
      <c r="GM241" s="5">
        <f t="shared" si="89"/>
        <v>34172.65</v>
      </c>
      <c r="GN241" s="5">
        <f t="shared" si="90"/>
        <v>34172.65</v>
      </c>
      <c r="GO241" s="5">
        <f t="shared" si="91"/>
        <v>0</v>
      </c>
      <c r="GP241" s="5">
        <f t="shared" si="92"/>
        <v>0</v>
      </c>
      <c r="GQ241" s="5"/>
      <c r="GR241" s="5">
        <v>0</v>
      </c>
      <c r="GS241" s="5">
        <v>3</v>
      </c>
      <c r="GT241" s="5">
        <v>0</v>
      </c>
      <c r="GU241" s="5" t="s">
        <v>6</v>
      </c>
      <c r="GV241" s="5">
        <f t="shared" si="93"/>
        <v>0</v>
      </c>
      <c r="GW241" s="5">
        <v>1</v>
      </c>
      <c r="GX241" s="5">
        <f t="shared" si="94"/>
        <v>0</v>
      </c>
      <c r="GY241" s="5"/>
      <c r="GZ241" s="5"/>
      <c r="HA241" s="5">
        <v>0</v>
      </c>
      <c r="HB241" s="5">
        <v>0</v>
      </c>
      <c r="HC241" s="5">
        <f t="shared" si="95"/>
        <v>0</v>
      </c>
      <c r="HD241" s="5"/>
      <c r="HE241" s="5" t="s">
        <v>6</v>
      </c>
      <c r="HF241" s="5" t="s">
        <v>6</v>
      </c>
      <c r="HG241" s="5"/>
      <c r="HH241" s="5"/>
      <c r="HI241" s="5"/>
      <c r="HJ241" s="5"/>
      <c r="HK241" s="5"/>
      <c r="HL241" s="5"/>
      <c r="HM241" s="5" t="s">
        <v>6</v>
      </c>
      <c r="HN241" s="5" t="s">
        <v>6</v>
      </c>
      <c r="HO241" s="5" t="s">
        <v>6</v>
      </c>
      <c r="HP241" s="5" t="s">
        <v>6</v>
      </c>
      <c r="HQ241" s="5" t="s">
        <v>6</v>
      </c>
      <c r="HR241" s="5"/>
      <c r="HS241" s="5">
        <v>0</v>
      </c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>
        <v>0</v>
      </c>
      <c r="IL241" s="5"/>
      <c r="IM241" s="5"/>
      <c r="IN241" s="5"/>
      <c r="IO241" s="5"/>
      <c r="IP241" s="5"/>
      <c r="IQ241" s="5"/>
      <c r="IR241" s="5"/>
      <c r="IS241" s="5"/>
      <c r="IT241" s="5"/>
      <c r="IU241" s="5"/>
    </row>
    <row r="242" spans="1:255" x14ac:dyDescent="0.2">
      <c r="A242" s="5">
        <v>17</v>
      </c>
      <c r="B242" s="5">
        <v>1</v>
      </c>
      <c r="C242" s="5"/>
      <c r="D242" s="5"/>
      <c r="E242" s="5" t="s">
        <v>79</v>
      </c>
      <c r="F242" s="5" t="s">
        <v>147</v>
      </c>
      <c r="G242" s="5" t="s">
        <v>148</v>
      </c>
      <c r="H242" s="5" t="s">
        <v>149</v>
      </c>
      <c r="I242" s="5">
        <f>ROUND(0.0161,7)</f>
        <v>1.61E-2</v>
      </c>
      <c r="J242" s="5">
        <v>0</v>
      </c>
      <c r="K242" s="5">
        <f>ROUND(0.0161,7)</f>
        <v>1.61E-2</v>
      </c>
      <c r="L242" s="5"/>
      <c r="M242" s="5"/>
      <c r="N242" s="5"/>
      <c r="O242" s="5">
        <f t="shared" si="75"/>
        <v>1283.74</v>
      </c>
      <c r="P242" s="5">
        <f>ROUND(CQ242*I242,2)</f>
        <v>1283.74</v>
      </c>
      <c r="Q242" s="5">
        <f>ROUND(CR242*I242,2)</f>
        <v>0</v>
      </c>
      <c r="R242" s="5">
        <f>ROUND(CS242*I242,2)</f>
        <v>0</v>
      </c>
      <c r="S242" s="5">
        <f>ROUND(CT242*I242,2)</f>
        <v>0</v>
      </c>
      <c r="T242" s="5">
        <f t="shared" si="76"/>
        <v>0</v>
      </c>
      <c r="U242" s="5">
        <f>ROUND(CV242*I242,7)</f>
        <v>0</v>
      </c>
      <c r="V242" s="5">
        <f>ROUND(CW242*I242,7)</f>
        <v>0</v>
      </c>
      <c r="W242" s="5">
        <f t="shared" si="77"/>
        <v>0</v>
      </c>
      <c r="X242" s="5">
        <f t="shared" si="78"/>
        <v>0</v>
      </c>
      <c r="Y242" s="5">
        <f t="shared" si="79"/>
        <v>0</v>
      </c>
      <c r="Z242" s="5"/>
      <c r="AA242" s="5">
        <v>74852007</v>
      </c>
      <c r="AB242" s="5">
        <f t="shared" si="80"/>
        <v>51112.25</v>
      </c>
      <c r="AC242" s="5">
        <f>ROUND((ES242),2)</f>
        <v>51112.25</v>
      </c>
      <c r="AD242" s="5">
        <f>ROUND((((ET242)-(EU242))+AE242),2)</f>
        <v>0</v>
      </c>
      <c r="AE242" s="5">
        <f>ROUND((EU242),2)</f>
        <v>0</v>
      </c>
      <c r="AF242" s="5">
        <f>ROUND((EV242),2)</f>
        <v>0</v>
      </c>
      <c r="AG242" s="5">
        <f t="shared" si="81"/>
        <v>0</v>
      </c>
      <c r="AH242" s="5">
        <f>(EW242)</f>
        <v>0</v>
      </c>
      <c r="AI242" s="5">
        <f>(EX242)</f>
        <v>0</v>
      </c>
      <c r="AJ242" s="5">
        <f t="shared" si="82"/>
        <v>0</v>
      </c>
      <c r="AK242" s="5">
        <v>51112.25</v>
      </c>
      <c r="AL242" s="5">
        <v>51112.25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1</v>
      </c>
      <c r="AW242" s="5">
        <v>1</v>
      </c>
      <c r="AX242" s="5"/>
      <c r="AY242" s="5"/>
      <c r="AZ242" s="5">
        <v>1</v>
      </c>
      <c r="BA242" s="5">
        <v>1</v>
      </c>
      <c r="BB242" s="5">
        <v>1</v>
      </c>
      <c r="BC242" s="5">
        <v>1.56</v>
      </c>
      <c r="BD242" s="5" t="s">
        <v>6</v>
      </c>
      <c r="BE242" s="5" t="s">
        <v>6</v>
      </c>
      <c r="BF242" s="5" t="s">
        <v>6</v>
      </c>
      <c r="BG242" s="5" t="s">
        <v>6</v>
      </c>
      <c r="BH242" s="5">
        <v>3</v>
      </c>
      <c r="BI242" s="5">
        <v>1</v>
      </c>
      <c r="BJ242" s="5" t="s">
        <v>150</v>
      </c>
      <c r="BK242" s="5"/>
      <c r="BL242" s="5"/>
      <c r="BM242" s="5">
        <v>500001</v>
      </c>
      <c r="BN242" s="5">
        <v>66927928</v>
      </c>
      <c r="BO242" s="5" t="s">
        <v>147</v>
      </c>
      <c r="BP242" s="5">
        <v>1</v>
      </c>
      <c r="BQ242" s="5">
        <v>8</v>
      </c>
      <c r="BR242" s="5">
        <v>0</v>
      </c>
      <c r="BS242" s="5">
        <v>1</v>
      </c>
      <c r="BT242" s="5">
        <v>1</v>
      </c>
      <c r="BU242" s="5">
        <v>1</v>
      </c>
      <c r="BV242" s="5">
        <v>1</v>
      </c>
      <c r="BW242" s="5">
        <v>1</v>
      </c>
      <c r="BX242" s="5">
        <v>1</v>
      </c>
      <c r="BY242" s="5" t="s">
        <v>6</v>
      </c>
      <c r="BZ242" s="5">
        <v>0</v>
      </c>
      <c r="CA242" s="5">
        <v>0</v>
      </c>
      <c r="CB242" s="5" t="s">
        <v>6</v>
      </c>
      <c r="CC242" s="5"/>
      <c r="CD242" s="5"/>
      <c r="CE242" s="5">
        <v>0</v>
      </c>
      <c r="CF242" s="5">
        <v>0</v>
      </c>
      <c r="CG242" s="5">
        <v>0</v>
      </c>
      <c r="CH242" s="5"/>
      <c r="CI242" s="5"/>
      <c r="CJ242" s="5"/>
      <c r="CK242" s="5"/>
      <c r="CL242" s="5"/>
      <c r="CM242" s="5">
        <v>0</v>
      </c>
      <c r="CN242" s="5" t="s">
        <v>6</v>
      </c>
      <c r="CO242" s="5">
        <v>0</v>
      </c>
      <c r="CP242" s="5">
        <f t="shared" si="83"/>
        <v>1283.74</v>
      </c>
      <c r="CQ242" s="5">
        <f>ROUND(AL242*BC242,2)</f>
        <v>79735.11</v>
      </c>
      <c r="CR242" s="5">
        <f>ROUND(AM242*BB242,2)</f>
        <v>0</v>
      </c>
      <c r="CS242" s="5">
        <f>ROUND(AN242*BS242,2)</f>
        <v>0</v>
      </c>
      <c r="CT242" s="5">
        <f>ROUND(AO242*BA242,2)</f>
        <v>0</v>
      </c>
      <c r="CU242" s="5">
        <f t="shared" si="84"/>
        <v>0</v>
      </c>
      <c r="CV242" s="5">
        <f>AH242</f>
        <v>0</v>
      </c>
      <c r="CW242" s="5">
        <f>AI242</f>
        <v>0</v>
      </c>
      <c r="CX242" s="5">
        <f t="shared" si="85"/>
        <v>0</v>
      </c>
      <c r="CY242" s="5">
        <f>0</f>
        <v>0</v>
      </c>
      <c r="CZ242" s="5">
        <f>0</f>
        <v>0</v>
      </c>
      <c r="DA242" s="5"/>
      <c r="DB242" s="5"/>
      <c r="DC242" s="5" t="s">
        <v>6</v>
      </c>
      <c r="DD242" s="5" t="s">
        <v>6</v>
      </c>
      <c r="DE242" s="5" t="s">
        <v>6</v>
      </c>
      <c r="DF242" s="5" t="s">
        <v>6</v>
      </c>
      <c r="DG242" s="5" t="s">
        <v>6</v>
      </c>
      <c r="DH242" s="5" t="s">
        <v>6</v>
      </c>
      <c r="DI242" s="5" t="s">
        <v>6</v>
      </c>
      <c r="DJ242" s="5" t="s">
        <v>6</v>
      </c>
      <c r="DK242" s="5" t="s">
        <v>6</v>
      </c>
      <c r="DL242" s="5" t="s">
        <v>6</v>
      </c>
      <c r="DM242" s="5" t="s">
        <v>6</v>
      </c>
      <c r="DN242" s="5">
        <v>0</v>
      </c>
      <c r="DO242" s="5">
        <v>0</v>
      </c>
      <c r="DP242" s="5">
        <v>1</v>
      </c>
      <c r="DQ242" s="5">
        <v>1</v>
      </c>
      <c r="DR242" s="5"/>
      <c r="DS242" s="5"/>
      <c r="DT242" s="5"/>
      <c r="DU242" s="5">
        <v>1009</v>
      </c>
      <c r="DV242" s="5" t="s">
        <v>149</v>
      </c>
      <c r="DW242" s="5" t="s">
        <v>149</v>
      </c>
      <c r="DX242" s="5">
        <v>1000</v>
      </c>
      <c r="DY242" s="5"/>
      <c r="DZ242" s="5" t="s">
        <v>6</v>
      </c>
      <c r="EA242" s="5" t="s">
        <v>6</v>
      </c>
      <c r="EB242" s="5" t="s">
        <v>6</v>
      </c>
      <c r="EC242" s="5" t="s">
        <v>6</v>
      </c>
      <c r="ED242" s="5"/>
      <c r="EE242" s="5">
        <v>67841826</v>
      </c>
      <c r="EF242" s="5">
        <v>8</v>
      </c>
      <c r="EG242" s="5" t="s">
        <v>136</v>
      </c>
      <c r="EH242" s="5">
        <v>0</v>
      </c>
      <c r="EI242" s="5" t="s">
        <v>6</v>
      </c>
      <c r="EJ242" s="5">
        <v>1</v>
      </c>
      <c r="EK242" s="5">
        <v>500001</v>
      </c>
      <c r="EL242" s="5" t="s">
        <v>137</v>
      </c>
      <c r="EM242" s="5" t="s">
        <v>138</v>
      </c>
      <c r="EN242" s="5"/>
      <c r="EO242" s="5" t="s">
        <v>6</v>
      </c>
      <c r="EP242" s="5"/>
      <c r="EQ242" s="5">
        <v>0</v>
      </c>
      <c r="ER242" s="5">
        <v>51112.25</v>
      </c>
      <c r="ES242" s="5">
        <v>51112.25</v>
      </c>
      <c r="ET242" s="5">
        <v>0</v>
      </c>
      <c r="EU242" s="5">
        <v>0</v>
      </c>
      <c r="EV242" s="5">
        <v>0</v>
      </c>
      <c r="EW242" s="5">
        <v>0</v>
      </c>
      <c r="EX242" s="5">
        <v>0</v>
      </c>
      <c r="EY242" s="5">
        <v>0</v>
      </c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>
        <v>0</v>
      </c>
      <c r="FR242" s="5">
        <v>0</v>
      </c>
      <c r="FS242" s="5">
        <v>0</v>
      </c>
      <c r="FT242" s="5"/>
      <c r="FU242" s="5"/>
      <c r="FV242" s="5"/>
      <c r="FW242" s="5"/>
      <c r="FX242" s="5">
        <v>0</v>
      </c>
      <c r="FY242" s="5">
        <v>0</v>
      </c>
      <c r="FZ242" s="5"/>
      <c r="GA242" s="5" t="s">
        <v>6</v>
      </c>
      <c r="GB242" s="5"/>
      <c r="GC242" s="5"/>
      <c r="GD242" s="5">
        <v>1</v>
      </c>
      <c r="GE242" s="5"/>
      <c r="GF242" s="5">
        <v>8310824</v>
      </c>
      <c r="GG242" s="5">
        <v>2</v>
      </c>
      <c r="GH242" s="5">
        <v>1</v>
      </c>
      <c r="GI242" s="5">
        <v>2</v>
      </c>
      <c r="GJ242" s="5">
        <v>0</v>
      </c>
      <c r="GK242" s="5">
        <v>0</v>
      </c>
      <c r="GL242" s="5">
        <f t="shared" si="88"/>
        <v>0</v>
      </c>
      <c r="GM242" s="5">
        <f t="shared" si="89"/>
        <v>1283.74</v>
      </c>
      <c r="GN242" s="5">
        <f t="shared" si="90"/>
        <v>1283.74</v>
      </c>
      <c r="GO242" s="5">
        <f t="shared" si="91"/>
        <v>0</v>
      </c>
      <c r="GP242" s="5">
        <f t="shared" si="92"/>
        <v>0</v>
      </c>
      <c r="GQ242" s="5"/>
      <c r="GR242" s="5">
        <v>0</v>
      </c>
      <c r="GS242" s="5">
        <v>3</v>
      </c>
      <c r="GT242" s="5">
        <v>0</v>
      </c>
      <c r="GU242" s="5" t="s">
        <v>6</v>
      </c>
      <c r="GV242" s="5">
        <f t="shared" si="93"/>
        <v>0</v>
      </c>
      <c r="GW242" s="5">
        <v>1</v>
      </c>
      <c r="GX242" s="5">
        <f t="shared" si="94"/>
        <v>0</v>
      </c>
      <c r="GY242" s="5"/>
      <c r="GZ242" s="5"/>
      <c r="HA242" s="5">
        <v>0</v>
      </c>
      <c r="HB242" s="5">
        <v>0</v>
      </c>
      <c r="HC242" s="5">
        <f t="shared" si="95"/>
        <v>0</v>
      </c>
      <c r="HD242" s="5"/>
      <c r="HE242" s="5" t="s">
        <v>6</v>
      </c>
      <c r="HF242" s="5" t="s">
        <v>6</v>
      </c>
      <c r="HG242" s="5"/>
      <c r="HH242" s="5"/>
      <c r="HI242" s="5"/>
      <c r="HJ242" s="5"/>
      <c r="HK242" s="5"/>
      <c r="HL242" s="5"/>
      <c r="HM242" s="5" t="s">
        <v>6</v>
      </c>
      <c r="HN242" s="5" t="s">
        <v>6</v>
      </c>
      <c r="HO242" s="5" t="s">
        <v>6</v>
      </c>
      <c r="HP242" s="5" t="s">
        <v>6</v>
      </c>
      <c r="HQ242" s="5" t="s">
        <v>6</v>
      </c>
      <c r="HR242" s="5"/>
      <c r="HS242" s="5">
        <v>0</v>
      </c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>
        <v>0</v>
      </c>
      <c r="IL242" s="5"/>
      <c r="IM242" s="5"/>
      <c r="IN242" s="5"/>
      <c r="IO242" s="5"/>
      <c r="IP242" s="5"/>
      <c r="IQ242" s="5"/>
      <c r="IR242" s="5"/>
      <c r="IS242" s="5"/>
      <c r="IT242" s="5"/>
      <c r="IU242" s="5"/>
    </row>
    <row r="243" spans="1:255" x14ac:dyDescent="0.2">
      <c r="A243" s="5">
        <v>17</v>
      </c>
      <c r="B243" s="5">
        <v>1</v>
      </c>
      <c r="C243" s="5">
        <f>ROW(SmtRes!A36)</f>
        <v>36</v>
      </c>
      <c r="D243" s="5">
        <f>ROW(EtalonRes!A45)</f>
        <v>45</v>
      </c>
      <c r="E243" s="5" t="s">
        <v>81</v>
      </c>
      <c r="F243" s="5" t="s">
        <v>151</v>
      </c>
      <c r="G243" s="5" t="s">
        <v>152</v>
      </c>
      <c r="H243" s="5" t="s">
        <v>153</v>
      </c>
      <c r="I243" s="5">
        <f>ROUND(0.424,7)</f>
        <v>0.42399999999999999</v>
      </c>
      <c r="J243" s="5">
        <v>0</v>
      </c>
      <c r="K243" s="5">
        <f>ROUND(0.424,7)</f>
        <v>0.42399999999999999</v>
      </c>
      <c r="L243" s="5"/>
      <c r="M243" s="5"/>
      <c r="N243" s="5"/>
      <c r="O243" s="5">
        <f t="shared" si="75"/>
        <v>1787.17</v>
      </c>
      <c r="P243" s="5">
        <f>SUMIF(SmtRes!AQ27:'SmtRes'!AQ36,"=1",SmtRes!DF27:'SmtRes'!DF36)</f>
        <v>729.16</v>
      </c>
      <c r="Q243" s="5">
        <f>SUMIF(SmtRes!AQ27:'SmtRes'!AQ36,"=1",SmtRes!DG27:'SmtRes'!DG36)</f>
        <v>9.8600000000000012</v>
      </c>
      <c r="R243" s="5">
        <f>SUMIF(SmtRes!AQ27:'SmtRes'!AQ36,"=1",SmtRes!DH27:'SmtRes'!DH36)</f>
        <v>6.12</v>
      </c>
      <c r="S243" s="5">
        <f>SUMIF(SmtRes!AQ27:'SmtRes'!AQ36,"=1",SmtRes!DI27:'SmtRes'!DI36)</f>
        <v>1042.03</v>
      </c>
      <c r="T243" s="5">
        <f t="shared" si="76"/>
        <v>0</v>
      </c>
      <c r="U243" s="5">
        <f>SUMIF(SmtRes!AQ27:'SmtRes'!AQ36,"=1",SmtRes!CV27:'SmtRes'!CV36)</f>
        <v>3.2571680000000001</v>
      </c>
      <c r="V243" s="5">
        <f>SUMIF(SmtRes!AQ27:'SmtRes'!AQ36,"=1",SmtRes!CW27:'SmtRes'!CW36)</f>
        <v>1.8550000000000001E-2</v>
      </c>
      <c r="W243" s="5">
        <f t="shared" si="77"/>
        <v>0</v>
      </c>
      <c r="X243" s="5">
        <f t="shared" si="78"/>
        <v>1056.54</v>
      </c>
      <c r="Y243" s="5">
        <f t="shared" si="79"/>
        <v>579.1</v>
      </c>
      <c r="Z243" s="5"/>
      <c r="AA243" s="5">
        <v>74852007</v>
      </c>
      <c r="AB243" s="5">
        <f t="shared" si="80"/>
        <v>3828.75</v>
      </c>
      <c r="AC243" s="5">
        <f>ROUND((SUM(SmtRes!BQ27:'SmtRes'!BQ36)),2)</f>
        <v>1347.97</v>
      </c>
      <c r="AD243" s="5">
        <f>ROUND((((SUM(SmtRes!BR27:'SmtRes'!BR36))-(SUM(SmtRes!BS27:'SmtRes'!BS36)))+AE243),2)</f>
        <v>23.15</v>
      </c>
      <c r="AE243" s="5">
        <f>ROUND((SUM(SmtRes!BS27:'SmtRes'!BS36)),2)</f>
        <v>14.42</v>
      </c>
      <c r="AF243" s="5">
        <f>ROUND((SUM(SmtRes!BT27:'SmtRes'!BT36)),2)</f>
        <v>2457.63</v>
      </c>
      <c r="AG243" s="5">
        <f t="shared" si="81"/>
        <v>0</v>
      </c>
      <c r="AH243" s="5">
        <f>(SUM(SmtRes!BU27:'SmtRes'!BU36))</f>
        <v>7.6819999999999995</v>
      </c>
      <c r="AI243" s="5">
        <f>(SUM(SmtRes!BV27:'SmtRes'!BV36))</f>
        <v>4.3749999999999997E-2</v>
      </c>
      <c r="AJ243" s="5">
        <f t="shared" si="82"/>
        <v>0</v>
      </c>
      <c r="AK243" s="5">
        <v>3515.0912919999996</v>
      </c>
      <c r="AL243" s="5">
        <v>1347.974342</v>
      </c>
      <c r="AM243" s="5">
        <v>18.516599999999997</v>
      </c>
      <c r="AN243" s="5">
        <v>11.534750000000001</v>
      </c>
      <c r="AO243" s="5">
        <v>2137.0655999999999</v>
      </c>
      <c r="AP243" s="5">
        <v>0</v>
      </c>
      <c r="AQ243" s="5">
        <v>6.68</v>
      </c>
      <c r="AR243" s="5">
        <v>3.4999999999999996E-2</v>
      </c>
      <c r="AS243" s="5">
        <v>0</v>
      </c>
      <c r="AT243" s="5">
        <v>100.8</v>
      </c>
      <c r="AU243" s="5">
        <v>55.25</v>
      </c>
      <c r="AV243" s="5">
        <v>1</v>
      </c>
      <c r="AW243" s="5">
        <v>1</v>
      </c>
      <c r="AX243" s="5"/>
      <c r="AY243" s="5"/>
      <c r="AZ243" s="5">
        <v>1</v>
      </c>
      <c r="BA243" s="5">
        <v>1</v>
      </c>
      <c r="BB243" s="5">
        <v>1</v>
      </c>
      <c r="BC243" s="5">
        <v>1</v>
      </c>
      <c r="BD243" s="5" t="s">
        <v>6</v>
      </c>
      <c r="BE243" s="5" t="s">
        <v>6</v>
      </c>
      <c r="BF243" s="5" t="s">
        <v>6</v>
      </c>
      <c r="BG243" s="5" t="s">
        <v>6</v>
      </c>
      <c r="BH243" s="5">
        <v>0</v>
      </c>
      <c r="BI243" s="5">
        <v>1</v>
      </c>
      <c r="BJ243" s="5" t="s">
        <v>154</v>
      </c>
      <c r="BK243" s="5"/>
      <c r="BL243" s="5"/>
      <c r="BM243" s="5">
        <v>11001</v>
      </c>
      <c r="BN243" s="5">
        <v>66927928</v>
      </c>
      <c r="BO243" s="5" t="s">
        <v>6</v>
      </c>
      <c r="BP243" s="5">
        <v>0</v>
      </c>
      <c r="BQ243" s="5">
        <v>2</v>
      </c>
      <c r="BR243" s="5">
        <v>0</v>
      </c>
      <c r="BS243" s="5">
        <v>1</v>
      </c>
      <c r="BT243" s="5">
        <v>1</v>
      </c>
      <c r="BU243" s="5">
        <v>1</v>
      </c>
      <c r="BV243" s="5">
        <v>1</v>
      </c>
      <c r="BW243" s="5">
        <v>1</v>
      </c>
      <c r="BX243" s="5">
        <v>1</v>
      </c>
      <c r="BY243" s="5" t="s">
        <v>6</v>
      </c>
      <c r="BZ243" s="5">
        <v>112</v>
      </c>
      <c r="CA243" s="5">
        <v>65</v>
      </c>
      <c r="CB243" s="5" t="s">
        <v>6</v>
      </c>
      <c r="CC243" s="5"/>
      <c r="CD243" s="5"/>
      <c r="CE243" s="5">
        <v>0</v>
      </c>
      <c r="CF243" s="5">
        <v>0</v>
      </c>
      <c r="CG243" s="5">
        <v>0</v>
      </c>
      <c r="CH243" s="5"/>
      <c r="CI243" s="5"/>
      <c r="CJ243" s="5"/>
      <c r="CK243" s="5"/>
      <c r="CL243" s="5"/>
      <c r="CM243" s="5">
        <v>0</v>
      </c>
      <c r="CN243" s="5" t="s">
        <v>115</v>
      </c>
      <c r="CO243" s="5">
        <v>0</v>
      </c>
      <c r="CP243" s="5">
        <f t="shared" si="83"/>
        <v>1787.1699999999998</v>
      </c>
      <c r="CQ243" s="5">
        <f>SUMIF(SmtRes!AQ27:'SmtRes'!AQ36,"=1",SmtRes!AA27:'SmtRes'!AA36)</f>
        <v>6154.07</v>
      </c>
      <c r="CR243" s="5">
        <f>SUMIF(SmtRes!AQ27:'SmtRes'!AQ36,"=1",SmtRes!AB27:'SmtRes'!AB36)</f>
        <v>666.23</v>
      </c>
      <c r="CS243" s="5">
        <f>SUMIF(SmtRes!AQ27:'SmtRes'!AQ36,"=1",SmtRes!AC27:'SmtRes'!AC36)</f>
        <v>632.35</v>
      </c>
      <c r="CT243" s="5">
        <f>SUMIF(SmtRes!AQ27:'SmtRes'!AQ36,"=1",SmtRes!AD27:'SmtRes'!AD36)</f>
        <v>319.92</v>
      </c>
      <c r="CU243" s="5">
        <f t="shared" si="84"/>
        <v>0</v>
      </c>
      <c r="CV243" s="5">
        <f>SUMIF(SmtRes!AQ27:'SmtRes'!AQ36,"=1",SmtRes!BU27:'SmtRes'!BU36)</f>
        <v>7.6819999999999995</v>
      </c>
      <c r="CW243" s="5">
        <f>SUMIF(SmtRes!AQ27:'SmtRes'!AQ36,"=1",SmtRes!BV27:'SmtRes'!BV36)</f>
        <v>4.3749999999999997E-2</v>
      </c>
      <c r="CX243" s="5">
        <f t="shared" si="85"/>
        <v>0</v>
      </c>
      <c r="CY243" s="5">
        <f>(((S243+R243)*AT243)/100)</f>
        <v>1056.5351999999998</v>
      </c>
      <c r="CZ243" s="5">
        <f>(((S243+R243)*AU243)/100)</f>
        <v>579.10287499999993</v>
      </c>
      <c r="DA243" s="5"/>
      <c r="DB243" s="5"/>
      <c r="DC243" s="5" t="s">
        <v>6</v>
      </c>
      <c r="DD243" s="5" t="s">
        <v>6</v>
      </c>
      <c r="DE243" s="5" t="s">
        <v>116</v>
      </c>
      <c r="DF243" s="5" t="s">
        <v>116</v>
      </c>
      <c r="DG243" s="5" t="s">
        <v>117</v>
      </c>
      <c r="DH243" s="5" t="s">
        <v>6</v>
      </c>
      <c r="DI243" s="5" t="s">
        <v>117</v>
      </c>
      <c r="DJ243" s="5" t="s">
        <v>116</v>
      </c>
      <c r="DK243" s="5" t="s">
        <v>6</v>
      </c>
      <c r="DL243" s="5" t="s">
        <v>118</v>
      </c>
      <c r="DM243" s="5" t="s">
        <v>119</v>
      </c>
      <c r="DN243" s="5">
        <v>0</v>
      </c>
      <c r="DO243" s="5">
        <v>0</v>
      </c>
      <c r="DP243" s="5">
        <v>1</v>
      </c>
      <c r="DQ243" s="5">
        <v>1</v>
      </c>
      <c r="DR243" s="5"/>
      <c r="DS243" s="5"/>
      <c r="DT243" s="5"/>
      <c r="DU243" s="5">
        <v>1003</v>
      </c>
      <c r="DV243" s="5" t="s">
        <v>153</v>
      </c>
      <c r="DW243" s="5" t="s">
        <v>153</v>
      </c>
      <c r="DX243" s="5">
        <v>100</v>
      </c>
      <c r="DY243" s="5"/>
      <c r="DZ243" s="5" t="s">
        <v>6</v>
      </c>
      <c r="EA243" s="5" t="s">
        <v>6</v>
      </c>
      <c r="EB243" s="5" t="s">
        <v>6</v>
      </c>
      <c r="EC243" s="5" t="s">
        <v>6</v>
      </c>
      <c r="ED243" s="5"/>
      <c r="EE243" s="5">
        <v>67841894</v>
      </c>
      <c r="EF243" s="5">
        <v>2</v>
      </c>
      <c r="EG243" s="5" t="s">
        <v>18</v>
      </c>
      <c r="EH243" s="5">
        <v>11</v>
      </c>
      <c r="EI243" s="5" t="s">
        <v>87</v>
      </c>
      <c r="EJ243" s="5">
        <v>1</v>
      </c>
      <c r="EK243" s="5">
        <v>11001</v>
      </c>
      <c r="EL243" s="5" t="s">
        <v>87</v>
      </c>
      <c r="EM243" s="5" t="s">
        <v>120</v>
      </c>
      <c r="EN243" s="5"/>
      <c r="EO243" s="5" t="s">
        <v>121</v>
      </c>
      <c r="EP243" s="5"/>
      <c r="EQ243" s="5">
        <v>0</v>
      </c>
      <c r="ER243" s="5">
        <v>0</v>
      </c>
      <c r="ES243" s="5">
        <v>0</v>
      </c>
      <c r="ET243" s="5">
        <v>0</v>
      </c>
      <c r="EU243" s="5">
        <v>0</v>
      </c>
      <c r="EV243" s="5">
        <v>0</v>
      </c>
      <c r="EW243" s="5">
        <v>6.68</v>
      </c>
      <c r="EX243" s="5">
        <v>0.04</v>
      </c>
      <c r="EY243" s="5">
        <v>0</v>
      </c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>
        <v>0</v>
      </c>
      <c r="FR243" s="5">
        <v>0</v>
      </c>
      <c r="FS243" s="5">
        <v>0</v>
      </c>
      <c r="FT243" s="5"/>
      <c r="FU243" s="5"/>
      <c r="FV243" s="5"/>
      <c r="FW243" s="5"/>
      <c r="FX243" s="5">
        <v>100.8</v>
      </c>
      <c r="FY243" s="5">
        <v>55.25</v>
      </c>
      <c r="FZ243" s="5"/>
      <c r="GA243" s="5" t="s">
        <v>6</v>
      </c>
      <c r="GB243" s="5"/>
      <c r="GC243" s="5"/>
      <c r="GD243" s="5">
        <v>1</v>
      </c>
      <c r="GE243" s="5"/>
      <c r="GF243" s="5">
        <v>-1650787314</v>
      </c>
      <c r="GG243" s="5">
        <v>2</v>
      </c>
      <c r="GH243" s="5">
        <v>1</v>
      </c>
      <c r="GI243" s="5">
        <v>-2</v>
      </c>
      <c r="GJ243" s="5">
        <v>0</v>
      </c>
      <c r="GK243" s="5">
        <v>0</v>
      </c>
      <c r="GL243" s="5">
        <f t="shared" si="88"/>
        <v>0</v>
      </c>
      <c r="GM243" s="5">
        <f t="shared" si="89"/>
        <v>3422.81</v>
      </c>
      <c r="GN243" s="5">
        <f t="shared" si="90"/>
        <v>3422.81</v>
      </c>
      <c r="GO243" s="5">
        <f t="shared" si="91"/>
        <v>0</v>
      </c>
      <c r="GP243" s="5">
        <f t="shared" si="92"/>
        <v>0</v>
      </c>
      <c r="GQ243" s="5"/>
      <c r="GR243" s="5">
        <v>0</v>
      </c>
      <c r="GS243" s="5">
        <v>3</v>
      </c>
      <c r="GT243" s="5">
        <v>0</v>
      </c>
      <c r="GU243" s="5" t="s">
        <v>6</v>
      </c>
      <c r="GV243" s="5">
        <f t="shared" si="93"/>
        <v>0</v>
      </c>
      <c r="GW243" s="5">
        <v>1</v>
      </c>
      <c r="GX243" s="5">
        <f t="shared" si="94"/>
        <v>0</v>
      </c>
      <c r="GY243" s="5"/>
      <c r="GZ243" s="5"/>
      <c r="HA243" s="5">
        <v>0</v>
      </c>
      <c r="HB243" s="5">
        <v>0</v>
      </c>
      <c r="HC243" s="5">
        <f t="shared" si="95"/>
        <v>0</v>
      </c>
      <c r="HD243" s="5"/>
      <c r="HE243" s="5" t="s">
        <v>6</v>
      </c>
      <c r="HF243" s="5" t="s">
        <v>6</v>
      </c>
      <c r="HG243" s="5"/>
      <c r="HH243" s="5"/>
      <c r="HI243" s="5"/>
      <c r="HJ243" s="5"/>
      <c r="HK243" s="5"/>
      <c r="HL243" s="5"/>
      <c r="HM243" s="5" t="s">
        <v>6</v>
      </c>
      <c r="HN243" s="5" t="s">
        <v>122</v>
      </c>
      <c r="HO243" s="5" t="s">
        <v>123</v>
      </c>
      <c r="HP243" s="5" t="s">
        <v>87</v>
      </c>
      <c r="HQ243" s="5" t="s">
        <v>87</v>
      </c>
      <c r="HR243" s="5"/>
      <c r="HS243" s="5">
        <v>0</v>
      </c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>
        <v>0</v>
      </c>
      <c r="IL243" s="5"/>
      <c r="IM243" s="5"/>
      <c r="IN243" s="5"/>
      <c r="IO243" s="5"/>
      <c r="IP243" s="5"/>
      <c r="IQ243" s="5"/>
      <c r="IR243" s="5"/>
      <c r="IS243" s="5"/>
      <c r="IT243" s="5"/>
      <c r="IU243" s="5"/>
    </row>
    <row r="244" spans="1:255" x14ac:dyDescent="0.2">
      <c r="A244" s="5">
        <v>17</v>
      </c>
      <c r="B244" s="5">
        <v>1</v>
      </c>
      <c r="C244" s="5"/>
      <c r="D244" s="5"/>
      <c r="E244" s="5" t="s">
        <v>83</v>
      </c>
      <c r="F244" s="5" t="s">
        <v>155</v>
      </c>
      <c r="G244" s="5" t="s">
        <v>156</v>
      </c>
      <c r="H244" s="5" t="s">
        <v>157</v>
      </c>
      <c r="I244" s="5">
        <f>ROUND(42.82,7)</f>
        <v>42.82</v>
      </c>
      <c r="J244" s="5">
        <v>0</v>
      </c>
      <c r="K244" s="5">
        <f>ROUND(42.82,7)</f>
        <v>42.82</v>
      </c>
      <c r="L244" s="5"/>
      <c r="M244" s="5"/>
      <c r="N244" s="5"/>
      <c r="O244" s="5">
        <f t="shared" si="75"/>
        <v>1614.31</v>
      </c>
      <c r="P244" s="5">
        <f>ROUND(CQ244*I244,2)</f>
        <v>1614.31</v>
      </c>
      <c r="Q244" s="5">
        <f>ROUND(CR244*I244,2)</f>
        <v>0</v>
      </c>
      <c r="R244" s="5">
        <f>ROUND(CS244*I244,2)</f>
        <v>0</v>
      </c>
      <c r="S244" s="5">
        <f>ROUND(CT244*I244,2)</f>
        <v>0</v>
      </c>
      <c r="T244" s="5">
        <f t="shared" si="76"/>
        <v>0</v>
      </c>
      <c r="U244" s="5">
        <f>ROUND(CV244*I244,7)</f>
        <v>0</v>
      </c>
      <c r="V244" s="5">
        <f>ROUND(CW244*I244,7)</f>
        <v>0</v>
      </c>
      <c r="W244" s="5">
        <f t="shared" si="77"/>
        <v>0</v>
      </c>
      <c r="X244" s="5">
        <f t="shared" si="78"/>
        <v>0</v>
      </c>
      <c r="Y244" s="5">
        <f t="shared" si="79"/>
        <v>0</v>
      </c>
      <c r="Z244" s="5"/>
      <c r="AA244" s="5">
        <v>74852007</v>
      </c>
      <c r="AB244" s="5">
        <f t="shared" si="80"/>
        <v>29.45</v>
      </c>
      <c r="AC244" s="5">
        <f>ROUND((ES244),2)</f>
        <v>29.45</v>
      </c>
      <c r="AD244" s="5">
        <f>ROUND((((ET244)-(EU244))+AE244),2)</f>
        <v>0</v>
      </c>
      <c r="AE244" s="5">
        <f>ROUND((EU244),2)</f>
        <v>0</v>
      </c>
      <c r="AF244" s="5">
        <f>ROUND((EV244),2)</f>
        <v>0</v>
      </c>
      <c r="AG244" s="5">
        <f t="shared" si="81"/>
        <v>0</v>
      </c>
      <c r="AH244" s="5">
        <f>(EW244)</f>
        <v>0</v>
      </c>
      <c r="AI244" s="5">
        <f>(EX244)</f>
        <v>0</v>
      </c>
      <c r="AJ244" s="5">
        <f t="shared" si="82"/>
        <v>0</v>
      </c>
      <c r="AK244" s="5">
        <v>29.45</v>
      </c>
      <c r="AL244" s="5">
        <v>29.45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1</v>
      </c>
      <c r="AW244" s="5">
        <v>1</v>
      </c>
      <c r="AX244" s="5"/>
      <c r="AY244" s="5"/>
      <c r="AZ244" s="5">
        <v>1</v>
      </c>
      <c r="BA244" s="5">
        <v>1</v>
      </c>
      <c r="BB244" s="5">
        <v>1</v>
      </c>
      <c r="BC244" s="5">
        <v>1.28</v>
      </c>
      <c r="BD244" s="5" t="s">
        <v>6</v>
      </c>
      <c r="BE244" s="5" t="s">
        <v>6</v>
      </c>
      <c r="BF244" s="5" t="s">
        <v>6</v>
      </c>
      <c r="BG244" s="5" t="s">
        <v>6</v>
      </c>
      <c r="BH244" s="5">
        <v>3</v>
      </c>
      <c r="BI244" s="5">
        <v>1</v>
      </c>
      <c r="BJ244" s="5" t="s">
        <v>158</v>
      </c>
      <c r="BK244" s="5"/>
      <c r="BL244" s="5"/>
      <c r="BM244" s="5">
        <v>500001</v>
      </c>
      <c r="BN244" s="5">
        <v>66927928</v>
      </c>
      <c r="BO244" s="5" t="s">
        <v>155</v>
      </c>
      <c r="BP244" s="5">
        <v>1</v>
      </c>
      <c r="BQ244" s="5">
        <v>8</v>
      </c>
      <c r="BR244" s="5">
        <v>0</v>
      </c>
      <c r="BS244" s="5">
        <v>1</v>
      </c>
      <c r="BT244" s="5">
        <v>1</v>
      </c>
      <c r="BU244" s="5">
        <v>1</v>
      </c>
      <c r="BV244" s="5">
        <v>1</v>
      </c>
      <c r="BW244" s="5">
        <v>1</v>
      </c>
      <c r="BX244" s="5">
        <v>1</v>
      </c>
      <c r="BY244" s="5" t="s">
        <v>6</v>
      </c>
      <c r="BZ244" s="5">
        <v>0</v>
      </c>
      <c r="CA244" s="5">
        <v>0</v>
      </c>
      <c r="CB244" s="5" t="s">
        <v>6</v>
      </c>
      <c r="CC244" s="5"/>
      <c r="CD244" s="5"/>
      <c r="CE244" s="5">
        <v>0</v>
      </c>
      <c r="CF244" s="5">
        <v>0</v>
      </c>
      <c r="CG244" s="5">
        <v>0</v>
      </c>
      <c r="CH244" s="5"/>
      <c r="CI244" s="5"/>
      <c r="CJ244" s="5"/>
      <c r="CK244" s="5"/>
      <c r="CL244" s="5"/>
      <c r="CM244" s="5">
        <v>0</v>
      </c>
      <c r="CN244" s="5" t="s">
        <v>6</v>
      </c>
      <c r="CO244" s="5">
        <v>0</v>
      </c>
      <c r="CP244" s="5">
        <f t="shared" si="83"/>
        <v>1614.31</v>
      </c>
      <c r="CQ244" s="5">
        <f>ROUND(AL244*BC244,2)</f>
        <v>37.700000000000003</v>
      </c>
      <c r="CR244" s="5">
        <f>ROUND(AM244*BB244,2)</f>
        <v>0</v>
      </c>
      <c r="CS244" s="5">
        <f>ROUND(AN244*BS244,2)</f>
        <v>0</v>
      </c>
      <c r="CT244" s="5">
        <f>ROUND(AO244*BA244,2)</f>
        <v>0</v>
      </c>
      <c r="CU244" s="5">
        <f t="shared" si="84"/>
        <v>0</v>
      </c>
      <c r="CV244" s="5">
        <f>AH244</f>
        <v>0</v>
      </c>
      <c r="CW244" s="5">
        <f>AI244</f>
        <v>0</v>
      </c>
      <c r="CX244" s="5">
        <f t="shared" si="85"/>
        <v>0</v>
      </c>
      <c r="CY244" s="5">
        <f>0</f>
        <v>0</v>
      </c>
      <c r="CZ244" s="5">
        <f>0</f>
        <v>0</v>
      </c>
      <c r="DA244" s="5"/>
      <c r="DB244" s="5"/>
      <c r="DC244" s="5" t="s">
        <v>6</v>
      </c>
      <c r="DD244" s="5" t="s">
        <v>6</v>
      </c>
      <c r="DE244" s="5" t="s">
        <v>6</v>
      </c>
      <c r="DF244" s="5" t="s">
        <v>6</v>
      </c>
      <c r="DG244" s="5" t="s">
        <v>6</v>
      </c>
      <c r="DH244" s="5" t="s">
        <v>6</v>
      </c>
      <c r="DI244" s="5" t="s">
        <v>6</v>
      </c>
      <c r="DJ244" s="5" t="s">
        <v>6</v>
      </c>
      <c r="DK244" s="5" t="s">
        <v>6</v>
      </c>
      <c r="DL244" s="5" t="s">
        <v>6</v>
      </c>
      <c r="DM244" s="5" t="s">
        <v>6</v>
      </c>
      <c r="DN244" s="5">
        <v>0</v>
      </c>
      <c r="DO244" s="5">
        <v>0</v>
      </c>
      <c r="DP244" s="5">
        <v>1</v>
      </c>
      <c r="DQ244" s="5">
        <v>1</v>
      </c>
      <c r="DR244" s="5"/>
      <c r="DS244" s="5"/>
      <c r="DT244" s="5"/>
      <c r="DU244" s="5">
        <v>1003</v>
      </c>
      <c r="DV244" s="5" t="s">
        <v>157</v>
      </c>
      <c r="DW244" s="5" t="s">
        <v>157</v>
      </c>
      <c r="DX244" s="5">
        <v>1</v>
      </c>
      <c r="DY244" s="5"/>
      <c r="DZ244" s="5" t="s">
        <v>6</v>
      </c>
      <c r="EA244" s="5" t="s">
        <v>6</v>
      </c>
      <c r="EB244" s="5" t="s">
        <v>6</v>
      </c>
      <c r="EC244" s="5" t="s">
        <v>6</v>
      </c>
      <c r="ED244" s="5"/>
      <c r="EE244" s="5">
        <v>67841826</v>
      </c>
      <c r="EF244" s="5">
        <v>8</v>
      </c>
      <c r="EG244" s="5" t="s">
        <v>136</v>
      </c>
      <c r="EH244" s="5">
        <v>0</v>
      </c>
      <c r="EI244" s="5" t="s">
        <v>6</v>
      </c>
      <c r="EJ244" s="5">
        <v>1</v>
      </c>
      <c r="EK244" s="5">
        <v>500001</v>
      </c>
      <c r="EL244" s="5" t="s">
        <v>137</v>
      </c>
      <c r="EM244" s="5" t="s">
        <v>138</v>
      </c>
      <c r="EN244" s="5"/>
      <c r="EO244" s="5" t="s">
        <v>6</v>
      </c>
      <c r="EP244" s="5"/>
      <c r="EQ244" s="5">
        <v>0</v>
      </c>
      <c r="ER244" s="5">
        <v>29.45</v>
      </c>
      <c r="ES244" s="5">
        <v>29.45</v>
      </c>
      <c r="ET244" s="5">
        <v>0</v>
      </c>
      <c r="EU244" s="5">
        <v>0</v>
      </c>
      <c r="EV244" s="5">
        <v>0</v>
      </c>
      <c r="EW244" s="5">
        <v>0</v>
      </c>
      <c r="EX244" s="5">
        <v>0</v>
      </c>
      <c r="EY244" s="5">
        <v>0</v>
      </c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>
        <v>0</v>
      </c>
      <c r="FR244" s="5">
        <v>0</v>
      </c>
      <c r="FS244" s="5">
        <v>0</v>
      </c>
      <c r="FT244" s="5"/>
      <c r="FU244" s="5"/>
      <c r="FV244" s="5"/>
      <c r="FW244" s="5"/>
      <c r="FX244" s="5">
        <v>0</v>
      </c>
      <c r="FY244" s="5">
        <v>0</v>
      </c>
      <c r="FZ244" s="5"/>
      <c r="GA244" s="5" t="s">
        <v>6</v>
      </c>
      <c r="GB244" s="5"/>
      <c r="GC244" s="5"/>
      <c r="GD244" s="5">
        <v>1</v>
      </c>
      <c r="GE244" s="5"/>
      <c r="GF244" s="5">
        <v>1542318672</v>
      </c>
      <c r="GG244" s="5">
        <v>2</v>
      </c>
      <c r="GH244" s="5">
        <v>1</v>
      </c>
      <c r="GI244" s="5">
        <v>2</v>
      </c>
      <c r="GJ244" s="5">
        <v>0</v>
      </c>
      <c r="GK244" s="5">
        <v>0</v>
      </c>
      <c r="GL244" s="5">
        <f t="shared" si="88"/>
        <v>0</v>
      </c>
      <c r="GM244" s="5">
        <f t="shared" si="89"/>
        <v>1614.31</v>
      </c>
      <c r="GN244" s="5">
        <f t="shared" si="90"/>
        <v>1614.31</v>
      </c>
      <c r="GO244" s="5">
        <f t="shared" si="91"/>
        <v>0</v>
      </c>
      <c r="GP244" s="5">
        <f t="shared" si="92"/>
        <v>0</v>
      </c>
      <c r="GQ244" s="5"/>
      <c r="GR244" s="5">
        <v>0</v>
      </c>
      <c r="GS244" s="5">
        <v>3</v>
      </c>
      <c r="GT244" s="5">
        <v>0</v>
      </c>
      <c r="GU244" s="5" t="s">
        <v>6</v>
      </c>
      <c r="GV244" s="5">
        <f t="shared" si="93"/>
        <v>0</v>
      </c>
      <c r="GW244" s="5">
        <v>1</v>
      </c>
      <c r="GX244" s="5">
        <f t="shared" si="94"/>
        <v>0</v>
      </c>
      <c r="GY244" s="5"/>
      <c r="GZ244" s="5"/>
      <c r="HA244" s="5">
        <v>0</v>
      </c>
      <c r="HB244" s="5">
        <v>0</v>
      </c>
      <c r="HC244" s="5">
        <f t="shared" si="95"/>
        <v>0</v>
      </c>
      <c r="HD244" s="5"/>
      <c r="HE244" s="5" t="s">
        <v>6</v>
      </c>
      <c r="HF244" s="5" t="s">
        <v>6</v>
      </c>
      <c r="HG244" s="5"/>
      <c r="HH244" s="5"/>
      <c r="HI244" s="5"/>
      <c r="HJ244" s="5"/>
      <c r="HK244" s="5"/>
      <c r="HL244" s="5"/>
      <c r="HM244" s="5" t="s">
        <v>6</v>
      </c>
      <c r="HN244" s="5" t="s">
        <v>6</v>
      </c>
      <c r="HO244" s="5" t="s">
        <v>6</v>
      </c>
      <c r="HP244" s="5" t="s">
        <v>6</v>
      </c>
      <c r="HQ244" s="5" t="s">
        <v>6</v>
      </c>
      <c r="HR244" s="5"/>
      <c r="HS244" s="5">
        <v>0</v>
      </c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>
        <v>0</v>
      </c>
      <c r="IL244" s="5"/>
      <c r="IM244" s="5"/>
      <c r="IN244" s="5"/>
      <c r="IO244" s="5"/>
      <c r="IP244" s="5"/>
      <c r="IQ244" s="5"/>
      <c r="IR244" s="5"/>
      <c r="IS244" s="5"/>
      <c r="IT244" s="5"/>
      <c r="IU244" s="5"/>
    </row>
    <row r="245" spans="1:255" x14ac:dyDescent="0.2">
      <c r="A245" s="5">
        <v>17</v>
      </c>
      <c r="B245" s="5">
        <v>1</v>
      </c>
      <c r="C245" s="5">
        <f>ROW(SmtRes!A39)</f>
        <v>39</v>
      </c>
      <c r="D245" s="5">
        <f>ROW(EtalonRes!A49)</f>
        <v>49</v>
      </c>
      <c r="E245" s="5" t="s">
        <v>159</v>
      </c>
      <c r="F245" s="5" t="s">
        <v>160</v>
      </c>
      <c r="G245" s="5" t="s">
        <v>161</v>
      </c>
      <c r="H245" s="5" t="s">
        <v>153</v>
      </c>
      <c r="I245" s="5">
        <f>ROUND(0.045,7)</f>
        <v>4.4999999999999998E-2</v>
      </c>
      <c r="J245" s="5">
        <v>0</v>
      </c>
      <c r="K245" s="5">
        <f>ROUND(0.045,7)</f>
        <v>4.4999999999999998E-2</v>
      </c>
      <c r="L245" s="5"/>
      <c r="M245" s="5"/>
      <c r="N245" s="5"/>
      <c r="O245" s="5">
        <f t="shared" si="75"/>
        <v>292.87</v>
      </c>
      <c r="P245" s="5">
        <f>SUMIF(SmtRes!AQ37:'SmtRes'!AQ39,"=1",SmtRes!DF37:'SmtRes'!DF39)</f>
        <v>36.75</v>
      </c>
      <c r="Q245" s="5">
        <f>SUMIF(SmtRes!AQ37:'SmtRes'!AQ39,"=1",SmtRes!DG37:'SmtRes'!DG39)</f>
        <v>0</v>
      </c>
      <c r="R245" s="5">
        <f>SUMIF(SmtRes!AQ37:'SmtRes'!AQ39,"=1",SmtRes!DH37:'SmtRes'!DH39)</f>
        <v>0</v>
      </c>
      <c r="S245" s="5">
        <f>SUMIF(SmtRes!AQ37:'SmtRes'!AQ39,"=1",SmtRes!DI37:'SmtRes'!DI39)</f>
        <v>256.12</v>
      </c>
      <c r="T245" s="5">
        <f t="shared" si="76"/>
        <v>0</v>
      </c>
      <c r="U245" s="5">
        <f>SUMIF(SmtRes!AQ37:'SmtRes'!AQ39,"=1",SmtRes!CV37:'SmtRes'!CV39)</f>
        <v>0.86112</v>
      </c>
      <c r="V245" s="5">
        <f>SUMIF(SmtRes!AQ37:'SmtRes'!AQ39,"=1",SmtRes!CW37:'SmtRes'!CW39)</f>
        <v>0</v>
      </c>
      <c r="W245" s="5">
        <f t="shared" si="77"/>
        <v>0</v>
      </c>
      <c r="X245" s="5">
        <f t="shared" si="78"/>
        <v>258.17</v>
      </c>
      <c r="Y245" s="5">
        <f t="shared" si="79"/>
        <v>141.51</v>
      </c>
      <c r="Z245" s="5"/>
      <c r="AA245" s="5">
        <v>74852007</v>
      </c>
      <c r="AB245" s="5">
        <f t="shared" si="80"/>
        <v>6341.58</v>
      </c>
      <c r="AC245" s="5">
        <f>ROUND((SUM(SmtRes!BQ37:'SmtRes'!BQ39)),2)</f>
        <v>649.96</v>
      </c>
      <c r="AD245" s="5">
        <f>ROUND((((0)-(0))+AE245),2)</f>
        <v>0</v>
      </c>
      <c r="AE245" s="5">
        <f>ROUND((0),2)</f>
        <v>0</v>
      </c>
      <c r="AF245" s="5">
        <f>ROUND((SUM(SmtRes!BT37:'SmtRes'!BT39)),2)</f>
        <v>5691.62</v>
      </c>
      <c r="AG245" s="5">
        <f t="shared" si="81"/>
        <v>0</v>
      </c>
      <c r="AH245" s="5">
        <f>(SUM(SmtRes!BU37:'SmtRes'!BU39))</f>
        <v>19.135999999999999</v>
      </c>
      <c r="AI245" s="5">
        <f>(0)</f>
        <v>0</v>
      </c>
      <c r="AJ245" s="5">
        <f t="shared" si="82"/>
        <v>0</v>
      </c>
      <c r="AK245" s="5">
        <v>5599.1926400000002</v>
      </c>
      <c r="AL245" s="5">
        <v>649.95744000000002</v>
      </c>
      <c r="AM245" s="5">
        <v>0</v>
      </c>
      <c r="AN245" s="5">
        <v>0</v>
      </c>
      <c r="AO245" s="5">
        <v>4949.2352000000001</v>
      </c>
      <c r="AP245" s="5">
        <v>0</v>
      </c>
      <c r="AQ245" s="5">
        <v>16.64</v>
      </c>
      <c r="AR245" s="5">
        <v>0</v>
      </c>
      <c r="AS245" s="5">
        <v>0</v>
      </c>
      <c r="AT245" s="5">
        <v>100.8</v>
      </c>
      <c r="AU245" s="5">
        <v>55.25</v>
      </c>
      <c r="AV245" s="5">
        <v>1</v>
      </c>
      <c r="AW245" s="5">
        <v>1</v>
      </c>
      <c r="AX245" s="5"/>
      <c r="AY245" s="5"/>
      <c r="AZ245" s="5">
        <v>1</v>
      </c>
      <c r="BA245" s="5">
        <v>1</v>
      </c>
      <c r="BB245" s="5">
        <v>1</v>
      </c>
      <c r="BC245" s="5">
        <v>1</v>
      </c>
      <c r="BD245" s="5" t="s">
        <v>6</v>
      </c>
      <c r="BE245" s="5" t="s">
        <v>6</v>
      </c>
      <c r="BF245" s="5" t="s">
        <v>6</v>
      </c>
      <c r="BG245" s="5" t="s">
        <v>6</v>
      </c>
      <c r="BH245" s="5">
        <v>0</v>
      </c>
      <c r="BI245" s="5">
        <v>1</v>
      </c>
      <c r="BJ245" s="5" t="s">
        <v>162</v>
      </c>
      <c r="BK245" s="5"/>
      <c r="BL245" s="5"/>
      <c r="BM245" s="5">
        <v>11001</v>
      </c>
      <c r="BN245" s="5">
        <v>66927928</v>
      </c>
      <c r="BO245" s="5" t="s">
        <v>6</v>
      </c>
      <c r="BP245" s="5">
        <v>0</v>
      </c>
      <c r="BQ245" s="5">
        <v>2</v>
      </c>
      <c r="BR245" s="5">
        <v>0</v>
      </c>
      <c r="BS245" s="5">
        <v>1</v>
      </c>
      <c r="BT245" s="5">
        <v>1</v>
      </c>
      <c r="BU245" s="5">
        <v>1</v>
      </c>
      <c r="BV245" s="5">
        <v>1</v>
      </c>
      <c r="BW245" s="5">
        <v>1</v>
      </c>
      <c r="BX245" s="5">
        <v>1</v>
      </c>
      <c r="BY245" s="5" t="s">
        <v>6</v>
      </c>
      <c r="BZ245" s="5">
        <v>112</v>
      </c>
      <c r="CA245" s="5">
        <v>65</v>
      </c>
      <c r="CB245" s="5" t="s">
        <v>6</v>
      </c>
      <c r="CC245" s="5"/>
      <c r="CD245" s="5"/>
      <c r="CE245" s="5">
        <v>0</v>
      </c>
      <c r="CF245" s="5">
        <v>0</v>
      </c>
      <c r="CG245" s="5">
        <v>0</v>
      </c>
      <c r="CH245" s="5"/>
      <c r="CI245" s="5"/>
      <c r="CJ245" s="5"/>
      <c r="CK245" s="5"/>
      <c r="CL245" s="5"/>
      <c r="CM245" s="5">
        <v>0</v>
      </c>
      <c r="CN245" s="5" t="s">
        <v>115</v>
      </c>
      <c r="CO245" s="5">
        <v>0</v>
      </c>
      <c r="CP245" s="5">
        <f t="shared" si="83"/>
        <v>292.87</v>
      </c>
      <c r="CQ245" s="5">
        <f>SUMIF(SmtRes!AQ37:'SmtRes'!AQ39,"=1",SmtRes!AA37:'SmtRes'!AA39)</f>
        <v>121.67999999999999</v>
      </c>
      <c r="CR245" s="5">
        <f>SUMIF(SmtRes!AQ37:'SmtRes'!AQ39,"=1",SmtRes!AB37:'SmtRes'!AB39)</f>
        <v>0</v>
      </c>
      <c r="CS245" s="5">
        <f>SUMIF(SmtRes!AQ37:'SmtRes'!AQ39,"=1",SmtRes!AC37:'SmtRes'!AC39)</f>
        <v>0</v>
      </c>
      <c r="CT245" s="5">
        <f>SUMIF(SmtRes!AQ37:'SmtRes'!AQ39,"=1",SmtRes!AD37:'SmtRes'!AD39)</f>
        <v>297.43</v>
      </c>
      <c r="CU245" s="5">
        <f t="shared" si="84"/>
        <v>0</v>
      </c>
      <c r="CV245" s="5">
        <f>SUMIF(SmtRes!AQ37:'SmtRes'!AQ39,"=1",SmtRes!BU37:'SmtRes'!BU39)</f>
        <v>19.135999999999999</v>
      </c>
      <c r="CW245" s="5">
        <f>SUMIF(SmtRes!AQ37:'SmtRes'!AQ39,"=1",SmtRes!BV37:'SmtRes'!BV39)</f>
        <v>0</v>
      </c>
      <c r="CX245" s="5">
        <f t="shared" si="85"/>
        <v>0</v>
      </c>
      <c r="CY245" s="5">
        <f>(((S245+R245)*AT245)/100)</f>
        <v>258.16896000000003</v>
      </c>
      <c r="CZ245" s="5">
        <f>(((S245+R245)*AU245)/100)</f>
        <v>141.50630000000001</v>
      </c>
      <c r="DA245" s="5"/>
      <c r="DB245" s="5"/>
      <c r="DC245" s="5" t="s">
        <v>6</v>
      </c>
      <c r="DD245" s="5" t="s">
        <v>6</v>
      </c>
      <c r="DE245" s="5" t="s">
        <v>116</v>
      </c>
      <c r="DF245" s="5" t="s">
        <v>116</v>
      </c>
      <c r="DG245" s="5" t="s">
        <v>117</v>
      </c>
      <c r="DH245" s="5" t="s">
        <v>6</v>
      </c>
      <c r="DI245" s="5" t="s">
        <v>117</v>
      </c>
      <c r="DJ245" s="5" t="s">
        <v>116</v>
      </c>
      <c r="DK245" s="5" t="s">
        <v>6</v>
      </c>
      <c r="DL245" s="5" t="s">
        <v>118</v>
      </c>
      <c r="DM245" s="5" t="s">
        <v>119</v>
      </c>
      <c r="DN245" s="5">
        <v>0</v>
      </c>
      <c r="DO245" s="5">
        <v>0</v>
      </c>
      <c r="DP245" s="5">
        <v>1</v>
      </c>
      <c r="DQ245" s="5">
        <v>1</v>
      </c>
      <c r="DR245" s="5"/>
      <c r="DS245" s="5"/>
      <c r="DT245" s="5"/>
      <c r="DU245" s="5">
        <v>1003</v>
      </c>
      <c r="DV245" s="5" t="s">
        <v>153</v>
      </c>
      <c r="DW245" s="5" t="s">
        <v>153</v>
      </c>
      <c r="DX245" s="5">
        <v>100</v>
      </c>
      <c r="DY245" s="5"/>
      <c r="DZ245" s="5" t="s">
        <v>6</v>
      </c>
      <c r="EA245" s="5" t="s">
        <v>6</v>
      </c>
      <c r="EB245" s="5" t="s">
        <v>6</v>
      </c>
      <c r="EC245" s="5" t="s">
        <v>6</v>
      </c>
      <c r="ED245" s="5"/>
      <c r="EE245" s="5">
        <v>67841894</v>
      </c>
      <c r="EF245" s="5">
        <v>2</v>
      </c>
      <c r="EG245" s="5" t="s">
        <v>18</v>
      </c>
      <c r="EH245" s="5">
        <v>11</v>
      </c>
      <c r="EI245" s="5" t="s">
        <v>87</v>
      </c>
      <c r="EJ245" s="5">
        <v>1</v>
      </c>
      <c r="EK245" s="5">
        <v>11001</v>
      </c>
      <c r="EL245" s="5" t="s">
        <v>87</v>
      </c>
      <c r="EM245" s="5" t="s">
        <v>120</v>
      </c>
      <c r="EN245" s="5"/>
      <c r="EO245" s="5" t="s">
        <v>121</v>
      </c>
      <c r="EP245" s="5"/>
      <c r="EQ245" s="5">
        <v>0</v>
      </c>
      <c r="ER245" s="5">
        <v>0</v>
      </c>
      <c r="ES245" s="5">
        <v>0</v>
      </c>
      <c r="ET245" s="5">
        <v>0</v>
      </c>
      <c r="EU245" s="5">
        <v>0</v>
      </c>
      <c r="EV245" s="5">
        <v>0</v>
      </c>
      <c r="EW245" s="5">
        <v>16.64</v>
      </c>
      <c r="EX245" s="5">
        <v>0</v>
      </c>
      <c r="EY245" s="5">
        <v>0</v>
      </c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>
        <v>0</v>
      </c>
      <c r="FR245" s="5">
        <v>0</v>
      </c>
      <c r="FS245" s="5">
        <v>0</v>
      </c>
      <c r="FT245" s="5"/>
      <c r="FU245" s="5"/>
      <c r="FV245" s="5"/>
      <c r="FW245" s="5"/>
      <c r="FX245" s="5">
        <v>100.8</v>
      </c>
      <c r="FY245" s="5">
        <v>55.25</v>
      </c>
      <c r="FZ245" s="5"/>
      <c r="GA245" s="5" t="s">
        <v>6</v>
      </c>
      <c r="GB245" s="5"/>
      <c r="GC245" s="5"/>
      <c r="GD245" s="5">
        <v>1</v>
      </c>
      <c r="GE245" s="5"/>
      <c r="GF245" s="5">
        <v>-825714876</v>
      </c>
      <c r="GG245" s="5">
        <v>2</v>
      </c>
      <c r="GH245" s="5">
        <v>1</v>
      </c>
      <c r="GI245" s="5">
        <v>-2</v>
      </c>
      <c r="GJ245" s="5">
        <v>0</v>
      </c>
      <c r="GK245" s="5">
        <v>0</v>
      </c>
      <c r="GL245" s="5">
        <f t="shared" si="88"/>
        <v>0</v>
      </c>
      <c r="GM245" s="5">
        <f t="shared" si="89"/>
        <v>692.55</v>
      </c>
      <c r="GN245" s="5">
        <f t="shared" si="90"/>
        <v>692.55</v>
      </c>
      <c r="GO245" s="5">
        <f t="shared" si="91"/>
        <v>0</v>
      </c>
      <c r="GP245" s="5">
        <f t="shared" si="92"/>
        <v>0</v>
      </c>
      <c r="GQ245" s="5"/>
      <c r="GR245" s="5">
        <v>0</v>
      </c>
      <c r="GS245" s="5">
        <v>3</v>
      </c>
      <c r="GT245" s="5">
        <v>0</v>
      </c>
      <c r="GU245" s="5" t="s">
        <v>6</v>
      </c>
      <c r="GV245" s="5">
        <f t="shared" si="93"/>
        <v>0</v>
      </c>
      <c r="GW245" s="5">
        <v>1</v>
      </c>
      <c r="GX245" s="5">
        <f t="shared" si="94"/>
        <v>0</v>
      </c>
      <c r="GY245" s="5"/>
      <c r="GZ245" s="5"/>
      <c r="HA245" s="5">
        <v>0</v>
      </c>
      <c r="HB245" s="5">
        <v>0</v>
      </c>
      <c r="HC245" s="5">
        <f t="shared" si="95"/>
        <v>0</v>
      </c>
      <c r="HD245" s="5"/>
      <c r="HE245" s="5" t="s">
        <v>6</v>
      </c>
      <c r="HF245" s="5" t="s">
        <v>6</v>
      </c>
      <c r="HG245" s="5"/>
      <c r="HH245" s="5"/>
      <c r="HI245" s="5"/>
      <c r="HJ245" s="5"/>
      <c r="HK245" s="5"/>
      <c r="HL245" s="5"/>
      <c r="HM245" s="5" t="s">
        <v>6</v>
      </c>
      <c r="HN245" s="5" t="s">
        <v>122</v>
      </c>
      <c r="HO245" s="5" t="s">
        <v>123</v>
      </c>
      <c r="HP245" s="5" t="s">
        <v>87</v>
      </c>
      <c r="HQ245" s="5" t="s">
        <v>87</v>
      </c>
      <c r="HR245" s="5"/>
      <c r="HS245" s="5">
        <v>0</v>
      </c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>
        <v>0</v>
      </c>
      <c r="IL245" s="5"/>
      <c r="IM245" s="5"/>
      <c r="IN245" s="5"/>
      <c r="IO245" s="5"/>
      <c r="IP245" s="5"/>
      <c r="IQ245" s="5"/>
      <c r="IR245" s="5"/>
      <c r="IS245" s="5"/>
      <c r="IT245" s="5"/>
      <c r="IU245" s="5"/>
    </row>
    <row r="246" spans="1:255" x14ac:dyDescent="0.2">
      <c r="A246" s="5">
        <v>17</v>
      </c>
      <c r="B246" s="5">
        <v>1</v>
      </c>
      <c r="C246" s="5"/>
      <c r="D246" s="5"/>
      <c r="E246" s="5" t="s">
        <v>163</v>
      </c>
      <c r="F246" s="5" t="s">
        <v>164</v>
      </c>
      <c r="G246" s="5" t="s">
        <v>165</v>
      </c>
      <c r="H246" s="5" t="s">
        <v>166</v>
      </c>
      <c r="I246" s="5">
        <f>ROUND(5,7)</f>
        <v>5</v>
      </c>
      <c r="J246" s="5">
        <v>0</v>
      </c>
      <c r="K246" s="5">
        <f>ROUND(5,7)</f>
        <v>5</v>
      </c>
      <c r="L246" s="5"/>
      <c r="M246" s="5"/>
      <c r="N246" s="5"/>
      <c r="O246" s="5">
        <f t="shared" si="75"/>
        <v>574.15</v>
      </c>
      <c r="P246" s="5">
        <f>ROUND(CQ246*I246,2)</f>
        <v>574.15</v>
      </c>
      <c r="Q246" s="5">
        <f>ROUND(CR246*I246,2)</f>
        <v>0</v>
      </c>
      <c r="R246" s="5">
        <f>ROUND(CS246*I246,2)</f>
        <v>0</v>
      </c>
      <c r="S246" s="5">
        <f>ROUND(CT246*I246,2)</f>
        <v>0</v>
      </c>
      <c r="T246" s="5">
        <f t="shared" si="76"/>
        <v>0</v>
      </c>
      <c r="U246" s="5">
        <f>ROUND(CV246*I246,7)</f>
        <v>0</v>
      </c>
      <c r="V246" s="5">
        <f>ROUND(CW246*I246,7)</f>
        <v>0</v>
      </c>
      <c r="W246" s="5">
        <f t="shared" si="77"/>
        <v>0</v>
      </c>
      <c r="X246" s="5">
        <f t="shared" si="78"/>
        <v>0</v>
      </c>
      <c r="Y246" s="5">
        <f t="shared" si="79"/>
        <v>0</v>
      </c>
      <c r="Z246" s="5"/>
      <c r="AA246" s="5">
        <v>74852007</v>
      </c>
      <c r="AB246" s="5">
        <f t="shared" si="80"/>
        <v>91.86</v>
      </c>
      <c r="AC246" s="5">
        <f>ROUND((ES246),2)</f>
        <v>91.86</v>
      </c>
      <c r="AD246" s="5">
        <f>ROUND((((ET246)-(EU246))+AE246),2)</f>
        <v>0</v>
      </c>
      <c r="AE246" s="5">
        <f>ROUND((EU246),2)</f>
        <v>0</v>
      </c>
      <c r="AF246" s="5">
        <f>ROUND((EV246),2)</f>
        <v>0</v>
      </c>
      <c r="AG246" s="5">
        <f t="shared" si="81"/>
        <v>0</v>
      </c>
      <c r="AH246" s="5">
        <f>(EW246)</f>
        <v>0</v>
      </c>
      <c r="AI246" s="5">
        <f>(EX246)</f>
        <v>0</v>
      </c>
      <c r="AJ246" s="5">
        <f t="shared" si="82"/>
        <v>0</v>
      </c>
      <c r="AK246" s="5">
        <v>91.86</v>
      </c>
      <c r="AL246" s="5">
        <v>91.86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1</v>
      </c>
      <c r="AW246" s="5">
        <v>1</v>
      </c>
      <c r="AX246" s="5"/>
      <c r="AY246" s="5"/>
      <c r="AZ246" s="5">
        <v>1</v>
      </c>
      <c r="BA246" s="5">
        <v>1</v>
      </c>
      <c r="BB246" s="5">
        <v>1</v>
      </c>
      <c r="BC246" s="5">
        <v>1.25</v>
      </c>
      <c r="BD246" s="5" t="s">
        <v>6</v>
      </c>
      <c r="BE246" s="5" t="s">
        <v>6</v>
      </c>
      <c r="BF246" s="5" t="s">
        <v>6</v>
      </c>
      <c r="BG246" s="5" t="s">
        <v>6</v>
      </c>
      <c r="BH246" s="5">
        <v>3</v>
      </c>
      <c r="BI246" s="5">
        <v>1</v>
      </c>
      <c r="BJ246" s="5" t="s">
        <v>167</v>
      </c>
      <c r="BK246" s="5"/>
      <c r="BL246" s="5"/>
      <c r="BM246" s="5">
        <v>500001</v>
      </c>
      <c r="BN246" s="5">
        <v>66927928</v>
      </c>
      <c r="BO246" s="5" t="s">
        <v>164</v>
      </c>
      <c r="BP246" s="5">
        <v>1</v>
      </c>
      <c r="BQ246" s="5">
        <v>8</v>
      </c>
      <c r="BR246" s="5">
        <v>0</v>
      </c>
      <c r="BS246" s="5">
        <v>1</v>
      </c>
      <c r="BT246" s="5">
        <v>1</v>
      </c>
      <c r="BU246" s="5">
        <v>1</v>
      </c>
      <c r="BV246" s="5">
        <v>1</v>
      </c>
      <c r="BW246" s="5">
        <v>1</v>
      </c>
      <c r="BX246" s="5">
        <v>1</v>
      </c>
      <c r="BY246" s="5" t="s">
        <v>6</v>
      </c>
      <c r="BZ246" s="5">
        <v>0</v>
      </c>
      <c r="CA246" s="5">
        <v>0</v>
      </c>
      <c r="CB246" s="5" t="s">
        <v>6</v>
      </c>
      <c r="CC246" s="5"/>
      <c r="CD246" s="5"/>
      <c r="CE246" s="5">
        <v>0</v>
      </c>
      <c r="CF246" s="5">
        <v>0</v>
      </c>
      <c r="CG246" s="5">
        <v>0</v>
      </c>
      <c r="CH246" s="5"/>
      <c r="CI246" s="5"/>
      <c r="CJ246" s="5"/>
      <c r="CK246" s="5"/>
      <c r="CL246" s="5"/>
      <c r="CM246" s="5">
        <v>0</v>
      </c>
      <c r="CN246" s="5" t="s">
        <v>6</v>
      </c>
      <c r="CO246" s="5">
        <v>0</v>
      </c>
      <c r="CP246" s="5">
        <f t="shared" si="83"/>
        <v>574.15</v>
      </c>
      <c r="CQ246" s="5">
        <f>ROUND(AL246*BC246,2)</f>
        <v>114.83</v>
      </c>
      <c r="CR246" s="5">
        <f>ROUND(AM246*BB246,2)</f>
        <v>0</v>
      </c>
      <c r="CS246" s="5">
        <f>ROUND(AN246*BS246,2)</f>
        <v>0</v>
      </c>
      <c r="CT246" s="5">
        <f>ROUND(AO246*BA246,2)</f>
        <v>0</v>
      </c>
      <c r="CU246" s="5">
        <f t="shared" si="84"/>
        <v>0</v>
      </c>
      <c r="CV246" s="5">
        <f>AH246</f>
        <v>0</v>
      </c>
      <c r="CW246" s="5">
        <f>AI246</f>
        <v>0</v>
      </c>
      <c r="CX246" s="5">
        <f t="shared" si="85"/>
        <v>0</v>
      </c>
      <c r="CY246" s="5">
        <f>0</f>
        <v>0</v>
      </c>
      <c r="CZ246" s="5">
        <f>0</f>
        <v>0</v>
      </c>
      <c r="DA246" s="5"/>
      <c r="DB246" s="5"/>
      <c r="DC246" s="5" t="s">
        <v>6</v>
      </c>
      <c r="DD246" s="5" t="s">
        <v>6</v>
      </c>
      <c r="DE246" s="5" t="s">
        <v>6</v>
      </c>
      <c r="DF246" s="5" t="s">
        <v>6</v>
      </c>
      <c r="DG246" s="5" t="s">
        <v>6</v>
      </c>
      <c r="DH246" s="5" t="s">
        <v>6</v>
      </c>
      <c r="DI246" s="5" t="s">
        <v>6</v>
      </c>
      <c r="DJ246" s="5" t="s">
        <v>6</v>
      </c>
      <c r="DK246" s="5" t="s">
        <v>6</v>
      </c>
      <c r="DL246" s="5" t="s">
        <v>6</v>
      </c>
      <c r="DM246" s="5" t="s">
        <v>6</v>
      </c>
      <c r="DN246" s="5">
        <v>0</v>
      </c>
      <c r="DO246" s="5">
        <v>0</v>
      </c>
      <c r="DP246" s="5">
        <v>1</v>
      </c>
      <c r="DQ246" s="5">
        <v>1</v>
      </c>
      <c r="DR246" s="5"/>
      <c r="DS246" s="5"/>
      <c r="DT246" s="5"/>
      <c r="DU246" s="5">
        <v>1013</v>
      </c>
      <c r="DV246" s="5" t="s">
        <v>166</v>
      </c>
      <c r="DW246" s="5" t="s">
        <v>166</v>
      </c>
      <c r="DX246" s="5">
        <v>1</v>
      </c>
      <c r="DY246" s="5"/>
      <c r="DZ246" s="5" t="s">
        <v>6</v>
      </c>
      <c r="EA246" s="5" t="s">
        <v>6</v>
      </c>
      <c r="EB246" s="5" t="s">
        <v>6</v>
      </c>
      <c r="EC246" s="5" t="s">
        <v>6</v>
      </c>
      <c r="ED246" s="5"/>
      <c r="EE246" s="5">
        <v>67841826</v>
      </c>
      <c r="EF246" s="5">
        <v>8</v>
      </c>
      <c r="EG246" s="5" t="s">
        <v>136</v>
      </c>
      <c r="EH246" s="5">
        <v>0</v>
      </c>
      <c r="EI246" s="5" t="s">
        <v>6</v>
      </c>
      <c r="EJ246" s="5">
        <v>1</v>
      </c>
      <c r="EK246" s="5">
        <v>500001</v>
      </c>
      <c r="EL246" s="5" t="s">
        <v>137</v>
      </c>
      <c r="EM246" s="5" t="s">
        <v>138</v>
      </c>
      <c r="EN246" s="5"/>
      <c r="EO246" s="5" t="s">
        <v>6</v>
      </c>
      <c r="EP246" s="5"/>
      <c r="EQ246" s="5">
        <v>0</v>
      </c>
      <c r="ER246" s="5">
        <v>91.86</v>
      </c>
      <c r="ES246" s="5">
        <v>91.86</v>
      </c>
      <c r="ET246" s="5">
        <v>0</v>
      </c>
      <c r="EU246" s="5">
        <v>0</v>
      </c>
      <c r="EV246" s="5">
        <v>0</v>
      </c>
      <c r="EW246" s="5">
        <v>0</v>
      </c>
      <c r="EX246" s="5">
        <v>0</v>
      </c>
      <c r="EY246" s="5">
        <v>0</v>
      </c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>
        <v>0</v>
      </c>
      <c r="FR246" s="5">
        <v>0</v>
      </c>
      <c r="FS246" s="5">
        <v>0</v>
      </c>
      <c r="FT246" s="5"/>
      <c r="FU246" s="5"/>
      <c r="FV246" s="5"/>
      <c r="FW246" s="5"/>
      <c r="FX246" s="5">
        <v>0</v>
      </c>
      <c r="FY246" s="5">
        <v>0</v>
      </c>
      <c r="FZ246" s="5"/>
      <c r="GA246" s="5" t="s">
        <v>6</v>
      </c>
      <c r="GB246" s="5"/>
      <c r="GC246" s="5"/>
      <c r="GD246" s="5">
        <v>1</v>
      </c>
      <c r="GE246" s="5"/>
      <c r="GF246" s="5">
        <v>-78902439</v>
      </c>
      <c r="GG246" s="5">
        <v>2</v>
      </c>
      <c r="GH246" s="5">
        <v>1</v>
      </c>
      <c r="GI246" s="5">
        <v>2</v>
      </c>
      <c r="GJ246" s="5">
        <v>0</v>
      </c>
      <c r="GK246" s="5">
        <v>0</v>
      </c>
      <c r="GL246" s="5">
        <f t="shared" si="88"/>
        <v>0</v>
      </c>
      <c r="GM246" s="5">
        <f t="shared" si="89"/>
        <v>574.15</v>
      </c>
      <c r="GN246" s="5">
        <f t="shared" si="90"/>
        <v>574.15</v>
      </c>
      <c r="GO246" s="5">
        <f t="shared" si="91"/>
        <v>0</v>
      </c>
      <c r="GP246" s="5">
        <f t="shared" si="92"/>
        <v>0</v>
      </c>
      <c r="GQ246" s="5"/>
      <c r="GR246" s="5">
        <v>0</v>
      </c>
      <c r="GS246" s="5">
        <v>3</v>
      </c>
      <c r="GT246" s="5">
        <v>0</v>
      </c>
      <c r="GU246" s="5" t="s">
        <v>6</v>
      </c>
      <c r="GV246" s="5">
        <f t="shared" si="93"/>
        <v>0</v>
      </c>
      <c r="GW246" s="5">
        <v>1</v>
      </c>
      <c r="GX246" s="5">
        <f t="shared" si="94"/>
        <v>0</v>
      </c>
      <c r="GY246" s="5"/>
      <c r="GZ246" s="5"/>
      <c r="HA246" s="5">
        <v>0</v>
      </c>
      <c r="HB246" s="5">
        <v>0</v>
      </c>
      <c r="HC246" s="5">
        <f t="shared" si="95"/>
        <v>0</v>
      </c>
      <c r="HD246" s="5"/>
      <c r="HE246" s="5" t="s">
        <v>6</v>
      </c>
      <c r="HF246" s="5" t="s">
        <v>6</v>
      </c>
      <c r="HG246" s="5"/>
      <c r="HH246" s="5"/>
      <c r="HI246" s="5"/>
      <c r="HJ246" s="5"/>
      <c r="HK246" s="5"/>
      <c r="HL246" s="5"/>
      <c r="HM246" s="5" t="s">
        <v>6</v>
      </c>
      <c r="HN246" s="5" t="s">
        <v>6</v>
      </c>
      <c r="HO246" s="5" t="s">
        <v>6</v>
      </c>
      <c r="HP246" s="5" t="s">
        <v>6</v>
      </c>
      <c r="HQ246" s="5" t="s">
        <v>6</v>
      </c>
      <c r="HR246" s="5"/>
      <c r="HS246" s="5">
        <v>0</v>
      </c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>
        <v>0</v>
      </c>
      <c r="IL246" s="5"/>
      <c r="IM246" s="5"/>
      <c r="IN246" s="5"/>
      <c r="IO246" s="5"/>
      <c r="IP246" s="5"/>
      <c r="IQ246" s="5"/>
      <c r="IR246" s="5"/>
      <c r="IS246" s="5"/>
      <c r="IT246" s="5"/>
      <c r="IU246" s="5"/>
    </row>
    <row r="247" spans="1:255" x14ac:dyDescent="0.2">
      <c r="A247">
        <v>19</v>
      </c>
      <c r="B247">
        <v>1</v>
      </c>
      <c r="F247" t="s">
        <v>6</v>
      </c>
      <c r="G247" t="s">
        <v>168</v>
      </c>
      <c r="H247" t="s">
        <v>6</v>
      </c>
      <c r="AA247">
        <v>1</v>
      </c>
      <c r="IK247">
        <v>0</v>
      </c>
    </row>
    <row r="248" spans="1:255" x14ac:dyDescent="0.2">
      <c r="A248" s="5">
        <v>17</v>
      </c>
      <c r="B248" s="5">
        <v>1</v>
      </c>
      <c r="C248" s="5">
        <f>ROW(SmtRes!A44)</f>
        <v>44</v>
      </c>
      <c r="D248" s="5">
        <f>ROW(EtalonRes!A55)</f>
        <v>55</v>
      </c>
      <c r="E248" s="5" t="s">
        <v>77</v>
      </c>
      <c r="F248" s="5" t="s">
        <v>169</v>
      </c>
      <c r="G248" s="5" t="s">
        <v>170</v>
      </c>
      <c r="H248" s="5" t="s">
        <v>90</v>
      </c>
      <c r="I248" s="5">
        <f>ROUND(0.745,7)</f>
        <v>0.745</v>
      </c>
      <c r="J248" s="5">
        <v>0</v>
      </c>
      <c r="K248" s="5">
        <f>ROUND(0.745,7)</f>
        <v>0.745</v>
      </c>
      <c r="L248" s="5"/>
      <c r="M248" s="5"/>
      <c r="N248" s="5"/>
      <c r="O248" s="5">
        <f t="shared" ref="O248:O261" si="96">ROUND(CP248,2)</f>
        <v>15531.79</v>
      </c>
      <c r="P248" s="5">
        <f>SUMIF(SmtRes!AQ40:'SmtRes'!AQ44,"=1",SmtRes!DF40:'SmtRes'!DF44)</f>
        <v>0</v>
      </c>
      <c r="Q248" s="5">
        <f>SUMIF(SmtRes!AQ40:'SmtRes'!AQ44,"=1",SmtRes!DG40:'SmtRes'!DG44)</f>
        <v>235.9</v>
      </c>
      <c r="R248" s="5">
        <f>SUMIF(SmtRes!AQ40:'SmtRes'!AQ44,"=1",SmtRes!DH40:'SmtRes'!DH44)</f>
        <v>77.55</v>
      </c>
      <c r="S248" s="5">
        <f>SUMIF(SmtRes!AQ40:'SmtRes'!AQ44,"=1",SmtRes!DI40:'SmtRes'!DI44)</f>
        <v>15218.34</v>
      </c>
      <c r="T248" s="5">
        <f t="shared" ref="T248:T261" si="97">ROUND(CU248*I248,2)</f>
        <v>0</v>
      </c>
      <c r="U248" s="5">
        <f>SUMIF(SmtRes!AQ40:'SmtRes'!AQ44,"=1",SmtRes!CV40:'SmtRes'!CV44)</f>
        <v>55.353499999999997</v>
      </c>
      <c r="V248" s="5">
        <f>SUMIF(SmtRes!AQ40:'SmtRes'!AQ44,"=1",SmtRes!CW40:'SmtRes'!CW44)</f>
        <v>0.26074999999999998</v>
      </c>
      <c r="W248" s="5">
        <f t="shared" ref="W248:W261" si="98">ROUND(CX248*I248,2)</f>
        <v>0</v>
      </c>
      <c r="X248" s="5">
        <f t="shared" ref="X248:X261" si="99">ROUND(CY248,2)</f>
        <v>13766.3</v>
      </c>
      <c r="Y248" s="5">
        <f t="shared" ref="Y248:Y261" si="100">ROUND(CZ248,2)</f>
        <v>6883.15</v>
      </c>
      <c r="Z248" s="5"/>
      <c r="AA248" s="5">
        <v>74852007</v>
      </c>
      <c r="AB248" s="5">
        <f t="shared" ref="AB248:AB261" si="101">ROUND((AC248+AD248+AF248),2)</f>
        <v>20639.240000000002</v>
      </c>
      <c r="AC248" s="5">
        <f>ROUND((0),2)</f>
        <v>0</v>
      </c>
      <c r="AD248" s="5">
        <f>ROUND((((SUM(SmtRes!BR40:'SmtRes'!BR44))-(SUM(SmtRes!BS40:'SmtRes'!BS44)))+AE248),2)</f>
        <v>211.94</v>
      </c>
      <c r="AE248" s="5">
        <f>ROUND((SUM(SmtRes!BS40:'SmtRes'!BS44)),2)</f>
        <v>104.1</v>
      </c>
      <c r="AF248" s="5">
        <f>ROUND((SUM(SmtRes!BT40:'SmtRes'!BT44)),2)</f>
        <v>20427.3</v>
      </c>
      <c r="AG248" s="5">
        <f t="shared" ref="AG248:AG261" si="102">ROUND((AP248),2)</f>
        <v>0</v>
      </c>
      <c r="AH248" s="5">
        <f>(SUM(SmtRes!BU40:'SmtRes'!BU44))</f>
        <v>74.3</v>
      </c>
      <c r="AI248" s="5">
        <f>(SUM(SmtRes!BV40:'SmtRes'!BV44))</f>
        <v>0.35</v>
      </c>
      <c r="AJ248" s="5">
        <f t="shared" ref="AJ248:AJ261" si="103">(AS248)</f>
        <v>0</v>
      </c>
      <c r="AK248" s="5">
        <v>20743.344300000001</v>
      </c>
      <c r="AL248" s="5">
        <v>0</v>
      </c>
      <c r="AM248" s="5">
        <v>211.94480000000001</v>
      </c>
      <c r="AN248" s="5">
        <v>104.1005</v>
      </c>
      <c r="AO248" s="5">
        <v>20427.298999999999</v>
      </c>
      <c r="AP248" s="5">
        <v>0</v>
      </c>
      <c r="AQ248" s="5">
        <v>74.3</v>
      </c>
      <c r="AR248" s="5">
        <v>0.35</v>
      </c>
      <c r="AS248" s="5">
        <v>0</v>
      </c>
      <c r="AT248" s="5">
        <v>90</v>
      </c>
      <c r="AU248" s="5">
        <v>45</v>
      </c>
      <c r="AV248" s="5">
        <v>1</v>
      </c>
      <c r="AW248" s="5">
        <v>1</v>
      </c>
      <c r="AX248" s="5"/>
      <c r="AY248" s="5"/>
      <c r="AZ248" s="5">
        <v>1</v>
      </c>
      <c r="BA248" s="5">
        <v>1</v>
      </c>
      <c r="BB248" s="5">
        <v>1</v>
      </c>
      <c r="BC248" s="5">
        <v>1</v>
      </c>
      <c r="BD248" s="5" t="s">
        <v>6</v>
      </c>
      <c r="BE248" s="5" t="s">
        <v>6</v>
      </c>
      <c r="BF248" s="5" t="s">
        <v>6</v>
      </c>
      <c r="BG248" s="5" t="s">
        <v>6</v>
      </c>
      <c r="BH248" s="5">
        <v>0</v>
      </c>
      <c r="BI248" s="5">
        <v>1</v>
      </c>
      <c r="BJ248" s="5" t="s">
        <v>171</v>
      </c>
      <c r="BK248" s="5"/>
      <c r="BL248" s="5"/>
      <c r="BM248" s="5">
        <v>63001</v>
      </c>
      <c r="BN248" s="5">
        <v>66927928</v>
      </c>
      <c r="BO248" s="5" t="s">
        <v>6</v>
      </c>
      <c r="BP248" s="5">
        <v>0</v>
      </c>
      <c r="BQ248" s="5">
        <v>6</v>
      </c>
      <c r="BR248" s="5">
        <v>0</v>
      </c>
      <c r="BS248" s="5">
        <v>1</v>
      </c>
      <c r="BT248" s="5">
        <v>1</v>
      </c>
      <c r="BU248" s="5">
        <v>1</v>
      </c>
      <c r="BV248" s="5">
        <v>1</v>
      </c>
      <c r="BW248" s="5">
        <v>1</v>
      </c>
      <c r="BX248" s="5">
        <v>1</v>
      </c>
      <c r="BY248" s="5" t="s">
        <v>6</v>
      </c>
      <c r="BZ248" s="5">
        <v>90</v>
      </c>
      <c r="CA248" s="5">
        <v>45</v>
      </c>
      <c r="CB248" s="5" t="s">
        <v>6</v>
      </c>
      <c r="CC248" s="5"/>
      <c r="CD248" s="5"/>
      <c r="CE248" s="5">
        <v>0</v>
      </c>
      <c r="CF248" s="5">
        <v>0</v>
      </c>
      <c r="CG248" s="5">
        <v>0</v>
      </c>
      <c r="CH248" s="5"/>
      <c r="CI248" s="5"/>
      <c r="CJ248" s="5"/>
      <c r="CK248" s="5"/>
      <c r="CL248" s="5"/>
      <c r="CM248" s="5">
        <v>0</v>
      </c>
      <c r="CN248" s="5" t="s">
        <v>6</v>
      </c>
      <c r="CO248" s="5">
        <v>0</v>
      </c>
      <c r="CP248" s="5">
        <f t="shared" ref="CP248:CP261" si="104">(P248+Q248+S248+R248)</f>
        <v>15531.789999999999</v>
      </c>
      <c r="CQ248" s="5">
        <f>SUMIF(SmtRes!AQ40:'SmtRes'!AQ44,"=1",SmtRes!AA40:'SmtRes'!AA44)</f>
        <v>0</v>
      </c>
      <c r="CR248" s="5">
        <f>SUMIF(SmtRes!AQ40:'SmtRes'!AQ44,"=1",SmtRes!AB40:'SmtRes'!AB44)</f>
        <v>233.59999999999997</v>
      </c>
      <c r="CS248" s="5">
        <f>SUMIF(SmtRes!AQ40:'SmtRes'!AQ44,"=1",SmtRes!AC40:'SmtRes'!AC44)</f>
        <v>297.43</v>
      </c>
      <c r="CT248" s="5">
        <f>SUMIF(SmtRes!AQ40:'SmtRes'!AQ44,"=1",SmtRes!AD40:'SmtRes'!AD44)</f>
        <v>274.93</v>
      </c>
      <c r="CU248" s="5">
        <f t="shared" ref="CU248:CU261" si="105">AG248</f>
        <v>0</v>
      </c>
      <c r="CV248" s="5">
        <f>SUMIF(SmtRes!AQ40:'SmtRes'!AQ44,"=1",SmtRes!BU40:'SmtRes'!BU44)</f>
        <v>74.3</v>
      </c>
      <c r="CW248" s="5">
        <f>SUMIF(SmtRes!AQ40:'SmtRes'!AQ44,"=1",SmtRes!BV40:'SmtRes'!BV44)</f>
        <v>0.35</v>
      </c>
      <c r="CX248" s="5">
        <f t="shared" ref="CX248:CX261" si="106">AJ248</f>
        <v>0</v>
      </c>
      <c r="CY248" s="5">
        <f>(((S248+R248)*AT248)/100)</f>
        <v>13766.300999999999</v>
      </c>
      <c r="CZ248" s="5">
        <f>(((S248+R248)*AU248)/100)</f>
        <v>6883.1504999999997</v>
      </c>
      <c r="DA248" s="5"/>
      <c r="DB248" s="5"/>
      <c r="DC248" s="5" t="s">
        <v>6</v>
      </c>
      <c r="DD248" s="5" t="s">
        <v>6</v>
      </c>
      <c r="DE248" s="5" t="s">
        <v>6</v>
      </c>
      <c r="DF248" s="5" t="s">
        <v>6</v>
      </c>
      <c r="DG248" s="5" t="s">
        <v>6</v>
      </c>
      <c r="DH248" s="5" t="s">
        <v>6</v>
      </c>
      <c r="DI248" s="5" t="s">
        <v>6</v>
      </c>
      <c r="DJ248" s="5" t="s">
        <v>6</v>
      </c>
      <c r="DK248" s="5" t="s">
        <v>6</v>
      </c>
      <c r="DL248" s="5" t="s">
        <v>6</v>
      </c>
      <c r="DM248" s="5" t="s">
        <v>6</v>
      </c>
      <c r="DN248" s="5">
        <v>0</v>
      </c>
      <c r="DO248" s="5">
        <v>0</v>
      </c>
      <c r="DP248" s="5">
        <v>1</v>
      </c>
      <c r="DQ248" s="5">
        <v>1</v>
      </c>
      <c r="DR248" s="5"/>
      <c r="DS248" s="5"/>
      <c r="DT248" s="5"/>
      <c r="DU248" s="5">
        <v>1005</v>
      </c>
      <c r="DV248" s="5" t="s">
        <v>90</v>
      </c>
      <c r="DW248" s="5" t="s">
        <v>90</v>
      </c>
      <c r="DX248" s="5">
        <v>100</v>
      </c>
      <c r="DY248" s="5"/>
      <c r="DZ248" s="5" t="s">
        <v>6</v>
      </c>
      <c r="EA248" s="5" t="s">
        <v>6</v>
      </c>
      <c r="EB248" s="5" t="s">
        <v>6</v>
      </c>
      <c r="EC248" s="5" t="s">
        <v>6</v>
      </c>
      <c r="ED248" s="5"/>
      <c r="EE248" s="5">
        <v>67841977</v>
      </c>
      <c r="EF248" s="5">
        <v>6</v>
      </c>
      <c r="EG248" s="5" t="s">
        <v>92</v>
      </c>
      <c r="EH248" s="5">
        <v>97</v>
      </c>
      <c r="EI248" s="5" t="s">
        <v>172</v>
      </c>
      <c r="EJ248" s="5">
        <v>1</v>
      </c>
      <c r="EK248" s="5">
        <v>63001</v>
      </c>
      <c r="EL248" s="5" t="s">
        <v>173</v>
      </c>
      <c r="EM248" s="5" t="s">
        <v>174</v>
      </c>
      <c r="EN248" s="5"/>
      <c r="EO248" s="5" t="s">
        <v>6</v>
      </c>
      <c r="EP248" s="5"/>
      <c r="EQ248" s="5">
        <v>0</v>
      </c>
      <c r="ER248" s="5">
        <v>0</v>
      </c>
      <c r="ES248" s="5">
        <v>0</v>
      </c>
      <c r="ET248" s="5">
        <v>0</v>
      </c>
      <c r="EU248" s="5">
        <v>0</v>
      </c>
      <c r="EV248" s="5">
        <v>0</v>
      </c>
      <c r="EW248" s="5">
        <v>74.3</v>
      </c>
      <c r="EX248" s="5">
        <v>0.35</v>
      </c>
      <c r="EY248" s="5">
        <v>0</v>
      </c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>
        <v>0</v>
      </c>
      <c r="FR248" s="5">
        <v>0</v>
      </c>
      <c r="FS248" s="5">
        <v>0</v>
      </c>
      <c r="FT248" s="5"/>
      <c r="FU248" s="5"/>
      <c r="FV248" s="5"/>
      <c r="FW248" s="5"/>
      <c r="FX248" s="5">
        <v>90</v>
      </c>
      <c r="FY248" s="5">
        <v>45</v>
      </c>
      <c r="FZ248" s="5"/>
      <c r="GA248" s="5" t="s">
        <v>6</v>
      </c>
      <c r="GB248" s="5"/>
      <c r="GC248" s="5"/>
      <c r="GD248" s="5">
        <v>1</v>
      </c>
      <c r="GE248" s="5"/>
      <c r="GF248" s="5">
        <v>-657908652</v>
      </c>
      <c r="GG248" s="5">
        <v>2</v>
      </c>
      <c r="GH248" s="5">
        <v>1</v>
      </c>
      <c r="GI248" s="5">
        <v>-2</v>
      </c>
      <c r="GJ248" s="5">
        <v>0</v>
      </c>
      <c r="GK248" s="5">
        <v>0</v>
      </c>
      <c r="GL248" s="5">
        <f t="shared" ref="GL248:GL261" si="107">ROUND(IF(AND(BH248=3,BI248=3,FS248&lt;&gt;0),P248,0),2)</f>
        <v>0</v>
      </c>
      <c r="GM248" s="5">
        <f t="shared" ref="GM248:GM261" si="108">ROUND(O248+X248+Y248,2)+GX248</f>
        <v>36181.24</v>
      </c>
      <c r="GN248" s="5">
        <f t="shared" ref="GN248:GN261" si="109">IF(OR(BI248=0,BI248=1),GM248-GX248,0)</f>
        <v>36181.24</v>
      </c>
      <c r="GO248" s="5">
        <f t="shared" ref="GO248:GO261" si="110">IF(BI248=2,GM248-GX248,0)</f>
        <v>0</v>
      </c>
      <c r="GP248" s="5">
        <f t="shared" ref="GP248:GP261" si="111">IF(BI248=4,GM248-GX248,0)</f>
        <v>0</v>
      </c>
      <c r="GQ248" s="5"/>
      <c r="GR248" s="5">
        <v>0</v>
      </c>
      <c r="GS248" s="5">
        <v>3</v>
      </c>
      <c r="GT248" s="5">
        <v>0</v>
      </c>
      <c r="GU248" s="5" t="s">
        <v>6</v>
      </c>
      <c r="GV248" s="5">
        <f t="shared" ref="GV248:GV261" si="112">ROUND((GT248),2)</f>
        <v>0</v>
      </c>
      <c r="GW248" s="5">
        <v>1</v>
      </c>
      <c r="GX248" s="5">
        <f t="shared" ref="GX248:GX261" si="113">ROUND(HC248*I248,2)</f>
        <v>0</v>
      </c>
      <c r="GY248" s="5"/>
      <c r="GZ248" s="5"/>
      <c r="HA248" s="5">
        <v>0</v>
      </c>
      <c r="HB248" s="5">
        <v>0</v>
      </c>
      <c r="HC248" s="5">
        <f t="shared" ref="HC248:HC261" si="114">GV248*GW248</f>
        <v>0</v>
      </c>
      <c r="HD248" s="5"/>
      <c r="HE248" s="5" t="s">
        <v>6</v>
      </c>
      <c r="HF248" s="5" t="s">
        <v>6</v>
      </c>
      <c r="HG248" s="5"/>
      <c r="HH248" s="5"/>
      <c r="HI248" s="5"/>
      <c r="HJ248" s="5"/>
      <c r="HK248" s="5"/>
      <c r="HL248" s="5"/>
      <c r="HM248" s="5" t="s">
        <v>6</v>
      </c>
      <c r="HN248" s="5" t="s">
        <v>175</v>
      </c>
      <c r="HO248" s="5" t="s">
        <v>176</v>
      </c>
      <c r="HP248" s="5" t="s">
        <v>173</v>
      </c>
      <c r="HQ248" s="5" t="s">
        <v>173</v>
      </c>
      <c r="HR248" s="5"/>
      <c r="HS248" s="5">
        <v>0</v>
      </c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>
        <v>0</v>
      </c>
      <c r="IL248" s="5"/>
      <c r="IM248" s="5"/>
      <c r="IN248" s="5"/>
      <c r="IO248" s="5"/>
      <c r="IP248" s="5"/>
      <c r="IQ248" s="5"/>
      <c r="IR248" s="5"/>
      <c r="IS248" s="5"/>
      <c r="IT248" s="5"/>
      <c r="IU248" s="5"/>
    </row>
    <row r="249" spans="1:255" x14ac:dyDescent="0.2">
      <c r="A249" s="5">
        <v>17</v>
      </c>
      <c r="B249" s="5">
        <v>1</v>
      </c>
      <c r="C249" s="5">
        <f>ROW(SmtRes!A45)</f>
        <v>45</v>
      </c>
      <c r="D249" s="5">
        <f>ROW(EtalonRes!A57)</f>
        <v>57</v>
      </c>
      <c r="E249" s="5" t="s">
        <v>177</v>
      </c>
      <c r="F249" s="5" t="s">
        <v>178</v>
      </c>
      <c r="G249" s="5" t="s">
        <v>179</v>
      </c>
      <c r="H249" s="5" t="s">
        <v>90</v>
      </c>
      <c r="I249" s="5">
        <v>0.61</v>
      </c>
      <c r="J249" s="5">
        <v>0</v>
      </c>
      <c r="K249" s="5">
        <v>0.61</v>
      </c>
      <c r="L249" s="5"/>
      <c r="M249" s="5"/>
      <c r="N249" s="5"/>
      <c r="O249" s="5">
        <f t="shared" si="96"/>
        <v>3792.28</v>
      </c>
      <c r="P249" s="5">
        <f>SUMIF(SmtRes!AQ45:'SmtRes'!AQ45,"=1",SmtRes!DF45:'SmtRes'!DF45)</f>
        <v>0</v>
      </c>
      <c r="Q249" s="5">
        <f>SUMIF(SmtRes!AQ45:'SmtRes'!AQ45,"=1",SmtRes!DG45:'SmtRes'!DG45)</f>
        <v>0</v>
      </c>
      <c r="R249" s="5">
        <f>SUMIF(SmtRes!AQ45:'SmtRes'!AQ45,"=1",SmtRes!DH45:'SmtRes'!DH45)</f>
        <v>0</v>
      </c>
      <c r="S249" s="5">
        <f>SUMIF(SmtRes!AQ45:'SmtRes'!AQ45,"=1",SmtRes!DI45:'SmtRes'!DI45)</f>
        <v>3792.28</v>
      </c>
      <c r="T249" s="5">
        <f t="shared" si="97"/>
        <v>0</v>
      </c>
      <c r="U249" s="5">
        <f>SUMIF(SmtRes!AQ45:'SmtRes'!AQ45,"=1",SmtRes!CV45:'SmtRes'!CV45)</f>
        <v>13.920199999999999</v>
      </c>
      <c r="V249" s="5">
        <f>SUMIF(SmtRes!AQ45:'SmtRes'!AQ45,"=1",SmtRes!CW45:'SmtRes'!CW45)</f>
        <v>0</v>
      </c>
      <c r="W249" s="5">
        <f t="shared" si="98"/>
        <v>0</v>
      </c>
      <c r="X249" s="5">
        <f t="shared" si="99"/>
        <v>3450.97</v>
      </c>
      <c r="Y249" s="5">
        <f t="shared" si="100"/>
        <v>1971.99</v>
      </c>
      <c r="Z249" s="5"/>
      <c r="AA249" s="5">
        <v>74852007</v>
      </c>
      <c r="AB249" s="5">
        <f t="shared" si="101"/>
        <v>6216.85</v>
      </c>
      <c r="AC249" s="5">
        <f>ROUND((0),2)</f>
        <v>0</v>
      </c>
      <c r="AD249" s="5">
        <f>ROUND((((0)-(0))+AE249),2)</f>
        <v>0</v>
      </c>
      <c r="AE249" s="5">
        <f>ROUND((0),2)</f>
        <v>0</v>
      </c>
      <c r="AF249" s="5">
        <f>ROUND((SUM(SmtRes!BT45:'SmtRes'!BT45)),2)</f>
        <v>6216.85</v>
      </c>
      <c r="AG249" s="5">
        <f t="shared" si="102"/>
        <v>0</v>
      </c>
      <c r="AH249" s="5">
        <f>(SUM(SmtRes!BU45:'SmtRes'!BU45))</f>
        <v>22.82</v>
      </c>
      <c r="AI249" s="5">
        <f>(0)</f>
        <v>0</v>
      </c>
      <c r="AJ249" s="5">
        <f t="shared" si="103"/>
        <v>0</v>
      </c>
      <c r="AK249" s="5">
        <v>6216.8526000000002</v>
      </c>
      <c r="AL249" s="5">
        <v>0</v>
      </c>
      <c r="AM249" s="5">
        <v>0</v>
      </c>
      <c r="AN249" s="5">
        <v>0</v>
      </c>
      <c r="AO249" s="5">
        <v>6216.8526000000002</v>
      </c>
      <c r="AP249" s="5">
        <v>0</v>
      </c>
      <c r="AQ249" s="5">
        <v>22.82</v>
      </c>
      <c r="AR249" s="5">
        <v>0</v>
      </c>
      <c r="AS249" s="5">
        <v>0</v>
      </c>
      <c r="AT249" s="5">
        <v>91</v>
      </c>
      <c r="AU249" s="5">
        <v>52</v>
      </c>
      <c r="AV249" s="5">
        <v>1</v>
      </c>
      <c r="AW249" s="5">
        <v>1</v>
      </c>
      <c r="AX249" s="5"/>
      <c r="AY249" s="5"/>
      <c r="AZ249" s="5">
        <v>1</v>
      </c>
      <c r="BA249" s="5">
        <v>1</v>
      </c>
      <c r="BB249" s="5">
        <v>1</v>
      </c>
      <c r="BC249" s="5">
        <v>1</v>
      </c>
      <c r="BD249" s="5" t="s">
        <v>6</v>
      </c>
      <c r="BE249" s="5" t="s">
        <v>6</v>
      </c>
      <c r="BF249" s="5" t="s">
        <v>6</v>
      </c>
      <c r="BG249" s="5" t="s">
        <v>6</v>
      </c>
      <c r="BH249" s="5">
        <v>0</v>
      </c>
      <c r="BI249" s="5">
        <v>1</v>
      </c>
      <c r="BJ249" s="5" t="s">
        <v>180</v>
      </c>
      <c r="BK249" s="5"/>
      <c r="BL249" s="5"/>
      <c r="BM249" s="5">
        <v>46003</v>
      </c>
      <c r="BN249" s="5">
        <v>66927928</v>
      </c>
      <c r="BO249" s="5" t="s">
        <v>6</v>
      </c>
      <c r="BP249" s="5">
        <v>0</v>
      </c>
      <c r="BQ249" s="5">
        <v>2</v>
      </c>
      <c r="BR249" s="5">
        <v>0</v>
      </c>
      <c r="BS249" s="5">
        <v>1</v>
      </c>
      <c r="BT249" s="5">
        <v>1</v>
      </c>
      <c r="BU249" s="5">
        <v>1</v>
      </c>
      <c r="BV249" s="5">
        <v>1</v>
      </c>
      <c r="BW249" s="5">
        <v>1</v>
      </c>
      <c r="BX249" s="5">
        <v>1</v>
      </c>
      <c r="BY249" s="5" t="s">
        <v>6</v>
      </c>
      <c r="BZ249" s="5">
        <v>91</v>
      </c>
      <c r="CA249" s="5">
        <v>52</v>
      </c>
      <c r="CB249" s="5" t="s">
        <v>6</v>
      </c>
      <c r="CC249" s="5"/>
      <c r="CD249" s="5"/>
      <c r="CE249" s="5">
        <v>0</v>
      </c>
      <c r="CF249" s="5">
        <v>0</v>
      </c>
      <c r="CG249" s="5">
        <v>0</v>
      </c>
      <c r="CH249" s="5"/>
      <c r="CI249" s="5"/>
      <c r="CJ249" s="5"/>
      <c r="CK249" s="5"/>
      <c r="CL249" s="5"/>
      <c r="CM249" s="5">
        <v>0</v>
      </c>
      <c r="CN249" s="5" t="s">
        <v>6</v>
      </c>
      <c r="CO249" s="5">
        <v>0</v>
      </c>
      <c r="CP249" s="5">
        <f t="shared" si="104"/>
        <v>3792.28</v>
      </c>
      <c r="CQ249" s="5">
        <f>SUMIF(SmtRes!AQ45:'SmtRes'!AQ45,"=1",SmtRes!AA45:'SmtRes'!AA45)</f>
        <v>0</v>
      </c>
      <c r="CR249" s="5">
        <f>SUMIF(SmtRes!AQ45:'SmtRes'!AQ45,"=1",SmtRes!AB45:'SmtRes'!AB45)</f>
        <v>0</v>
      </c>
      <c r="CS249" s="5">
        <f>SUMIF(SmtRes!AQ45:'SmtRes'!AQ45,"=1",SmtRes!AC45:'SmtRes'!AC45)</f>
        <v>0</v>
      </c>
      <c r="CT249" s="5">
        <f>SUMIF(SmtRes!AQ45:'SmtRes'!AQ45,"=1",SmtRes!AD45:'SmtRes'!AD45)</f>
        <v>272.43</v>
      </c>
      <c r="CU249" s="5">
        <f t="shared" si="105"/>
        <v>0</v>
      </c>
      <c r="CV249" s="5">
        <f>SUMIF(SmtRes!AQ45:'SmtRes'!AQ45,"=1",SmtRes!BU45:'SmtRes'!BU45)</f>
        <v>22.82</v>
      </c>
      <c r="CW249" s="5">
        <f>SUMIF(SmtRes!AQ45:'SmtRes'!AQ45,"=1",SmtRes!BV45:'SmtRes'!BV45)</f>
        <v>0</v>
      </c>
      <c r="CX249" s="5">
        <f t="shared" si="106"/>
        <v>0</v>
      </c>
      <c r="CY249" s="5">
        <f>(((S249+R249)*AT249)/100)</f>
        <v>3450.9748000000004</v>
      </c>
      <c r="CZ249" s="5">
        <f>(((S249+R249)*AU249)/100)</f>
        <v>1971.9856</v>
      </c>
      <c r="DA249" s="5"/>
      <c r="DB249" s="5"/>
      <c r="DC249" s="5" t="s">
        <v>6</v>
      </c>
      <c r="DD249" s="5" t="s">
        <v>6</v>
      </c>
      <c r="DE249" s="5" t="s">
        <v>6</v>
      </c>
      <c r="DF249" s="5" t="s">
        <v>6</v>
      </c>
      <c r="DG249" s="5" t="s">
        <v>6</v>
      </c>
      <c r="DH249" s="5" t="s">
        <v>6</v>
      </c>
      <c r="DI249" s="5" t="s">
        <v>6</v>
      </c>
      <c r="DJ249" s="5" t="s">
        <v>6</v>
      </c>
      <c r="DK249" s="5" t="s">
        <v>6</v>
      </c>
      <c r="DL249" s="5" t="s">
        <v>6</v>
      </c>
      <c r="DM249" s="5" t="s">
        <v>6</v>
      </c>
      <c r="DN249" s="5">
        <v>0</v>
      </c>
      <c r="DO249" s="5">
        <v>0</v>
      </c>
      <c r="DP249" s="5">
        <v>1</v>
      </c>
      <c r="DQ249" s="5">
        <v>1</v>
      </c>
      <c r="DR249" s="5"/>
      <c r="DS249" s="5"/>
      <c r="DT249" s="5"/>
      <c r="DU249" s="5">
        <v>1005</v>
      </c>
      <c r="DV249" s="5" t="s">
        <v>90</v>
      </c>
      <c r="DW249" s="5" t="s">
        <v>90</v>
      </c>
      <c r="DX249" s="5">
        <v>100</v>
      </c>
      <c r="DY249" s="5"/>
      <c r="DZ249" s="5" t="s">
        <v>6</v>
      </c>
      <c r="EA249" s="5" t="s">
        <v>6</v>
      </c>
      <c r="EB249" s="5" t="s">
        <v>6</v>
      </c>
      <c r="EC249" s="5" t="s">
        <v>6</v>
      </c>
      <c r="ED249" s="5"/>
      <c r="EE249" s="5">
        <v>67842134</v>
      </c>
      <c r="EF249" s="5">
        <v>2</v>
      </c>
      <c r="EG249" s="5" t="s">
        <v>18</v>
      </c>
      <c r="EH249" s="5">
        <v>40</v>
      </c>
      <c r="EI249" s="5" t="s">
        <v>181</v>
      </c>
      <c r="EJ249" s="5">
        <v>1</v>
      </c>
      <c r="EK249" s="5">
        <v>46003</v>
      </c>
      <c r="EL249" s="5" t="s">
        <v>182</v>
      </c>
      <c r="EM249" s="5" t="s">
        <v>183</v>
      </c>
      <c r="EN249" s="5"/>
      <c r="EO249" s="5" t="s">
        <v>6</v>
      </c>
      <c r="EP249" s="5"/>
      <c r="EQ249" s="5">
        <v>0</v>
      </c>
      <c r="ER249" s="5">
        <v>0</v>
      </c>
      <c r="ES249" s="5">
        <v>0</v>
      </c>
      <c r="ET249" s="5">
        <v>0</v>
      </c>
      <c r="EU249" s="5">
        <v>0</v>
      </c>
      <c r="EV249" s="5">
        <v>0</v>
      </c>
      <c r="EW249" s="5">
        <v>22.82</v>
      </c>
      <c r="EX249" s="5">
        <v>0</v>
      </c>
      <c r="EY249" s="5">
        <v>0</v>
      </c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>
        <v>0</v>
      </c>
      <c r="FR249" s="5">
        <v>0</v>
      </c>
      <c r="FS249" s="5">
        <v>0</v>
      </c>
      <c r="FT249" s="5"/>
      <c r="FU249" s="5"/>
      <c r="FV249" s="5"/>
      <c r="FW249" s="5"/>
      <c r="FX249" s="5">
        <v>91</v>
      </c>
      <c r="FY249" s="5">
        <v>52</v>
      </c>
      <c r="FZ249" s="5"/>
      <c r="GA249" s="5" t="s">
        <v>6</v>
      </c>
      <c r="GB249" s="5"/>
      <c r="GC249" s="5"/>
      <c r="GD249" s="5">
        <v>1</v>
      </c>
      <c r="GE249" s="5"/>
      <c r="GF249" s="5">
        <v>352561326</v>
      </c>
      <c r="GG249" s="5">
        <v>2</v>
      </c>
      <c r="GH249" s="5">
        <v>1</v>
      </c>
      <c r="GI249" s="5">
        <v>-2</v>
      </c>
      <c r="GJ249" s="5">
        <v>0</v>
      </c>
      <c r="GK249" s="5">
        <v>0</v>
      </c>
      <c r="GL249" s="5">
        <f t="shared" si="107"/>
        <v>0</v>
      </c>
      <c r="GM249" s="5">
        <f t="shared" si="108"/>
        <v>9215.24</v>
      </c>
      <c r="GN249" s="5">
        <f t="shared" si="109"/>
        <v>9215.24</v>
      </c>
      <c r="GO249" s="5">
        <f t="shared" si="110"/>
        <v>0</v>
      </c>
      <c r="GP249" s="5">
        <f t="shared" si="111"/>
        <v>0</v>
      </c>
      <c r="GQ249" s="5"/>
      <c r="GR249" s="5">
        <v>0</v>
      </c>
      <c r="GS249" s="5">
        <v>3</v>
      </c>
      <c r="GT249" s="5">
        <v>0</v>
      </c>
      <c r="GU249" s="5" t="s">
        <v>6</v>
      </c>
      <c r="GV249" s="5">
        <f t="shared" si="112"/>
        <v>0</v>
      </c>
      <c r="GW249" s="5">
        <v>1</v>
      </c>
      <c r="GX249" s="5">
        <f t="shared" si="113"/>
        <v>0</v>
      </c>
      <c r="GY249" s="5"/>
      <c r="GZ249" s="5"/>
      <c r="HA249" s="5">
        <v>0</v>
      </c>
      <c r="HB249" s="5">
        <v>0</v>
      </c>
      <c r="HC249" s="5">
        <f t="shared" si="114"/>
        <v>0</v>
      </c>
      <c r="HD249" s="5"/>
      <c r="HE249" s="5" t="s">
        <v>6</v>
      </c>
      <c r="HF249" s="5" t="s">
        <v>6</v>
      </c>
      <c r="HG249" s="5"/>
      <c r="HH249" s="5"/>
      <c r="HI249" s="5"/>
      <c r="HJ249" s="5"/>
      <c r="HK249" s="5"/>
      <c r="HL249" s="5"/>
      <c r="HM249" s="5" t="s">
        <v>6</v>
      </c>
      <c r="HN249" s="5" t="s">
        <v>184</v>
      </c>
      <c r="HO249" s="5" t="s">
        <v>185</v>
      </c>
      <c r="HP249" s="5" t="s">
        <v>182</v>
      </c>
      <c r="HQ249" s="5" t="s">
        <v>182</v>
      </c>
      <c r="HR249" s="5"/>
      <c r="HS249" s="5">
        <v>0</v>
      </c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>
        <v>0</v>
      </c>
      <c r="IL249" s="5"/>
      <c r="IM249" s="5"/>
      <c r="IN249" s="5"/>
      <c r="IO249" s="5"/>
      <c r="IP249" s="5"/>
      <c r="IQ249" s="5"/>
      <c r="IR249" s="5"/>
      <c r="IS249" s="5"/>
      <c r="IT249" s="5"/>
      <c r="IU249" s="5"/>
    </row>
    <row r="250" spans="1:255" x14ac:dyDescent="0.2">
      <c r="A250" s="5">
        <v>17</v>
      </c>
      <c r="B250" s="5">
        <v>1</v>
      </c>
      <c r="C250" s="5">
        <f>ROW(SmtRes!A53)</f>
        <v>53</v>
      </c>
      <c r="D250" s="5">
        <f>ROW(EtalonRes!A65)</f>
        <v>65</v>
      </c>
      <c r="E250" s="5" t="s">
        <v>186</v>
      </c>
      <c r="F250" s="5" t="s">
        <v>187</v>
      </c>
      <c r="G250" s="5" t="s">
        <v>188</v>
      </c>
      <c r="H250" s="5" t="s">
        <v>90</v>
      </c>
      <c r="I250" s="5">
        <v>0.61</v>
      </c>
      <c r="J250" s="5">
        <v>0</v>
      </c>
      <c r="K250" s="5">
        <v>0.61</v>
      </c>
      <c r="L250" s="5"/>
      <c r="M250" s="5"/>
      <c r="N250" s="5"/>
      <c r="O250" s="5">
        <f t="shared" si="96"/>
        <v>24469.97</v>
      </c>
      <c r="P250" s="5">
        <f>SUMIF(SmtRes!AQ46:'SmtRes'!AQ53,"=1",SmtRes!DF46:'SmtRes'!DF53)</f>
        <v>6124.15</v>
      </c>
      <c r="Q250" s="5">
        <f>SUMIF(SmtRes!AQ46:'SmtRes'!AQ53,"=1",SmtRes!DG46:'SmtRes'!DG53)</f>
        <v>92.710000000000008</v>
      </c>
      <c r="R250" s="5">
        <f>SUMIF(SmtRes!AQ46:'SmtRes'!AQ53,"=1",SmtRes!DH46:'SmtRes'!DH53)</f>
        <v>1256.4100000000001</v>
      </c>
      <c r="S250" s="5">
        <f>SUMIF(SmtRes!AQ46:'SmtRes'!AQ53,"=1",SmtRes!DI46:'SmtRes'!DI53)</f>
        <v>16996.7</v>
      </c>
      <c r="T250" s="5">
        <f t="shared" si="97"/>
        <v>0</v>
      </c>
      <c r="U250" s="5">
        <f>SUMIF(SmtRes!AQ46:'SmtRes'!AQ53,"=1",SmtRes!CV46:'SmtRes'!CV53)</f>
        <v>51.911000000000001</v>
      </c>
      <c r="V250" s="5">
        <f>SUMIF(SmtRes!AQ46:'SmtRes'!AQ53,"=1",SmtRes!CW46:'SmtRes'!CW53)</f>
        <v>4.2242500000000005</v>
      </c>
      <c r="W250" s="5">
        <f t="shared" si="98"/>
        <v>0</v>
      </c>
      <c r="X250" s="5">
        <f t="shared" si="99"/>
        <v>16427.8</v>
      </c>
      <c r="Y250" s="5">
        <f t="shared" si="100"/>
        <v>7602.42</v>
      </c>
      <c r="Z250" s="5"/>
      <c r="AA250" s="5">
        <v>74852007</v>
      </c>
      <c r="AB250" s="5">
        <f t="shared" si="101"/>
        <v>36304.07</v>
      </c>
      <c r="AC250" s="5">
        <f>ROUND((SUM(SmtRes!BQ46:'SmtRes'!BQ53)),2)</f>
        <v>8337.94</v>
      </c>
      <c r="AD250" s="5">
        <f>ROUND((((SUM(SmtRes!BR46:'SmtRes'!BR53))-(SUM(SmtRes!BS46:'SmtRes'!BS53)))+AE250),2)</f>
        <v>102.69</v>
      </c>
      <c r="AE250" s="5">
        <f>ROUND((SUM(SmtRes!BS46:'SmtRes'!BS53)),2)</f>
        <v>2059.6999999999998</v>
      </c>
      <c r="AF250" s="5">
        <f>ROUND((SUM(SmtRes!BT46:'SmtRes'!BT53)),2)</f>
        <v>27863.439999999999</v>
      </c>
      <c r="AG250" s="5">
        <f t="shared" si="102"/>
        <v>0</v>
      </c>
      <c r="AH250" s="5">
        <f>(SUM(SmtRes!BU46:'SmtRes'!BU53))</f>
        <v>85.1</v>
      </c>
      <c r="AI250" s="5">
        <f>(SUM(SmtRes!BV46:'SmtRes'!BV53))</f>
        <v>6.9249999999999998</v>
      </c>
      <c r="AJ250" s="5">
        <f t="shared" si="103"/>
        <v>0</v>
      </c>
      <c r="AK250" s="5">
        <v>34296.935868</v>
      </c>
      <c r="AL250" s="5">
        <v>8337.9378680000009</v>
      </c>
      <c r="AM250" s="5">
        <v>82.155799999999999</v>
      </c>
      <c r="AN250" s="5">
        <v>1647.7622000000001</v>
      </c>
      <c r="AO250" s="5">
        <v>24229.08</v>
      </c>
      <c r="AP250" s="5">
        <v>0</v>
      </c>
      <c r="AQ250" s="5">
        <v>74</v>
      </c>
      <c r="AR250" s="5">
        <v>5.54</v>
      </c>
      <c r="AS250" s="5">
        <v>0</v>
      </c>
      <c r="AT250" s="5">
        <v>90</v>
      </c>
      <c r="AU250" s="5">
        <v>41.65</v>
      </c>
      <c r="AV250" s="5">
        <v>1</v>
      </c>
      <c r="AW250" s="5">
        <v>1</v>
      </c>
      <c r="AX250" s="5"/>
      <c r="AY250" s="5"/>
      <c r="AZ250" s="5">
        <v>1</v>
      </c>
      <c r="BA250" s="5">
        <v>1</v>
      </c>
      <c r="BB250" s="5">
        <v>1</v>
      </c>
      <c r="BC250" s="5">
        <v>1</v>
      </c>
      <c r="BD250" s="5" t="s">
        <v>6</v>
      </c>
      <c r="BE250" s="5" t="s">
        <v>6</v>
      </c>
      <c r="BF250" s="5" t="s">
        <v>6</v>
      </c>
      <c r="BG250" s="5" t="s">
        <v>6</v>
      </c>
      <c r="BH250" s="5">
        <v>0</v>
      </c>
      <c r="BI250" s="5">
        <v>1</v>
      </c>
      <c r="BJ250" s="5" t="s">
        <v>189</v>
      </c>
      <c r="BK250" s="5"/>
      <c r="BL250" s="5"/>
      <c r="BM250" s="5">
        <v>15001</v>
      </c>
      <c r="BN250" s="5">
        <v>66927928</v>
      </c>
      <c r="BO250" s="5" t="s">
        <v>6</v>
      </c>
      <c r="BP250" s="5">
        <v>0</v>
      </c>
      <c r="BQ250" s="5">
        <v>2</v>
      </c>
      <c r="BR250" s="5">
        <v>0</v>
      </c>
      <c r="BS250" s="5">
        <v>1</v>
      </c>
      <c r="BT250" s="5">
        <v>1</v>
      </c>
      <c r="BU250" s="5">
        <v>1</v>
      </c>
      <c r="BV250" s="5">
        <v>1</v>
      </c>
      <c r="BW250" s="5">
        <v>1</v>
      </c>
      <c r="BX250" s="5">
        <v>1</v>
      </c>
      <c r="BY250" s="5" t="s">
        <v>6</v>
      </c>
      <c r="BZ250" s="5">
        <v>100</v>
      </c>
      <c r="CA250" s="5">
        <v>49</v>
      </c>
      <c r="CB250" s="5" t="s">
        <v>6</v>
      </c>
      <c r="CC250" s="5"/>
      <c r="CD250" s="5"/>
      <c r="CE250" s="5">
        <v>0</v>
      </c>
      <c r="CF250" s="5">
        <v>0</v>
      </c>
      <c r="CG250" s="5">
        <v>0</v>
      </c>
      <c r="CH250" s="5"/>
      <c r="CI250" s="5"/>
      <c r="CJ250" s="5"/>
      <c r="CK250" s="5"/>
      <c r="CL250" s="5"/>
      <c r="CM250" s="5">
        <v>0</v>
      </c>
      <c r="CN250" s="5" t="s">
        <v>115</v>
      </c>
      <c r="CO250" s="5">
        <v>0</v>
      </c>
      <c r="CP250" s="5">
        <f t="shared" si="104"/>
        <v>24469.97</v>
      </c>
      <c r="CQ250" s="5">
        <f>SUMIF(SmtRes!AQ46:'SmtRes'!AQ53,"=1",SmtRes!AA46:'SmtRes'!AA53)</f>
        <v>108575.66999999998</v>
      </c>
      <c r="CR250" s="5">
        <f>SUMIF(SmtRes!AQ46:'SmtRes'!AQ53,"=1",SmtRes!AB46:'SmtRes'!AB53)</f>
        <v>71.22999999999999</v>
      </c>
      <c r="CS250" s="5">
        <f>SUMIF(SmtRes!AQ46:'SmtRes'!AQ53,"=1",SmtRes!AC46:'SmtRes'!AC53)</f>
        <v>594.86</v>
      </c>
      <c r="CT250" s="5">
        <f>SUMIF(SmtRes!AQ46:'SmtRes'!AQ53,"=1",SmtRes!AD46:'SmtRes'!AD53)</f>
        <v>327.42</v>
      </c>
      <c r="CU250" s="5">
        <f t="shared" si="105"/>
        <v>0</v>
      </c>
      <c r="CV250" s="5">
        <f>SUMIF(SmtRes!AQ46:'SmtRes'!AQ53,"=1",SmtRes!BU46:'SmtRes'!BU53)</f>
        <v>85.1</v>
      </c>
      <c r="CW250" s="5">
        <f>SUMIF(SmtRes!AQ46:'SmtRes'!AQ53,"=1",SmtRes!BV46:'SmtRes'!BV53)</f>
        <v>6.9249999999999998</v>
      </c>
      <c r="CX250" s="5">
        <f t="shared" si="106"/>
        <v>0</v>
      </c>
      <c r="CY250" s="5">
        <f>(((S250+R250)*AT250)/100)</f>
        <v>16427.799000000003</v>
      </c>
      <c r="CZ250" s="5">
        <f>(((S250+R250)*AU250)/100)</f>
        <v>7602.4203150000003</v>
      </c>
      <c r="DA250" s="5"/>
      <c r="DB250" s="5"/>
      <c r="DC250" s="5" t="s">
        <v>6</v>
      </c>
      <c r="DD250" s="5" t="s">
        <v>6</v>
      </c>
      <c r="DE250" s="5" t="s">
        <v>116</v>
      </c>
      <c r="DF250" s="5" t="s">
        <v>116</v>
      </c>
      <c r="DG250" s="5" t="s">
        <v>117</v>
      </c>
      <c r="DH250" s="5" t="s">
        <v>6</v>
      </c>
      <c r="DI250" s="5" t="s">
        <v>117</v>
      </c>
      <c r="DJ250" s="5" t="s">
        <v>116</v>
      </c>
      <c r="DK250" s="5" t="s">
        <v>6</v>
      </c>
      <c r="DL250" s="5" t="s">
        <v>118</v>
      </c>
      <c r="DM250" s="5" t="s">
        <v>119</v>
      </c>
      <c r="DN250" s="5">
        <v>0</v>
      </c>
      <c r="DO250" s="5">
        <v>0</v>
      </c>
      <c r="DP250" s="5">
        <v>1</v>
      </c>
      <c r="DQ250" s="5">
        <v>1</v>
      </c>
      <c r="DR250" s="5"/>
      <c r="DS250" s="5"/>
      <c r="DT250" s="5"/>
      <c r="DU250" s="5">
        <v>1005</v>
      </c>
      <c r="DV250" s="5" t="s">
        <v>90</v>
      </c>
      <c r="DW250" s="5" t="s">
        <v>90</v>
      </c>
      <c r="DX250" s="5">
        <v>100</v>
      </c>
      <c r="DY250" s="5"/>
      <c r="DZ250" s="5" t="s">
        <v>6</v>
      </c>
      <c r="EA250" s="5" t="s">
        <v>6</v>
      </c>
      <c r="EB250" s="5" t="s">
        <v>6</v>
      </c>
      <c r="EC250" s="5" t="s">
        <v>6</v>
      </c>
      <c r="ED250" s="5"/>
      <c r="EE250" s="5">
        <v>67841919</v>
      </c>
      <c r="EF250" s="5">
        <v>2</v>
      </c>
      <c r="EG250" s="5" t="s">
        <v>18</v>
      </c>
      <c r="EH250" s="5">
        <v>15</v>
      </c>
      <c r="EI250" s="5" t="s">
        <v>190</v>
      </c>
      <c r="EJ250" s="5">
        <v>1</v>
      </c>
      <c r="EK250" s="5">
        <v>15001</v>
      </c>
      <c r="EL250" s="5" t="s">
        <v>190</v>
      </c>
      <c r="EM250" s="5" t="s">
        <v>191</v>
      </c>
      <c r="EN250" s="5"/>
      <c r="EO250" s="5" t="s">
        <v>121</v>
      </c>
      <c r="EP250" s="5"/>
      <c r="EQ250" s="5">
        <v>0</v>
      </c>
      <c r="ER250" s="5">
        <v>0</v>
      </c>
      <c r="ES250" s="5">
        <v>0</v>
      </c>
      <c r="ET250" s="5">
        <v>0</v>
      </c>
      <c r="EU250" s="5">
        <v>0</v>
      </c>
      <c r="EV250" s="5">
        <v>0</v>
      </c>
      <c r="EW250" s="5">
        <v>74</v>
      </c>
      <c r="EX250" s="5">
        <v>5.54</v>
      </c>
      <c r="EY250" s="5">
        <v>0</v>
      </c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>
        <v>0</v>
      </c>
      <c r="FR250" s="5">
        <v>0</v>
      </c>
      <c r="FS250" s="5">
        <v>0</v>
      </c>
      <c r="FT250" s="5"/>
      <c r="FU250" s="5"/>
      <c r="FV250" s="5"/>
      <c r="FW250" s="5"/>
      <c r="FX250" s="5">
        <v>90</v>
      </c>
      <c r="FY250" s="5">
        <v>41.65</v>
      </c>
      <c r="FZ250" s="5"/>
      <c r="GA250" s="5" t="s">
        <v>6</v>
      </c>
      <c r="GB250" s="5"/>
      <c r="GC250" s="5"/>
      <c r="GD250" s="5">
        <v>1</v>
      </c>
      <c r="GE250" s="5"/>
      <c r="GF250" s="5">
        <v>-1650786581</v>
      </c>
      <c r="GG250" s="5">
        <v>2</v>
      </c>
      <c r="GH250" s="5">
        <v>1</v>
      </c>
      <c r="GI250" s="5">
        <v>-2</v>
      </c>
      <c r="GJ250" s="5">
        <v>0</v>
      </c>
      <c r="GK250" s="5">
        <v>0</v>
      </c>
      <c r="GL250" s="5">
        <f t="shared" si="107"/>
        <v>0</v>
      </c>
      <c r="GM250" s="5">
        <f t="shared" si="108"/>
        <v>48500.19</v>
      </c>
      <c r="GN250" s="5">
        <f t="shared" si="109"/>
        <v>48500.19</v>
      </c>
      <c r="GO250" s="5">
        <f t="shared" si="110"/>
        <v>0</v>
      </c>
      <c r="GP250" s="5">
        <f t="shared" si="111"/>
        <v>0</v>
      </c>
      <c r="GQ250" s="5"/>
      <c r="GR250" s="5">
        <v>0</v>
      </c>
      <c r="GS250" s="5">
        <v>3</v>
      </c>
      <c r="GT250" s="5">
        <v>0</v>
      </c>
      <c r="GU250" s="5" t="s">
        <v>6</v>
      </c>
      <c r="GV250" s="5">
        <f t="shared" si="112"/>
        <v>0</v>
      </c>
      <c r="GW250" s="5">
        <v>1</v>
      </c>
      <c r="GX250" s="5">
        <f t="shared" si="113"/>
        <v>0</v>
      </c>
      <c r="GY250" s="5"/>
      <c r="GZ250" s="5"/>
      <c r="HA250" s="5">
        <v>0</v>
      </c>
      <c r="HB250" s="5">
        <v>0</v>
      </c>
      <c r="HC250" s="5">
        <f t="shared" si="114"/>
        <v>0</v>
      </c>
      <c r="HD250" s="5"/>
      <c r="HE250" s="5" t="s">
        <v>6</v>
      </c>
      <c r="HF250" s="5" t="s">
        <v>6</v>
      </c>
      <c r="HG250" s="5"/>
      <c r="HH250" s="5"/>
      <c r="HI250" s="5"/>
      <c r="HJ250" s="5"/>
      <c r="HK250" s="5"/>
      <c r="HL250" s="5"/>
      <c r="HM250" s="5" t="s">
        <v>6</v>
      </c>
      <c r="HN250" s="5" t="s">
        <v>192</v>
      </c>
      <c r="HO250" s="5" t="s">
        <v>193</v>
      </c>
      <c r="HP250" s="5" t="s">
        <v>190</v>
      </c>
      <c r="HQ250" s="5" t="s">
        <v>190</v>
      </c>
      <c r="HR250" s="5"/>
      <c r="HS250" s="5">
        <v>0</v>
      </c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>
        <v>0</v>
      </c>
      <c r="IL250" s="5"/>
      <c r="IM250" s="5"/>
      <c r="IN250" s="5"/>
      <c r="IO250" s="5"/>
      <c r="IP250" s="5"/>
      <c r="IQ250" s="5"/>
      <c r="IR250" s="5"/>
      <c r="IS250" s="5"/>
      <c r="IT250" s="5"/>
      <c r="IU250" s="5"/>
    </row>
    <row r="251" spans="1:255" x14ac:dyDescent="0.2">
      <c r="A251" s="5">
        <v>17</v>
      </c>
      <c r="B251" s="5">
        <v>1</v>
      </c>
      <c r="C251" s="5">
        <f>ROW(SmtRes!A70)</f>
        <v>70</v>
      </c>
      <c r="D251" s="5">
        <f>ROW(EtalonRes!A83)</f>
        <v>83</v>
      </c>
      <c r="E251" s="5" t="s">
        <v>194</v>
      </c>
      <c r="F251" s="5" t="s">
        <v>195</v>
      </c>
      <c r="G251" s="5" t="s">
        <v>196</v>
      </c>
      <c r="H251" s="5" t="s">
        <v>90</v>
      </c>
      <c r="I251" s="5">
        <f>ROUND(0.05,7)</f>
        <v>0.05</v>
      </c>
      <c r="J251" s="5">
        <v>0</v>
      </c>
      <c r="K251" s="5">
        <f>ROUND(0.05,7)</f>
        <v>0.05</v>
      </c>
      <c r="L251" s="5"/>
      <c r="M251" s="5"/>
      <c r="N251" s="5"/>
      <c r="O251" s="5">
        <f t="shared" si="96"/>
        <v>2503.4899999999998</v>
      </c>
      <c r="P251" s="5">
        <f>SUMIF(SmtRes!AQ54:'SmtRes'!AQ70,"=1",SmtRes!DF54:'SmtRes'!DF70)</f>
        <v>1049.53</v>
      </c>
      <c r="Q251" s="5">
        <f>SUMIF(SmtRes!AQ54:'SmtRes'!AQ70,"=1",SmtRes!DG54:'SmtRes'!DG70)</f>
        <v>0.35</v>
      </c>
      <c r="R251" s="5">
        <f>SUMIF(SmtRes!AQ54:'SmtRes'!AQ70,"=1",SmtRes!DH54:'SmtRes'!DH70)</f>
        <v>2.6</v>
      </c>
      <c r="S251" s="5">
        <f>SUMIF(SmtRes!AQ54:'SmtRes'!AQ70,"=1",SmtRes!DI54:'SmtRes'!DI70)</f>
        <v>1451.01</v>
      </c>
      <c r="T251" s="5">
        <f t="shared" si="97"/>
        <v>0</v>
      </c>
      <c r="U251" s="5">
        <f>SUMIF(SmtRes!AQ54:'SmtRes'!AQ70,"=1",SmtRes!CV54:'SmtRes'!CV70)</f>
        <v>4.6442750000000004</v>
      </c>
      <c r="V251" s="5">
        <f>SUMIF(SmtRes!AQ54:'SmtRes'!AQ70,"=1",SmtRes!CW54:'SmtRes'!CW70)</f>
        <v>8.7500000000000008E-3</v>
      </c>
      <c r="W251" s="5">
        <f t="shared" si="98"/>
        <v>0</v>
      </c>
      <c r="X251" s="5">
        <f t="shared" si="99"/>
        <v>1412.91</v>
      </c>
      <c r="Y251" s="5">
        <f t="shared" si="100"/>
        <v>679.56</v>
      </c>
      <c r="Z251" s="5"/>
      <c r="AA251" s="5">
        <v>74852007</v>
      </c>
      <c r="AB251" s="5">
        <f t="shared" si="101"/>
        <v>49128.66</v>
      </c>
      <c r="AC251" s="5">
        <f>ROUND((SUM(SmtRes!BQ54:'SmtRes'!BQ70)),2)</f>
        <v>20103.669999999998</v>
      </c>
      <c r="AD251" s="5">
        <f>ROUND((((SUM(SmtRes!BR54:'SmtRes'!BR70))-(SUM(SmtRes!BS54:'SmtRes'!BS70)))+AE251),2)</f>
        <v>4.7699999999999996</v>
      </c>
      <c r="AE251" s="5">
        <f>ROUND((SUM(SmtRes!BS54:'SmtRes'!BS70)),2)</f>
        <v>52.05</v>
      </c>
      <c r="AF251" s="5">
        <f>ROUND((SUM(SmtRes!BT54:'SmtRes'!BT70)),2)</f>
        <v>29020.22</v>
      </c>
      <c r="AG251" s="5">
        <f t="shared" si="102"/>
        <v>0</v>
      </c>
      <c r="AH251" s="5">
        <f>(SUM(SmtRes!BU54:'SmtRes'!BU70))</f>
        <v>92.885499999999993</v>
      </c>
      <c r="AI251" s="5">
        <f>(SUM(SmtRes!BV54:'SmtRes'!BV70))</f>
        <v>0.17500000000000002</v>
      </c>
      <c r="AJ251" s="5">
        <f t="shared" si="103"/>
        <v>0</v>
      </c>
      <c r="AK251" s="5">
        <v>45384.098116999994</v>
      </c>
      <c r="AL251" s="5">
        <v>20103.671816999999</v>
      </c>
      <c r="AM251" s="5">
        <v>3.8150000000000004</v>
      </c>
      <c r="AN251" s="5">
        <v>41.640200000000007</v>
      </c>
      <c r="AO251" s="5">
        <v>25234.971099999999</v>
      </c>
      <c r="AP251" s="5">
        <v>0</v>
      </c>
      <c r="AQ251" s="5">
        <v>80.77</v>
      </c>
      <c r="AR251" s="5">
        <v>0.14000000000000001</v>
      </c>
      <c r="AS251" s="5">
        <v>0</v>
      </c>
      <c r="AT251" s="5">
        <v>97.2</v>
      </c>
      <c r="AU251" s="5">
        <v>46.75</v>
      </c>
      <c r="AV251" s="5">
        <v>1</v>
      </c>
      <c r="AW251" s="5">
        <v>1</v>
      </c>
      <c r="AX251" s="5"/>
      <c r="AY251" s="5"/>
      <c r="AZ251" s="5">
        <v>1</v>
      </c>
      <c r="BA251" s="5">
        <v>1</v>
      </c>
      <c r="BB251" s="5">
        <v>1</v>
      </c>
      <c r="BC251" s="5">
        <v>1</v>
      </c>
      <c r="BD251" s="5" t="s">
        <v>6</v>
      </c>
      <c r="BE251" s="5" t="s">
        <v>6</v>
      </c>
      <c r="BF251" s="5" t="s">
        <v>6</v>
      </c>
      <c r="BG251" s="5" t="s">
        <v>6</v>
      </c>
      <c r="BH251" s="5">
        <v>0</v>
      </c>
      <c r="BI251" s="5">
        <v>1</v>
      </c>
      <c r="BJ251" s="5" t="s">
        <v>197</v>
      </c>
      <c r="BK251" s="5"/>
      <c r="BL251" s="5"/>
      <c r="BM251" s="5">
        <v>10001</v>
      </c>
      <c r="BN251" s="5">
        <v>66927928</v>
      </c>
      <c r="BO251" s="5" t="s">
        <v>6</v>
      </c>
      <c r="BP251" s="5">
        <v>0</v>
      </c>
      <c r="BQ251" s="5">
        <v>2</v>
      </c>
      <c r="BR251" s="5">
        <v>0</v>
      </c>
      <c r="BS251" s="5">
        <v>1</v>
      </c>
      <c r="BT251" s="5">
        <v>1</v>
      </c>
      <c r="BU251" s="5">
        <v>1</v>
      </c>
      <c r="BV251" s="5">
        <v>1</v>
      </c>
      <c r="BW251" s="5">
        <v>1</v>
      </c>
      <c r="BX251" s="5">
        <v>1</v>
      </c>
      <c r="BY251" s="5" t="s">
        <v>6</v>
      </c>
      <c r="BZ251" s="5">
        <v>108</v>
      </c>
      <c r="CA251" s="5">
        <v>55</v>
      </c>
      <c r="CB251" s="5" t="s">
        <v>6</v>
      </c>
      <c r="CC251" s="5"/>
      <c r="CD251" s="5"/>
      <c r="CE251" s="5">
        <v>0</v>
      </c>
      <c r="CF251" s="5">
        <v>0</v>
      </c>
      <c r="CG251" s="5">
        <v>0</v>
      </c>
      <c r="CH251" s="5"/>
      <c r="CI251" s="5"/>
      <c r="CJ251" s="5"/>
      <c r="CK251" s="5"/>
      <c r="CL251" s="5"/>
      <c r="CM251" s="5">
        <v>0</v>
      </c>
      <c r="CN251" s="5" t="s">
        <v>115</v>
      </c>
      <c r="CO251" s="5">
        <v>0</v>
      </c>
      <c r="CP251" s="5">
        <f t="shared" si="104"/>
        <v>2503.4899999999998</v>
      </c>
      <c r="CQ251" s="5">
        <f>SUMIF(SmtRes!AQ54:'SmtRes'!AQ70,"=1",SmtRes!AA54:'SmtRes'!AA70)</f>
        <v>7703.26</v>
      </c>
      <c r="CR251" s="5">
        <f>SUMIF(SmtRes!AQ54:'SmtRes'!AQ70,"=1",SmtRes!AB54:'SmtRes'!AB70)</f>
        <v>40.33</v>
      </c>
      <c r="CS251" s="5">
        <f>SUMIF(SmtRes!AQ54:'SmtRes'!AQ70,"=1",SmtRes!AC54:'SmtRes'!AC70)</f>
        <v>297.43</v>
      </c>
      <c r="CT251" s="5">
        <f>SUMIF(SmtRes!AQ54:'SmtRes'!AQ70,"=1",SmtRes!AD54:'SmtRes'!AD70)</f>
        <v>312.43</v>
      </c>
      <c r="CU251" s="5">
        <f t="shared" si="105"/>
        <v>0</v>
      </c>
      <c r="CV251" s="5">
        <f>SUMIF(SmtRes!AQ54:'SmtRes'!AQ70,"=1",SmtRes!BU54:'SmtRes'!BU70)</f>
        <v>92.885499999999993</v>
      </c>
      <c r="CW251" s="5">
        <f>SUMIF(SmtRes!AQ54:'SmtRes'!AQ70,"=1",SmtRes!BV54:'SmtRes'!BV70)</f>
        <v>0.17500000000000002</v>
      </c>
      <c r="CX251" s="5">
        <f t="shared" si="106"/>
        <v>0</v>
      </c>
      <c r="CY251" s="5">
        <f>(((S251+R251)*AT251)/100)</f>
        <v>1412.9089199999999</v>
      </c>
      <c r="CZ251" s="5">
        <f>(((S251+R251)*AU251)/100)</f>
        <v>679.56267500000001</v>
      </c>
      <c r="DA251" s="5"/>
      <c r="DB251" s="5"/>
      <c r="DC251" s="5" t="s">
        <v>6</v>
      </c>
      <c r="DD251" s="5" t="s">
        <v>6</v>
      </c>
      <c r="DE251" s="5" t="s">
        <v>116</v>
      </c>
      <c r="DF251" s="5" t="s">
        <v>116</v>
      </c>
      <c r="DG251" s="5" t="s">
        <v>117</v>
      </c>
      <c r="DH251" s="5" t="s">
        <v>6</v>
      </c>
      <c r="DI251" s="5" t="s">
        <v>117</v>
      </c>
      <c r="DJ251" s="5" t="s">
        <v>116</v>
      </c>
      <c r="DK251" s="5" t="s">
        <v>6</v>
      </c>
      <c r="DL251" s="5" t="s">
        <v>118</v>
      </c>
      <c r="DM251" s="5" t="s">
        <v>119</v>
      </c>
      <c r="DN251" s="5">
        <v>0</v>
      </c>
      <c r="DO251" s="5">
        <v>0</v>
      </c>
      <c r="DP251" s="5">
        <v>1</v>
      </c>
      <c r="DQ251" s="5">
        <v>1</v>
      </c>
      <c r="DR251" s="5"/>
      <c r="DS251" s="5"/>
      <c r="DT251" s="5"/>
      <c r="DU251" s="5">
        <v>1005</v>
      </c>
      <c r="DV251" s="5" t="s">
        <v>90</v>
      </c>
      <c r="DW251" s="5" t="s">
        <v>90</v>
      </c>
      <c r="DX251" s="5">
        <v>100</v>
      </c>
      <c r="DY251" s="5"/>
      <c r="DZ251" s="5" t="s">
        <v>6</v>
      </c>
      <c r="EA251" s="5" t="s">
        <v>6</v>
      </c>
      <c r="EB251" s="5" t="s">
        <v>6</v>
      </c>
      <c r="EC251" s="5" t="s">
        <v>6</v>
      </c>
      <c r="ED251" s="5"/>
      <c r="EE251" s="5">
        <v>67841893</v>
      </c>
      <c r="EF251" s="5">
        <v>2</v>
      </c>
      <c r="EG251" s="5" t="s">
        <v>18</v>
      </c>
      <c r="EH251" s="5">
        <v>10</v>
      </c>
      <c r="EI251" s="5" t="s">
        <v>198</v>
      </c>
      <c r="EJ251" s="5">
        <v>1</v>
      </c>
      <c r="EK251" s="5">
        <v>10001</v>
      </c>
      <c r="EL251" s="5" t="s">
        <v>198</v>
      </c>
      <c r="EM251" s="5" t="s">
        <v>199</v>
      </c>
      <c r="EN251" s="5"/>
      <c r="EO251" s="5" t="s">
        <v>121</v>
      </c>
      <c r="EP251" s="5"/>
      <c r="EQ251" s="5">
        <v>0</v>
      </c>
      <c r="ER251" s="5">
        <v>0</v>
      </c>
      <c r="ES251" s="5">
        <v>0</v>
      </c>
      <c r="ET251" s="5">
        <v>0</v>
      </c>
      <c r="EU251" s="5">
        <v>0</v>
      </c>
      <c r="EV251" s="5">
        <v>0</v>
      </c>
      <c r="EW251" s="5">
        <v>80.77</v>
      </c>
      <c r="EX251" s="5">
        <v>0.14000000000000001</v>
      </c>
      <c r="EY251" s="5">
        <v>0</v>
      </c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>
        <v>0</v>
      </c>
      <c r="FR251" s="5">
        <v>0</v>
      </c>
      <c r="FS251" s="5">
        <v>0</v>
      </c>
      <c r="FT251" s="5"/>
      <c r="FU251" s="5"/>
      <c r="FV251" s="5"/>
      <c r="FW251" s="5"/>
      <c r="FX251" s="5">
        <v>97.2</v>
      </c>
      <c r="FY251" s="5">
        <v>46.75</v>
      </c>
      <c r="FZ251" s="5"/>
      <c r="GA251" s="5" t="s">
        <v>6</v>
      </c>
      <c r="GB251" s="5"/>
      <c r="GC251" s="5"/>
      <c r="GD251" s="5">
        <v>1</v>
      </c>
      <c r="GE251" s="5"/>
      <c r="GF251" s="5">
        <v>-1741626658</v>
      </c>
      <c r="GG251" s="5">
        <v>2</v>
      </c>
      <c r="GH251" s="5">
        <v>1</v>
      </c>
      <c r="GI251" s="5">
        <v>-2</v>
      </c>
      <c r="GJ251" s="5">
        <v>0</v>
      </c>
      <c r="GK251" s="5">
        <v>0</v>
      </c>
      <c r="GL251" s="5">
        <f t="shared" si="107"/>
        <v>0</v>
      </c>
      <c r="GM251" s="5">
        <f t="shared" si="108"/>
        <v>4595.96</v>
      </c>
      <c r="GN251" s="5">
        <f t="shared" si="109"/>
        <v>4595.96</v>
      </c>
      <c r="GO251" s="5">
        <f t="shared" si="110"/>
        <v>0</v>
      </c>
      <c r="GP251" s="5">
        <f t="shared" si="111"/>
        <v>0</v>
      </c>
      <c r="GQ251" s="5"/>
      <c r="GR251" s="5">
        <v>0</v>
      </c>
      <c r="GS251" s="5">
        <v>3</v>
      </c>
      <c r="GT251" s="5">
        <v>0</v>
      </c>
      <c r="GU251" s="5" t="s">
        <v>6</v>
      </c>
      <c r="GV251" s="5">
        <f t="shared" si="112"/>
        <v>0</v>
      </c>
      <c r="GW251" s="5">
        <v>1</v>
      </c>
      <c r="GX251" s="5">
        <f t="shared" si="113"/>
        <v>0</v>
      </c>
      <c r="GY251" s="5"/>
      <c r="GZ251" s="5"/>
      <c r="HA251" s="5">
        <v>0</v>
      </c>
      <c r="HB251" s="5">
        <v>0</v>
      </c>
      <c r="HC251" s="5">
        <f t="shared" si="114"/>
        <v>0</v>
      </c>
      <c r="HD251" s="5"/>
      <c r="HE251" s="5" t="s">
        <v>6</v>
      </c>
      <c r="HF251" s="5" t="s">
        <v>6</v>
      </c>
      <c r="HG251" s="5"/>
      <c r="HH251" s="5"/>
      <c r="HI251" s="5"/>
      <c r="HJ251" s="5"/>
      <c r="HK251" s="5"/>
      <c r="HL251" s="5"/>
      <c r="HM251" s="5" t="s">
        <v>6</v>
      </c>
      <c r="HN251" s="5" t="s">
        <v>200</v>
      </c>
      <c r="HO251" s="5" t="s">
        <v>201</v>
      </c>
      <c r="HP251" s="5" t="s">
        <v>198</v>
      </c>
      <c r="HQ251" s="5" t="s">
        <v>198</v>
      </c>
      <c r="HR251" s="5"/>
      <c r="HS251" s="5">
        <v>0</v>
      </c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>
        <v>0</v>
      </c>
      <c r="IL251" s="5"/>
      <c r="IM251" s="5"/>
      <c r="IN251" s="5"/>
      <c r="IO251" s="5"/>
      <c r="IP251" s="5"/>
      <c r="IQ251" s="5"/>
      <c r="IR251" s="5"/>
      <c r="IS251" s="5"/>
      <c r="IT251" s="5"/>
      <c r="IU251" s="5"/>
    </row>
    <row r="252" spans="1:255" x14ac:dyDescent="0.2">
      <c r="A252" s="5">
        <v>17</v>
      </c>
      <c r="B252" s="5">
        <v>1</v>
      </c>
      <c r="C252" s="5"/>
      <c r="D252" s="5"/>
      <c r="E252" s="5" t="s">
        <v>202</v>
      </c>
      <c r="F252" s="5" t="s">
        <v>203</v>
      </c>
      <c r="G252" s="5" t="s">
        <v>204</v>
      </c>
      <c r="H252" s="5" t="s">
        <v>145</v>
      </c>
      <c r="I252" s="5">
        <f>ROUND(5.25,7)</f>
        <v>5.25</v>
      </c>
      <c r="J252" s="5">
        <v>0</v>
      </c>
      <c r="K252" s="5">
        <f>ROUND(5.25,7)</f>
        <v>5.25</v>
      </c>
      <c r="L252" s="5"/>
      <c r="M252" s="5"/>
      <c r="N252" s="5"/>
      <c r="O252" s="5">
        <f t="shared" si="96"/>
        <v>580.34</v>
      </c>
      <c r="P252" s="5">
        <f>ROUND(CQ252*I252,2)</f>
        <v>580.34</v>
      </c>
      <c r="Q252" s="5">
        <f>ROUND(CR252*I252,2)</f>
        <v>0</v>
      </c>
      <c r="R252" s="5">
        <f>ROUND(CS252*I252,2)</f>
        <v>0</v>
      </c>
      <c r="S252" s="5">
        <f>ROUND(CT252*I252,2)</f>
        <v>0</v>
      </c>
      <c r="T252" s="5">
        <f t="shared" si="97"/>
        <v>0</v>
      </c>
      <c r="U252" s="5">
        <f>ROUND(CV252*I252,7)</f>
        <v>0</v>
      </c>
      <c r="V252" s="5">
        <f>ROUND(CW252*I252,7)</f>
        <v>0</v>
      </c>
      <c r="W252" s="5">
        <f t="shared" si="98"/>
        <v>0</v>
      </c>
      <c r="X252" s="5">
        <f t="shared" si="99"/>
        <v>0</v>
      </c>
      <c r="Y252" s="5">
        <f t="shared" si="100"/>
        <v>0</v>
      </c>
      <c r="Z252" s="5"/>
      <c r="AA252" s="5">
        <v>74852007</v>
      </c>
      <c r="AB252" s="5">
        <f t="shared" si="101"/>
        <v>92.12</v>
      </c>
      <c r="AC252" s="5">
        <f>ROUND((ES252),2)</f>
        <v>92.12</v>
      </c>
      <c r="AD252" s="5">
        <f>ROUND((((ET252)-(EU252))+AE252),2)</f>
        <v>0</v>
      </c>
      <c r="AE252" s="5">
        <f>ROUND((EU252),2)</f>
        <v>0</v>
      </c>
      <c r="AF252" s="5">
        <f>ROUND((EV252),2)</f>
        <v>0</v>
      </c>
      <c r="AG252" s="5">
        <f t="shared" si="102"/>
        <v>0</v>
      </c>
      <c r="AH252" s="5">
        <f>(EW252)</f>
        <v>0</v>
      </c>
      <c r="AI252" s="5">
        <f>(EX252)</f>
        <v>0</v>
      </c>
      <c r="AJ252" s="5">
        <f t="shared" si="103"/>
        <v>0</v>
      </c>
      <c r="AK252" s="5">
        <v>92.12</v>
      </c>
      <c r="AL252" s="5">
        <v>92.12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1</v>
      </c>
      <c r="AW252" s="5">
        <v>1</v>
      </c>
      <c r="AX252" s="5"/>
      <c r="AY252" s="5"/>
      <c r="AZ252" s="5">
        <v>1</v>
      </c>
      <c r="BA252" s="5">
        <v>1</v>
      </c>
      <c r="BB252" s="5">
        <v>1</v>
      </c>
      <c r="BC252" s="5">
        <v>1.2</v>
      </c>
      <c r="BD252" s="5" t="s">
        <v>6</v>
      </c>
      <c r="BE252" s="5" t="s">
        <v>6</v>
      </c>
      <c r="BF252" s="5" t="s">
        <v>6</v>
      </c>
      <c r="BG252" s="5" t="s">
        <v>6</v>
      </c>
      <c r="BH252" s="5">
        <v>3</v>
      </c>
      <c r="BI252" s="5">
        <v>1</v>
      </c>
      <c r="BJ252" s="5" t="s">
        <v>205</v>
      </c>
      <c r="BK252" s="5"/>
      <c r="BL252" s="5"/>
      <c r="BM252" s="5">
        <v>500001</v>
      </c>
      <c r="BN252" s="5">
        <v>66927928</v>
      </c>
      <c r="BO252" s="5" t="s">
        <v>203</v>
      </c>
      <c r="BP252" s="5">
        <v>1</v>
      </c>
      <c r="BQ252" s="5">
        <v>8</v>
      </c>
      <c r="BR252" s="5">
        <v>0</v>
      </c>
      <c r="BS252" s="5">
        <v>1</v>
      </c>
      <c r="BT252" s="5">
        <v>1</v>
      </c>
      <c r="BU252" s="5">
        <v>1</v>
      </c>
      <c r="BV252" s="5">
        <v>1</v>
      </c>
      <c r="BW252" s="5">
        <v>1</v>
      </c>
      <c r="BX252" s="5">
        <v>1</v>
      </c>
      <c r="BY252" s="5" t="s">
        <v>6</v>
      </c>
      <c r="BZ252" s="5">
        <v>0</v>
      </c>
      <c r="CA252" s="5">
        <v>0</v>
      </c>
      <c r="CB252" s="5" t="s">
        <v>6</v>
      </c>
      <c r="CC252" s="5"/>
      <c r="CD252" s="5"/>
      <c r="CE252" s="5">
        <v>0</v>
      </c>
      <c r="CF252" s="5">
        <v>0</v>
      </c>
      <c r="CG252" s="5">
        <v>0</v>
      </c>
      <c r="CH252" s="5"/>
      <c r="CI252" s="5"/>
      <c r="CJ252" s="5"/>
      <c r="CK252" s="5"/>
      <c r="CL252" s="5"/>
      <c r="CM252" s="5">
        <v>0</v>
      </c>
      <c r="CN252" s="5" t="s">
        <v>6</v>
      </c>
      <c r="CO252" s="5">
        <v>0</v>
      </c>
      <c r="CP252" s="5">
        <f t="shared" si="104"/>
        <v>580.34</v>
      </c>
      <c r="CQ252" s="5">
        <f>ROUND(AL252*BC252,2)</f>
        <v>110.54</v>
      </c>
      <c r="CR252" s="5">
        <f>ROUND(AM252*BB252,2)</f>
        <v>0</v>
      </c>
      <c r="CS252" s="5">
        <f>ROUND(AN252*BS252,2)</f>
        <v>0</v>
      </c>
      <c r="CT252" s="5">
        <f>ROUND(AO252*BA252,2)</f>
        <v>0</v>
      </c>
      <c r="CU252" s="5">
        <f t="shared" si="105"/>
        <v>0</v>
      </c>
      <c r="CV252" s="5">
        <f>AH252</f>
        <v>0</v>
      </c>
      <c r="CW252" s="5">
        <f>AI252</f>
        <v>0</v>
      </c>
      <c r="CX252" s="5">
        <f t="shared" si="106"/>
        <v>0</v>
      </c>
      <c r="CY252" s="5">
        <f>0</f>
        <v>0</v>
      </c>
      <c r="CZ252" s="5">
        <f>0</f>
        <v>0</v>
      </c>
      <c r="DA252" s="5"/>
      <c r="DB252" s="5"/>
      <c r="DC252" s="5" t="s">
        <v>6</v>
      </c>
      <c r="DD252" s="5" t="s">
        <v>6</v>
      </c>
      <c r="DE252" s="5" t="s">
        <v>6</v>
      </c>
      <c r="DF252" s="5" t="s">
        <v>6</v>
      </c>
      <c r="DG252" s="5" t="s">
        <v>6</v>
      </c>
      <c r="DH252" s="5" t="s">
        <v>6</v>
      </c>
      <c r="DI252" s="5" t="s">
        <v>6</v>
      </c>
      <c r="DJ252" s="5" t="s">
        <v>6</v>
      </c>
      <c r="DK252" s="5" t="s">
        <v>6</v>
      </c>
      <c r="DL252" s="5" t="s">
        <v>6</v>
      </c>
      <c r="DM252" s="5" t="s">
        <v>6</v>
      </c>
      <c r="DN252" s="5">
        <v>0</v>
      </c>
      <c r="DO252" s="5">
        <v>0</v>
      </c>
      <c r="DP252" s="5">
        <v>1</v>
      </c>
      <c r="DQ252" s="5">
        <v>1</v>
      </c>
      <c r="DR252" s="5"/>
      <c r="DS252" s="5"/>
      <c r="DT252" s="5"/>
      <c r="DU252" s="5">
        <v>1005</v>
      </c>
      <c r="DV252" s="5" t="s">
        <v>145</v>
      </c>
      <c r="DW252" s="5" t="s">
        <v>145</v>
      </c>
      <c r="DX252" s="5">
        <v>1</v>
      </c>
      <c r="DY252" s="5"/>
      <c r="DZ252" s="5" t="s">
        <v>6</v>
      </c>
      <c r="EA252" s="5" t="s">
        <v>6</v>
      </c>
      <c r="EB252" s="5" t="s">
        <v>6</v>
      </c>
      <c r="EC252" s="5" t="s">
        <v>6</v>
      </c>
      <c r="ED252" s="5"/>
      <c r="EE252" s="5">
        <v>67841826</v>
      </c>
      <c r="EF252" s="5">
        <v>8</v>
      </c>
      <c r="EG252" s="5" t="s">
        <v>136</v>
      </c>
      <c r="EH252" s="5">
        <v>0</v>
      </c>
      <c r="EI252" s="5" t="s">
        <v>6</v>
      </c>
      <c r="EJ252" s="5">
        <v>1</v>
      </c>
      <c r="EK252" s="5">
        <v>500001</v>
      </c>
      <c r="EL252" s="5" t="s">
        <v>137</v>
      </c>
      <c r="EM252" s="5" t="s">
        <v>138</v>
      </c>
      <c r="EN252" s="5"/>
      <c r="EO252" s="5" t="s">
        <v>6</v>
      </c>
      <c r="EP252" s="5"/>
      <c r="EQ252" s="5">
        <v>0</v>
      </c>
      <c r="ER252" s="5">
        <v>92.12</v>
      </c>
      <c r="ES252" s="5">
        <v>92.12</v>
      </c>
      <c r="ET252" s="5">
        <v>0</v>
      </c>
      <c r="EU252" s="5">
        <v>0</v>
      </c>
      <c r="EV252" s="5">
        <v>0</v>
      </c>
      <c r="EW252" s="5">
        <v>0</v>
      </c>
      <c r="EX252" s="5">
        <v>0</v>
      </c>
      <c r="EY252" s="5">
        <v>0</v>
      </c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>
        <v>0</v>
      </c>
      <c r="FR252" s="5">
        <v>0</v>
      </c>
      <c r="FS252" s="5">
        <v>0</v>
      </c>
      <c r="FT252" s="5"/>
      <c r="FU252" s="5"/>
      <c r="FV252" s="5"/>
      <c r="FW252" s="5"/>
      <c r="FX252" s="5">
        <v>0</v>
      </c>
      <c r="FY252" s="5">
        <v>0</v>
      </c>
      <c r="FZ252" s="5"/>
      <c r="GA252" s="5" t="s">
        <v>6</v>
      </c>
      <c r="GB252" s="5"/>
      <c r="GC252" s="5"/>
      <c r="GD252" s="5">
        <v>1</v>
      </c>
      <c r="GE252" s="5"/>
      <c r="GF252" s="5">
        <v>-740584566</v>
      </c>
      <c r="GG252" s="5">
        <v>2</v>
      </c>
      <c r="GH252" s="5">
        <v>1</v>
      </c>
      <c r="GI252" s="5">
        <v>2</v>
      </c>
      <c r="GJ252" s="5">
        <v>0</v>
      </c>
      <c r="GK252" s="5">
        <v>0</v>
      </c>
      <c r="GL252" s="5">
        <f t="shared" si="107"/>
        <v>0</v>
      </c>
      <c r="GM252" s="5">
        <f t="shared" si="108"/>
        <v>580.34</v>
      </c>
      <c r="GN252" s="5">
        <f t="shared" si="109"/>
        <v>580.34</v>
      </c>
      <c r="GO252" s="5">
        <f t="shared" si="110"/>
        <v>0</v>
      </c>
      <c r="GP252" s="5">
        <f t="shared" si="111"/>
        <v>0</v>
      </c>
      <c r="GQ252" s="5"/>
      <c r="GR252" s="5">
        <v>0</v>
      </c>
      <c r="GS252" s="5">
        <v>3</v>
      </c>
      <c r="GT252" s="5">
        <v>0</v>
      </c>
      <c r="GU252" s="5" t="s">
        <v>6</v>
      </c>
      <c r="GV252" s="5">
        <f t="shared" si="112"/>
        <v>0</v>
      </c>
      <c r="GW252" s="5">
        <v>1</v>
      </c>
      <c r="GX252" s="5">
        <f t="shared" si="113"/>
        <v>0</v>
      </c>
      <c r="GY252" s="5"/>
      <c r="GZ252" s="5"/>
      <c r="HA252" s="5">
        <v>0</v>
      </c>
      <c r="HB252" s="5">
        <v>0</v>
      </c>
      <c r="HC252" s="5">
        <f t="shared" si="114"/>
        <v>0</v>
      </c>
      <c r="HD252" s="5"/>
      <c r="HE252" s="5" t="s">
        <v>6</v>
      </c>
      <c r="HF252" s="5" t="s">
        <v>6</v>
      </c>
      <c r="HG252" s="5"/>
      <c r="HH252" s="5"/>
      <c r="HI252" s="5"/>
      <c r="HJ252" s="5"/>
      <c r="HK252" s="5"/>
      <c r="HL252" s="5"/>
      <c r="HM252" s="5" t="s">
        <v>6</v>
      </c>
      <c r="HN252" s="5" t="s">
        <v>6</v>
      </c>
      <c r="HO252" s="5" t="s">
        <v>6</v>
      </c>
      <c r="HP252" s="5" t="s">
        <v>6</v>
      </c>
      <c r="HQ252" s="5" t="s">
        <v>6</v>
      </c>
      <c r="HR252" s="5"/>
      <c r="HS252" s="5">
        <v>0</v>
      </c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>
        <v>0</v>
      </c>
      <c r="IL252" s="5"/>
      <c r="IM252" s="5"/>
      <c r="IN252" s="5"/>
      <c r="IO252" s="5"/>
      <c r="IP252" s="5"/>
      <c r="IQ252" s="5"/>
      <c r="IR252" s="5"/>
      <c r="IS252" s="5"/>
      <c r="IT252" s="5"/>
      <c r="IU252" s="5"/>
    </row>
    <row r="253" spans="1:255" x14ac:dyDescent="0.2">
      <c r="A253" s="5">
        <v>17</v>
      </c>
      <c r="B253" s="5">
        <v>1</v>
      </c>
      <c r="C253" s="5">
        <f>ROW(SmtRes!A77)</f>
        <v>77</v>
      </c>
      <c r="D253" s="5">
        <f>ROW(EtalonRes!A92)</f>
        <v>92</v>
      </c>
      <c r="E253" s="5" t="s">
        <v>206</v>
      </c>
      <c r="F253" s="5" t="s">
        <v>207</v>
      </c>
      <c r="G253" s="5" t="s">
        <v>208</v>
      </c>
      <c r="H253" s="5" t="s">
        <v>90</v>
      </c>
      <c r="I253" s="5">
        <v>1.4650000000000001</v>
      </c>
      <c r="J253" s="5">
        <v>0</v>
      </c>
      <c r="K253" s="5">
        <v>1.4650000000000001</v>
      </c>
      <c r="L253" s="5"/>
      <c r="M253" s="5"/>
      <c r="N253" s="5"/>
      <c r="O253" s="5">
        <f t="shared" si="96"/>
        <v>29369.77</v>
      </c>
      <c r="P253" s="5">
        <f>SUMIF(SmtRes!AQ71:'SmtRes'!AQ77,"=1",SmtRes!DF71:'SmtRes'!DF77)</f>
        <v>6719.28</v>
      </c>
      <c r="Q253" s="5">
        <f>SUMIF(SmtRes!AQ71:'SmtRes'!AQ77,"=1",SmtRes!DG71:'SmtRes'!DG77)</f>
        <v>169.49</v>
      </c>
      <c r="R253" s="5">
        <f>SUMIF(SmtRes!AQ71:'SmtRes'!AQ77,"=1",SmtRes!DH71:'SmtRes'!DH77)</f>
        <v>102.89</v>
      </c>
      <c r="S253" s="5">
        <f>SUMIF(SmtRes!AQ71:'SmtRes'!AQ77,"=1",SmtRes!DI71:'SmtRes'!DI77)</f>
        <v>22378.11</v>
      </c>
      <c r="T253" s="5">
        <f t="shared" si="97"/>
        <v>0</v>
      </c>
      <c r="U253" s="5">
        <f>SUMIF(SmtRes!AQ71:'SmtRes'!AQ77,"=1",SmtRes!CV71:'SmtRes'!CV77)</f>
        <v>73.387709999999998</v>
      </c>
      <c r="V253" s="5">
        <f>SUMIF(SmtRes!AQ71:'SmtRes'!AQ77,"=1",SmtRes!CW71:'SmtRes'!CW77)</f>
        <v>0.31131249999999999</v>
      </c>
      <c r="W253" s="5">
        <f t="shared" si="98"/>
        <v>0</v>
      </c>
      <c r="X253" s="5">
        <f t="shared" si="99"/>
        <v>20232.900000000001</v>
      </c>
      <c r="Y253" s="5">
        <f t="shared" si="100"/>
        <v>9363.34</v>
      </c>
      <c r="Z253" s="5"/>
      <c r="AA253" s="5">
        <v>74852007</v>
      </c>
      <c r="AB253" s="5">
        <f t="shared" si="101"/>
        <v>18546.59</v>
      </c>
      <c r="AC253" s="5">
        <f>ROUND((SUM(SmtRes!BQ71:'SmtRes'!BQ77)),2)</f>
        <v>3156.11</v>
      </c>
      <c r="AD253" s="5">
        <f>ROUND((((SUM(SmtRes!BR71:'SmtRes'!BR77))-(SUM(SmtRes!BS71:'SmtRes'!BS77)))+AE253),2)</f>
        <v>115.32</v>
      </c>
      <c r="AE253" s="5">
        <f>ROUND((SUM(SmtRes!BS71:'SmtRes'!BS77)),2)</f>
        <v>70.23</v>
      </c>
      <c r="AF253" s="5">
        <f>ROUND((SUM(SmtRes!BT71:'SmtRes'!BT77)),2)</f>
        <v>15275.16</v>
      </c>
      <c r="AG253" s="5">
        <f t="shared" si="102"/>
        <v>0</v>
      </c>
      <c r="AH253" s="5">
        <f>(SUM(SmtRes!BU71:'SmtRes'!BU77))</f>
        <v>50.094000000000001</v>
      </c>
      <c r="AI253" s="5">
        <f>(SUM(SmtRes!BV71:'SmtRes'!BV77))</f>
        <v>0.21249999999999999</v>
      </c>
      <c r="AJ253" s="5">
        <f t="shared" si="103"/>
        <v>0</v>
      </c>
      <c r="AK253" s="5">
        <v>16587.310130000002</v>
      </c>
      <c r="AL253" s="5">
        <v>3156.1105299999999</v>
      </c>
      <c r="AM253" s="5">
        <v>92.262199999999993</v>
      </c>
      <c r="AN253" s="5">
        <v>56.186599999999999</v>
      </c>
      <c r="AO253" s="5">
        <v>13282.750800000002</v>
      </c>
      <c r="AP253" s="5">
        <v>0</v>
      </c>
      <c r="AQ253" s="5">
        <v>43.56</v>
      </c>
      <c r="AR253" s="5">
        <v>0.16999999999999998</v>
      </c>
      <c r="AS253" s="5">
        <v>0</v>
      </c>
      <c r="AT253" s="5">
        <v>90</v>
      </c>
      <c r="AU253" s="5">
        <v>41.65</v>
      </c>
      <c r="AV253" s="5">
        <v>1</v>
      </c>
      <c r="AW253" s="5">
        <v>1</v>
      </c>
      <c r="AX253" s="5"/>
      <c r="AY253" s="5"/>
      <c r="AZ253" s="5">
        <v>1</v>
      </c>
      <c r="BA253" s="5">
        <v>1</v>
      </c>
      <c r="BB253" s="5">
        <v>1</v>
      </c>
      <c r="BC253" s="5">
        <v>1</v>
      </c>
      <c r="BD253" s="5" t="s">
        <v>6</v>
      </c>
      <c r="BE253" s="5" t="s">
        <v>6</v>
      </c>
      <c r="BF253" s="5" t="s">
        <v>6</v>
      </c>
      <c r="BG253" s="5" t="s">
        <v>6</v>
      </c>
      <c r="BH253" s="5">
        <v>0</v>
      </c>
      <c r="BI253" s="5">
        <v>1</v>
      </c>
      <c r="BJ253" s="5" t="s">
        <v>209</v>
      </c>
      <c r="BK253" s="5"/>
      <c r="BL253" s="5"/>
      <c r="BM253" s="5">
        <v>15001</v>
      </c>
      <c r="BN253" s="5">
        <v>66927928</v>
      </c>
      <c r="BO253" s="5" t="s">
        <v>6</v>
      </c>
      <c r="BP253" s="5">
        <v>0</v>
      </c>
      <c r="BQ253" s="5">
        <v>2</v>
      </c>
      <c r="BR253" s="5">
        <v>0</v>
      </c>
      <c r="BS253" s="5">
        <v>1</v>
      </c>
      <c r="BT253" s="5">
        <v>1</v>
      </c>
      <c r="BU253" s="5">
        <v>1</v>
      </c>
      <c r="BV253" s="5">
        <v>1</v>
      </c>
      <c r="BW253" s="5">
        <v>1</v>
      </c>
      <c r="BX253" s="5">
        <v>1</v>
      </c>
      <c r="BY253" s="5" t="s">
        <v>6</v>
      </c>
      <c r="BZ253" s="5">
        <v>100</v>
      </c>
      <c r="CA253" s="5">
        <v>49</v>
      </c>
      <c r="CB253" s="5" t="s">
        <v>6</v>
      </c>
      <c r="CC253" s="5"/>
      <c r="CD253" s="5"/>
      <c r="CE253" s="5">
        <v>0</v>
      </c>
      <c r="CF253" s="5">
        <v>0</v>
      </c>
      <c r="CG253" s="5">
        <v>0</v>
      </c>
      <c r="CH253" s="5"/>
      <c r="CI253" s="5"/>
      <c r="CJ253" s="5"/>
      <c r="CK253" s="5"/>
      <c r="CL253" s="5"/>
      <c r="CM253" s="5">
        <v>0</v>
      </c>
      <c r="CN253" s="5" t="s">
        <v>115</v>
      </c>
      <c r="CO253" s="5">
        <v>0</v>
      </c>
      <c r="CP253" s="5">
        <f t="shared" si="104"/>
        <v>29369.77</v>
      </c>
      <c r="CQ253" s="5">
        <f>SUMIF(SmtRes!AQ71:'SmtRes'!AQ77,"=1",SmtRes!AA71:'SmtRes'!AA77)</f>
        <v>79394.86</v>
      </c>
      <c r="CR253" s="5">
        <f>SUMIF(SmtRes!AQ71:'SmtRes'!AQ77,"=1",SmtRes!AB71:'SmtRes'!AB77)</f>
        <v>656.3</v>
      </c>
      <c r="CS253" s="5">
        <f>SUMIF(SmtRes!AQ71:'SmtRes'!AQ77,"=1",SmtRes!AC71:'SmtRes'!AC77)</f>
        <v>632.35</v>
      </c>
      <c r="CT253" s="5">
        <f>SUMIF(SmtRes!AQ71:'SmtRes'!AQ77,"=1",SmtRes!AD71:'SmtRes'!AD77)</f>
        <v>304.93</v>
      </c>
      <c r="CU253" s="5">
        <f t="shared" si="105"/>
        <v>0</v>
      </c>
      <c r="CV253" s="5">
        <f>SUMIF(SmtRes!AQ71:'SmtRes'!AQ77,"=1",SmtRes!BU71:'SmtRes'!BU77)</f>
        <v>50.094000000000001</v>
      </c>
      <c r="CW253" s="5">
        <f>SUMIF(SmtRes!AQ71:'SmtRes'!AQ77,"=1",SmtRes!BV71:'SmtRes'!BV77)</f>
        <v>0.21249999999999999</v>
      </c>
      <c r="CX253" s="5">
        <f t="shared" si="106"/>
        <v>0</v>
      </c>
      <c r="CY253" s="5">
        <f>(((S253+R253)*AT253)/100)</f>
        <v>20232.900000000001</v>
      </c>
      <c r="CZ253" s="5">
        <f>(((S253+R253)*AU253)/100)</f>
        <v>9363.3364999999994</v>
      </c>
      <c r="DA253" s="5"/>
      <c r="DB253" s="5"/>
      <c r="DC253" s="5" t="s">
        <v>6</v>
      </c>
      <c r="DD253" s="5" t="s">
        <v>6</v>
      </c>
      <c r="DE253" s="5" t="s">
        <v>116</v>
      </c>
      <c r="DF253" s="5" t="s">
        <v>116</v>
      </c>
      <c r="DG253" s="5" t="s">
        <v>117</v>
      </c>
      <c r="DH253" s="5" t="s">
        <v>6</v>
      </c>
      <c r="DI253" s="5" t="s">
        <v>117</v>
      </c>
      <c r="DJ253" s="5" t="s">
        <v>116</v>
      </c>
      <c r="DK253" s="5" t="s">
        <v>6</v>
      </c>
      <c r="DL253" s="5" t="s">
        <v>118</v>
      </c>
      <c r="DM253" s="5" t="s">
        <v>119</v>
      </c>
      <c r="DN253" s="5">
        <v>0</v>
      </c>
      <c r="DO253" s="5">
        <v>0</v>
      </c>
      <c r="DP253" s="5">
        <v>1</v>
      </c>
      <c r="DQ253" s="5">
        <v>1</v>
      </c>
      <c r="DR253" s="5"/>
      <c r="DS253" s="5"/>
      <c r="DT253" s="5"/>
      <c r="DU253" s="5">
        <v>1005</v>
      </c>
      <c r="DV253" s="5" t="s">
        <v>90</v>
      </c>
      <c r="DW253" s="5" t="s">
        <v>90</v>
      </c>
      <c r="DX253" s="5">
        <v>100</v>
      </c>
      <c r="DY253" s="5"/>
      <c r="DZ253" s="5" t="s">
        <v>6</v>
      </c>
      <c r="EA253" s="5" t="s">
        <v>6</v>
      </c>
      <c r="EB253" s="5" t="s">
        <v>6</v>
      </c>
      <c r="EC253" s="5" t="s">
        <v>6</v>
      </c>
      <c r="ED253" s="5"/>
      <c r="EE253" s="5">
        <v>67841919</v>
      </c>
      <c r="EF253" s="5">
        <v>2</v>
      </c>
      <c r="EG253" s="5" t="s">
        <v>18</v>
      </c>
      <c r="EH253" s="5">
        <v>15</v>
      </c>
      <c r="EI253" s="5" t="s">
        <v>190</v>
      </c>
      <c r="EJ253" s="5">
        <v>1</v>
      </c>
      <c r="EK253" s="5">
        <v>15001</v>
      </c>
      <c r="EL253" s="5" t="s">
        <v>190</v>
      </c>
      <c r="EM253" s="5" t="s">
        <v>191</v>
      </c>
      <c r="EN253" s="5"/>
      <c r="EO253" s="5" t="s">
        <v>121</v>
      </c>
      <c r="EP253" s="5"/>
      <c r="EQ253" s="5">
        <v>0</v>
      </c>
      <c r="ER253" s="5">
        <v>0</v>
      </c>
      <c r="ES253" s="5">
        <v>0</v>
      </c>
      <c r="ET253" s="5">
        <v>0</v>
      </c>
      <c r="EU253" s="5">
        <v>0</v>
      </c>
      <c r="EV253" s="5">
        <v>0</v>
      </c>
      <c r="EW253" s="5">
        <v>43.56</v>
      </c>
      <c r="EX253" s="5">
        <v>0.17</v>
      </c>
      <c r="EY253" s="5">
        <v>0</v>
      </c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>
        <v>0</v>
      </c>
      <c r="FR253" s="5">
        <v>0</v>
      </c>
      <c r="FS253" s="5">
        <v>0</v>
      </c>
      <c r="FT253" s="5"/>
      <c r="FU253" s="5"/>
      <c r="FV253" s="5"/>
      <c r="FW253" s="5"/>
      <c r="FX253" s="5">
        <v>90</v>
      </c>
      <c r="FY253" s="5">
        <v>41.65</v>
      </c>
      <c r="FZ253" s="5"/>
      <c r="GA253" s="5" t="s">
        <v>6</v>
      </c>
      <c r="GB253" s="5"/>
      <c r="GC253" s="5"/>
      <c r="GD253" s="5">
        <v>1</v>
      </c>
      <c r="GE253" s="5"/>
      <c r="GF253" s="5">
        <v>-1331594589</v>
      </c>
      <c r="GG253" s="5">
        <v>2</v>
      </c>
      <c r="GH253" s="5">
        <v>1</v>
      </c>
      <c r="GI253" s="5">
        <v>-2</v>
      </c>
      <c r="GJ253" s="5">
        <v>0</v>
      </c>
      <c r="GK253" s="5">
        <v>0</v>
      </c>
      <c r="GL253" s="5">
        <f t="shared" si="107"/>
        <v>0</v>
      </c>
      <c r="GM253" s="5">
        <f t="shared" si="108"/>
        <v>58966.01</v>
      </c>
      <c r="GN253" s="5">
        <f t="shared" si="109"/>
        <v>58966.01</v>
      </c>
      <c r="GO253" s="5">
        <f t="shared" si="110"/>
        <v>0</v>
      </c>
      <c r="GP253" s="5">
        <f t="shared" si="111"/>
        <v>0</v>
      </c>
      <c r="GQ253" s="5"/>
      <c r="GR253" s="5">
        <v>0</v>
      </c>
      <c r="GS253" s="5">
        <v>3</v>
      </c>
      <c r="GT253" s="5">
        <v>0</v>
      </c>
      <c r="GU253" s="5" t="s">
        <v>6</v>
      </c>
      <c r="GV253" s="5">
        <f t="shared" si="112"/>
        <v>0</v>
      </c>
      <c r="GW253" s="5">
        <v>1</v>
      </c>
      <c r="GX253" s="5">
        <f t="shared" si="113"/>
        <v>0</v>
      </c>
      <c r="GY253" s="5"/>
      <c r="GZ253" s="5"/>
      <c r="HA253" s="5">
        <v>0</v>
      </c>
      <c r="HB253" s="5">
        <v>0</v>
      </c>
      <c r="HC253" s="5">
        <f t="shared" si="114"/>
        <v>0</v>
      </c>
      <c r="HD253" s="5"/>
      <c r="HE253" s="5" t="s">
        <v>6</v>
      </c>
      <c r="HF253" s="5" t="s">
        <v>6</v>
      </c>
      <c r="HG253" s="5"/>
      <c r="HH253" s="5"/>
      <c r="HI253" s="5"/>
      <c r="HJ253" s="5"/>
      <c r="HK253" s="5"/>
      <c r="HL253" s="5"/>
      <c r="HM253" s="5" t="s">
        <v>6</v>
      </c>
      <c r="HN253" s="5" t="s">
        <v>192</v>
      </c>
      <c r="HO253" s="5" t="s">
        <v>193</v>
      </c>
      <c r="HP253" s="5" t="s">
        <v>190</v>
      </c>
      <c r="HQ253" s="5" t="s">
        <v>190</v>
      </c>
      <c r="HR253" s="5"/>
      <c r="HS253" s="5">
        <v>0</v>
      </c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>
        <v>0</v>
      </c>
      <c r="IL253" s="5"/>
      <c r="IM253" s="5"/>
      <c r="IN253" s="5"/>
      <c r="IO253" s="5"/>
      <c r="IP253" s="5"/>
      <c r="IQ253" s="5"/>
      <c r="IR253" s="5"/>
      <c r="IS253" s="5"/>
      <c r="IT253" s="5"/>
      <c r="IU253" s="5"/>
    </row>
    <row r="254" spans="1:255" x14ac:dyDescent="0.2">
      <c r="A254" s="5">
        <v>17</v>
      </c>
      <c r="B254" s="5">
        <v>1</v>
      </c>
      <c r="C254" s="5"/>
      <c r="D254" s="5"/>
      <c r="E254" s="5" t="s">
        <v>210</v>
      </c>
      <c r="F254" s="5" t="s">
        <v>211</v>
      </c>
      <c r="G254" s="5" t="s">
        <v>212</v>
      </c>
      <c r="H254" s="5" t="s">
        <v>149</v>
      </c>
      <c r="I254" s="5">
        <v>4.3950000000000003E-2</v>
      </c>
      <c r="J254" s="5">
        <v>0</v>
      </c>
      <c r="K254" s="5">
        <v>4.3950000000000003E-2</v>
      </c>
      <c r="L254" s="5"/>
      <c r="M254" s="5"/>
      <c r="N254" s="5"/>
      <c r="O254" s="5">
        <f t="shared" si="96"/>
        <v>5155.88</v>
      </c>
      <c r="P254" s="5">
        <f>ROUND(CQ254*I254,2)</f>
        <v>5155.88</v>
      </c>
      <c r="Q254" s="5">
        <f>ROUND(CR254*I254,2)</f>
        <v>0</v>
      </c>
      <c r="R254" s="5">
        <f>ROUND(CS254*I254,2)</f>
        <v>0</v>
      </c>
      <c r="S254" s="5">
        <f>ROUND(CT254*I254,2)</f>
        <v>0</v>
      </c>
      <c r="T254" s="5">
        <f t="shared" si="97"/>
        <v>0</v>
      </c>
      <c r="U254" s="5">
        <f>ROUND(CV254*I254,7)</f>
        <v>0</v>
      </c>
      <c r="V254" s="5">
        <f>ROUND(CW254*I254,7)</f>
        <v>0</v>
      </c>
      <c r="W254" s="5">
        <f t="shared" si="98"/>
        <v>0</v>
      </c>
      <c r="X254" s="5">
        <f t="shared" si="99"/>
        <v>0</v>
      </c>
      <c r="Y254" s="5">
        <f t="shared" si="100"/>
        <v>0</v>
      </c>
      <c r="Z254" s="5"/>
      <c r="AA254" s="5">
        <v>74852007</v>
      </c>
      <c r="AB254" s="5">
        <f t="shared" si="101"/>
        <v>64105.1</v>
      </c>
      <c r="AC254" s="5">
        <f>ROUND((ES254),2)</f>
        <v>64105.1</v>
      </c>
      <c r="AD254" s="5">
        <f>ROUND((((ET254)-(EU254))+AE254),2)</f>
        <v>0</v>
      </c>
      <c r="AE254" s="5">
        <f>ROUND((EU254),2)</f>
        <v>0</v>
      </c>
      <c r="AF254" s="5">
        <f>ROUND((EV254),2)</f>
        <v>0</v>
      </c>
      <c r="AG254" s="5">
        <f t="shared" si="102"/>
        <v>0</v>
      </c>
      <c r="AH254" s="5">
        <f>(EW254)</f>
        <v>0</v>
      </c>
      <c r="AI254" s="5">
        <f>(EX254)</f>
        <v>0</v>
      </c>
      <c r="AJ254" s="5">
        <f t="shared" si="103"/>
        <v>0</v>
      </c>
      <c r="AK254" s="5">
        <v>64105.1</v>
      </c>
      <c r="AL254" s="5">
        <v>64105.1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1</v>
      </c>
      <c r="AW254" s="5">
        <v>1</v>
      </c>
      <c r="AX254" s="5"/>
      <c r="AY254" s="5"/>
      <c r="AZ254" s="5">
        <v>1</v>
      </c>
      <c r="BA254" s="5">
        <v>1</v>
      </c>
      <c r="BB254" s="5">
        <v>1</v>
      </c>
      <c r="BC254" s="5">
        <v>1.83</v>
      </c>
      <c r="BD254" s="5" t="s">
        <v>6</v>
      </c>
      <c r="BE254" s="5" t="s">
        <v>6</v>
      </c>
      <c r="BF254" s="5" t="s">
        <v>6</v>
      </c>
      <c r="BG254" s="5" t="s">
        <v>6</v>
      </c>
      <c r="BH254" s="5">
        <v>3</v>
      </c>
      <c r="BI254" s="5">
        <v>1</v>
      </c>
      <c r="BJ254" s="5" t="s">
        <v>213</v>
      </c>
      <c r="BK254" s="5"/>
      <c r="BL254" s="5"/>
      <c r="BM254" s="5">
        <v>500001</v>
      </c>
      <c r="BN254" s="5">
        <v>66927928</v>
      </c>
      <c r="BO254" s="5" t="s">
        <v>211</v>
      </c>
      <c r="BP254" s="5">
        <v>1</v>
      </c>
      <c r="BQ254" s="5">
        <v>8</v>
      </c>
      <c r="BR254" s="5">
        <v>0</v>
      </c>
      <c r="BS254" s="5">
        <v>1</v>
      </c>
      <c r="BT254" s="5">
        <v>1</v>
      </c>
      <c r="BU254" s="5">
        <v>1</v>
      </c>
      <c r="BV254" s="5">
        <v>1</v>
      </c>
      <c r="BW254" s="5">
        <v>1</v>
      </c>
      <c r="BX254" s="5">
        <v>1</v>
      </c>
      <c r="BY254" s="5" t="s">
        <v>6</v>
      </c>
      <c r="BZ254" s="5">
        <v>0</v>
      </c>
      <c r="CA254" s="5">
        <v>0</v>
      </c>
      <c r="CB254" s="5" t="s">
        <v>6</v>
      </c>
      <c r="CC254" s="5"/>
      <c r="CD254" s="5"/>
      <c r="CE254" s="5">
        <v>0</v>
      </c>
      <c r="CF254" s="5">
        <v>0</v>
      </c>
      <c r="CG254" s="5">
        <v>0</v>
      </c>
      <c r="CH254" s="5"/>
      <c r="CI254" s="5"/>
      <c r="CJ254" s="5"/>
      <c r="CK254" s="5"/>
      <c r="CL254" s="5"/>
      <c r="CM254" s="5">
        <v>0</v>
      </c>
      <c r="CN254" s="5" t="s">
        <v>6</v>
      </c>
      <c r="CO254" s="5">
        <v>0</v>
      </c>
      <c r="CP254" s="5">
        <f t="shared" si="104"/>
        <v>5155.88</v>
      </c>
      <c r="CQ254" s="5">
        <f>ROUND(AL254*BC254,2)</f>
        <v>117312.33</v>
      </c>
      <c r="CR254" s="5">
        <f>ROUND(AM254*BB254,2)</f>
        <v>0</v>
      </c>
      <c r="CS254" s="5">
        <f>ROUND(AN254*BS254,2)</f>
        <v>0</v>
      </c>
      <c r="CT254" s="5">
        <f>ROUND(AO254*BA254,2)</f>
        <v>0</v>
      </c>
      <c r="CU254" s="5">
        <f t="shared" si="105"/>
        <v>0</v>
      </c>
      <c r="CV254" s="5">
        <f>AH254</f>
        <v>0</v>
      </c>
      <c r="CW254" s="5">
        <f>AI254</f>
        <v>0</v>
      </c>
      <c r="CX254" s="5">
        <f t="shared" si="106"/>
        <v>0</v>
      </c>
      <c r="CY254" s="5">
        <f>0</f>
        <v>0</v>
      </c>
      <c r="CZ254" s="5">
        <f>0</f>
        <v>0</v>
      </c>
      <c r="DA254" s="5"/>
      <c r="DB254" s="5"/>
      <c r="DC254" s="5" t="s">
        <v>6</v>
      </c>
      <c r="DD254" s="5" t="s">
        <v>6</v>
      </c>
      <c r="DE254" s="5" t="s">
        <v>6</v>
      </c>
      <c r="DF254" s="5" t="s">
        <v>6</v>
      </c>
      <c r="DG254" s="5" t="s">
        <v>6</v>
      </c>
      <c r="DH254" s="5" t="s">
        <v>6</v>
      </c>
      <c r="DI254" s="5" t="s">
        <v>6</v>
      </c>
      <c r="DJ254" s="5" t="s">
        <v>6</v>
      </c>
      <c r="DK254" s="5" t="s">
        <v>6</v>
      </c>
      <c r="DL254" s="5" t="s">
        <v>6</v>
      </c>
      <c r="DM254" s="5" t="s">
        <v>6</v>
      </c>
      <c r="DN254" s="5">
        <v>0</v>
      </c>
      <c r="DO254" s="5">
        <v>0</v>
      </c>
      <c r="DP254" s="5">
        <v>1</v>
      </c>
      <c r="DQ254" s="5">
        <v>1</v>
      </c>
      <c r="DR254" s="5"/>
      <c r="DS254" s="5"/>
      <c r="DT254" s="5"/>
      <c r="DU254" s="5">
        <v>1009</v>
      </c>
      <c r="DV254" s="5" t="s">
        <v>149</v>
      </c>
      <c r="DW254" s="5" t="s">
        <v>149</v>
      </c>
      <c r="DX254" s="5">
        <v>1000</v>
      </c>
      <c r="DY254" s="5"/>
      <c r="DZ254" s="5" t="s">
        <v>6</v>
      </c>
      <c r="EA254" s="5" t="s">
        <v>6</v>
      </c>
      <c r="EB254" s="5" t="s">
        <v>6</v>
      </c>
      <c r="EC254" s="5" t="s">
        <v>6</v>
      </c>
      <c r="ED254" s="5"/>
      <c r="EE254" s="5">
        <v>67841826</v>
      </c>
      <c r="EF254" s="5">
        <v>8</v>
      </c>
      <c r="EG254" s="5" t="s">
        <v>136</v>
      </c>
      <c r="EH254" s="5">
        <v>0</v>
      </c>
      <c r="EI254" s="5" t="s">
        <v>6</v>
      </c>
      <c r="EJ254" s="5">
        <v>1</v>
      </c>
      <c r="EK254" s="5">
        <v>500001</v>
      </c>
      <c r="EL254" s="5" t="s">
        <v>137</v>
      </c>
      <c r="EM254" s="5" t="s">
        <v>138</v>
      </c>
      <c r="EN254" s="5"/>
      <c r="EO254" s="5" t="s">
        <v>6</v>
      </c>
      <c r="EP254" s="5"/>
      <c r="EQ254" s="5">
        <v>0</v>
      </c>
      <c r="ER254" s="5">
        <v>64105.1</v>
      </c>
      <c r="ES254" s="5">
        <v>64105.1</v>
      </c>
      <c r="ET254" s="5">
        <v>0</v>
      </c>
      <c r="EU254" s="5">
        <v>0</v>
      </c>
      <c r="EV254" s="5">
        <v>0</v>
      </c>
      <c r="EW254" s="5">
        <v>0</v>
      </c>
      <c r="EX254" s="5">
        <v>0</v>
      </c>
      <c r="EY254" s="5">
        <v>0</v>
      </c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>
        <v>0</v>
      </c>
      <c r="FR254" s="5">
        <v>0</v>
      </c>
      <c r="FS254" s="5">
        <v>0</v>
      </c>
      <c r="FT254" s="5"/>
      <c r="FU254" s="5"/>
      <c r="FV254" s="5"/>
      <c r="FW254" s="5"/>
      <c r="FX254" s="5">
        <v>0</v>
      </c>
      <c r="FY254" s="5">
        <v>0</v>
      </c>
      <c r="FZ254" s="5"/>
      <c r="GA254" s="5" t="s">
        <v>6</v>
      </c>
      <c r="GB254" s="5"/>
      <c r="GC254" s="5"/>
      <c r="GD254" s="5">
        <v>1</v>
      </c>
      <c r="GE254" s="5"/>
      <c r="GF254" s="5">
        <v>-722099242</v>
      </c>
      <c r="GG254" s="5">
        <v>2</v>
      </c>
      <c r="GH254" s="5">
        <v>1</v>
      </c>
      <c r="GI254" s="5">
        <v>2</v>
      </c>
      <c r="GJ254" s="5">
        <v>0</v>
      </c>
      <c r="GK254" s="5">
        <v>0</v>
      </c>
      <c r="GL254" s="5">
        <f t="shared" si="107"/>
        <v>0</v>
      </c>
      <c r="GM254" s="5">
        <f t="shared" si="108"/>
        <v>5155.88</v>
      </c>
      <c r="GN254" s="5">
        <f t="shared" si="109"/>
        <v>5155.88</v>
      </c>
      <c r="GO254" s="5">
        <f t="shared" si="110"/>
        <v>0</v>
      </c>
      <c r="GP254" s="5">
        <f t="shared" si="111"/>
        <v>0</v>
      </c>
      <c r="GQ254" s="5"/>
      <c r="GR254" s="5">
        <v>0</v>
      </c>
      <c r="GS254" s="5">
        <v>3</v>
      </c>
      <c r="GT254" s="5">
        <v>0</v>
      </c>
      <c r="GU254" s="5" t="s">
        <v>6</v>
      </c>
      <c r="GV254" s="5">
        <f t="shared" si="112"/>
        <v>0</v>
      </c>
      <c r="GW254" s="5">
        <v>1</v>
      </c>
      <c r="GX254" s="5">
        <f t="shared" si="113"/>
        <v>0</v>
      </c>
      <c r="GY254" s="5"/>
      <c r="GZ254" s="5"/>
      <c r="HA254" s="5">
        <v>0</v>
      </c>
      <c r="HB254" s="5">
        <v>0</v>
      </c>
      <c r="HC254" s="5">
        <f t="shared" si="114"/>
        <v>0</v>
      </c>
      <c r="HD254" s="5"/>
      <c r="HE254" s="5" t="s">
        <v>6</v>
      </c>
      <c r="HF254" s="5" t="s">
        <v>6</v>
      </c>
      <c r="HG254" s="5"/>
      <c r="HH254" s="5"/>
      <c r="HI254" s="5"/>
      <c r="HJ254" s="5"/>
      <c r="HK254" s="5"/>
      <c r="HL254" s="5"/>
      <c r="HM254" s="5" t="s">
        <v>6</v>
      </c>
      <c r="HN254" s="5" t="s">
        <v>6</v>
      </c>
      <c r="HO254" s="5" t="s">
        <v>6</v>
      </c>
      <c r="HP254" s="5" t="s">
        <v>6</v>
      </c>
      <c r="HQ254" s="5" t="s">
        <v>6</v>
      </c>
      <c r="HR254" s="5"/>
      <c r="HS254" s="5">
        <v>0</v>
      </c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>
        <v>0</v>
      </c>
      <c r="IL254" s="5"/>
      <c r="IM254" s="5"/>
      <c r="IN254" s="5"/>
      <c r="IO254" s="5"/>
      <c r="IP254" s="5"/>
      <c r="IQ254" s="5"/>
      <c r="IR254" s="5"/>
      <c r="IS254" s="5"/>
      <c r="IT254" s="5"/>
      <c r="IU254" s="5"/>
    </row>
    <row r="255" spans="1:255" x14ac:dyDescent="0.2">
      <c r="A255" s="5">
        <v>17</v>
      </c>
      <c r="B255" s="5">
        <v>1</v>
      </c>
      <c r="C255" s="5"/>
      <c r="D255" s="5"/>
      <c r="E255" s="5" t="s">
        <v>214</v>
      </c>
      <c r="F255" s="5" t="s">
        <v>215</v>
      </c>
      <c r="G255" s="5" t="s">
        <v>216</v>
      </c>
      <c r="H255" s="5" t="s">
        <v>217</v>
      </c>
      <c r="I255" s="5">
        <v>29.3</v>
      </c>
      <c r="J255" s="5">
        <v>0</v>
      </c>
      <c r="K255" s="5">
        <v>29.3</v>
      </c>
      <c r="L255" s="5"/>
      <c r="M255" s="5"/>
      <c r="N255" s="5"/>
      <c r="O255" s="5">
        <f t="shared" si="96"/>
        <v>3101.41</v>
      </c>
      <c r="P255" s="5">
        <f>ROUND(CQ255*I255,2)</f>
        <v>3101.41</v>
      </c>
      <c r="Q255" s="5">
        <f>ROUND(CR255*I255,2)</f>
        <v>0</v>
      </c>
      <c r="R255" s="5">
        <f>ROUND(CS255*I255,2)</f>
        <v>0</v>
      </c>
      <c r="S255" s="5">
        <f>ROUND(CT255*I255,2)</f>
        <v>0</v>
      </c>
      <c r="T255" s="5">
        <f t="shared" si="97"/>
        <v>0</v>
      </c>
      <c r="U255" s="5">
        <f>ROUND(CV255*I255,7)</f>
        <v>0</v>
      </c>
      <c r="V255" s="5">
        <f>ROUND(CW255*I255,7)</f>
        <v>0</v>
      </c>
      <c r="W255" s="5">
        <f t="shared" si="98"/>
        <v>0</v>
      </c>
      <c r="X255" s="5">
        <f t="shared" si="99"/>
        <v>0</v>
      </c>
      <c r="Y255" s="5">
        <f t="shared" si="100"/>
        <v>0</v>
      </c>
      <c r="Z255" s="5"/>
      <c r="AA255" s="5">
        <v>74852007</v>
      </c>
      <c r="AB255" s="5">
        <f t="shared" si="101"/>
        <v>68.290000000000006</v>
      </c>
      <c r="AC255" s="5">
        <f>ROUND((ES255),2)</f>
        <v>68.290000000000006</v>
      </c>
      <c r="AD255" s="5">
        <f>ROUND((((ET255)-(EU255))+AE255),2)</f>
        <v>0</v>
      </c>
      <c r="AE255" s="5">
        <f>ROUND((EU255),2)</f>
        <v>0</v>
      </c>
      <c r="AF255" s="5">
        <f>ROUND((EV255),2)</f>
        <v>0</v>
      </c>
      <c r="AG255" s="5">
        <f t="shared" si="102"/>
        <v>0</v>
      </c>
      <c r="AH255" s="5">
        <f>(EW255)</f>
        <v>0</v>
      </c>
      <c r="AI255" s="5">
        <f>(EX255)</f>
        <v>0</v>
      </c>
      <c r="AJ255" s="5">
        <f t="shared" si="103"/>
        <v>0</v>
      </c>
      <c r="AK255" s="5">
        <v>68.290000000000006</v>
      </c>
      <c r="AL255" s="5">
        <v>68.290000000000006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1</v>
      </c>
      <c r="AW255" s="5">
        <v>1</v>
      </c>
      <c r="AX255" s="5"/>
      <c r="AY255" s="5"/>
      <c r="AZ255" s="5">
        <v>1</v>
      </c>
      <c r="BA255" s="5">
        <v>1</v>
      </c>
      <c r="BB255" s="5">
        <v>1</v>
      </c>
      <c r="BC255" s="5">
        <v>1.55</v>
      </c>
      <c r="BD255" s="5" t="s">
        <v>6</v>
      </c>
      <c r="BE255" s="5" t="s">
        <v>6</v>
      </c>
      <c r="BF255" s="5" t="s">
        <v>6</v>
      </c>
      <c r="BG255" s="5" t="s">
        <v>6</v>
      </c>
      <c r="BH255" s="5">
        <v>3</v>
      </c>
      <c r="BI255" s="5">
        <v>1</v>
      </c>
      <c r="BJ255" s="5" t="s">
        <v>218</v>
      </c>
      <c r="BK255" s="5"/>
      <c r="BL255" s="5"/>
      <c r="BM255" s="5">
        <v>500001</v>
      </c>
      <c r="BN255" s="5">
        <v>66927928</v>
      </c>
      <c r="BO255" s="5" t="s">
        <v>215</v>
      </c>
      <c r="BP255" s="5">
        <v>1</v>
      </c>
      <c r="BQ255" s="5">
        <v>8</v>
      </c>
      <c r="BR255" s="5">
        <v>0</v>
      </c>
      <c r="BS255" s="5">
        <v>1</v>
      </c>
      <c r="BT255" s="5">
        <v>1</v>
      </c>
      <c r="BU255" s="5">
        <v>1</v>
      </c>
      <c r="BV255" s="5">
        <v>1</v>
      </c>
      <c r="BW255" s="5">
        <v>1</v>
      </c>
      <c r="BX255" s="5">
        <v>1</v>
      </c>
      <c r="BY255" s="5" t="s">
        <v>6</v>
      </c>
      <c r="BZ255" s="5">
        <v>0</v>
      </c>
      <c r="CA255" s="5">
        <v>0</v>
      </c>
      <c r="CB255" s="5" t="s">
        <v>6</v>
      </c>
      <c r="CC255" s="5"/>
      <c r="CD255" s="5"/>
      <c r="CE255" s="5">
        <v>0</v>
      </c>
      <c r="CF255" s="5">
        <v>0</v>
      </c>
      <c r="CG255" s="5">
        <v>0</v>
      </c>
      <c r="CH255" s="5"/>
      <c r="CI255" s="5"/>
      <c r="CJ255" s="5"/>
      <c r="CK255" s="5"/>
      <c r="CL255" s="5"/>
      <c r="CM255" s="5">
        <v>0</v>
      </c>
      <c r="CN255" s="5" t="s">
        <v>6</v>
      </c>
      <c r="CO255" s="5">
        <v>0</v>
      </c>
      <c r="CP255" s="5">
        <f t="shared" si="104"/>
        <v>3101.41</v>
      </c>
      <c r="CQ255" s="5">
        <f>ROUND(AL255*BC255,2)</f>
        <v>105.85</v>
      </c>
      <c r="CR255" s="5">
        <f>ROUND(AM255*BB255,2)</f>
        <v>0</v>
      </c>
      <c r="CS255" s="5">
        <f>ROUND(AN255*BS255,2)</f>
        <v>0</v>
      </c>
      <c r="CT255" s="5">
        <f>ROUND(AO255*BA255,2)</f>
        <v>0</v>
      </c>
      <c r="CU255" s="5">
        <f t="shared" si="105"/>
        <v>0</v>
      </c>
      <c r="CV255" s="5">
        <f>AH255</f>
        <v>0</v>
      </c>
      <c r="CW255" s="5">
        <f>AI255</f>
        <v>0</v>
      </c>
      <c r="CX255" s="5">
        <f t="shared" si="106"/>
        <v>0</v>
      </c>
      <c r="CY255" s="5">
        <f>0</f>
        <v>0</v>
      </c>
      <c r="CZ255" s="5">
        <f>0</f>
        <v>0</v>
      </c>
      <c r="DA255" s="5"/>
      <c r="DB255" s="5"/>
      <c r="DC255" s="5" t="s">
        <v>6</v>
      </c>
      <c r="DD255" s="5" t="s">
        <v>6</v>
      </c>
      <c r="DE255" s="5" t="s">
        <v>6</v>
      </c>
      <c r="DF255" s="5" t="s">
        <v>6</v>
      </c>
      <c r="DG255" s="5" t="s">
        <v>6</v>
      </c>
      <c r="DH255" s="5" t="s">
        <v>6</v>
      </c>
      <c r="DI255" s="5" t="s">
        <v>6</v>
      </c>
      <c r="DJ255" s="5" t="s">
        <v>6</v>
      </c>
      <c r="DK255" s="5" t="s">
        <v>6</v>
      </c>
      <c r="DL255" s="5" t="s">
        <v>6</v>
      </c>
      <c r="DM255" s="5" t="s">
        <v>6</v>
      </c>
      <c r="DN255" s="5">
        <v>0</v>
      </c>
      <c r="DO255" s="5">
        <v>0</v>
      </c>
      <c r="DP255" s="5">
        <v>1</v>
      </c>
      <c r="DQ255" s="5">
        <v>1</v>
      </c>
      <c r="DR255" s="5"/>
      <c r="DS255" s="5"/>
      <c r="DT255" s="5"/>
      <c r="DU255" s="5">
        <v>1009</v>
      </c>
      <c r="DV255" s="5" t="s">
        <v>217</v>
      </c>
      <c r="DW255" s="5" t="s">
        <v>217</v>
      </c>
      <c r="DX255" s="5">
        <v>1</v>
      </c>
      <c r="DY255" s="5"/>
      <c r="DZ255" s="5" t="s">
        <v>6</v>
      </c>
      <c r="EA255" s="5" t="s">
        <v>6</v>
      </c>
      <c r="EB255" s="5" t="s">
        <v>6</v>
      </c>
      <c r="EC255" s="5" t="s">
        <v>6</v>
      </c>
      <c r="ED255" s="5"/>
      <c r="EE255" s="5">
        <v>67841826</v>
      </c>
      <c r="EF255" s="5">
        <v>8</v>
      </c>
      <c r="EG255" s="5" t="s">
        <v>136</v>
      </c>
      <c r="EH255" s="5">
        <v>0</v>
      </c>
      <c r="EI255" s="5" t="s">
        <v>6</v>
      </c>
      <c r="EJ255" s="5">
        <v>1</v>
      </c>
      <c r="EK255" s="5">
        <v>500001</v>
      </c>
      <c r="EL255" s="5" t="s">
        <v>137</v>
      </c>
      <c r="EM255" s="5" t="s">
        <v>138</v>
      </c>
      <c r="EN255" s="5"/>
      <c r="EO255" s="5" t="s">
        <v>6</v>
      </c>
      <c r="EP255" s="5"/>
      <c r="EQ255" s="5">
        <v>0</v>
      </c>
      <c r="ER255" s="5">
        <v>68.290000000000006</v>
      </c>
      <c r="ES255" s="5">
        <v>68.290000000000006</v>
      </c>
      <c r="ET255" s="5">
        <v>0</v>
      </c>
      <c r="EU255" s="5">
        <v>0</v>
      </c>
      <c r="EV255" s="5">
        <v>0</v>
      </c>
      <c r="EW255" s="5">
        <v>0</v>
      </c>
      <c r="EX255" s="5">
        <v>0</v>
      </c>
      <c r="EY255" s="5">
        <v>0</v>
      </c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>
        <v>0</v>
      </c>
      <c r="FR255" s="5">
        <v>0</v>
      </c>
      <c r="FS255" s="5">
        <v>0</v>
      </c>
      <c r="FT255" s="5"/>
      <c r="FU255" s="5"/>
      <c r="FV255" s="5"/>
      <c r="FW255" s="5"/>
      <c r="FX255" s="5">
        <v>0</v>
      </c>
      <c r="FY255" s="5">
        <v>0</v>
      </c>
      <c r="FZ255" s="5"/>
      <c r="GA255" s="5" t="s">
        <v>6</v>
      </c>
      <c r="GB255" s="5"/>
      <c r="GC255" s="5"/>
      <c r="GD255" s="5">
        <v>1</v>
      </c>
      <c r="GE255" s="5"/>
      <c r="GF255" s="5">
        <v>2030637064</v>
      </c>
      <c r="GG255" s="5">
        <v>2</v>
      </c>
      <c r="GH255" s="5">
        <v>1</v>
      </c>
      <c r="GI255" s="5">
        <v>2</v>
      </c>
      <c r="GJ255" s="5">
        <v>0</v>
      </c>
      <c r="GK255" s="5">
        <v>0</v>
      </c>
      <c r="GL255" s="5">
        <f t="shared" si="107"/>
        <v>0</v>
      </c>
      <c r="GM255" s="5">
        <f t="shared" si="108"/>
        <v>3101.41</v>
      </c>
      <c r="GN255" s="5">
        <f t="shared" si="109"/>
        <v>3101.41</v>
      </c>
      <c r="GO255" s="5">
        <f t="shared" si="110"/>
        <v>0</v>
      </c>
      <c r="GP255" s="5">
        <f t="shared" si="111"/>
        <v>0</v>
      </c>
      <c r="GQ255" s="5"/>
      <c r="GR255" s="5">
        <v>0</v>
      </c>
      <c r="GS255" s="5">
        <v>3</v>
      </c>
      <c r="GT255" s="5">
        <v>0</v>
      </c>
      <c r="GU255" s="5" t="s">
        <v>6</v>
      </c>
      <c r="GV255" s="5">
        <f t="shared" si="112"/>
        <v>0</v>
      </c>
      <c r="GW255" s="5">
        <v>1</v>
      </c>
      <c r="GX255" s="5">
        <f t="shared" si="113"/>
        <v>0</v>
      </c>
      <c r="GY255" s="5"/>
      <c r="GZ255" s="5"/>
      <c r="HA255" s="5">
        <v>0</v>
      </c>
      <c r="HB255" s="5">
        <v>0</v>
      </c>
      <c r="HC255" s="5">
        <f t="shared" si="114"/>
        <v>0</v>
      </c>
      <c r="HD255" s="5"/>
      <c r="HE255" s="5" t="s">
        <v>6</v>
      </c>
      <c r="HF255" s="5" t="s">
        <v>6</v>
      </c>
      <c r="HG255" s="5"/>
      <c r="HH255" s="5"/>
      <c r="HI255" s="5"/>
      <c r="HJ255" s="5"/>
      <c r="HK255" s="5"/>
      <c r="HL255" s="5"/>
      <c r="HM255" s="5" t="s">
        <v>6</v>
      </c>
      <c r="HN255" s="5" t="s">
        <v>6</v>
      </c>
      <c r="HO255" s="5" t="s">
        <v>6</v>
      </c>
      <c r="HP255" s="5" t="s">
        <v>6</v>
      </c>
      <c r="HQ255" s="5" t="s">
        <v>6</v>
      </c>
      <c r="HR255" s="5"/>
      <c r="HS255" s="5">
        <v>0</v>
      </c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>
        <v>0</v>
      </c>
      <c r="IL255" s="5"/>
      <c r="IM255" s="5"/>
      <c r="IN255" s="5"/>
      <c r="IO255" s="5"/>
      <c r="IP255" s="5"/>
      <c r="IQ255" s="5"/>
      <c r="IR255" s="5"/>
      <c r="IS255" s="5"/>
      <c r="IT255" s="5"/>
      <c r="IU255" s="5"/>
    </row>
    <row r="256" spans="1:255" x14ac:dyDescent="0.2">
      <c r="A256" s="5">
        <v>17</v>
      </c>
      <c r="B256" s="5">
        <v>1</v>
      </c>
      <c r="C256" s="5">
        <f>ROW(SmtRes!A83)</f>
        <v>83</v>
      </c>
      <c r="D256" s="5">
        <f>ROW(EtalonRes!A100)</f>
        <v>100</v>
      </c>
      <c r="E256" s="5" t="s">
        <v>219</v>
      </c>
      <c r="F256" s="5" t="s">
        <v>220</v>
      </c>
      <c r="G256" s="5" t="s">
        <v>221</v>
      </c>
      <c r="H256" s="5" t="s">
        <v>222</v>
      </c>
      <c r="I256" s="5">
        <f>ROUND(0.04,7)</f>
        <v>0.04</v>
      </c>
      <c r="J256" s="5">
        <v>0</v>
      </c>
      <c r="K256" s="5">
        <f>ROUND(0.04,7)</f>
        <v>0.04</v>
      </c>
      <c r="L256" s="5"/>
      <c r="M256" s="5"/>
      <c r="N256" s="5"/>
      <c r="O256" s="5">
        <f t="shared" si="96"/>
        <v>424.12</v>
      </c>
      <c r="P256" s="5">
        <f>SUMIF(SmtRes!AQ78:'SmtRes'!AQ83,"=1",SmtRes!DF78:'SmtRes'!DF83)</f>
        <v>83.82</v>
      </c>
      <c r="Q256" s="5">
        <f>SUMIF(SmtRes!AQ78:'SmtRes'!AQ83,"=1",SmtRes!DG78:'SmtRes'!DG83)</f>
        <v>0.62</v>
      </c>
      <c r="R256" s="5">
        <f>SUMIF(SmtRes!AQ78:'SmtRes'!AQ83,"=1",SmtRes!DH78:'SmtRes'!DH83)</f>
        <v>0.37</v>
      </c>
      <c r="S256" s="5">
        <f>SUMIF(SmtRes!AQ78:'SmtRes'!AQ83,"=1",SmtRes!DI78:'SmtRes'!DI83)</f>
        <v>339.31</v>
      </c>
      <c r="T256" s="5">
        <f t="shared" si="97"/>
        <v>0</v>
      </c>
      <c r="U256" s="5">
        <f>SUMIF(SmtRes!AQ78:'SmtRes'!AQ83,"=1",SmtRes!CV78:'SmtRes'!CV83)</f>
        <v>1.1408</v>
      </c>
      <c r="V256" s="5">
        <f>SUMIF(SmtRes!AQ78:'SmtRes'!AQ83,"=1",SmtRes!CW78:'SmtRes'!CW83)</f>
        <v>1.15E-3</v>
      </c>
      <c r="W256" s="5">
        <f t="shared" si="98"/>
        <v>0</v>
      </c>
      <c r="X256" s="5">
        <f t="shared" si="99"/>
        <v>369.91</v>
      </c>
      <c r="Y256" s="5">
        <f t="shared" si="100"/>
        <v>207.88</v>
      </c>
      <c r="Z256" s="5"/>
      <c r="AA256" s="5">
        <v>74852007</v>
      </c>
      <c r="AB256" s="5">
        <f t="shared" si="101"/>
        <v>10344.01</v>
      </c>
      <c r="AC256" s="5">
        <f>ROUND((SUM(SmtRes!BQ78:'SmtRes'!BQ83)),2)</f>
        <v>1845.89</v>
      </c>
      <c r="AD256" s="5">
        <f>ROUND((((SUM(SmtRes!BR78:'SmtRes'!BR83))-(SUM(SmtRes!BS78:'SmtRes'!BS83)))+AE256),2)</f>
        <v>15.42</v>
      </c>
      <c r="AE256" s="5">
        <f>ROUND((SUM(SmtRes!BS78:'SmtRes'!BS83)),2)</f>
        <v>9.49</v>
      </c>
      <c r="AF256" s="5">
        <f>ROUND((SUM(SmtRes!BT78:'SmtRes'!BT83)),2)</f>
        <v>8482.7000000000007</v>
      </c>
      <c r="AG256" s="5">
        <f t="shared" si="102"/>
        <v>0</v>
      </c>
      <c r="AH256" s="5">
        <f>(SUM(SmtRes!BU78:'SmtRes'!BU83))</f>
        <v>28.52</v>
      </c>
      <c r="AI256" s="5">
        <f>(SUM(SmtRes!BV78:'SmtRes'!BV83))</f>
        <v>2.8750000000000001E-2</v>
      </c>
      <c r="AJ256" s="5">
        <f t="shared" si="103"/>
        <v>0</v>
      </c>
      <c r="AK256" s="5">
        <v>9242.0730010000007</v>
      </c>
      <c r="AL256" s="5">
        <v>1845.8863510000001</v>
      </c>
      <c r="AM256" s="5">
        <v>12.33196</v>
      </c>
      <c r="AN256" s="5">
        <v>7.5906900000000004</v>
      </c>
      <c r="AO256" s="5">
        <v>7376.2640000000001</v>
      </c>
      <c r="AP256" s="5">
        <v>0</v>
      </c>
      <c r="AQ256" s="5">
        <v>24.8</v>
      </c>
      <c r="AR256" s="5">
        <v>2.3E-2</v>
      </c>
      <c r="AS256" s="5">
        <v>0</v>
      </c>
      <c r="AT256" s="5">
        <v>108.9</v>
      </c>
      <c r="AU256" s="5">
        <v>61.2</v>
      </c>
      <c r="AV256" s="5">
        <v>1</v>
      </c>
      <c r="AW256" s="5">
        <v>1</v>
      </c>
      <c r="AX256" s="5"/>
      <c r="AY256" s="5"/>
      <c r="AZ256" s="5">
        <v>1</v>
      </c>
      <c r="BA256" s="5">
        <v>1</v>
      </c>
      <c r="BB256" s="5">
        <v>1</v>
      </c>
      <c r="BC256" s="5">
        <v>1</v>
      </c>
      <c r="BD256" s="5" t="s">
        <v>6</v>
      </c>
      <c r="BE256" s="5" t="s">
        <v>6</v>
      </c>
      <c r="BF256" s="5" t="s">
        <v>6</v>
      </c>
      <c r="BG256" s="5" t="s">
        <v>6</v>
      </c>
      <c r="BH256" s="5">
        <v>0</v>
      </c>
      <c r="BI256" s="5">
        <v>1</v>
      </c>
      <c r="BJ256" s="5" t="s">
        <v>223</v>
      </c>
      <c r="BK256" s="5"/>
      <c r="BL256" s="5"/>
      <c r="BM256" s="5">
        <v>20001</v>
      </c>
      <c r="BN256" s="5">
        <v>66927928</v>
      </c>
      <c r="BO256" s="5" t="s">
        <v>6</v>
      </c>
      <c r="BP256" s="5">
        <v>0</v>
      </c>
      <c r="BQ256" s="5">
        <v>2</v>
      </c>
      <c r="BR256" s="5">
        <v>0</v>
      </c>
      <c r="BS256" s="5">
        <v>1</v>
      </c>
      <c r="BT256" s="5">
        <v>1</v>
      </c>
      <c r="BU256" s="5">
        <v>1</v>
      </c>
      <c r="BV256" s="5">
        <v>1</v>
      </c>
      <c r="BW256" s="5">
        <v>1</v>
      </c>
      <c r="BX256" s="5">
        <v>1</v>
      </c>
      <c r="BY256" s="5" t="s">
        <v>6</v>
      </c>
      <c r="BZ256" s="5">
        <v>121</v>
      </c>
      <c r="CA256" s="5">
        <v>72</v>
      </c>
      <c r="CB256" s="5" t="s">
        <v>6</v>
      </c>
      <c r="CC256" s="5"/>
      <c r="CD256" s="5"/>
      <c r="CE256" s="5">
        <v>0</v>
      </c>
      <c r="CF256" s="5">
        <v>0</v>
      </c>
      <c r="CG256" s="5">
        <v>0</v>
      </c>
      <c r="CH256" s="5"/>
      <c r="CI256" s="5"/>
      <c r="CJ256" s="5"/>
      <c r="CK256" s="5"/>
      <c r="CL256" s="5"/>
      <c r="CM256" s="5">
        <v>0</v>
      </c>
      <c r="CN256" s="5" t="s">
        <v>115</v>
      </c>
      <c r="CO256" s="5">
        <v>0</v>
      </c>
      <c r="CP256" s="5">
        <f t="shared" si="104"/>
        <v>424.12</v>
      </c>
      <c r="CQ256" s="5">
        <f>SUMIF(SmtRes!AQ78:'SmtRes'!AQ83,"=1",SmtRes!AA78:'SmtRes'!AA83)</f>
        <v>922.68000000000006</v>
      </c>
      <c r="CR256" s="5">
        <f>SUMIF(SmtRes!AQ78:'SmtRes'!AQ83,"=1",SmtRes!AB78:'SmtRes'!AB83)</f>
        <v>666.23</v>
      </c>
      <c r="CS256" s="5">
        <f>SUMIF(SmtRes!AQ78:'SmtRes'!AQ83,"=1",SmtRes!AC78:'SmtRes'!AC83)</f>
        <v>632.35</v>
      </c>
      <c r="CT256" s="5">
        <f>SUMIF(SmtRes!AQ78:'SmtRes'!AQ83,"=1",SmtRes!AD78:'SmtRes'!AD83)</f>
        <v>297.43</v>
      </c>
      <c r="CU256" s="5">
        <f t="shared" si="105"/>
        <v>0</v>
      </c>
      <c r="CV256" s="5">
        <f>SUMIF(SmtRes!AQ78:'SmtRes'!AQ83,"=1",SmtRes!BU78:'SmtRes'!BU83)</f>
        <v>28.52</v>
      </c>
      <c r="CW256" s="5">
        <f>SUMIF(SmtRes!AQ78:'SmtRes'!AQ83,"=1",SmtRes!BV78:'SmtRes'!BV83)</f>
        <v>2.8750000000000001E-2</v>
      </c>
      <c r="CX256" s="5">
        <f t="shared" si="106"/>
        <v>0</v>
      </c>
      <c r="CY256" s="5">
        <f>(((S256+R256)*AT256)/100)</f>
        <v>369.91152</v>
      </c>
      <c r="CZ256" s="5">
        <f>(((S256+R256)*AU256)/100)</f>
        <v>207.88416000000001</v>
      </c>
      <c r="DA256" s="5"/>
      <c r="DB256" s="5"/>
      <c r="DC256" s="5" t="s">
        <v>6</v>
      </c>
      <c r="DD256" s="5" t="s">
        <v>6</v>
      </c>
      <c r="DE256" s="5" t="s">
        <v>116</v>
      </c>
      <c r="DF256" s="5" t="s">
        <v>116</v>
      </c>
      <c r="DG256" s="5" t="s">
        <v>117</v>
      </c>
      <c r="DH256" s="5" t="s">
        <v>6</v>
      </c>
      <c r="DI256" s="5" t="s">
        <v>117</v>
      </c>
      <c r="DJ256" s="5" t="s">
        <v>116</v>
      </c>
      <c r="DK256" s="5" t="s">
        <v>6</v>
      </c>
      <c r="DL256" s="5" t="s">
        <v>118</v>
      </c>
      <c r="DM256" s="5" t="s">
        <v>119</v>
      </c>
      <c r="DN256" s="5">
        <v>0</v>
      </c>
      <c r="DO256" s="5">
        <v>0</v>
      </c>
      <c r="DP256" s="5">
        <v>1</v>
      </c>
      <c r="DQ256" s="5">
        <v>1</v>
      </c>
      <c r="DR256" s="5"/>
      <c r="DS256" s="5"/>
      <c r="DT256" s="5"/>
      <c r="DU256" s="5">
        <v>1013</v>
      </c>
      <c r="DV256" s="5" t="s">
        <v>222</v>
      </c>
      <c r="DW256" s="5" t="s">
        <v>222</v>
      </c>
      <c r="DX256" s="5">
        <v>1</v>
      </c>
      <c r="DY256" s="5"/>
      <c r="DZ256" s="5" t="s">
        <v>6</v>
      </c>
      <c r="EA256" s="5" t="s">
        <v>6</v>
      </c>
      <c r="EB256" s="5" t="s">
        <v>6</v>
      </c>
      <c r="EC256" s="5" t="s">
        <v>6</v>
      </c>
      <c r="ED256" s="5"/>
      <c r="EE256" s="5">
        <v>67841924</v>
      </c>
      <c r="EF256" s="5">
        <v>2</v>
      </c>
      <c r="EG256" s="5" t="s">
        <v>18</v>
      </c>
      <c r="EH256" s="5">
        <v>16</v>
      </c>
      <c r="EI256" s="5" t="s">
        <v>224</v>
      </c>
      <c r="EJ256" s="5">
        <v>1</v>
      </c>
      <c r="EK256" s="5">
        <v>20001</v>
      </c>
      <c r="EL256" s="5" t="s">
        <v>225</v>
      </c>
      <c r="EM256" s="5" t="s">
        <v>226</v>
      </c>
      <c r="EN256" s="5"/>
      <c r="EO256" s="5" t="s">
        <v>121</v>
      </c>
      <c r="EP256" s="5"/>
      <c r="EQ256" s="5">
        <v>0</v>
      </c>
      <c r="ER256" s="5">
        <v>0</v>
      </c>
      <c r="ES256" s="5">
        <v>0</v>
      </c>
      <c r="ET256" s="5">
        <v>0</v>
      </c>
      <c r="EU256" s="5">
        <v>0</v>
      </c>
      <c r="EV256" s="5">
        <v>0</v>
      </c>
      <c r="EW256" s="5">
        <v>24.8</v>
      </c>
      <c r="EX256" s="5">
        <v>0.02</v>
      </c>
      <c r="EY256" s="5">
        <v>0</v>
      </c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>
        <v>0</v>
      </c>
      <c r="FR256" s="5">
        <v>0</v>
      </c>
      <c r="FS256" s="5">
        <v>0</v>
      </c>
      <c r="FT256" s="5"/>
      <c r="FU256" s="5"/>
      <c r="FV256" s="5"/>
      <c r="FW256" s="5"/>
      <c r="FX256" s="5">
        <v>108.9</v>
      </c>
      <c r="FY256" s="5">
        <v>61.199999999999996</v>
      </c>
      <c r="FZ256" s="5"/>
      <c r="GA256" s="5" t="s">
        <v>6</v>
      </c>
      <c r="GB256" s="5"/>
      <c r="GC256" s="5"/>
      <c r="GD256" s="5">
        <v>1</v>
      </c>
      <c r="GE256" s="5"/>
      <c r="GF256" s="5">
        <v>86521572</v>
      </c>
      <c r="GG256" s="5">
        <v>2</v>
      </c>
      <c r="GH256" s="5">
        <v>1</v>
      </c>
      <c r="GI256" s="5">
        <v>-2</v>
      </c>
      <c r="GJ256" s="5">
        <v>0</v>
      </c>
      <c r="GK256" s="5">
        <v>0</v>
      </c>
      <c r="GL256" s="5">
        <f t="shared" si="107"/>
        <v>0</v>
      </c>
      <c r="GM256" s="5">
        <f t="shared" si="108"/>
        <v>1001.91</v>
      </c>
      <c r="GN256" s="5">
        <f t="shared" si="109"/>
        <v>1001.91</v>
      </c>
      <c r="GO256" s="5">
        <f t="shared" si="110"/>
        <v>0</v>
      </c>
      <c r="GP256" s="5">
        <f t="shared" si="111"/>
        <v>0</v>
      </c>
      <c r="GQ256" s="5"/>
      <c r="GR256" s="5">
        <v>0</v>
      </c>
      <c r="GS256" s="5">
        <v>3</v>
      </c>
      <c r="GT256" s="5">
        <v>0</v>
      </c>
      <c r="GU256" s="5" t="s">
        <v>6</v>
      </c>
      <c r="GV256" s="5">
        <f t="shared" si="112"/>
        <v>0</v>
      </c>
      <c r="GW256" s="5">
        <v>1</v>
      </c>
      <c r="GX256" s="5">
        <f t="shared" si="113"/>
        <v>0</v>
      </c>
      <c r="GY256" s="5"/>
      <c r="GZ256" s="5"/>
      <c r="HA256" s="5">
        <v>0</v>
      </c>
      <c r="HB256" s="5">
        <v>0</v>
      </c>
      <c r="HC256" s="5">
        <f t="shared" si="114"/>
        <v>0</v>
      </c>
      <c r="HD256" s="5"/>
      <c r="HE256" s="5" t="s">
        <v>6</v>
      </c>
      <c r="HF256" s="5" t="s">
        <v>6</v>
      </c>
      <c r="HG256" s="5"/>
      <c r="HH256" s="5"/>
      <c r="HI256" s="5"/>
      <c r="HJ256" s="5"/>
      <c r="HK256" s="5"/>
      <c r="HL256" s="5"/>
      <c r="HM256" s="5" t="s">
        <v>6</v>
      </c>
      <c r="HN256" s="5" t="s">
        <v>227</v>
      </c>
      <c r="HO256" s="5" t="s">
        <v>228</v>
      </c>
      <c r="HP256" s="5" t="s">
        <v>224</v>
      </c>
      <c r="HQ256" s="5" t="s">
        <v>224</v>
      </c>
      <c r="HR256" s="5"/>
      <c r="HS256" s="5">
        <v>0</v>
      </c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>
        <v>0</v>
      </c>
      <c r="IL256" s="5"/>
      <c r="IM256" s="5"/>
      <c r="IN256" s="5"/>
      <c r="IO256" s="5"/>
      <c r="IP256" s="5"/>
      <c r="IQ256" s="5"/>
      <c r="IR256" s="5"/>
      <c r="IS256" s="5"/>
      <c r="IT256" s="5"/>
      <c r="IU256" s="5"/>
    </row>
    <row r="257" spans="1:255" x14ac:dyDescent="0.2">
      <c r="A257" s="5">
        <v>17</v>
      </c>
      <c r="B257" s="5">
        <v>1</v>
      </c>
      <c r="C257" s="5"/>
      <c r="D257" s="5"/>
      <c r="E257" s="5" t="s">
        <v>229</v>
      </c>
      <c r="F257" s="5" t="s">
        <v>230</v>
      </c>
      <c r="G257" s="5" t="s">
        <v>231</v>
      </c>
      <c r="H257" s="5" t="s">
        <v>166</v>
      </c>
      <c r="I257" s="5">
        <f>ROUND(4,7)</f>
        <v>4</v>
      </c>
      <c r="J257" s="5">
        <v>0</v>
      </c>
      <c r="K257" s="5">
        <f>ROUND(4,7)</f>
        <v>4</v>
      </c>
      <c r="L257" s="5"/>
      <c r="M257" s="5"/>
      <c r="N257" s="5"/>
      <c r="O257" s="5">
        <f t="shared" si="96"/>
        <v>409.88</v>
      </c>
      <c r="P257" s="5">
        <f>ROUND(CQ257*I257,2)</f>
        <v>409.88</v>
      </c>
      <c r="Q257" s="5">
        <f>ROUND(CR257*I257,2)</f>
        <v>0</v>
      </c>
      <c r="R257" s="5">
        <f>ROUND(CS257*I257,2)</f>
        <v>0</v>
      </c>
      <c r="S257" s="5">
        <f>ROUND(CT257*I257,2)</f>
        <v>0</v>
      </c>
      <c r="T257" s="5">
        <f t="shared" si="97"/>
        <v>0</v>
      </c>
      <c r="U257" s="5">
        <f>ROUND(CV257*I257,7)</f>
        <v>0</v>
      </c>
      <c r="V257" s="5">
        <f>ROUND(CW257*I257,7)</f>
        <v>0</v>
      </c>
      <c r="W257" s="5">
        <f t="shared" si="98"/>
        <v>0</v>
      </c>
      <c r="X257" s="5">
        <f t="shared" si="99"/>
        <v>0</v>
      </c>
      <c r="Y257" s="5">
        <f t="shared" si="100"/>
        <v>0</v>
      </c>
      <c r="Z257" s="5"/>
      <c r="AA257" s="5">
        <v>74852007</v>
      </c>
      <c r="AB257" s="5">
        <f t="shared" si="101"/>
        <v>93.15</v>
      </c>
      <c r="AC257" s="5">
        <f>ROUND((ES257),2)</f>
        <v>93.15</v>
      </c>
      <c r="AD257" s="5">
        <f>ROUND((((ET257)-(EU257))+AE257),2)</f>
        <v>0</v>
      </c>
      <c r="AE257" s="5">
        <f>ROUND((EU257),2)</f>
        <v>0</v>
      </c>
      <c r="AF257" s="5">
        <f>ROUND((EV257),2)</f>
        <v>0</v>
      </c>
      <c r="AG257" s="5">
        <f t="shared" si="102"/>
        <v>0</v>
      </c>
      <c r="AH257" s="5">
        <f>(EW257)</f>
        <v>0</v>
      </c>
      <c r="AI257" s="5">
        <f>(EX257)</f>
        <v>0</v>
      </c>
      <c r="AJ257" s="5">
        <f t="shared" si="103"/>
        <v>0</v>
      </c>
      <c r="AK257" s="5">
        <v>93.15</v>
      </c>
      <c r="AL257" s="5">
        <v>93.15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1</v>
      </c>
      <c r="AW257" s="5">
        <v>1</v>
      </c>
      <c r="AX257" s="5"/>
      <c r="AY257" s="5"/>
      <c r="AZ257" s="5">
        <v>1</v>
      </c>
      <c r="BA257" s="5">
        <v>1</v>
      </c>
      <c r="BB257" s="5">
        <v>1</v>
      </c>
      <c r="BC257" s="5">
        <v>1.1000000000000001</v>
      </c>
      <c r="BD257" s="5" t="s">
        <v>6</v>
      </c>
      <c r="BE257" s="5" t="s">
        <v>6</v>
      </c>
      <c r="BF257" s="5" t="s">
        <v>6</v>
      </c>
      <c r="BG257" s="5" t="s">
        <v>6</v>
      </c>
      <c r="BH257" s="5">
        <v>3</v>
      </c>
      <c r="BI257" s="5">
        <v>1</v>
      </c>
      <c r="BJ257" s="5" t="s">
        <v>232</v>
      </c>
      <c r="BK257" s="5"/>
      <c r="BL257" s="5"/>
      <c r="BM257" s="5">
        <v>500001</v>
      </c>
      <c r="BN257" s="5">
        <v>66927928</v>
      </c>
      <c r="BO257" s="5" t="s">
        <v>230</v>
      </c>
      <c r="BP257" s="5">
        <v>1</v>
      </c>
      <c r="BQ257" s="5">
        <v>8</v>
      </c>
      <c r="BR257" s="5">
        <v>0</v>
      </c>
      <c r="BS257" s="5">
        <v>1</v>
      </c>
      <c r="BT257" s="5">
        <v>1</v>
      </c>
      <c r="BU257" s="5">
        <v>1</v>
      </c>
      <c r="BV257" s="5">
        <v>1</v>
      </c>
      <c r="BW257" s="5">
        <v>1</v>
      </c>
      <c r="BX257" s="5">
        <v>1</v>
      </c>
      <c r="BY257" s="5" t="s">
        <v>6</v>
      </c>
      <c r="BZ257" s="5">
        <v>0</v>
      </c>
      <c r="CA257" s="5">
        <v>0</v>
      </c>
      <c r="CB257" s="5" t="s">
        <v>6</v>
      </c>
      <c r="CC257" s="5"/>
      <c r="CD257" s="5"/>
      <c r="CE257" s="5">
        <v>0</v>
      </c>
      <c r="CF257" s="5">
        <v>0</v>
      </c>
      <c r="CG257" s="5">
        <v>0</v>
      </c>
      <c r="CH257" s="5"/>
      <c r="CI257" s="5"/>
      <c r="CJ257" s="5"/>
      <c r="CK257" s="5"/>
      <c r="CL257" s="5"/>
      <c r="CM257" s="5">
        <v>0</v>
      </c>
      <c r="CN257" s="5" t="s">
        <v>6</v>
      </c>
      <c r="CO257" s="5">
        <v>0</v>
      </c>
      <c r="CP257" s="5">
        <f t="shared" si="104"/>
        <v>409.88</v>
      </c>
      <c r="CQ257" s="5">
        <f>ROUND(AL257*BC257,2)</f>
        <v>102.47</v>
      </c>
      <c r="CR257" s="5">
        <f>ROUND(AM257*BB257,2)</f>
        <v>0</v>
      </c>
      <c r="CS257" s="5">
        <f>ROUND(AN257*BS257,2)</f>
        <v>0</v>
      </c>
      <c r="CT257" s="5">
        <f>ROUND(AO257*BA257,2)</f>
        <v>0</v>
      </c>
      <c r="CU257" s="5">
        <f t="shared" si="105"/>
        <v>0</v>
      </c>
      <c r="CV257" s="5">
        <f>AH257</f>
        <v>0</v>
      </c>
      <c r="CW257" s="5">
        <f>AI257</f>
        <v>0</v>
      </c>
      <c r="CX257" s="5">
        <f t="shared" si="106"/>
        <v>0</v>
      </c>
      <c r="CY257" s="5">
        <f>0</f>
        <v>0</v>
      </c>
      <c r="CZ257" s="5">
        <f>0</f>
        <v>0</v>
      </c>
      <c r="DA257" s="5"/>
      <c r="DB257" s="5"/>
      <c r="DC257" s="5" t="s">
        <v>6</v>
      </c>
      <c r="DD257" s="5" t="s">
        <v>6</v>
      </c>
      <c r="DE257" s="5" t="s">
        <v>6</v>
      </c>
      <c r="DF257" s="5" t="s">
        <v>6</v>
      </c>
      <c r="DG257" s="5" t="s">
        <v>6</v>
      </c>
      <c r="DH257" s="5" t="s">
        <v>6</v>
      </c>
      <c r="DI257" s="5" t="s">
        <v>6</v>
      </c>
      <c r="DJ257" s="5" t="s">
        <v>6</v>
      </c>
      <c r="DK257" s="5" t="s">
        <v>6</v>
      </c>
      <c r="DL257" s="5" t="s">
        <v>6</v>
      </c>
      <c r="DM257" s="5" t="s">
        <v>6</v>
      </c>
      <c r="DN257" s="5">
        <v>0</v>
      </c>
      <c r="DO257" s="5">
        <v>0</v>
      </c>
      <c r="DP257" s="5">
        <v>1</v>
      </c>
      <c r="DQ257" s="5">
        <v>1</v>
      </c>
      <c r="DR257" s="5"/>
      <c r="DS257" s="5"/>
      <c r="DT257" s="5"/>
      <c r="DU257" s="5">
        <v>1013</v>
      </c>
      <c r="DV257" s="5" t="s">
        <v>166</v>
      </c>
      <c r="DW257" s="5" t="s">
        <v>166</v>
      </c>
      <c r="DX257" s="5">
        <v>1</v>
      </c>
      <c r="DY257" s="5"/>
      <c r="DZ257" s="5" t="s">
        <v>6</v>
      </c>
      <c r="EA257" s="5" t="s">
        <v>6</v>
      </c>
      <c r="EB257" s="5" t="s">
        <v>6</v>
      </c>
      <c r="EC257" s="5" t="s">
        <v>6</v>
      </c>
      <c r="ED257" s="5"/>
      <c r="EE257" s="5">
        <v>67841826</v>
      </c>
      <c r="EF257" s="5">
        <v>8</v>
      </c>
      <c r="EG257" s="5" t="s">
        <v>136</v>
      </c>
      <c r="EH257" s="5">
        <v>0</v>
      </c>
      <c r="EI257" s="5" t="s">
        <v>6</v>
      </c>
      <c r="EJ257" s="5">
        <v>1</v>
      </c>
      <c r="EK257" s="5">
        <v>500001</v>
      </c>
      <c r="EL257" s="5" t="s">
        <v>137</v>
      </c>
      <c r="EM257" s="5" t="s">
        <v>138</v>
      </c>
      <c r="EN257" s="5"/>
      <c r="EO257" s="5" t="s">
        <v>6</v>
      </c>
      <c r="EP257" s="5"/>
      <c r="EQ257" s="5">
        <v>0</v>
      </c>
      <c r="ER257" s="5">
        <v>93.15</v>
      </c>
      <c r="ES257" s="5">
        <v>93.15</v>
      </c>
      <c r="ET257" s="5">
        <v>0</v>
      </c>
      <c r="EU257" s="5">
        <v>0</v>
      </c>
      <c r="EV257" s="5">
        <v>0</v>
      </c>
      <c r="EW257" s="5">
        <v>0</v>
      </c>
      <c r="EX257" s="5">
        <v>0</v>
      </c>
      <c r="EY257" s="5">
        <v>0</v>
      </c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>
        <v>0</v>
      </c>
      <c r="FR257" s="5">
        <v>0</v>
      </c>
      <c r="FS257" s="5">
        <v>0</v>
      </c>
      <c r="FT257" s="5"/>
      <c r="FU257" s="5"/>
      <c r="FV257" s="5"/>
      <c r="FW257" s="5"/>
      <c r="FX257" s="5">
        <v>0</v>
      </c>
      <c r="FY257" s="5">
        <v>0</v>
      </c>
      <c r="FZ257" s="5"/>
      <c r="GA257" s="5" t="s">
        <v>6</v>
      </c>
      <c r="GB257" s="5"/>
      <c r="GC257" s="5"/>
      <c r="GD257" s="5">
        <v>1</v>
      </c>
      <c r="GE257" s="5"/>
      <c r="GF257" s="5">
        <v>804898524</v>
      </c>
      <c r="GG257" s="5">
        <v>2</v>
      </c>
      <c r="GH257" s="5">
        <v>1</v>
      </c>
      <c r="GI257" s="5">
        <v>2</v>
      </c>
      <c r="GJ257" s="5">
        <v>0</v>
      </c>
      <c r="GK257" s="5">
        <v>0</v>
      </c>
      <c r="GL257" s="5">
        <f t="shared" si="107"/>
        <v>0</v>
      </c>
      <c r="GM257" s="5">
        <f t="shared" si="108"/>
        <v>409.88</v>
      </c>
      <c r="GN257" s="5">
        <f t="shared" si="109"/>
        <v>409.88</v>
      </c>
      <c r="GO257" s="5">
        <f t="shared" si="110"/>
        <v>0</v>
      </c>
      <c r="GP257" s="5">
        <f t="shared" si="111"/>
        <v>0</v>
      </c>
      <c r="GQ257" s="5"/>
      <c r="GR257" s="5">
        <v>0</v>
      </c>
      <c r="GS257" s="5">
        <v>3</v>
      </c>
      <c r="GT257" s="5">
        <v>0</v>
      </c>
      <c r="GU257" s="5" t="s">
        <v>6</v>
      </c>
      <c r="GV257" s="5">
        <f t="shared" si="112"/>
        <v>0</v>
      </c>
      <c r="GW257" s="5">
        <v>1</v>
      </c>
      <c r="GX257" s="5">
        <f t="shared" si="113"/>
        <v>0</v>
      </c>
      <c r="GY257" s="5"/>
      <c r="GZ257" s="5"/>
      <c r="HA257" s="5">
        <v>0</v>
      </c>
      <c r="HB257" s="5">
        <v>0</v>
      </c>
      <c r="HC257" s="5">
        <f t="shared" si="114"/>
        <v>0</v>
      </c>
      <c r="HD257" s="5"/>
      <c r="HE257" s="5" t="s">
        <v>6</v>
      </c>
      <c r="HF257" s="5" t="s">
        <v>6</v>
      </c>
      <c r="HG257" s="5"/>
      <c r="HH257" s="5"/>
      <c r="HI257" s="5"/>
      <c r="HJ257" s="5"/>
      <c r="HK257" s="5"/>
      <c r="HL257" s="5"/>
      <c r="HM257" s="5" t="s">
        <v>6</v>
      </c>
      <c r="HN257" s="5" t="s">
        <v>6</v>
      </c>
      <c r="HO257" s="5" t="s">
        <v>6</v>
      </c>
      <c r="HP257" s="5" t="s">
        <v>6</v>
      </c>
      <c r="HQ257" s="5" t="s">
        <v>6</v>
      </c>
      <c r="HR257" s="5"/>
      <c r="HS257" s="5">
        <v>0</v>
      </c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>
        <v>0</v>
      </c>
      <c r="IL257" s="5"/>
      <c r="IM257" s="5"/>
      <c r="IN257" s="5"/>
      <c r="IO257" s="5"/>
      <c r="IP257" s="5"/>
      <c r="IQ257" s="5"/>
      <c r="IR257" s="5"/>
      <c r="IS257" s="5"/>
      <c r="IT257" s="5"/>
      <c r="IU257" s="5"/>
    </row>
    <row r="258" spans="1:255" x14ac:dyDescent="0.2">
      <c r="A258" s="5">
        <v>17</v>
      </c>
      <c r="B258" s="5">
        <v>1</v>
      </c>
      <c r="C258" s="5">
        <f>ROW(SmtRes!A88)</f>
        <v>88</v>
      </c>
      <c r="D258" s="5">
        <f>ROW(EtalonRes!A106)</f>
        <v>106</v>
      </c>
      <c r="E258" s="5" t="s">
        <v>233</v>
      </c>
      <c r="F258" s="5" t="s">
        <v>234</v>
      </c>
      <c r="G258" s="5" t="s">
        <v>235</v>
      </c>
      <c r="H258" s="5" t="s">
        <v>90</v>
      </c>
      <c r="I258" s="5">
        <f>ROUND(0.0144,7)</f>
        <v>1.44E-2</v>
      </c>
      <c r="J258" s="5">
        <v>0</v>
      </c>
      <c r="K258" s="5">
        <f>ROUND(0.0144,7)</f>
        <v>1.44E-2</v>
      </c>
      <c r="L258" s="5"/>
      <c r="M258" s="5"/>
      <c r="N258" s="5"/>
      <c r="O258" s="5">
        <f t="shared" si="96"/>
        <v>311.35000000000002</v>
      </c>
      <c r="P258" s="5">
        <f>SUMIF(SmtRes!AQ84:'SmtRes'!AQ88,"=1",SmtRes!DF84:'SmtRes'!DF88)</f>
        <v>9.85</v>
      </c>
      <c r="Q258" s="5">
        <f>SUMIF(SmtRes!AQ84:'SmtRes'!AQ88,"=1",SmtRes!DG84:'SmtRes'!DG88)</f>
        <v>0.09</v>
      </c>
      <c r="R258" s="5">
        <f>SUMIF(SmtRes!AQ84:'SmtRes'!AQ88,"=1",SmtRes!DH84:'SmtRes'!DH88)</f>
        <v>0.05</v>
      </c>
      <c r="S258" s="5">
        <f>SUMIF(SmtRes!AQ84:'SmtRes'!AQ88,"=1",SmtRes!DI84:'SmtRes'!DI88)</f>
        <v>301.36</v>
      </c>
      <c r="T258" s="5">
        <f t="shared" si="97"/>
        <v>0</v>
      </c>
      <c r="U258" s="5">
        <f>SUMIF(SmtRes!AQ84:'SmtRes'!AQ88,"=1",SmtRes!CV84:'SmtRes'!CV88)</f>
        <v>1.06704</v>
      </c>
      <c r="V258" s="5">
        <f>SUMIF(SmtRes!AQ84:'SmtRes'!AQ88,"=1",SmtRes!CW84:'SmtRes'!CW88)</f>
        <v>1.44E-4</v>
      </c>
      <c r="W258" s="5">
        <f t="shared" si="98"/>
        <v>0</v>
      </c>
      <c r="X258" s="5">
        <f t="shared" si="99"/>
        <v>271.27</v>
      </c>
      <c r="Y258" s="5">
        <f t="shared" si="100"/>
        <v>138.65</v>
      </c>
      <c r="Z258" s="5"/>
      <c r="AA258" s="5">
        <v>74852007</v>
      </c>
      <c r="AB258" s="5">
        <f t="shared" si="101"/>
        <v>21479.99</v>
      </c>
      <c r="AC258" s="5">
        <f>ROUND((SUM(SmtRes!BQ84:'SmtRes'!BQ88)),2)</f>
        <v>545.82000000000005</v>
      </c>
      <c r="AD258" s="5">
        <f>ROUND((((SUM(SmtRes!BR84:'SmtRes'!BR88))-(SUM(SmtRes!BS84:'SmtRes'!BS88)))+AE258),2)</f>
        <v>6.11</v>
      </c>
      <c r="AE258" s="5">
        <f>ROUND((SUM(SmtRes!BS84:'SmtRes'!BS88)),2)</f>
        <v>3.35</v>
      </c>
      <c r="AF258" s="5">
        <f>ROUND((SUM(SmtRes!BT84:'SmtRes'!BT88)),2)</f>
        <v>20928.060000000001</v>
      </c>
      <c r="AG258" s="5">
        <f t="shared" si="102"/>
        <v>0</v>
      </c>
      <c r="AH258" s="5">
        <f>(SUM(SmtRes!BU84:'SmtRes'!BU88))</f>
        <v>74.099999999999994</v>
      </c>
      <c r="AI258" s="5">
        <f>(SUM(SmtRes!BV84:'SmtRes'!BV88))</f>
        <v>0.01</v>
      </c>
      <c r="AJ258" s="5">
        <f t="shared" si="103"/>
        <v>0</v>
      </c>
      <c r="AK258" s="5">
        <v>21483.338368999997</v>
      </c>
      <c r="AL258" s="5">
        <v>545.81616899999995</v>
      </c>
      <c r="AM258" s="5">
        <v>6.11</v>
      </c>
      <c r="AN258" s="5">
        <v>3.3492000000000002</v>
      </c>
      <c r="AO258" s="5">
        <v>20928.062999999998</v>
      </c>
      <c r="AP258" s="5">
        <v>0</v>
      </c>
      <c r="AQ258" s="5">
        <v>74.099999999999994</v>
      </c>
      <c r="AR258" s="5">
        <v>0.01</v>
      </c>
      <c r="AS258" s="5">
        <v>0</v>
      </c>
      <c r="AT258" s="5">
        <v>90</v>
      </c>
      <c r="AU258" s="5">
        <v>46</v>
      </c>
      <c r="AV258" s="5">
        <v>1</v>
      </c>
      <c r="AW258" s="5">
        <v>1</v>
      </c>
      <c r="AX258" s="5"/>
      <c r="AY258" s="5"/>
      <c r="AZ258" s="5">
        <v>1</v>
      </c>
      <c r="BA258" s="5">
        <v>1</v>
      </c>
      <c r="BB258" s="5">
        <v>1</v>
      </c>
      <c r="BC258" s="5">
        <v>1</v>
      </c>
      <c r="BD258" s="5" t="s">
        <v>6</v>
      </c>
      <c r="BE258" s="5" t="s">
        <v>6</v>
      </c>
      <c r="BF258" s="5" t="s">
        <v>6</v>
      </c>
      <c r="BG258" s="5" t="s">
        <v>6</v>
      </c>
      <c r="BH258" s="5">
        <v>0</v>
      </c>
      <c r="BI258" s="5">
        <v>1</v>
      </c>
      <c r="BJ258" s="5" t="s">
        <v>236</v>
      </c>
      <c r="BK258" s="5"/>
      <c r="BL258" s="5"/>
      <c r="BM258" s="5">
        <v>62001</v>
      </c>
      <c r="BN258" s="5">
        <v>66927928</v>
      </c>
      <c r="BO258" s="5" t="s">
        <v>6</v>
      </c>
      <c r="BP258" s="5">
        <v>0</v>
      </c>
      <c r="BQ258" s="5">
        <v>6</v>
      </c>
      <c r="BR258" s="5">
        <v>0</v>
      </c>
      <c r="BS258" s="5">
        <v>1</v>
      </c>
      <c r="BT258" s="5">
        <v>1</v>
      </c>
      <c r="BU258" s="5">
        <v>1</v>
      </c>
      <c r="BV258" s="5">
        <v>1</v>
      </c>
      <c r="BW258" s="5">
        <v>1</v>
      </c>
      <c r="BX258" s="5">
        <v>1</v>
      </c>
      <c r="BY258" s="5" t="s">
        <v>6</v>
      </c>
      <c r="BZ258" s="5">
        <v>90</v>
      </c>
      <c r="CA258" s="5">
        <v>46</v>
      </c>
      <c r="CB258" s="5" t="s">
        <v>6</v>
      </c>
      <c r="CC258" s="5"/>
      <c r="CD258" s="5"/>
      <c r="CE258" s="5">
        <v>0</v>
      </c>
      <c r="CF258" s="5">
        <v>0</v>
      </c>
      <c r="CG258" s="5">
        <v>0</v>
      </c>
      <c r="CH258" s="5"/>
      <c r="CI258" s="5"/>
      <c r="CJ258" s="5"/>
      <c r="CK258" s="5"/>
      <c r="CL258" s="5"/>
      <c r="CM258" s="5">
        <v>0</v>
      </c>
      <c r="CN258" s="5" t="s">
        <v>6</v>
      </c>
      <c r="CO258" s="5">
        <v>0</v>
      </c>
      <c r="CP258" s="5">
        <f t="shared" si="104"/>
        <v>311.35000000000002</v>
      </c>
      <c r="CQ258" s="5">
        <f>SUMIF(SmtRes!AQ84:'SmtRes'!AQ88,"=1",SmtRes!AA84:'SmtRes'!AA88)</f>
        <v>75955.11</v>
      </c>
      <c r="CR258" s="5">
        <f>SUMIF(SmtRes!AQ84:'SmtRes'!AQ88,"=1",SmtRes!AB84:'SmtRes'!AB88)</f>
        <v>611</v>
      </c>
      <c r="CS258" s="5">
        <f>SUMIF(SmtRes!AQ84:'SmtRes'!AQ88,"=1",SmtRes!AC84:'SmtRes'!AC88)</f>
        <v>334.92</v>
      </c>
      <c r="CT258" s="5">
        <f>SUMIF(SmtRes!AQ84:'SmtRes'!AQ88,"=1",SmtRes!AD84:'SmtRes'!AD88)</f>
        <v>282.43</v>
      </c>
      <c r="CU258" s="5">
        <f t="shared" si="105"/>
        <v>0</v>
      </c>
      <c r="CV258" s="5">
        <f>SUMIF(SmtRes!AQ84:'SmtRes'!AQ88,"=1",SmtRes!BU84:'SmtRes'!BU88)</f>
        <v>74.099999999999994</v>
      </c>
      <c r="CW258" s="5">
        <f>SUMIF(SmtRes!AQ84:'SmtRes'!AQ88,"=1",SmtRes!BV84:'SmtRes'!BV88)</f>
        <v>0.01</v>
      </c>
      <c r="CX258" s="5">
        <f t="shared" si="106"/>
        <v>0</v>
      </c>
      <c r="CY258" s="5">
        <f>(((S258+R258)*AT258)/100)</f>
        <v>271.26900000000001</v>
      </c>
      <c r="CZ258" s="5">
        <f>(((S258+R258)*AU258)/100)</f>
        <v>138.64860000000002</v>
      </c>
      <c r="DA258" s="5"/>
      <c r="DB258" s="5"/>
      <c r="DC258" s="5" t="s">
        <v>6</v>
      </c>
      <c r="DD258" s="5" t="s">
        <v>6</v>
      </c>
      <c r="DE258" s="5" t="s">
        <v>6</v>
      </c>
      <c r="DF258" s="5" t="s">
        <v>6</v>
      </c>
      <c r="DG258" s="5" t="s">
        <v>6</v>
      </c>
      <c r="DH258" s="5" t="s">
        <v>6</v>
      </c>
      <c r="DI258" s="5" t="s">
        <v>6</v>
      </c>
      <c r="DJ258" s="5" t="s">
        <v>6</v>
      </c>
      <c r="DK258" s="5" t="s">
        <v>6</v>
      </c>
      <c r="DL258" s="5" t="s">
        <v>6</v>
      </c>
      <c r="DM258" s="5" t="s">
        <v>6</v>
      </c>
      <c r="DN258" s="5">
        <v>0</v>
      </c>
      <c r="DO258" s="5">
        <v>0</v>
      </c>
      <c r="DP258" s="5">
        <v>1</v>
      </c>
      <c r="DQ258" s="5">
        <v>1</v>
      </c>
      <c r="DR258" s="5"/>
      <c r="DS258" s="5"/>
      <c r="DT258" s="5"/>
      <c r="DU258" s="5">
        <v>1005</v>
      </c>
      <c r="DV258" s="5" t="s">
        <v>90</v>
      </c>
      <c r="DW258" s="5" t="s">
        <v>90</v>
      </c>
      <c r="DX258" s="5">
        <v>100</v>
      </c>
      <c r="DY258" s="5"/>
      <c r="DZ258" s="5" t="s">
        <v>6</v>
      </c>
      <c r="EA258" s="5" t="s">
        <v>6</v>
      </c>
      <c r="EB258" s="5" t="s">
        <v>6</v>
      </c>
      <c r="EC258" s="5" t="s">
        <v>6</v>
      </c>
      <c r="ED258" s="5"/>
      <c r="EE258" s="5">
        <v>67841976</v>
      </c>
      <c r="EF258" s="5">
        <v>6</v>
      </c>
      <c r="EG258" s="5" t="s">
        <v>92</v>
      </c>
      <c r="EH258" s="5">
        <v>96</v>
      </c>
      <c r="EI258" s="5" t="s">
        <v>237</v>
      </c>
      <c r="EJ258" s="5">
        <v>1</v>
      </c>
      <c r="EK258" s="5">
        <v>62001</v>
      </c>
      <c r="EL258" s="5" t="s">
        <v>237</v>
      </c>
      <c r="EM258" s="5" t="s">
        <v>238</v>
      </c>
      <c r="EN258" s="5"/>
      <c r="EO258" s="5" t="s">
        <v>6</v>
      </c>
      <c r="EP258" s="5"/>
      <c r="EQ258" s="5">
        <v>0</v>
      </c>
      <c r="ER258" s="5">
        <v>0</v>
      </c>
      <c r="ES258" s="5">
        <v>0</v>
      </c>
      <c r="ET258" s="5">
        <v>0</v>
      </c>
      <c r="EU258" s="5">
        <v>0</v>
      </c>
      <c r="EV258" s="5">
        <v>0</v>
      </c>
      <c r="EW258" s="5">
        <v>74.099999999999994</v>
      </c>
      <c r="EX258" s="5">
        <v>0.01</v>
      </c>
      <c r="EY258" s="5">
        <v>0</v>
      </c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>
        <v>0</v>
      </c>
      <c r="FR258" s="5">
        <v>0</v>
      </c>
      <c r="FS258" s="5">
        <v>0</v>
      </c>
      <c r="FT258" s="5"/>
      <c r="FU258" s="5"/>
      <c r="FV258" s="5"/>
      <c r="FW258" s="5"/>
      <c r="FX258" s="5">
        <v>90</v>
      </c>
      <c r="FY258" s="5">
        <v>46</v>
      </c>
      <c r="FZ258" s="5"/>
      <c r="GA258" s="5" t="s">
        <v>6</v>
      </c>
      <c r="GB258" s="5"/>
      <c r="GC258" s="5"/>
      <c r="GD258" s="5">
        <v>1</v>
      </c>
      <c r="GE258" s="5"/>
      <c r="GF258" s="5">
        <v>2013788018</v>
      </c>
      <c r="GG258" s="5">
        <v>2</v>
      </c>
      <c r="GH258" s="5">
        <v>1</v>
      </c>
      <c r="GI258" s="5">
        <v>-2</v>
      </c>
      <c r="GJ258" s="5">
        <v>0</v>
      </c>
      <c r="GK258" s="5">
        <v>0</v>
      </c>
      <c r="GL258" s="5">
        <f t="shared" si="107"/>
        <v>0</v>
      </c>
      <c r="GM258" s="5">
        <f t="shared" si="108"/>
        <v>721.27</v>
      </c>
      <c r="GN258" s="5">
        <f t="shared" si="109"/>
        <v>721.27</v>
      </c>
      <c r="GO258" s="5">
        <f t="shared" si="110"/>
        <v>0</v>
      </c>
      <c r="GP258" s="5">
        <f t="shared" si="111"/>
        <v>0</v>
      </c>
      <c r="GQ258" s="5"/>
      <c r="GR258" s="5">
        <v>0</v>
      </c>
      <c r="GS258" s="5">
        <v>3</v>
      </c>
      <c r="GT258" s="5">
        <v>0</v>
      </c>
      <c r="GU258" s="5" t="s">
        <v>6</v>
      </c>
      <c r="GV258" s="5">
        <f t="shared" si="112"/>
        <v>0</v>
      </c>
      <c r="GW258" s="5">
        <v>1</v>
      </c>
      <c r="GX258" s="5">
        <f t="shared" si="113"/>
        <v>0</v>
      </c>
      <c r="GY258" s="5"/>
      <c r="GZ258" s="5"/>
      <c r="HA258" s="5">
        <v>0</v>
      </c>
      <c r="HB258" s="5">
        <v>0</v>
      </c>
      <c r="HC258" s="5">
        <f t="shared" si="114"/>
        <v>0</v>
      </c>
      <c r="HD258" s="5"/>
      <c r="HE258" s="5" t="s">
        <v>6</v>
      </c>
      <c r="HF258" s="5" t="s">
        <v>6</v>
      </c>
      <c r="HG258" s="5"/>
      <c r="HH258" s="5"/>
      <c r="HI258" s="5"/>
      <c r="HJ258" s="5"/>
      <c r="HK258" s="5"/>
      <c r="HL258" s="5"/>
      <c r="HM258" s="5" t="s">
        <v>6</v>
      </c>
      <c r="HN258" s="5" t="s">
        <v>239</v>
      </c>
      <c r="HO258" s="5" t="s">
        <v>240</v>
      </c>
      <c r="HP258" s="5" t="s">
        <v>237</v>
      </c>
      <c r="HQ258" s="5" t="s">
        <v>237</v>
      </c>
      <c r="HR258" s="5"/>
      <c r="HS258" s="5">
        <v>0</v>
      </c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>
        <v>0</v>
      </c>
      <c r="IL258" s="5"/>
      <c r="IM258" s="5"/>
      <c r="IN258" s="5"/>
      <c r="IO258" s="5"/>
      <c r="IP258" s="5"/>
      <c r="IQ258" s="5"/>
      <c r="IR258" s="5"/>
      <c r="IS258" s="5"/>
      <c r="IT258" s="5"/>
      <c r="IU258" s="5"/>
    </row>
    <row r="259" spans="1:255" x14ac:dyDescent="0.2">
      <c r="A259" s="5">
        <v>17</v>
      </c>
      <c r="B259" s="5">
        <v>1</v>
      </c>
      <c r="C259" s="5"/>
      <c r="D259" s="5"/>
      <c r="E259" s="5" t="s">
        <v>241</v>
      </c>
      <c r="F259" s="5" t="s">
        <v>242</v>
      </c>
      <c r="G259" s="5" t="s">
        <v>243</v>
      </c>
      <c r="H259" s="5" t="s">
        <v>149</v>
      </c>
      <c r="I259" s="5">
        <f>ROUND(0.0002,7)</f>
        <v>2.0000000000000001E-4</v>
      </c>
      <c r="J259" s="5">
        <v>0</v>
      </c>
      <c r="K259" s="5">
        <f>ROUND(0.0002,7)</f>
        <v>2.0000000000000001E-4</v>
      </c>
      <c r="L259" s="5"/>
      <c r="M259" s="5"/>
      <c r="N259" s="5"/>
      <c r="O259" s="5">
        <f t="shared" si="96"/>
        <v>19.739999999999998</v>
      </c>
      <c r="P259" s="5">
        <f>ROUND(CQ259*I259,2)</f>
        <v>19.739999999999998</v>
      </c>
      <c r="Q259" s="5">
        <f>ROUND(CR259*I259,2)</f>
        <v>0</v>
      </c>
      <c r="R259" s="5">
        <f>ROUND(CS259*I259,2)</f>
        <v>0</v>
      </c>
      <c r="S259" s="5">
        <f>ROUND(CT259*I259,2)</f>
        <v>0</v>
      </c>
      <c r="T259" s="5">
        <f t="shared" si="97"/>
        <v>0</v>
      </c>
      <c r="U259" s="5">
        <f>ROUND(CV259*I259,7)</f>
        <v>0</v>
      </c>
      <c r="V259" s="5">
        <f>ROUND(CW259*I259,7)</f>
        <v>0</v>
      </c>
      <c r="W259" s="5">
        <f t="shared" si="98"/>
        <v>0</v>
      </c>
      <c r="X259" s="5">
        <f t="shared" si="99"/>
        <v>0</v>
      </c>
      <c r="Y259" s="5">
        <f t="shared" si="100"/>
        <v>0</v>
      </c>
      <c r="Z259" s="5"/>
      <c r="AA259" s="5">
        <v>74852007</v>
      </c>
      <c r="AB259" s="5">
        <f t="shared" si="101"/>
        <v>69026.02</v>
      </c>
      <c r="AC259" s="5">
        <f>ROUND((ES259),2)</f>
        <v>69026.02</v>
      </c>
      <c r="AD259" s="5">
        <f>ROUND((((ET259)-(EU259))+AE259),2)</f>
        <v>0</v>
      </c>
      <c r="AE259" s="5">
        <f>ROUND((EU259),2)</f>
        <v>0</v>
      </c>
      <c r="AF259" s="5">
        <f>ROUND((EV259),2)</f>
        <v>0</v>
      </c>
      <c r="AG259" s="5">
        <f t="shared" si="102"/>
        <v>0</v>
      </c>
      <c r="AH259" s="5">
        <f>(EW259)</f>
        <v>0</v>
      </c>
      <c r="AI259" s="5">
        <f>(EX259)</f>
        <v>0</v>
      </c>
      <c r="AJ259" s="5">
        <f t="shared" si="103"/>
        <v>0</v>
      </c>
      <c r="AK259" s="5">
        <v>69026.02</v>
      </c>
      <c r="AL259" s="5">
        <v>69026.02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1</v>
      </c>
      <c r="AW259" s="5">
        <v>1</v>
      </c>
      <c r="AX259" s="5"/>
      <c r="AY259" s="5"/>
      <c r="AZ259" s="5">
        <v>1</v>
      </c>
      <c r="BA259" s="5">
        <v>1</v>
      </c>
      <c r="BB259" s="5">
        <v>1</v>
      </c>
      <c r="BC259" s="5">
        <v>1.43</v>
      </c>
      <c r="BD259" s="5" t="s">
        <v>6</v>
      </c>
      <c r="BE259" s="5" t="s">
        <v>6</v>
      </c>
      <c r="BF259" s="5" t="s">
        <v>6</v>
      </c>
      <c r="BG259" s="5" t="s">
        <v>6</v>
      </c>
      <c r="BH259" s="5">
        <v>3</v>
      </c>
      <c r="BI259" s="5">
        <v>1</v>
      </c>
      <c r="BJ259" s="5" t="s">
        <v>244</v>
      </c>
      <c r="BK259" s="5"/>
      <c r="BL259" s="5"/>
      <c r="BM259" s="5">
        <v>500001</v>
      </c>
      <c r="BN259" s="5">
        <v>66927928</v>
      </c>
      <c r="BO259" s="5" t="s">
        <v>242</v>
      </c>
      <c r="BP259" s="5">
        <v>1</v>
      </c>
      <c r="BQ259" s="5">
        <v>8</v>
      </c>
      <c r="BR259" s="5">
        <v>0</v>
      </c>
      <c r="BS259" s="5">
        <v>1</v>
      </c>
      <c r="BT259" s="5">
        <v>1</v>
      </c>
      <c r="BU259" s="5">
        <v>1</v>
      </c>
      <c r="BV259" s="5">
        <v>1</v>
      </c>
      <c r="BW259" s="5">
        <v>1</v>
      </c>
      <c r="BX259" s="5">
        <v>1</v>
      </c>
      <c r="BY259" s="5" t="s">
        <v>6</v>
      </c>
      <c r="BZ259" s="5">
        <v>0</v>
      </c>
      <c r="CA259" s="5">
        <v>0</v>
      </c>
      <c r="CB259" s="5" t="s">
        <v>6</v>
      </c>
      <c r="CC259" s="5"/>
      <c r="CD259" s="5"/>
      <c r="CE259" s="5">
        <v>0</v>
      </c>
      <c r="CF259" s="5">
        <v>0</v>
      </c>
      <c r="CG259" s="5">
        <v>0</v>
      </c>
      <c r="CH259" s="5"/>
      <c r="CI259" s="5"/>
      <c r="CJ259" s="5"/>
      <c r="CK259" s="5"/>
      <c r="CL259" s="5"/>
      <c r="CM259" s="5">
        <v>0</v>
      </c>
      <c r="CN259" s="5" t="s">
        <v>6</v>
      </c>
      <c r="CO259" s="5">
        <v>0</v>
      </c>
      <c r="CP259" s="5">
        <f t="shared" si="104"/>
        <v>19.739999999999998</v>
      </c>
      <c r="CQ259" s="5">
        <f>ROUND(AL259*BC259,2)</f>
        <v>98707.21</v>
      </c>
      <c r="CR259" s="5">
        <f>ROUND(AM259*BB259,2)</f>
        <v>0</v>
      </c>
      <c r="CS259" s="5">
        <f>ROUND(AN259*BS259,2)</f>
        <v>0</v>
      </c>
      <c r="CT259" s="5">
        <f>ROUND(AO259*BA259,2)</f>
        <v>0</v>
      </c>
      <c r="CU259" s="5">
        <f t="shared" si="105"/>
        <v>0</v>
      </c>
      <c r="CV259" s="5">
        <f>AH259</f>
        <v>0</v>
      </c>
      <c r="CW259" s="5">
        <f>AI259</f>
        <v>0</v>
      </c>
      <c r="CX259" s="5">
        <f t="shared" si="106"/>
        <v>0</v>
      </c>
      <c r="CY259" s="5">
        <f>0</f>
        <v>0</v>
      </c>
      <c r="CZ259" s="5">
        <f>0</f>
        <v>0</v>
      </c>
      <c r="DA259" s="5"/>
      <c r="DB259" s="5"/>
      <c r="DC259" s="5" t="s">
        <v>6</v>
      </c>
      <c r="DD259" s="5" t="s">
        <v>6</v>
      </c>
      <c r="DE259" s="5" t="s">
        <v>6</v>
      </c>
      <c r="DF259" s="5" t="s">
        <v>6</v>
      </c>
      <c r="DG259" s="5" t="s">
        <v>6</v>
      </c>
      <c r="DH259" s="5" t="s">
        <v>6</v>
      </c>
      <c r="DI259" s="5" t="s">
        <v>6</v>
      </c>
      <c r="DJ259" s="5" t="s">
        <v>6</v>
      </c>
      <c r="DK259" s="5" t="s">
        <v>6</v>
      </c>
      <c r="DL259" s="5" t="s">
        <v>6</v>
      </c>
      <c r="DM259" s="5" t="s">
        <v>6</v>
      </c>
      <c r="DN259" s="5">
        <v>0</v>
      </c>
      <c r="DO259" s="5">
        <v>0</v>
      </c>
      <c r="DP259" s="5">
        <v>1</v>
      </c>
      <c r="DQ259" s="5">
        <v>1</v>
      </c>
      <c r="DR259" s="5"/>
      <c r="DS259" s="5"/>
      <c r="DT259" s="5"/>
      <c r="DU259" s="5">
        <v>1009</v>
      </c>
      <c r="DV259" s="5" t="s">
        <v>149</v>
      </c>
      <c r="DW259" s="5" t="s">
        <v>149</v>
      </c>
      <c r="DX259" s="5">
        <v>1000</v>
      </c>
      <c r="DY259" s="5"/>
      <c r="DZ259" s="5" t="s">
        <v>6</v>
      </c>
      <c r="EA259" s="5" t="s">
        <v>6</v>
      </c>
      <c r="EB259" s="5" t="s">
        <v>6</v>
      </c>
      <c r="EC259" s="5" t="s">
        <v>6</v>
      </c>
      <c r="ED259" s="5"/>
      <c r="EE259" s="5">
        <v>67841826</v>
      </c>
      <c r="EF259" s="5">
        <v>8</v>
      </c>
      <c r="EG259" s="5" t="s">
        <v>136</v>
      </c>
      <c r="EH259" s="5">
        <v>0</v>
      </c>
      <c r="EI259" s="5" t="s">
        <v>6</v>
      </c>
      <c r="EJ259" s="5">
        <v>1</v>
      </c>
      <c r="EK259" s="5">
        <v>500001</v>
      </c>
      <c r="EL259" s="5" t="s">
        <v>137</v>
      </c>
      <c r="EM259" s="5" t="s">
        <v>138</v>
      </c>
      <c r="EN259" s="5"/>
      <c r="EO259" s="5" t="s">
        <v>6</v>
      </c>
      <c r="EP259" s="5"/>
      <c r="EQ259" s="5">
        <v>0</v>
      </c>
      <c r="ER259" s="5">
        <v>69026.02</v>
      </c>
      <c r="ES259" s="5">
        <v>69026.02</v>
      </c>
      <c r="ET259" s="5">
        <v>0</v>
      </c>
      <c r="EU259" s="5">
        <v>0</v>
      </c>
      <c r="EV259" s="5">
        <v>0</v>
      </c>
      <c r="EW259" s="5">
        <v>0</v>
      </c>
      <c r="EX259" s="5">
        <v>0</v>
      </c>
      <c r="EY259" s="5">
        <v>0</v>
      </c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>
        <v>0</v>
      </c>
      <c r="FR259" s="5">
        <v>0</v>
      </c>
      <c r="FS259" s="5">
        <v>0</v>
      </c>
      <c r="FT259" s="5"/>
      <c r="FU259" s="5"/>
      <c r="FV259" s="5"/>
      <c r="FW259" s="5"/>
      <c r="FX259" s="5">
        <v>0</v>
      </c>
      <c r="FY259" s="5">
        <v>0</v>
      </c>
      <c r="FZ259" s="5"/>
      <c r="GA259" s="5" t="s">
        <v>6</v>
      </c>
      <c r="GB259" s="5"/>
      <c r="GC259" s="5"/>
      <c r="GD259" s="5">
        <v>1</v>
      </c>
      <c r="GE259" s="5"/>
      <c r="GF259" s="5">
        <v>2079905921</v>
      </c>
      <c r="GG259" s="5">
        <v>2</v>
      </c>
      <c r="GH259" s="5">
        <v>1</v>
      </c>
      <c r="GI259" s="5">
        <v>2</v>
      </c>
      <c r="GJ259" s="5">
        <v>0</v>
      </c>
      <c r="GK259" s="5">
        <v>0</v>
      </c>
      <c r="GL259" s="5">
        <f t="shared" si="107"/>
        <v>0</v>
      </c>
      <c r="GM259" s="5">
        <f t="shared" si="108"/>
        <v>19.739999999999998</v>
      </c>
      <c r="GN259" s="5">
        <f t="shared" si="109"/>
        <v>19.739999999999998</v>
      </c>
      <c r="GO259" s="5">
        <f t="shared" si="110"/>
        <v>0</v>
      </c>
      <c r="GP259" s="5">
        <f t="shared" si="111"/>
        <v>0</v>
      </c>
      <c r="GQ259" s="5"/>
      <c r="GR259" s="5">
        <v>0</v>
      </c>
      <c r="GS259" s="5">
        <v>3</v>
      </c>
      <c r="GT259" s="5">
        <v>0</v>
      </c>
      <c r="GU259" s="5" t="s">
        <v>6</v>
      </c>
      <c r="GV259" s="5">
        <f t="shared" si="112"/>
        <v>0</v>
      </c>
      <c r="GW259" s="5">
        <v>1</v>
      </c>
      <c r="GX259" s="5">
        <f t="shared" si="113"/>
        <v>0</v>
      </c>
      <c r="GY259" s="5"/>
      <c r="GZ259" s="5"/>
      <c r="HA259" s="5">
        <v>0</v>
      </c>
      <c r="HB259" s="5">
        <v>0</v>
      </c>
      <c r="HC259" s="5">
        <f t="shared" si="114"/>
        <v>0</v>
      </c>
      <c r="HD259" s="5"/>
      <c r="HE259" s="5" t="s">
        <v>6</v>
      </c>
      <c r="HF259" s="5" t="s">
        <v>6</v>
      </c>
      <c r="HG259" s="5"/>
      <c r="HH259" s="5"/>
      <c r="HI259" s="5"/>
      <c r="HJ259" s="5"/>
      <c r="HK259" s="5"/>
      <c r="HL259" s="5"/>
      <c r="HM259" s="5" t="s">
        <v>6</v>
      </c>
      <c r="HN259" s="5" t="s">
        <v>6</v>
      </c>
      <c r="HO259" s="5" t="s">
        <v>6</v>
      </c>
      <c r="HP259" s="5" t="s">
        <v>6</v>
      </c>
      <c r="HQ259" s="5" t="s">
        <v>6</v>
      </c>
      <c r="HR259" s="5"/>
      <c r="HS259" s="5">
        <v>0</v>
      </c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>
        <v>0</v>
      </c>
      <c r="IL259" s="5"/>
      <c r="IM259" s="5"/>
      <c r="IN259" s="5"/>
      <c r="IO259" s="5"/>
      <c r="IP259" s="5"/>
      <c r="IQ259" s="5"/>
      <c r="IR259" s="5"/>
      <c r="IS259" s="5"/>
      <c r="IT259" s="5"/>
      <c r="IU259" s="5"/>
    </row>
    <row r="260" spans="1:255" x14ac:dyDescent="0.2">
      <c r="A260" s="5">
        <v>17</v>
      </c>
      <c r="B260" s="5">
        <v>1</v>
      </c>
      <c r="C260" s="5">
        <f>ROW(SmtRes!A93)</f>
        <v>93</v>
      </c>
      <c r="D260" s="5">
        <f>ROW(EtalonRes!A112)</f>
        <v>112</v>
      </c>
      <c r="E260" s="5" t="s">
        <v>245</v>
      </c>
      <c r="F260" s="5" t="s">
        <v>246</v>
      </c>
      <c r="G260" s="5" t="s">
        <v>247</v>
      </c>
      <c r="H260" s="5" t="s">
        <v>90</v>
      </c>
      <c r="I260" s="5">
        <f>ROUND(0.02,7)</f>
        <v>0.02</v>
      </c>
      <c r="J260" s="5">
        <v>0</v>
      </c>
      <c r="K260" s="5">
        <f>ROUND(0.02,7)</f>
        <v>0.02</v>
      </c>
      <c r="L260" s="5"/>
      <c r="M260" s="5"/>
      <c r="N260" s="5"/>
      <c r="O260" s="5">
        <f t="shared" si="96"/>
        <v>400.06</v>
      </c>
      <c r="P260" s="5">
        <f>SUMIF(SmtRes!AQ89:'SmtRes'!AQ93,"=1",SmtRes!DF89:'SmtRes'!DF93)</f>
        <v>13.22</v>
      </c>
      <c r="Q260" s="5">
        <f>SUMIF(SmtRes!AQ89:'SmtRes'!AQ93,"=1",SmtRes!DG89:'SmtRes'!DG93)</f>
        <v>0.12</v>
      </c>
      <c r="R260" s="5">
        <f>SUMIF(SmtRes!AQ89:'SmtRes'!AQ93,"=1",SmtRes!DH89:'SmtRes'!DH93)</f>
        <v>7.0000000000000007E-2</v>
      </c>
      <c r="S260" s="5">
        <f>SUMIF(SmtRes!AQ89:'SmtRes'!AQ93,"=1",SmtRes!DI89:'SmtRes'!DI93)</f>
        <v>386.65</v>
      </c>
      <c r="T260" s="5">
        <f t="shared" si="97"/>
        <v>0</v>
      </c>
      <c r="U260" s="5">
        <f>SUMIF(SmtRes!AQ89:'SmtRes'!AQ93,"=1",SmtRes!CV89:'SmtRes'!CV93)</f>
        <v>1.268</v>
      </c>
      <c r="V260" s="5">
        <f>SUMIF(SmtRes!AQ89:'SmtRes'!AQ93,"=1",SmtRes!CW89:'SmtRes'!CW93)</f>
        <v>2.0000000000000001E-4</v>
      </c>
      <c r="W260" s="5">
        <f t="shared" si="98"/>
        <v>0</v>
      </c>
      <c r="X260" s="5">
        <f t="shared" si="99"/>
        <v>348.05</v>
      </c>
      <c r="Y260" s="5">
        <f t="shared" si="100"/>
        <v>177.89</v>
      </c>
      <c r="Z260" s="5"/>
      <c r="AA260" s="5">
        <v>74852007</v>
      </c>
      <c r="AB260" s="5">
        <f t="shared" si="101"/>
        <v>19866.28</v>
      </c>
      <c r="AC260" s="5">
        <f>ROUND((SUM(SmtRes!BQ89:'SmtRes'!BQ93)),2)</f>
        <v>527.61</v>
      </c>
      <c r="AD260" s="5">
        <f>ROUND((((SUM(SmtRes!BR89:'SmtRes'!BR93))-(SUM(SmtRes!BS89:'SmtRes'!BS93)))+AE260),2)</f>
        <v>6.11</v>
      </c>
      <c r="AE260" s="5">
        <f>ROUND((SUM(SmtRes!BS89:'SmtRes'!BS93)),2)</f>
        <v>3.35</v>
      </c>
      <c r="AF260" s="5">
        <f>ROUND((SUM(SmtRes!BT89:'SmtRes'!BT93)),2)</f>
        <v>19332.560000000001</v>
      </c>
      <c r="AG260" s="5">
        <f t="shared" si="102"/>
        <v>0</v>
      </c>
      <c r="AH260" s="5">
        <f>(SUM(SmtRes!BU89:'SmtRes'!BU93))</f>
        <v>63.4</v>
      </c>
      <c r="AI260" s="5">
        <f>(SUM(SmtRes!BV89:'SmtRes'!BV93))</f>
        <v>0.01</v>
      </c>
      <c r="AJ260" s="5">
        <f t="shared" si="103"/>
        <v>0</v>
      </c>
      <c r="AK260" s="5">
        <v>19869.628206000001</v>
      </c>
      <c r="AL260" s="5">
        <v>527.60700599999996</v>
      </c>
      <c r="AM260" s="5">
        <v>6.11</v>
      </c>
      <c r="AN260" s="5">
        <v>3.3492000000000002</v>
      </c>
      <c r="AO260" s="5">
        <v>19332.562000000002</v>
      </c>
      <c r="AP260" s="5">
        <v>0</v>
      </c>
      <c r="AQ260" s="5">
        <v>63.4</v>
      </c>
      <c r="AR260" s="5">
        <v>0.01</v>
      </c>
      <c r="AS260" s="5">
        <v>0</v>
      </c>
      <c r="AT260" s="5">
        <v>90</v>
      </c>
      <c r="AU260" s="5">
        <v>46</v>
      </c>
      <c r="AV260" s="5">
        <v>1</v>
      </c>
      <c r="AW260" s="5">
        <v>1</v>
      </c>
      <c r="AX260" s="5"/>
      <c r="AY260" s="5"/>
      <c r="AZ260" s="5">
        <v>1</v>
      </c>
      <c r="BA260" s="5">
        <v>1</v>
      </c>
      <c r="BB260" s="5">
        <v>1</v>
      </c>
      <c r="BC260" s="5">
        <v>1</v>
      </c>
      <c r="BD260" s="5" t="s">
        <v>6</v>
      </c>
      <c r="BE260" s="5" t="s">
        <v>6</v>
      </c>
      <c r="BF260" s="5" t="s">
        <v>6</v>
      </c>
      <c r="BG260" s="5" t="s">
        <v>6</v>
      </c>
      <c r="BH260" s="5">
        <v>0</v>
      </c>
      <c r="BI260" s="5">
        <v>1</v>
      </c>
      <c r="BJ260" s="5" t="s">
        <v>248</v>
      </c>
      <c r="BK260" s="5"/>
      <c r="BL260" s="5"/>
      <c r="BM260" s="5">
        <v>62001</v>
      </c>
      <c r="BN260" s="5">
        <v>66927928</v>
      </c>
      <c r="BO260" s="5" t="s">
        <v>6</v>
      </c>
      <c r="BP260" s="5">
        <v>0</v>
      </c>
      <c r="BQ260" s="5">
        <v>6</v>
      </c>
      <c r="BR260" s="5">
        <v>0</v>
      </c>
      <c r="BS260" s="5">
        <v>1</v>
      </c>
      <c r="BT260" s="5">
        <v>1</v>
      </c>
      <c r="BU260" s="5">
        <v>1</v>
      </c>
      <c r="BV260" s="5">
        <v>1</v>
      </c>
      <c r="BW260" s="5">
        <v>1</v>
      </c>
      <c r="BX260" s="5">
        <v>1</v>
      </c>
      <c r="BY260" s="5" t="s">
        <v>6</v>
      </c>
      <c r="BZ260" s="5">
        <v>90</v>
      </c>
      <c r="CA260" s="5">
        <v>46</v>
      </c>
      <c r="CB260" s="5" t="s">
        <v>6</v>
      </c>
      <c r="CC260" s="5"/>
      <c r="CD260" s="5"/>
      <c r="CE260" s="5">
        <v>0</v>
      </c>
      <c r="CF260" s="5">
        <v>0</v>
      </c>
      <c r="CG260" s="5">
        <v>0</v>
      </c>
      <c r="CH260" s="5"/>
      <c r="CI260" s="5"/>
      <c r="CJ260" s="5"/>
      <c r="CK260" s="5"/>
      <c r="CL260" s="5"/>
      <c r="CM260" s="5">
        <v>0</v>
      </c>
      <c r="CN260" s="5" t="s">
        <v>6</v>
      </c>
      <c r="CO260" s="5">
        <v>0</v>
      </c>
      <c r="CP260" s="5">
        <f t="shared" si="104"/>
        <v>400.05999999999995</v>
      </c>
      <c r="CQ260" s="5">
        <f>SUMIF(SmtRes!AQ89:'SmtRes'!AQ93,"=1",SmtRes!AA89:'SmtRes'!AA93)</f>
        <v>75955.11</v>
      </c>
      <c r="CR260" s="5">
        <f>SUMIF(SmtRes!AQ89:'SmtRes'!AQ93,"=1",SmtRes!AB89:'SmtRes'!AB93)</f>
        <v>611</v>
      </c>
      <c r="CS260" s="5">
        <f>SUMIF(SmtRes!AQ89:'SmtRes'!AQ93,"=1",SmtRes!AC89:'SmtRes'!AC93)</f>
        <v>334.92</v>
      </c>
      <c r="CT260" s="5">
        <f>SUMIF(SmtRes!AQ89:'SmtRes'!AQ93,"=1",SmtRes!AD89:'SmtRes'!AD93)</f>
        <v>304.93</v>
      </c>
      <c r="CU260" s="5">
        <f t="shared" si="105"/>
        <v>0</v>
      </c>
      <c r="CV260" s="5">
        <f>SUMIF(SmtRes!AQ89:'SmtRes'!AQ93,"=1",SmtRes!BU89:'SmtRes'!BU93)</f>
        <v>63.4</v>
      </c>
      <c r="CW260" s="5">
        <f>SUMIF(SmtRes!AQ89:'SmtRes'!AQ93,"=1",SmtRes!BV89:'SmtRes'!BV93)</f>
        <v>0.01</v>
      </c>
      <c r="CX260" s="5">
        <f t="shared" si="106"/>
        <v>0</v>
      </c>
      <c r="CY260" s="5">
        <f>(((S260+R260)*AT260)/100)</f>
        <v>348.04799999999994</v>
      </c>
      <c r="CZ260" s="5">
        <f>(((S260+R260)*AU260)/100)</f>
        <v>177.8912</v>
      </c>
      <c r="DA260" s="5"/>
      <c r="DB260" s="5"/>
      <c r="DC260" s="5" t="s">
        <v>6</v>
      </c>
      <c r="DD260" s="5" t="s">
        <v>6</v>
      </c>
      <c r="DE260" s="5" t="s">
        <v>6</v>
      </c>
      <c r="DF260" s="5" t="s">
        <v>6</v>
      </c>
      <c r="DG260" s="5" t="s">
        <v>6</v>
      </c>
      <c r="DH260" s="5" t="s">
        <v>6</v>
      </c>
      <c r="DI260" s="5" t="s">
        <v>6</v>
      </c>
      <c r="DJ260" s="5" t="s">
        <v>6</v>
      </c>
      <c r="DK260" s="5" t="s">
        <v>6</v>
      </c>
      <c r="DL260" s="5" t="s">
        <v>6</v>
      </c>
      <c r="DM260" s="5" t="s">
        <v>6</v>
      </c>
      <c r="DN260" s="5">
        <v>0</v>
      </c>
      <c r="DO260" s="5">
        <v>0</v>
      </c>
      <c r="DP260" s="5">
        <v>1</v>
      </c>
      <c r="DQ260" s="5">
        <v>1</v>
      </c>
      <c r="DR260" s="5"/>
      <c r="DS260" s="5"/>
      <c r="DT260" s="5"/>
      <c r="DU260" s="5">
        <v>1005</v>
      </c>
      <c r="DV260" s="5" t="s">
        <v>90</v>
      </c>
      <c r="DW260" s="5" t="s">
        <v>90</v>
      </c>
      <c r="DX260" s="5">
        <v>100</v>
      </c>
      <c r="DY260" s="5"/>
      <c r="DZ260" s="5" t="s">
        <v>6</v>
      </c>
      <c r="EA260" s="5" t="s">
        <v>6</v>
      </c>
      <c r="EB260" s="5" t="s">
        <v>6</v>
      </c>
      <c r="EC260" s="5" t="s">
        <v>6</v>
      </c>
      <c r="ED260" s="5"/>
      <c r="EE260" s="5">
        <v>67841976</v>
      </c>
      <c r="EF260" s="5">
        <v>6</v>
      </c>
      <c r="EG260" s="5" t="s">
        <v>92</v>
      </c>
      <c r="EH260" s="5">
        <v>96</v>
      </c>
      <c r="EI260" s="5" t="s">
        <v>237</v>
      </c>
      <c r="EJ260" s="5">
        <v>1</v>
      </c>
      <c r="EK260" s="5">
        <v>62001</v>
      </c>
      <c r="EL260" s="5" t="s">
        <v>237</v>
      </c>
      <c r="EM260" s="5" t="s">
        <v>238</v>
      </c>
      <c r="EN260" s="5"/>
      <c r="EO260" s="5" t="s">
        <v>6</v>
      </c>
      <c r="EP260" s="5"/>
      <c r="EQ260" s="5">
        <v>0</v>
      </c>
      <c r="ER260" s="5">
        <v>0</v>
      </c>
      <c r="ES260" s="5">
        <v>0</v>
      </c>
      <c r="ET260" s="5">
        <v>0</v>
      </c>
      <c r="EU260" s="5">
        <v>0</v>
      </c>
      <c r="EV260" s="5">
        <v>0</v>
      </c>
      <c r="EW260" s="5">
        <v>63.4</v>
      </c>
      <c r="EX260" s="5">
        <v>0.01</v>
      </c>
      <c r="EY260" s="5">
        <v>0</v>
      </c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>
        <v>0</v>
      </c>
      <c r="FR260" s="5">
        <v>0</v>
      </c>
      <c r="FS260" s="5">
        <v>0</v>
      </c>
      <c r="FT260" s="5"/>
      <c r="FU260" s="5"/>
      <c r="FV260" s="5"/>
      <c r="FW260" s="5"/>
      <c r="FX260" s="5">
        <v>90</v>
      </c>
      <c r="FY260" s="5">
        <v>46</v>
      </c>
      <c r="FZ260" s="5"/>
      <c r="GA260" s="5" t="s">
        <v>6</v>
      </c>
      <c r="GB260" s="5"/>
      <c r="GC260" s="5"/>
      <c r="GD260" s="5">
        <v>1</v>
      </c>
      <c r="GE260" s="5"/>
      <c r="GF260" s="5">
        <v>-165096214</v>
      </c>
      <c r="GG260" s="5">
        <v>2</v>
      </c>
      <c r="GH260" s="5">
        <v>1</v>
      </c>
      <c r="GI260" s="5">
        <v>-2</v>
      </c>
      <c r="GJ260" s="5">
        <v>0</v>
      </c>
      <c r="GK260" s="5">
        <v>0</v>
      </c>
      <c r="GL260" s="5">
        <f t="shared" si="107"/>
        <v>0</v>
      </c>
      <c r="GM260" s="5">
        <f t="shared" si="108"/>
        <v>926</v>
      </c>
      <c r="GN260" s="5">
        <f t="shared" si="109"/>
        <v>926</v>
      </c>
      <c r="GO260" s="5">
        <f t="shared" si="110"/>
        <v>0</v>
      </c>
      <c r="GP260" s="5">
        <f t="shared" si="111"/>
        <v>0</v>
      </c>
      <c r="GQ260" s="5"/>
      <c r="GR260" s="5">
        <v>0</v>
      </c>
      <c r="GS260" s="5">
        <v>3</v>
      </c>
      <c r="GT260" s="5">
        <v>0</v>
      </c>
      <c r="GU260" s="5" t="s">
        <v>6</v>
      </c>
      <c r="GV260" s="5">
        <f t="shared" si="112"/>
        <v>0</v>
      </c>
      <c r="GW260" s="5">
        <v>1</v>
      </c>
      <c r="GX260" s="5">
        <f t="shared" si="113"/>
        <v>0</v>
      </c>
      <c r="GY260" s="5"/>
      <c r="GZ260" s="5"/>
      <c r="HA260" s="5">
        <v>0</v>
      </c>
      <c r="HB260" s="5">
        <v>0</v>
      </c>
      <c r="HC260" s="5">
        <f t="shared" si="114"/>
        <v>0</v>
      </c>
      <c r="HD260" s="5"/>
      <c r="HE260" s="5" t="s">
        <v>6</v>
      </c>
      <c r="HF260" s="5" t="s">
        <v>6</v>
      </c>
      <c r="HG260" s="5"/>
      <c r="HH260" s="5"/>
      <c r="HI260" s="5"/>
      <c r="HJ260" s="5"/>
      <c r="HK260" s="5"/>
      <c r="HL260" s="5"/>
      <c r="HM260" s="5" t="s">
        <v>6</v>
      </c>
      <c r="HN260" s="5" t="s">
        <v>239</v>
      </c>
      <c r="HO260" s="5" t="s">
        <v>240</v>
      </c>
      <c r="HP260" s="5" t="s">
        <v>237</v>
      </c>
      <c r="HQ260" s="5" t="s">
        <v>237</v>
      </c>
      <c r="HR260" s="5"/>
      <c r="HS260" s="5">
        <v>0</v>
      </c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>
        <v>0</v>
      </c>
      <c r="IL260" s="5"/>
      <c r="IM260" s="5"/>
      <c r="IN260" s="5"/>
      <c r="IO260" s="5"/>
      <c r="IP260" s="5"/>
      <c r="IQ260" s="5"/>
      <c r="IR260" s="5"/>
      <c r="IS260" s="5"/>
      <c r="IT260" s="5"/>
      <c r="IU260" s="5"/>
    </row>
    <row r="261" spans="1:255" x14ac:dyDescent="0.2">
      <c r="A261" s="5">
        <v>17</v>
      </c>
      <c r="B261" s="5">
        <v>1</v>
      </c>
      <c r="C261" s="5"/>
      <c r="D261" s="5"/>
      <c r="E261" s="5" t="s">
        <v>249</v>
      </c>
      <c r="F261" s="5" t="s">
        <v>242</v>
      </c>
      <c r="G261" s="5" t="s">
        <v>243</v>
      </c>
      <c r="H261" s="5" t="s">
        <v>149</v>
      </c>
      <c r="I261" s="5">
        <f>ROUND(0.000322,7)</f>
        <v>3.2200000000000002E-4</v>
      </c>
      <c r="J261" s="5">
        <v>0</v>
      </c>
      <c r="K261" s="5">
        <f>ROUND(0.000322,7)</f>
        <v>3.2200000000000002E-4</v>
      </c>
      <c r="L261" s="5"/>
      <c r="M261" s="5"/>
      <c r="N261" s="5"/>
      <c r="O261" s="5">
        <f t="shared" si="96"/>
        <v>31.78</v>
      </c>
      <c r="P261" s="5">
        <f>ROUND(CQ261*I261,2)</f>
        <v>31.78</v>
      </c>
      <c r="Q261" s="5">
        <f>ROUND(CR261*I261,2)</f>
        <v>0</v>
      </c>
      <c r="R261" s="5">
        <f>ROUND(CS261*I261,2)</f>
        <v>0</v>
      </c>
      <c r="S261" s="5">
        <f>ROUND(CT261*I261,2)</f>
        <v>0</v>
      </c>
      <c r="T261" s="5">
        <f t="shared" si="97"/>
        <v>0</v>
      </c>
      <c r="U261" s="5">
        <f>ROUND(CV261*I261,7)</f>
        <v>0</v>
      </c>
      <c r="V261" s="5">
        <f>ROUND(CW261*I261,7)</f>
        <v>0</v>
      </c>
      <c r="W261" s="5">
        <f t="shared" si="98"/>
        <v>0</v>
      </c>
      <c r="X261" s="5">
        <f t="shared" si="99"/>
        <v>0</v>
      </c>
      <c r="Y261" s="5">
        <f t="shared" si="100"/>
        <v>0</v>
      </c>
      <c r="Z261" s="5"/>
      <c r="AA261" s="5">
        <v>74852007</v>
      </c>
      <c r="AB261" s="5">
        <f t="shared" si="101"/>
        <v>69026.02</v>
      </c>
      <c r="AC261" s="5">
        <f>ROUND((ES261),2)</f>
        <v>69026.02</v>
      </c>
      <c r="AD261" s="5">
        <f>ROUND((((ET261)-(EU261))+AE261),2)</f>
        <v>0</v>
      </c>
      <c r="AE261" s="5">
        <f>ROUND((EU261),2)</f>
        <v>0</v>
      </c>
      <c r="AF261" s="5">
        <f>ROUND((EV261),2)</f>
        <v>0</v>
      </c>
      <c r="AG261" s="5">
        <f t="shared" si="102"/>
        <v>0</v>
      </c>
      <c r="AH261" s="5">
        <f>(EW261)</f>
        <v>0</v>
      </c>
      <c r="AI261" s="5">
        <f>(EX261)</f>
        <v>0</v>
      </c>
      <c r="AJ261" s="5">
        <f t="shared" si="103"/>
        <v>0</v>
      </c>
      <c r="AK261" s="5">
        <v>69026.02</v>
      </c>
      <c r="AL261" s="5">
        <v>69026.02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1</v>
      </c>
      <c r="AW261" s="5">
        <v>1</v>
      </c>
      <c r="AX261" s="5"/>
      <c r="AY261" s="5"/>
      <c r="AZ261" s="5">
        <v>1</v>
      </c>
      <c r="BA261" s="5">
        <v>1</v>
      </c>
      <c r="BB261" s="5">
        <v>1</v>
      </c>
      <c r="BC261" s="5">
        <v>1.43</v>
      </c>
      <c r="BD261" s="5" t="s">
        <v>6</v>
      </c>
      <c r="BE261" s="5" t="s">
        <v>6</v>
      </c>
      <c r="BF261" s="5" t="s">
        <v>6</v>
      </c>
      <c r="BG261" s="5" t="s">
        <v>6</v>
      </c>
      <c r="BH261" s="5">
        <v>3</v>
      </c>
      <c r="BI261" s="5">
        <v>1</v>
      </c>
      <c r="BJ261" s="5" t="s">
        <v>244</v>
      </c>
      <c r="BK261" s="5"/>
      <c r="BL261" s="5"/>
      <c r="BM261" s="5">
        <v>500001</v>
      </c>
      <c r="BN261" s="5">
        <v>66927928</v>
      </c>
      <c r="BO261" s="5" t="s">
        <v>242</v>
      </c>
      <c r="BP261" s="5">
        <v>1</v>
      </c>
      <c r="BQ261" s="5">
        <v>8</v>
      </c>
      <c r="BR261" s="5">
        <v>0</v>
      </c>
      <c r="BS261" s="5">
        <v>1</v>
      </c>
      <c r="BT261" s="5">
        <v>1</v>
      </c>
      <c r="BU261" s="5">
        <v>1</v>
      </c>
      <c r="BV261" s="5">
        <v>1</v>
      </c>
      <c r="BW261" s="5">
        <v>1</v>
      </c>
      <c r="BX261" s="5">
        <v>1</v>
      </c>
      <c r="BY261" s="5" t="s">
        <v>6</v>
      </c>
      <c r="BZ261" s="5">
        <v>0</v>
      </c>
      <c r="CA261" s="5">
        <v>0</v>
      </c>
      <c r="CB261" s="5" t="s">
        <v>6</v>
      </c>
      <c r="CC261" s="5"/>
      <c r="CD261" s="5"/>
      <c r="CE261" s="5">
        <v>0</v>
      </c>
      <c r="CF261" s="5">
        <v>0</v>
      </c>
      <c r="CG261" s="5">
        <v>0</v>
      </c>
      <c r="CH261" s="5"/>
      <c r="CI261" s="5"/>
      <c r="CJ261" s="5"/>
      <c r="CK261" s="5"/>
      <c r="CL261" s="5"/>
      <c r="CM261" s="5">
        <v>0</v>
      </c>
      <c r="CN261" s="5" t="s">
        <v>6</v>
      </c>
      <c r="CO261" s="5">
        <v>0</v>
      </c>
      <c r="CP261" s="5">
        <f t="shared" si="104"/>
        <v>31.78</v>
      </c>
      <c r="CQ261" s="5">
        <f>ROUND(AL261*BC261,2)</f>
        <v>98707.21</v>
      </c>
      <c r="CR261" s="5">
        <f>ROUND(AM261*BB261,2)</f>
        <v>0</v>
      </c>
      <c r="CS261" s="5">
        <f>ROUND(AN261*BS261,2)</f>
        <v>0</v>
      </c>
      <c r="CT261" s="5">
        <f>ROUND(AO261*BA261,2)</f>
        <v>0</v>
      </c>
      <c r="CU261" s="5">
        <f t="shared" si="105"/>
        <v>0</v>
      </c>
      <c r="CV261" s="5">
        <f>AH261</f>
        <v>0</v>
      </c>
      <c r="CW261" s="5">
        <f>AI261</f>
        <v>0</v>
      </c>
      <c r="CX261" s="5">
        <f t="shared" si="106"/>
        <v>0</v>
      </c>
      <c r="CY261" s="5">
        <f>0</f>
        <v>0</v>
      </c>
      <c r="CZ261" s="5">
        <f>0</f>
        <v>0</v>
      </c>
      <c r="DA261" s="5"/>
      <c r="DB261" s="5"/>
      <c r="DC261" s="5" t="s">
        <v>6</v>
      </c>
      <c r="DD261" s="5" t="s">
        <v>6</v>
      </c>
      <c r="DE261" s="5" t="s">
        <v>6</v>
      </c>
      <c r="DF261" s="5" t="s">
        <v>6</v>
      </c>
      <c r="DG261" s="5" t="s">
        <v>6</v>
      </c>
      <c r="DH261" s="5" t="s">
        <v>6</v>
      </c>
      <c r="DI261" s="5" t="s">
        <v>6</v>
      </c>
      <c r="DJ261" s="5" t="s">
        <v>6</v>
      </c>
      <c r="DK261" s="5" t="s">
        <v>6</v>
      </c>
      <c r="DL261" s="5" t="s">
        <v>6</v>
      </c>
      <c r="DM261" s="5" t="s">
        <v>6</v>
      </c>
      <c r="DN261" s="5">
        <v>0</v>
      </c>
      <c r="DO261" s="5">
        <v>0</v>
      </c>
      <c r="DP261" s="5">
        <v>1</v>
      </c>
      <c r="DQ261" s="5">
        <v>1</v>
      </c>
      <c r="DR261" s="5"/>
      <c r="DS261" s="5"/>
      <c r="DT261" s="5"/>
      <c r="DU261" s="5">
        <v>1009</v>
      </c>
      <c r="DV261" s="5" t="s">
        <v>149</v>
      </c>
      <c r="DW261" s="5" t="s">
        <v>149</v>
      </c>
      <c r="DX261" s="5">
        <v>1000</v>
      </c>
      <c r="DY261" s="5"/>
      <c r="DZ261" s="5" t="s">
        <v>6</v>
      </c>
      <c r="EA261" s="5" t="s">
        <v>6</v>
      </c>
      <c r="EB261" s="5" t="s">
        <v>6</v>
      </c>
      <c r="EC261" s="5" t="s">
        <v>6</v>
      </c>
      <c r="ED261" s="5"/>
      <c r="EE261" s="5">
        <v>67841826</v>
      </c>
      <c r="EF261" s="5">
        <v>8</v>
      </c>
      <c r="EG261" s="5" t="s">
        <v>136</v>
      </c>
      <c r="EH261" s="5">
        <v>0</v>
      </c>
      <c r="EI261" s="5" t="s">
        <v>6</v>
      </c>
      <c r="EJ261" s="5">
        <v>1</v>
      </c>
      <c r="EK261" s="5">
        <v>500001</v>
      </c>
      <c r="EL261" s="5" t="s">
        <v>137</v>
      </c>
      <c r="EM261" s="5" t="s">
        <v>138</v>
      </c>
      <c r="EN261" s="5"/>
      <c r="EO261" s="5" t="s">
        <v>6</v>
      </c>
      <c r="EP261" s="5"/>
      <c r="EQ261" s="5">
        <v>0</v>
      </c>
      <c r="ER261" s="5">
        <v>69026.02</v>
      </c>
      <c r="ES261" s="5">
        <v>69026.02</v>
      </c>
      <c r="ET261" s="5">
        <v>0</v>
      </c>
      <c r="EU261" s="5">
        <v>0</v>
      </c>
      <c r="EV261" s="5">
        <v>0</v>
      </c>
      <c r="EW261" s="5">
        <v>0</v>
      </c>
      <c r="EX261" s="5">
        <v>0</v>
      </c>
      <c r="EY261" s="5">
        <v>0</v>
      </c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>
        <v>0</v>
      </c>
      <c r="FR261" s="5">
        <v>0</v>
      </c>
      <c r="FS261" s="5">
        <v>0</v>
      </c>
      <c r="FT261" s="5"/>
      <c r="FU261" s="5"/>
      <c r="FV261" s="5"/>
      <c r="FW261" s="5"/>
      <c r="FX261" s="5">
        <v>0</v>
      </c>
      <c r="FY261" s="5">
        <v>0</v>
      </c>
      <c r="FZ261" s="5"/>
      <c r="GA261" s="5" t="s">
        <v>6</v>
      </c>
      <c r="GB261" s="5"/>
      <c r="GC261" s="5"/>
      <c r="GD261" s="5">
        <v>1</v>
      </c>
      <c r="GE261" s="5"/>
      <c r="GF261" s="5">
        <v>2079905921</v>
      </c>
      <c r="GG261" s="5">
        <v>2</v>
      </c>
      <c r="GH261" s="5">
        <v>1</v>
      </c>
      <c r="GI261" s="5">
        <v>2</v>
      </c>
      <c r="GJ261" s="5">
        <v>0</v>
      </c>
      <c r="GK261" s="5">
        <v>0</v>
      </c>
      <c r="GL261" s="5">
        <f t="shared" si="107"/>
        <v>0</v>
      </c>
      <c r="GM261" s="5">
        <f t="shared" si="108"/>
        <v>31.78</v>
      </c>
      <c r="GN261" s="5">
        <f t="shared" si="109"/>
        <v>31.78</v>
      </c>
      <c r="GO261" s="5">
        <f t="shared" si="110"/>
        <v>0</v>
      </c>
      <c r="GP261" s="5">
        <f t="shared" si="111"/>
        <v>0</v>
      </c>
      <c r="GQ261" s="5"/>
      <c r="GR261" s="5">
        <v>0</v>
      </c>
      <c r="GS261" s="5">
        <v>3</v>
      </c>
      <c r="GT261" s="5">
        <v>0</v>
      </c>
      <c r="GU261" s="5" t="s">
        <v>6</v>
      </c>
      <c r="GV261" s="5">
        <f t="shared" si="112"/>
        <v>0</v>
      </c>
      <c r="GW261" s="5">
        <v>1</v>
      </c>
      <c r="GX261" s="5">
        <f t="shared" si="113"/>
        <v>0</v>
      </c>
      <c r="GY261" s="5"/>
      <c r="GZ261" s="5"/>
      <c r="HA261" s="5">
        <v>0</v>
      </c>
      <c r="HB261" s="5">
        <v>0</v>
      </c>
      <c r="HC261" s="5">
        <f t="shared" si="114"/>
        <v>0</v>
      </c>
      <c r="HD261" s="5"/>
      <c r="HE261" s="5" t="s">
        <v>6</v>
      </c>
      <c r="HF261" s="5" t="s">
        <v>6</v>
      </c>
      <c r="HG261" s="5"/>
      <c r="HH261" s="5"/>
      <c r="HI261" s="5"/>
      <c r="HJ261" s="5"/>
      <c r="HK261" s="5"/>
      <c r="HL261" s="5"/>
      <c r="HM261" s="5" t="s">
        <v>6</v>
      </c>
      <c r="HN261" s="5" t="s">
        <v>6</v>
      </c>
      <c r="HO261" s="5" t="s">
        <v>6</v>
      </c>
      <c r="HP261" s="5" t="s">
        <v>6</v>
      </c>
      <c r="HQ261" s="5" t="s">
        <v>6</v>
      </c>
      <c r="HR261" s="5"/>
      <c r="HS261" s="5">
        <v>0</v>
      </c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>
        <v>0</v>
      </c>
      <c r="IL261" s="5"/>
      <c r="IM261" s="5"/>
      <c r="IN261" s="5"/>
      <c r="IO261" s="5"/>
      <c r="IP261" s="5"/>
      <c r="IQ261" s="5"/>
      <c r="IR261" s="5"/>
      <c r="IS261" s="5"/>
      <c r="IT261" s="5"/>
      <c r="IU261" s="5"/>
    </row>
    <row r="262" spans="1:255" x14ac:dyDescent="0.2">
      <c r="A262">
        <v>19</v>
      </c>
      <c r="B262">
        <v>1</v>
      </c>
      <c r="F262" t="s">
        <v>6</v>
      </c>
      <c r="G262" t="s">
        <v>250</v>
      </c>
      <c r="H262" t="s">
        <v>6</v>
      </c>
      <c r="AA262">
        <v>1</v>
      </c>
      <c r="IK262">
        <v>0</v>
      </c>
    </row>
    <row r="263" spans="1:255" x14ac:dyDescent="0.2">
      <c r="A263" s="5">
        <v>17</v>
      </c>
      <c r="B263" s="5">
        <v>1</v>
      </c>
      <c r="C263" s="5">
        <f>ROW(SmtRes!A98)</f>
        <v>98</v>
      </c>
      <c r="D263" s="5">
        <f>ROW(EtalonRes!A118)</f>
        <v>118</v>
      </c>
      <c r="E263" s="5" t="s">
        <v>251</v>
      </c>
      <c r="F263" s="5" t="s">
        <v>252</v>
      </c>
      <c r="G263" s="5" t="s">
        <v>253</v>
      </c>
      <c r="H263" s="5" t="s">
        <v>90</v>
      </c>
      <c r="I263" s="5">
        <f>ROUND(0.31,7)</f>
        <v>0.31</v>
      </c>
      <c r="J263" s="5">
        <v>0</v>
      </c>
      <c r="K263" s="5">
        <f>ROUND(0.31,7)</f>
        <v>0.31</v>
      </c>
      <c r="L263" s="5"/>
      <c r="M263" s="5"/>
      <c r="N263" s="5"/>
      <c r="O263" s="5">
        <f>ROUND(CP263,2)</f>
        <v>13749.15</v>
      </c>
      <c r="P263" s="5">
        <f>SUMIF(SmtRes!AQ94:'SmtRes'!AQ98,"=1",SmtRes!DF94:'SmtRes'!DF98)</f>
        <v>6.85</v>
      </c>
      <c r="Q263" s="5">
        <f>SUMIF(SmtRes!AQ94:'SmtRes'!AQ98,"=1",SmtRes!DG94:'SmtRes'!DG98)</f>
        <v>1100.6399999999999</v>
      </c>
      <c r="R263" s="5">
        <f>SUMIF(SmtRes!AQ94:'SmtRes'!AQ98,"=1",SmtRes!DH94:'SmtRes'!DH98)</f>
        <v>681.99</v>
      </c>
      <c r="S263" s="5">
        <f>SUMIF(SmtRes!AQ94:'SmtRes'!AQ98,"=1",SmtRes!DI94:'SmtRes'!DI98)</f>
        <v>11959.67</v>
      </c>
      <c r="T263" s="5">
        <f>ROUND(CU263*I263,2)</f>
        <v>0</v>
      </c>
      <c r="U263" s="5">
        <f>SUMIF(SmtRes!AQ94:'SmtRes'!AQ98,"=1",SmtRes!CV94:'SmtRes'!CV98)</f>
        <v>36.526989999999998</v>
      </c>
      <c r="V263" s="5">
        <f>SUMIF(SmtRes!AQ94:'SmtRes'!AQ98,"=1",SmtRes!CW94:'SmtRes'!CW98)</f>
        <v>2.0692500000000003</v>
      </c>
      <c r="W263" s="5">
        <f>ROUND(CX263*I263,2)</f>
        <v>0</v>
      </c>
      <c r="X263" s="5">
        <f>ROUND(CY263,2)</f>
        <v>11377.49</v>
      </c>
      <c r="Y263" s="5">
        <f>ROUND(CZ263,2)</f>
        <v>5265.25</v>
      </c>
      <c r="Z263" s="5"/>
      <c r="AA263" s="5">
        <v>74852007</v>
      </c>
      <c r="AB263" s="5">
        <f>ROUND((AC263+AD263+AF263),2)</f>
        <v>42135.09</v>
      </c>
      <c r="AC263" s="5">
        <f>ROUND((SUM(SmtRes!BQ94:'SmtRes'!BQ98)),2)</f>
        <v>22.09</v>
      </c>
      <c r="AD263" s="5">
        <f>ROUND((((SUM(SmtRes!BR94:'SmtRes'!BR98))-(SUM(SmtRes!BS94:'SmtRes'!BS98)))+AE263),2)</f>
        <v>3533.43</v>
      </c>
      <c r="AE263" s="5">
        <f>ROUND((SUM(SmtRes!BS94:'SmtRes'!BS98)),2)</f>
        <v>2199.98</v>
      </c>
      <c r="AF263" s="5">
        <f>ROUND((SUM(SmtRes!BT94:'SmtRes'!BT98)),2)</f>
        <v>38579.57</v>
      </c>
      <c r="AG263" s="5">
        <f>ROUND((AP263),2)</f>
        <v>0</v>
      </c>
      <c r="AH263" s="5">
        <f>(SUM(SmtRes!BU94:'SmtRes'!BU98))</f>
        <v>117.82899999999998</v>
      </c>
      <c r="AI263" s="5">
        <f>(SUM(SmtRes!BV94:'SmtRes'!BV98))</f>
        <v>6.6749999999999998</v>
      </c>
      <c r="AJ263" s="5">
        <f>(AS263)</f>
        <v>0</v>
      </c>
      <c r="AK263" s="5">
        <v>38156.265879999999</v>
      </c>
      <c r="AL263" s="5">
        <v>22.089080000000003</v>
      </c>
      <c r="AM263" s="5">
        <v>2826.7431999999999</v>
      </c>
      <c r="AN263" s="5">
        <v>1759.9804000000001</v>
      </c>
      <c r="AO263" s="5">
        <v>33547.453199999996</v>
      </c>
      <c r="AP263" s="5">
        <v>0</v>
      </c>
      <c r="AQ263" s="5">
        <v>102.46</v>
      </c>
      <c r="AR263" s="5">
        <v>5.34</v>
      </c>
      <c r="AS263" s="5">
        <v>0</v>
      </c>
      <c r="AT263" s="5">
        <v>90</v>
      </c>
      <c r="AU263" s="5">
        <v>41.65</v>
      </c>
      <c r="AV263" s="5">
        <v>1</v>
      </c>
      <c r="AW263" s="5">
        <v>1</v>
      </c>
      <c r="AX263" s="5"/>
      <c r="AY263" s="5"/>
      <c r="AZ263" s="5">
        <v>1</v>
      </c>
      <c r="BA263" s="5">
        <v>1</v>
      </c>
      <c r="BB263" s="5">
        <v>1</v>
      </c>
      <c r="BC263" s="5">
        <v>1</v>
      </c>
      <c r="BD263" s="5" t="s">
        <v>6</v>
      </c>
      <c r="BE263" s="5" t="s">
        <v>6</v>
      </c>
      <c r="BF263" s="5" t="s">
        <v>6</v>
      </c>
      <c r="BG263" s="5" t="s">
        <v>6</v>
      </c>
      <c r="BH263" s="5">
        <v>0</v>
      </c>
      <c r="BI263" s="5">
        <v>1</v>
      </c>
      <c r="BJ263" s="5" t="s">
        <v>254</v>
      </c>
      <c r="BK263" s="5"/>
      <c r="BL263" s="5"/>
      <c r="BM263" s="5">
        <v>15001</v>
      </c>
      <c r="BN263" s="5">
        <v>66927928</v>
      </c>
      <c r="BO263" s="5" t="s">
        <v>6</v>
      </c>
      <c r="BP263" s="5">
        <v>0</v>
      </c>
      <c r="BQ263" s="5">
        <v>2</v>
      </c>
      <c r="BR263" s="5">
        <v>0</v>
      </c>
      <c r="BS263" s="5">
        <v>1</v>
      </c>
      <c r="BT263" s="5">
        <v>1</v>
      </c>
      <c r="BU263" s="5">
        <v>1</v>
      </c>
      <c r="BV263" s="5">
        <v>1</v>
      </c>
      <c r="BW263" s="5">
        <v>1</v>
      </c>
      <c r="BX263" s="5">
        <v>1</v>
      </c>
      <c r="BY263" s="5" t="s">
        <v>6</v>
      </c>
      <c r="BZ263" s="5">
        <v>100</v>
      </c>
      <c r="CA263" s="5">
        <v>49</v>
      </c>
      <c r="CB263" s="5" t="s">
        <v>6</v>
      </c>
      <c r="CC263" s="5"/>
      <c r="CD263" s="5"/>
      <c r="CE263" s="5">
        <v>0</v>
      </c>
      <c r="CF263" s="5">
        <v>0</v>
      </c>
      <c r="CG263" s="5">
        <v>0</v>
      </c>
      <c r="CH263" s="5"/>
      <c r="CI263" s="5"/>
      <c r="CJ263" s="5"/>
      <c r="CK263" s="5"/>
      <c r="CL263" s="5"/>
      <c r="CM263" s="5">
        <v>0</v>
      </c>
      <c r="CN263" s="5" t="s">
        <v>115</v>
      </c>
      <c r="CO263" s="5">
        <v>0</v>
      </c>
      <c r="CP263" s="5">
        <f>(P263+Q263+S263+R263)</f>
        <v>13749.15</v>
      </c>
      <c r="CQ263" s="5">
        <f>SUMIF(SmtRes!AQ94:'SmtRes'!AQ98,"=1",SmtRes!AA94:'SmtRes'!AA98)</f>
        <v>7.94</v>
      </c>
      <c r="CR263" s="5">
        <f>SUMIF(SmtRes!AQ94:'SmtRes'!AQ98,"=1",SmtRes!AB94:'SmtRes'!AB98)</f>
        <v>666.23</v>
      </c>
      <c r="CS263" s="5">
        <f>SUMIF(SmtRes!AQ94:'SmtRes'!AQ98,"=1",SmtRes!AC94:'SmtRes'!AC98)</f>
        <v>632.35</v>
      </c>
      <c r="CT263" s="5">
        <f>SUMIF(SmtRes!AQ94:'SmtRes'!AQ98,"=1",SmtRes!AD94:'SmtRes'!AD98)</f>
        <v>327.42</v>
      </c>
      <c r="CU263" s="5">
        <f>AG263</f>
        <v>0</v>
      </c>
      <c r="CV263" s="5">
        <f>SUMIF(SmtRes!AQ94:'SmtRes'!AQ98,"=1",SmtRes!BU94:'SmtRes'!BU98)</f>
        <v>117.82899999999998</v>
      </c>
      <c r="CW263" s="5">
        <f>SUMIF(SmtRes!AQ94:'SmtRes'!AQ98,"=1",SmtRes!BV94:'SmtRes'!BV98)</f>
        <v>6.6749999999999998</v>
      </c>
      <c r="CX263" s="5">
        <f>AJ263</f>
        <v>0</v>
      </c>
      <c r="CY263" s="5">
        <f>(((S263+R263)*AT263)/100)</f>
        <v>11377.493999999999</v>
      </c>
      <c r="CZ263" s="5">
        <f>(((S263+R263)*AU263)/100)</f>
        <v>5265.2513899999994</v>
      </c>
      <c r="DA263" s="5"/>
      <c r="DB263" s="5"/>
      <c r="DC263" s="5" t="s">
        <v>6</v>
      </c>
      <c r="DD263" s="5" t="s">
        <v>6</v>
      </c>
      <c r="DE263" s="5" t="s">
        <v>116</v>
      </c>
      <c r="DF263" s="5" t="s">
        <v>116</v>
      </c>
      <c r="DG263" s="5" t="s">
        <v>117</v>
      </c>
      <c r="DH263" s="5" t="s">
        <v>6</v>
      </c>
      <c r="DI263" s="5" t="s">
        <v>117</v>
      </c>
      <c r="DJ263" s="5" t="s">
        <v>116</v>
      </c>
      <c r="DK263" s="5" t="s">
        <v>6</v>
      </c>
      <c r="DL263" s="5" t="s">
        <v>118</v>
      </c>
      <c r="DM263" s="5" t="s">
        <v>119</v>
      </c>
      <c r="DN263" s="5">
        <v>0</v>
      </c>
      <c r="DO263" s="5">
        <v>0</v>
      </c>
      <c r="DP263" s="5">
        <v>1</v>
      </c>
      <c r="DQ263" s="5">
        <v>1</v>
      </c>
      <c r="DR263" s="5"/>
      <c r="DS263" s="5"/>
      <c r="DT263" s="5"/>
      <c r="DU263" s="5">
        <v>1005</v>
      </c>
      <c r="DV263" s="5" t="s">
        <v>90</v>
      </c>
      <c r="DW263" s="5" t="s">
        <v>90</v>
      </c>
      <c r="DX263" s="5">
        <v>100</v>
      </c>
      <c r="DY263" s="5"/>
      <c r="DZ263" s="5" t="s">
        <v>6</v>
      </c>
      <c r="EA263" s="5" t="s">
        <v>6</v>
      </c>
      <c r="EB263" s="5" t="s">
        <v>6</v>
      </c>
      <c r="EC263" s="5" t="s">
        <v>6</v>
      </c>
      <c r="ED263" s="5"/>
      <c r="EE263" s="5">
        <v>67841919</v>
      </c>
      <c r="EF263" s="5">
        <v>2</v>
      </c>
      <c r="EG263" s="5" t="s">
        <v>18</v>
      </c>
      <c r="EH263" s="5">
        <v>15</v>
      </c>
      <c r="EI263" s="5" t="s">
        <v>190</v>
      </c>
      <c r="EJ263" s="5">
        <v>1</v>
      </c>
      <c r="EK263" s="5">
        <v>15001</v>
      </c>
      <c r="EL263" s="5" t="s">
        <v>190</v>
      </c>
      <c r="EM263" s="5" t="s">
        <v>191</v>
      </c>
      <c r="EN263" s="5"/>
      <c r="EO263" s="5" t="s">
        <v>121</v>
      </c>
      <c r="EP263" s="5"/>
      <c r="EQ263" s="5">
        <v>0</v>
      </c>
      <c r="ER263" s="5">
        <v>0</v>
      </c>
      <c r="ES263" s="5">
        <v>0</v>
      </c>
      <c r="ET263" s="5">
        <v>0</v>
      </c>
      <c r="EU263" s="5">
        <v>0</v>
      </c>
      <c r="EV263" s="5">
        <v>0</v>
      </c>
      <c r="EW263" s="5">
        <v>102.46</v>
      </c>
      <c r="EX263" s="5">
        <v>5.34</v>
      </c>
      <c r="EY263" s="5">
        <v>0</v>
      </c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>
        <v>0</v>
      </c>
      <c r="FR263" s="5">
        <v>0</v>
      </c>
      <c r="FS263" s="5">
        <v>0</v>
      </c>
      <c r="FT263" s="5"/>
      <c r="FU263" s="5"/>
      <c r="FV263" s="5"/>
      <c r="FW263" s="5"/>
      <c r="FX263" s="5">
        <v>90</v>
      </c>
      <c r="FY263" s="5">
        <v>41.65</v>
      </c>
      <c r="FZ263" s="5"/>
      <c r="GA263" s="5" t="s">
        <v>6</v>
      </c>
      <c r="GB263" s="5"/>
      <c r="GC263" s="5"/>
      <c r="GD263" s="5">
        <v>1</v>
      </c>
      <c r="GE263" s="5"/>
      <c r="GF263" s="5">
        <v>-165947582</v>
      </c>
      <c r="GG263" s="5">
        <v>2</v>
      </c>
      <c r="GH263" s="5">
        <v>1</v>
      </c>
      <c r="GI263" s="5">
        <v>-2</v>
      </c>
      <c r="GJ263" s="5">
        <v>0</v>
      </c>
      <c r="GK263" s="5">
        <v>0</v>
      </c>
      <c r="GL263" s="5">
        <f>ROUND(IF(AND(BH263=3,BI263=3,FS263&lt;&gt;0),P263,0),2)</f>
        <v>0</v>
      </c>
      <c r="GM263" s="5">
        <f>ROUND(O263+X263+Y263,2)+GX263</f>
        <v>30391.89</v>
      </c>
      <c r="GN263" s="5">
        <f>IF(OR(BI263=0,BI263=1),GM263-GX263,0)</f>
        <v>30391.89</v>
      </c>
      <c r="GO263" s="5">
        <f>IF(BI263=2,GM263-GX263,0)</f>
        <v>0</v>
      </c>
      <c r="GP263" s="5">
        <f>IF(BI263=4,GM263-GX263,0)</f>
        <v>0</v>
      </c>
      <c r="GQ263" s="5"/>
      <c r="GR263" s="5">
        <v>0</v>
      </c>
      <c r="GS263" s="5">
        <v>3</v>
      </c>
      <c r="GT263" s="5">
        <v>0</v>
      </c>
      <c r="GU263" s="5" t="s">
        <v>6</v>
      </c>
      <c r="GV263" s="5">
        <f>ROUND((GT263),2)</f>
        <v>0</v>
      </c>
      <c r="GW263" s="5">
        <v>1</v>
      </c>
      <c r="GX263" s="5">
        <f>ROUND(HC263*I263,2)</f>
        <v>0</v>
      </c>
      <c r="GY263" s="5"/>
      <c r="GZ263" s="5"/>
      <c r="HA263" s="5">
        <v>0</v>
      </c>
      <c r="HB263" s="5">
        <v>0</v>
      </c>
      <c r="HC263" s="5">
        <f>GV263*GW263</f>
        <v>0</v>
      </c>
      <c r="HD263" s="5"/>
      <c r="HE263" s="5" t="s">
        <v>6</v>
      </c>
      <c r="HF263" s="5" t="s">
        <v>6</v>
      </c>
      <c r="HG263" s="5"/>
      <c r="HH263" s="5"/>
      <c r="HI263" s="5"/>
      <c r="HJ263" s="5"/>
      <c r="HK263" s="5"/>
      <c r="HL263" s="5"/>
      <c r="HM263" s="5" t="s">
        <v>6</v>
      </c>
      <c r="HN263" s="5" t="s">
        <v>192</v>
      </c>
      <c r="HO263" s="5" t="s">
        <v>193</v>
      </c>
      <c r="HP263" s="5" t="s">
        <v>190</v>
      </c>
      <c r="HQ263" s="5" t="s">
        <v>190</v>
      </c>
      <c r="HR263" s="5"/>
      <c r="HS263" s="5">
        <v>0</v>
      </c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>
        <v>0</v>
      </c>
      <c r="IL263" s="5"/>
      <c r="IM263" s="5"/>
      <c r="IN263" s="5"/>
      <c r="IO263" s="5"/>
      <c r="IP263" s="5"/>
      <c r="IQ263" s="5"/>
      <c r="IR263" s="5"/>
      <c r="IS263" s="5"/>
      <c r="IT263" s="5"/>
      <c r="IU263" s="5"/>
    </row>
    <row r="264" spans="1:255" x14ac:dyDescent="0.2">
      <c r="A264" s="5">
        <v>17</v>
      </c>
      <c r="B264" s="5">
        <v>1</v>
      </c>
      <c r="C264" s="5"/>
      <c r="D264" s="5"/>
      <c r="E264" s="5" t="s">
        <v>255</v>
      </c>
      <c r="F264" s="5" t="s">
        <v>256</v>
      </c>
      <c r="G264" s="5" t="s">
        <v>257</v>
      </c>
      <c r="H264" s="5" t="s">
        <v>145</v>
      </c>
      <c r="I264" s="5">
        <f>ROUND(31.93,7)</f>
        <v>31.93</v>
      </c>
      <c r="J264" s="5">
        <v>0</v>
      </c>
      <c r="K264" s="5">
        <f>ROUND(31.93,7)</f>
        <v>31.93</v>
      </c>
      <c r="L264" s="5"/>
      <c r="M264" s="5"/>
      <c r="N264" s="5"/>
      <c r="O264" s="5">
        <f>ROUND(CP264,2)</f>
        <v>52195.01</v>
      </c>
      <c r="P264" s="5">
        <f>ROUND(CQ264*I264,2)</f>
        <v>52195.01</v>
      </c>
      <c r="Q264" s="5">
        <f>ROUND(CR264*I264,2)</f>
        <v>0</v>
      </c>
      <c r="R264" s="5">
        <f>ROUND(CS264*I264,2)</f>
        <v>0</v>
      </c>
      <c r="S264" s="5">
        <f>ROUND(CT264*I264,2)</f>
        <v>0</v>
      </c>
      <c r="T264" s="5">
        <f>ROUND(CU264*I264,2)</f>
        <v>0</v>
      </c>
      <c r="U264" s="5">
        <f>ROUND(CV264*I264,7)</f>
        <v>0</v>
      </c>
      <c r="V264" s="5">
        <f>ROUND(CW264*I264,7)</f>
        <v>0</v>
      </c>
      <c r="W264" s="5">
        <f>ROUND(CX264*I264,2)</f>
        <v>0</v>
      </c>
      <c r="X264" s="5">
        <f>ROUND(CY264,2)</f>
        <v>0</v>
      </c>
      <c r="Y264" s="5">
        <f>ROUND(CZ264,2)</f>
        <v>0</v>
      </c>
      <c r="Z264" s="5"/>
      <c r="AA264" s="5">
        <v>74852007</v>
      </c>
      <c r="AB264" s="5">
        <f>ROUND((AC264+AD264+AF264),2)</f>
        <v>955.95</v>
      </c>
      <c r="AC264" s="5">
        <f>ROUND((ES264),2)</f>
        <v>955.95</v>
      </c>
      <c r="AD264" s="5">
        <f>ROUND((((ET264)-(EU264))+AE264),2)</f>
        <v>0</v>
      </c>
      <c r="AE264" s="5">
        <f>ROUND((EU264),2)</f>
        <v>0</v>
      </c>
      <c r="AF264" s="5">
        <f>ROUND((EV264),2)</f>
        <v>0</v>
      </c>
      <c r="AG264" s="5">
        <f>ROUND((AP264),2)</f>
        <v>0</v>
      </c>
      <c r="AH264" s="5">
        <f>(EW264)</f>
        <v>0</v>
      </c>
      <c r="AI264" s="5">
        <f>(EX264)</f>
        <v>0</v>
      </c>
      <c r="AJ264" s="5">
        <f>(AS264)</f>
        <v>0</v>
      </c>
      <c r="AK264" s="5">
        <v>955.95</v>
      </c>
      <c r="AL264" s="5">
        <v>955.95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1</v>
      </c>
      <c r="AW264" s="5">
        <v>1</v>
      </c>
      <c r="AX264" s="5"/>
      <c r="AY264" s="5"/>
      <c r="AZ264" s="5">
        <v>1</v>
      </c>
      <c r="BA264" s="5">
        <v>1</v>
      </c>
      <c r="BB264" s="5">
        <v>1</v>
      </c>
      <c r="BC264" s="5">
        <v>1.71</v>
      </c>
      <c r="BD264" s="5" t="s">
        <v>6</v>
      </c>
      <c r="BE264" s="5" t="s">
        <v>6</v>
      </c>
      <c r="BF264" s="5" t="s">
        <v>6</v>
      </c>
      <c r="BG264" s="5" t="s">
        <v>6</v>
      </c>
      <c r="BH264" s="5">
        <v>3</v>
      </c>
      <c r="BI264" s="5">
        <v>1</v>
      </c>
      <c r="BJ264" s="5" t="s">
        <v>258</v>
      </c>
      <c r="BK264" s="5"/>
      <c r="BL264" s="5"/>
      <c r="BM264" s="5">
        <v>500001</v>
      </c>
      <c r="BN264" s="5">
        <v>66927928</v>
      </c>
      <c r="BO264" s="5" t="s">
        <v>256</v>
      </c>
      <c r="BP264" s="5">
        <v>1</v>
      </c>
      <c r="BQ264" s="5">
        <v>8</v>
      </c>
      <c r="BR264" s="5">
        <v>0</v>
      </c>
      <c r="BS264" s="5">
        <v>1</v>
      </c>
      <c r="BT264" s="5">
        <v>1</v>
      </c>
      <c r="BU264" s="5">
        <v>1</v>
      </c>
      <c r="BV264" s="5">
        <v>1</v>
      </c>
      <c r="BW264" s="5">
        <v>1</v>
      </c>
      <c r="BX264" s="5">
        <v>1</v>
      </c>
      <c r="BY264" s="5" t="s">
        <v>6</v>
      </c>
      <c r="BZ264" s="5">
        <v>0</v>
      </c>
      <c r="CA264" s="5">
        <v>0</v>
      </c>
      <c r="CB264" s="5" t="s">
        <v>6</v>
      </c>
      <c r="CC264" s="5"/>
      <c r="CD264" s="5"/>
      <c r="CE264" s="5">
        <v>0</v>
      </c>
      <c r="CF264" s="5">
        <v>0</v>
      </c>
      <c r="CG264" s="5">
        <v>0</v>
      </c>
      <c r="CH264" s="5"/>
      <c r="CI264" s="5"/>
      <c r="CJ264" s="5"/>
      <c r="CK264" s="5"/>
      <c r="CL264" s="5"/>
      <c r="CM264" s="5">
        <v>0</v>
      </c>
      <c r="CN264" s="5" t="s">
        <v>6</v>
      </c>
      <c r="CO264" s="5">
        <v>0</v>
      </c>
      <c r="CP264" s="5">
        <f>(P264+Q264+S264+R264)</f>
        <v>52195.01</v>
      </c>
      <c r="CQ264" s="5">
        <f>ROUND(AL264*BC264,2)</f>
        <v>1634.67</v>
      </c>
      <c r="CR264" s="5">
        <f>ROUND(AM264*BB264,2)</f>
        <v>0</v>
      </c>
      <c r="CS264" s="5">
        <f>ROUND(AN264*BS264,2)</f>
        <v>0</v>
      </c>
      <c r="CT264" s="5">
        <f>ROUND(AO264*BA264,2)</f>
        <v>0</v>
      </c>
      <c r="CU264" s="5">
        <f>AG264</f>
        <v>0</v>
      </c>
      <c r="CV264" s="5">
        <f>AH264</f>
        <v>0</v>
      </c>
      <c r="CW264" s="5">
        <f>AI264</f>
        <v>0</v>
      </c>
      <c r="CX264" s="5">
        <f>AJ264</f>
        <v>0</v>
      </c>
      <c r="CY264" s="5">
        <f>0</f>
        <v>0</v>
      </c>
      <c r="CZ264" s="5">
        <f>0</f>
        <v>0</v>
      </c>
      <c r="DA264" s="5"/>
      <c r="DB264" s="5"/>
      <c r="DC264" s="5" t="s">
        <v>6</v>
      </c>
      <c r="DD264" s="5" t="s">
        <v>6</v>
      </c>
      <c r="DE264" s="5" t="s">
        <v>6</v>
      </c>
      <c r="DF264" s="5" t="s">
        <v>6</v>
      </c>
      <c r="DG264" s="5" t="s">
        <v>6</v>
      </c>
      <c r="DH264" s="5" t="s">
        <v>6</v>
      </c>
      <c r="DI264" s="5" t="s">
        <v>6</v>
      </c>
      <c r="DJ264" s="5" t="s">
        <v>6</v>
      </c>
      <c r="DK264" s="5" t="s">
        <v>6</v>
      </c>
      <c r="DL264" s="5" t="s">
        <v>6</v>
      </c>
      <c r="DM264" s="5" t="s">
        <v>6</v>
      </c>
      <c r="DN264" s="5">
        <v>0</v>
      </c>
      <c r="DO264" s="5">
        <v>0</v>
      </c>
      <c r="DP264" s="5">
        <v>1</v>
      </c>
      <c r="DQ264" s="5">
        <v>1</v>
      </c>
      <c r="DR264" s="5"/>
      <c r="DS264" s="5"/>
      <c r="DT264" s="5"/>
      <c r="DU264" s="5">
        <v>1005</v>
      </c>
      <c r="DV264" s="5" t="s">
        <v>145</v>
      </c>
      <c r="DW264" s="5" t="s">
        <v>145</v>
      </c>
      <c r="DX264" s="5">
        <v>1</v>
      </c>
      <c r="DY264" s="5"/>
      <c r="DZ264" s="5" t="s">
        <v>6</v>
      </c>
      <c r="EA264" s="5" t="s">
        <v>6</v>
      </c>
      <c r="EB264" s="5" t="s">
        <v>6</v>
      </c>
      <c r="EC264" s="5" t="s">
        <v>6</v>
      </c>
      <c r="ED264" s="5"/>
      <c r="EE264" s="5">
        <v>67841826</v>
      </c>
      <c r="EF264" s="5">
        <v>8</v>
      </c>
      <c r="EG264" s="5" t="s">
        <v>136</v>
      </c>
      <c r="EH264" s="5">
        <v>0</v>
      </c>
      <c r="EI264" s="5" t="s">
        <v>6</v>
      </c>
      <c r="EJ264" s="5">
        <v>1</v>
      </c>
      <c r="EK264" s="5">
        <v>500001</v>
      </c>
      <c r="EL264" s="5" t="s">
        <v>137</v>
      </c>
      <c r="EM264" s="5" t="s">
        <v>138</v>
      </c>
      <c r="EN264" s="5"/>
      <c r="EO264" s="5" t="s">
        <v>6</v>
      </c>
      <c r="EP264" s="5"/>
      <c r="EQ264" s="5">
        <v>0</v>
      </c>
      <c r="ER264" s="5">
        <v>955.95</v>
      </c>
      <c r="ES264" s="5">
        <v>955.95</v>
      </c>
      <c r="ET264" s="5">
        <v>0</v>
      </c>
      <c r="EU264" s="5">
        <v>0</v>
      </c>
      <c r="EV264" s="5">
        <v>0</v>
      </c>
      <c r="EW264" s="5">
        <v>0</v>
      </c>
      <c r="EX264" s="5">
        <v>0</v>
      </c>
      <c r="EY264" s="5">
        <v>0</v>
      </c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>
        <v>0</v>
      </c>
      <c r="FR264" s="5">
        <v>0</v>
      </c>
      <c r="FS264" s="5">
        <v>0</v>
      </c>
      <c r="FT264" s="5"/>
      <c r="FU264" s="5"/>
      <c r="FV264" s="5"/>
      <c r="FW264" s="5"/>
      <c r="FX264" s="5">
        <v>0</v>
      </c>
      <c r="FY264" s="5">
        <v>0</v>
      </c>
      <c r="FZ264" s="5"/>
      <c r="GA264" s="5" t="s">
        <v>6</v>
      </c>
      <c r="GB264" s="5"/>
      <c r="GC264" s="5"/>
      <c r="GD264" s="5">
        <v>1</v>
      </c>
      <c r="GE264" s="5"/>
      <c r="GF264" s="5">
        <v>1177740223</v>
      </c>
      <c r="GG264" s="5">
        <v>2</v>
      </c>
      <c r="GH264" s="5">
        <v>1</v>
      </c>
      <c r="GI264" s="5">
        <v>2</v>
      </c>
      <c r="GJ264" s="5">
        <v>0</v>
      </c>
      <c r="GK264" s="5">
        <v>0</v>
      </c>
      <c r="GL264" s="5">
        <f>ROUND(IF(AND(BH264=3,BI264=3,FS264&lt;&gt;0),P264,0),2)</f>
        <v>0</v>
      </c>
      <c r="GM264" s="5">
        <f>ROUND(O264+X264+Y264,2)+GX264</f>
        <v>52195.01</v>
      </c>
      <c r="GN264" s="5">
        <f>IF(OR(BI264=0,BI264=1),GM264-GX264,0)</f>
        <v>52195.01</v>
      </c>
      <c r="GO264" s="5">
        <f>IF(BI264=2,GM264-GX264,0)</f>
        <v>0</v>
      </c>
      <c r="GP264" s="5">
        <f>IF(BI264=4,GM264-GX264,0)</f>
        <v>0</v>
      </c>
      <c r="GQ264" s="5"/>
      <c r="GR264" s="5">
        <v>0</v>
      </c>
      <c r="GS264" s="5">
        <v>3</v>
      </c>
      <c r="GT264" s="5">
        <v>0</v>
      </c>
      <c r="GU264" s="5" t="s">
        <v>6</v>
      </c>
      <c r="GV264" s="5">
        <f>ROUND((GT264),2)</f>
        <v>0</v>
      </c>
      <c r="GW264" s="5">
        <v>1</v>
      </c>
      <c r="GX264" s="5">
        <f>ROUND(HC264*I264,2)</f>
        <v>0</v>
      </c>
      <c r="GY264" s="5"/>
      <c r="GZ264" s="5"/>
      <c r="HA264" s="5">
        <v>0</v>
      </c>
      <c r="HB264" s="5">
        <v>0</v>
      </c>
      <c r="HC264" s="5">
        <f>GV264*GW264</f>
        <v>0</v>
      </c>
      <c r="HD264" s="5"/>
      <c r="HE264" s="5" t="s">
        <v>6</v>
      </c>
      <c r="HF264" s="5" t="s">
        <v>6</v>
      </c>
      <c r="HG264" s="5"/>
      <c r="HH264" s="5"/>
      <c r="HI264" s="5"/>
      <c r="HJ264" s="5"/>
      <c r="HK264" s="5"/>
      <c r="HL264" s="5"/>
      <c r="HM264" s="5" t="s">
        <v>6</v>
      </c>
      <c r="HN264" s="5" t="s">
        <v>6</v>
      </c>
      <c r="HO264" s="5" t="s">
        <v>6</v>
      </c>
      <c r="HP264" s="5" t="s">
        <v>6</v>
      </c>
      <c r="HQ264" s="5" t="s">
        <v>6</v>
      </c>
      <c r="HR264" s="5"/>
      <c r="HS264" s="5">
        <v>0</v>
      </c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>
        <v>0</v>
      </c>
      <c r="IL264" s="5"/>
      <c r="IM264" s="5"/>
      <c r="IN264" s="5"/>
      <c r="IO264" s="5"/>
      <c r="IP264" s="5"/>
      <c r="IQ264" s="5"/>
      <c r="IR264" s="5"/>
      <c r="IS264" s="5"/>
      <c r="IT264" s="5"/>
      <c r="IU264" s="5"/>
    </row>
    <row r="265" spans="1:255" x14ac:dyDescent="0.2">
      <c r="A265">
        <v>19</v>
      </c>
      <c r="B265">
        <v>1</v>
      </c>
      <c r="F265" t="s">
        <v>6</v>
      </c>
      <c r="G265" t="s">
        <v>259</v>
      </c>
      <c r="H265" t="s">
        <v>6</v>
      </c>
      <c r="AA265">
        <v>1</v>
      </c>
      <c r="IK265">
        <v>0</v>
      </c>
    </row>
    <row r="266" spans="1:255" x14ac:dyDescent="0.2">
      <c r="A266" s="5">
        <v>17</v>
      </c>
      <c r="B266" s="5">
        <v>1</v>
      </c>
      <c r="C266" s="5">
        <f>ROW(SmtRes!A101)</f>
        <v>101</v>
      </c>
      <c r="D266" s="5">
        <f>ROW(EtalonRes!A121)</f>
        <v>121</v>
      </c>
      <c r="E266" s="5" t="s">
        <v>260</v>
      </c>
      <c r="F266" s="5" t="s">
        <v>261</v>
      </c>
      <c r="G266" s="5" t="s">
        <v>262</v>
      </c>
      <c r="H266" s="5" t="s">
        <v>90</v>
      </c>
      <c r="I266" s="5">
        <v>5.67E-2</v>
      </c>
      <c r="J266" s="5">
        <v>0</v>
      </c>
      <c r="K266" s="5">
        <v>5.67E-2</v>
      </c>
      <c r="L266" s="5"/>
      <c r="M266" s="5"/>
      <c r="N266" s="5"/>
      <c r="O266" s="5">
        <f t="shared" ref="O266:O271" si="115">ROUND(CP266,2)</f>
        <v>1614.43</v>
      </c>
      <c r="P266" s="5">
        <f>SUMIF(SmtRes!AQ99:'SmtRes'!AQ101,"=1",SmtRes!DF99:'SmtRes'!DF101)</f>
        <v>0</v>
      </c>
      <c r="Q266" s="5">
        <f>SUMIF(SmtRes!AQ99:'SmtRes'!AQ101,"=1",SmtRes!DG99:'SmtRes'!DG101)</f>
        <v>24.24</v>
      </c>
      <c r="R266" s="5">
        <f>SUMIF(SmtRes!AQ99:'SmtRes'!AQ101,"=1",SmtRes!DH99:'SmtRes'!DH101)</f>
        <v>130.53</v>
      </c>
      <c r="S266" s="5">
        <f>SUMIF(SmtRes!AQ99:'SmtRes'!AQ101,"=1",SmtRes!DI99:'SmtRes'!DI101)</f>
        <v>1459.66</v>
      </c>
      <c r="T266" s="5">
        <f t="shared" ref="T266:T271" si="116">ROUND(CU266*I266,2)</f>
        <v>0</v>
      </c>
      <c r="U266" s="5">
        <f>SUMIF(SmtRes!AQ99:'SmtRes'!AQ101,"=1",SmtRes!CV99:'SmtRes'!CV101)</f>
        <v>5.1682050000000004</v>
      </c>
      <c r="V266" s="5">
        <f>SUMIF(SmtRes!AQ99:'SmtRes'!AQ101,"=1",SmtRes!CW99:'SmtRes'!CW101)</f>
        <v>0.43885800000000003</v>
      </c>
      <c r="W266" s="5">
        <f t="shared" ref="W266:W271" si="117">ROUND(CX266*I266,2)</f>
        <v>0</v>
      </c>
      <c r="X266" s="5">
        <f t="shared" ref="X266:Y271" si="118">ROUND(CY266,2)</f>
        <v>1447.07</v>
      </c>
      <c r="Y266" s="5">
        <f t="shared" si="118"/>
        <v>826.9</v>
      </c>
      <c r="Z266" s="5"/>
      <c r="AA266" s="5">
        <v>74852007</v>
      </c>
      <c r="AB266" s="5">
        <f t="shared" ref="AB266:AB271" si="119">ROUND((AC266+AD266+AF266),2)</f>
        <v>26032.35</v>
      </c>
      <c r="AC266" s="5">
        <f>ROUND((0),2)</f>
        <v>0</v>
      </c>
      <c r="AD266" s="5">
        <f>ROUND((((SUM(SmtRes!BR99:'SmtRes'!BR101))-(SUM(SmtRes!BS99:'SmtRes'!BS101)))+AE266),2)</f>
        <v>288.86</v>
      </c>
      <c r="AE266" s="5">
        <f>ROUND((SUM(SmtRes!BS99:'SmtRes'!BS101)),2)</f>
        <v>2302.11</v>
      </c>
      <c r="AF266" s="5">
        <f>ROUND((SUM(SmtRes!BT99:'SmtRes'!BT101)),2)</f>
        <v>25743.49</v>
      </c>
      <c r="AG266" s="5">
        <f t="shared" ref="AG266:AG271" si="120">ROUND((AP266),2)</f>
        <v>0</v>
      </c>
      <c r="AH266" s="5">
        <f>(SUM(SmtRes!BU99:'SmtRes'!BU101))</f>
        <v>91.15</v>
      </c>
      <c r="AI266" s="5">
        <f>(SUM(SmtRes!BV99:'SmtRes'!BV101))</f>
        <v>7.74</v>
      </c>
      <c r="AJ266" s="5">
        <f t="shared" ref="AJ266:AJ271" si="121">(AS266)</f>
        <v>0</v>
      </c>
      <c r="AK266" s="5">
        <v>28334.459500000001</v>
      </c>
      <c r="AL266" s="5">
        <v>0</v>
      </c>
      <c r="AM266" s="5">
        <v>288.85680000000002</v>
      </c>
      <c r="AN266" s="5">
        <v>2302.1082000000001</v>
      </c>
      <c r="AO266" s="5">
        <v>25743.494500000001</v>
      </c>
      <c r="AP266" s="5">
        <v>0</v>
      </c>
      <c r="AQ266" s="5">
        <v>91.15</v>
      </c>
      <c r="AR266" s="5">
        <v>7.74</v>
      </c>
      <c r="AS266" s="5">
        <v>0</v>
      </c>
      <c r="AT266" s="5">
        <v>91</v>
      </c>
      <c r="AU266" s="5">
        <v>52</v>
      </c>
      <c r="AV266" s="5">
        <v>1</v>
      </c>
      <c r="AW266" s="5">
        <v>1</v>
      </c>
      <c r="AX266" s="5"/>
      <c r="AY266" s="5"/>
      <c r="AZ266" s="5">
        <v>1</v>
      </c>
      <c r="BA266" s="5">
        <v>1</v>
      </c>
      <c r="BB266" s="5">
        <v>1</v>
      </c>
      <c r="BC266" s="5">
        <v>1</v>
      </c>
      <c r="BD266" s="5" t="s">
        <v>6</v>
      </c>
      <c r="BE266" s="5" t="s">
        <v>6</v>
      </c>
      <c r="BF266" s="5" t="s">
        <v>6</v>
      </c>
      <c r="BG266" s="5" t="s">
        <v>6</v>
      </c>
      <c r="BH266" s="5">
        <v>0</v>
      </c>
      <c r="BI266" s="5">
        <v>1</v>
      </c>
      <c r="BJ266" s="5" t="s">
        <v>263</v>
      </c>
      <c r="BK266" s="5"/>
      <c r="BL266" s="5"/>
      <c r="BM266" s="5">
        <v>46003</v>
      </c>
      <c r="BN266" s="5">
        <v>66927928</v>
      </c>
      <c r="BO266" s="5" t="s">
        <v>6</v>
      </c>
      <c r="BP266" s="5">
        <v>0</v>
      </c>
      <c r="BQ266" s="5">
        <v>2</v>
      </c>
      <c r="BR266" s="5">
        <v>0</v>
      </c>
      <c r="BS266" s="5">
        <v>1</v>
      </c>
      <c r="BT266" s="5">
        <v>1</v>
      </c>
      <c r="BU266" s="5">
        <v>1</v>
      </c>
      <c r="BV266" s="5">
        <v>1</v>
      </c>
      <c r="BW266" s="5">
        <v>1</v>
      </c>
      <c r="BX266" s="5">
        <v>1</v>
      </c>
      <c r="BY266" s="5" t="s">
        <v>6</v>
      </c>
      <c r="BZ266" s="5">
        <v>91</v>
      </c>
      <c r="CA266" s="5">
        <v>52</v>
      </c>
      <c r="CB266" s="5" t="s">
        <v>6</v>
      </c>
      <c r="CC266" s="5"/>
      <c r="CD266" s="5"/>
      <c r="CE266" s="5">
        <v>0</v>
      </c>
      <c r="CF266" s="5">
        <v>0</v>
      </c>
      <c r="CG266" s="5">
        <v>0</v>
      </c>
      <c r="CH266" s="5"/>
      <c r="CI266" s="5"/>
      <c r="CJ266" s="5"/>
      <c r="CK266" s="5"/>
      <c r="CL266" s="5"/>
      <c r="CM266" s="5">
        <v>0</v>
      </c>
      <c r="CN266" s="5" t="s">
        <v>6</v>
      </c>
      <c r="CO266" s="5">
        <v>0</v>
      </c>
      <c r="CP266" s="5">
        <f t="shared" ref="CP266:CP271" si="122">(P266+Q266+S266+R266)</f>
        <v>1614.43</v>
      </c>
      <c r="CQ266" s="5">
        <f>SUMIF(SmtRes!AQ99:'SmtRes'!AQ101,"=1",SmtRes!AA99:'SmtRes'!AA101)</f>
        <v>0</v>
      </c>
      <c r="CR266" s="5">
        <f>SUMIF(SmtRes!AQ99:'SmtRes'!AQ101,"=1",SmtRes!AB99:'SmtRes'!AB101)</f>
        <v>55.23</v>
      </c>
      <c r="CS266" s="5">
        <f>SUMIF(SmtRes!AQ99:'SmtRes'!AQ101,"=1",SmtRes!AC99:'SmtRes'!AC101)</f>
        <v>297.43</v>
      </c>
      <c r="CT266" s="5">
        <f>SUMIF(SmtRes!AQ99:'SmtRes'!AQ101,"=1",SmtRes!AD99:'SmtRes'!AD101)</f>
        <v>282.43</v>
      </c>
      <c r="CU266" s="5">
        <f t="shared" ref="CU266:CU271" si="123">AG266</f>
        <v>0</v>
      </c>
      <c r="CV266" s="5">
        <f>SUMIF(SmtRes!AQ99:'SmtRes'!AQ101,"=1",SmtRes!BU99:'SmtRes'!BU101)</f>
        <v>91.15</v>
      </c>
      <c r="CW266" s="5">
        <f>SUMIF(SmtRes!AQ99:'SmtRes'!AQ101,"=1",SmtRes!BV99:'SmtRes'!BV101)</f>
        <v>7.74</v>
      </c>
      <c r="CX266" s="5">
        <f t="shared" ref="CX266:CX271" si="124">AJ266</f>
        <v>0</v>
      </c>
      <c r="CY266" s="5">
        <f>(((S266+R266)*AT266)/100)</f>
        <v>1447.0729000000001</v>
      </c>
      <c r="CZ266" s="5">
        <f>(((S266+R266)*AU266)/100)</f>
        <v>826.89880000000005</v>
      </c>
      <c r="DA266" s="5"/>
      <c r="DB266" s="5"/>
      <c r="DC266" s="5" t="s">
        <v>6</v>
      </c>
      <c r="DD266" s="5" t="s">
        <v>6</v>
      </c>
      <c r="DE266" s="5" t="s">
        <v>6</v>
      </c>
      <c r="DF266" s="5" t="s">
        <v>6</v>
      </c>
      <c r="DG266" s="5" t="s">
        <v>6</v>
      </c>
      <c r="DH266" s="5" t="s">
        <v>6</v>
      </c>
      <c r="DI266" s="5" t="s">
        <v>6</v>
      </c>
      <c r="DJ266" s="5" t="s">
        <v>6</v>
      </c>
      <c r="DK266" s="5" t="s">
        <v>6</v>
      </c>
      <c r="DL266" s="5" t="s">
        <v>6</v>
      </c>
      <c r="DM266" s="5" t="s">
        <v>6</v>
      </c>
      <c r="DN266" s="5">
        <v>0</v>
      </c>
      <c r="DO266" s="5">
        <v>0</v>
      </c>
      <c r="DP266" s="5">
        <v>1</v>
      </c>
      <c r="DQ266" s="5">
        <v>1</v>
      </c>
      <c r="DR266" s="5"/>
      <c r="DS266" s="5"/>
      <c r="DT266" s="5"/>
      <c r="DU266" s="5">
        <v>1005</v>
      </c>
      <c r="DV266" s="5" t="s">
        <v>90</v>
      </c>
      <c r="DW266" s="5" t="s">
        <v>90</v>
      </c>
      <c r="DX266" s="5">
        <v>100</v>
      </c>
      <c r="DY266" s="5"/>
      <c r="DZ266" s="5" t="s">
        <v>6</v>
      </c>
      <c r="EA266" s="5" t="s">
        <v>6</v>
      </c>
      <c r="EB266" s="5" t="s">
        <v>6</v>
      </c>
      <c r="EC266" s="5" t="s">
        <v>6</v>
      </c>
      <c r="ED266" s="5"/>
      <c r="EE266" s="5">
        <v>67842134</v>
      </c>
      <c r="EF266" s="5">
        <v>2</v>
      </c>
      <c r="EG266" s="5" t="s">
        <v>18</v>
      </c>
      <c r="EH266" s="5">
        <v>40</v>
      </c>
      <c r="EI266" s="5" t="s">
        <v>181</v>
      </c>
      <c r="EJ266" s="5">
        <v>1</v>
      </c>
      <c r="EK266" s="5">
        <v>46003</v>
      </c>
      <c r="EL266" s="5" t="s">
        <v>182</v>
      </c>
      <c r="EM266" s="5" t="s">
        <v>183</v>
      </c>
      <c r="EN266" s="5"/>
      <c r="EO266" s="5" t="s">
        <v>6</v>
      </c>
      <c r="EP266" s="5"/>
      <c r="EQ266" s="5">
        <v>0</v>
      </c>
      <c r="ER266" s="5">
        <v>0</v>
      </c>
      <c r="ES266" s="5">
        <v>0</v>
      </c>
      <c r="ET266" s="5">
        <v>0</v>
      </c>
      <c r="EU266" s="5">
        <v>0</v>
      </c>
      <c r="EV266" s="5">
        <v>0</v>
      </c>
      <c r="EW266" s="5">
        <v>91.15</v>
      </c>
      <c r="EX266" s="5">
        <v>7.74</v>
      </c>
      <c r="EY266" s="5">
        <v>0</v>
      </c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>
        <v>0</v>
      </c>
      <c r="FR266" s="5">
        <v>0</v>
      </c>
      <c r="FS266" s="5">
        <v>0</v>
      </c>
      <c r="FT266" s="5"/>
      <c r="FU266" s="5"/>
      <c r="FV266" s="5"/>
      <c r="FW266" s="5"/>
      <c r="FX266" s="5">
        <v>91</v>
      </c>
      <c r="FY266" s="5">
        <v>52</v>
      </c>
      <c r="FZ266" s="5"/>
      <c r="GA266" s="5" t="s">
        <v>6</v>
      </c>
      <c r="GB266" s="5"/>
      <c r="GC266" s="5"/>
      <c r="GD266" s="5">
        <v>1</v>
      </c>
      <c r="GE266" s="5"/>
      <c r="GF266" s="5">
        <v>798749431</v>
      </c>
      <c r="GG266" s="5">
        <v>2</v>
      </c>
      <c r="GH266" s="5">
        <v>1</v>
      </c>
      <c r="GI266" s="5">
        <v>-2</v>
      </c>
      <c r="GJ266" s="5">
        <v>0</v>
      </c>
      <c r="GK266" s="5">
        <v>0</v>
      </c>
      <c r="GL266" s="5">
        <f t="shared" ref="GL266:GL271" si="125">ROUND(IF(AND(BH266=3,BI266=3,FS266&lt;&gt;0),P266,0),2)</f>
        <v>0</v>
      </c>
      <c r="GM266" s="5">
        <f t="shared" ref="GM266:GM271" si="126">ROUND(O266+X266+Y266,2)+GX266</f>
        <v>3888.4</v>
      </c>
      <c r="GN266" s="5">
        <f t="shared" ref="GN266:GN271" si="127">IF(OR(BI266=0,BI266=1),GM266-GX266,0)</f>
        <v>3888.4</v>
      </c>
      <c r="GO266" s="5">
        <f t="shared" ref="GO266:GO271" si="128">IF(BI266=2,GM266-GX266,0)</f>
        <v>0</v>
      </c>
      <c r="GP266" s="5">
        <f t="shared" ref="GP266:GP271" si="129">IF(BI266=4,GM266-GX266,0)</f>
        <v>0</v>
      </c>
      <c r="GQ266" s="5"/>
      <c r="GR266" s="5">
        <v>0</v>
      </c>
      <c r="GS266" s="5">
        <v>3</v>
      </c>
      <c r="GT266" s="5">
        <v>0</v>
      </c>
      <c r="GU266" s="5" t="s">
        <v>6</v>
      </c>
      <c r="GV266" s="5">
        <f t="shared" ref="GV266:GV271" si="130">ROUND((GT266),2)</f>
        <v>0</v>
      </c>
      <c r="GW266" s="5">
        <v>1</v>
      </c>
      <c r="GX266" s="5">
        <f t="shared" ref="GX266:GX271" si="131">ROUND(HC266*I266,2)</f>
        <v>0</v>
      </c>
      <c r="GY266" s="5"/>
      <c r="GZ266" s="5"/>
      <c r="HA266" s="5">
        <v>0</v>
      </c>
      <c r="HB266" s="5">
        <v>0</v>
      </c>
      <c r="HC266" s="5">
        <f t="shared" ref="HC266:HC271" si="132">GV266*GW266</f>
        <v>0</v>
      </c>
      <c r="HD266" s="5"/>
      <c r="HE266" s="5" t="s">
        <v>6</v>
      </c>
      <c r="HF266" s="5" t="s">
        <v>6</v>
      </c>
      <c r="HG266" s="5"/>
      <c r="HH266" s="5"/>
      <c r="HI266" s="5"/>
      <c r="HJ266" s="5"/>
      <c r="HK266" s="5"/>
      <c r="HL266" s="5"/>
      <c r="HM266" s="5" t="s">
        <v>6</v>
      </c>
      <c r="HN266" s="5" t="s">
        <v>184</v>
      </c>
      <c r="HO266" s="5" t="s">
        <v>185</v>
      </c>
      <c r="HP266" s="5" t="s">
        <v>182</v>
      </c>
      <c r="HQ266" s="5" t="s">
        <v>182</v>
      </c>
      <c r="HR266" s="5"/>
      <c r="HS266" s="5">
        <v>0</v>
      </c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>
        <v>0</v>
      </c>
      <c r="IL266" s="5"/>
      <c r="IM266" s="5"/>
      <c r="IN266" s="5"/>
      <c r="IO266" s="5"/>
      <c r="IP266" s="5"/>
      <c r="IQ266" s="5"/>
      <c r="IR266" s="5"/>
      <c r="IS266" s="5"/>
      <c r="IT266" s="5"/>
      <c r="IU266" s="5"/>
    </row>
    <row r="267" spans="1:255" x14ac:dyDescent="0.2">
      <c r="A267" s="5">
        <v>17</v>
      </c>
      <c r="B267" s="5">
        <v>1</v>
      </c>
      <c r="C267" s="5">
        <f>ROW(SmtRes!A107)</f>
        <v>107</v>
      </c>
      <c r="D267" s="5">
        <f>ROW(EtalonRes!A131)</f>
        <v>131</v>
      </c>
      <c r="E267" s="5" t="s">
        <v>264</v>
      </c>
      <c r="F267" s="5" t="s">
        <v>265</v>
      </c>
      <c r="G267" s="5" t="s">
        <v>266</v>
      </c>
      <c r="H267" s="5" t="s">
        <v>90</v>
      </c>
      <c r="I267" s="5">
        <v>5.67E-2</v>
      </c>
      <c r="J267" s="5">
        <v>0</v>
      </c>
      <c r="K267" s="5">
        <v>5.67E-2</v>
      </c>
      <c r="L267" s="5"/>
      <c r="M267" s="5"/>
      <c r="N267" s="5"/>
      <c r="O267" s="5">
        <f t="shared" si="115"/>
        <v>2697.56</v>
      </c>
      <c r="P267" s="5">
        <f>SUMIF(SmtRes!AQ102:'SmtRes'!AQ107,"=1",SmtRes!DF102:'SmtRes'!DF107)</f>
        <v>102.52000000000001</v>
      </c>
      <c r="Q267" s="5">
        <f>SUMIF(SmtRes!AQ102:'SmtRes'!AQ107,"=1",SmtRes!DG102:'SmtRes'!DG107)</f>
        <v>156.94999999999999</v>
      </c>
      <c r="R267" s="5">
        <f>SUMIF(SmtRes!AQ102:'SmtRes'!AQ107,"=1",SmtRes!DH102:'SmtRes'!DH107)</f>
        <v>95.31</v>
      </c>
      <c r="S267" s="5">
        <f>SUMIF(SmtRes!AQ102:'SmtRes'!AQ107,"=1",SmtRes!DI102:'SmtRes'!DI107)</f>
        <v>2342.7800000000002</v>
      </c>
      <c r="T267" s="5">
        <f t="shared" si="116"/>
        <v>0</v>
      </c>
      <c r="U267" s="5">
        <f>SUMIF(SmtRes!AQ102:'SmtRes'!AQ107,"=1",SmtRes!CV102:'SmtRes'!CV107)</f>
        <v>7.4985749999999998</v>
      </c>
      <c r="V267" s="5">
        <f>SUMIF(SmtRes!AQ102:'SmtRes'!AQ107,"=1",SmtRes!CW102:'SmtRes'!CW107)</f>
        <v>0.28846130000000003</v>
      </c>
      <c r="W267" s="5">
        <f t="shared" si="117"/>
        <v>0</v>
      </c>
      <c r="X267" s="5">
        <f t="shared" si="118"/>
        <v>2369.8200000000002</v>
      </c>
      <c r="Y267" s="5">
        <f t="shared" si="118"/>
        <v>1139.81</v>
      </c>
      <c r="Z267" s="5"/>
      <c r="AA267" s="5">
        <v>74852007</v>
      </c>
      <c r="AB267" s="5">
        <f t="shared" si="119"/>
        <v>45247.1</v>
      </c>
      <c r="AC267" s="5">
        <f>ROUND((SUM(SmtRes!BQ102:'SmtRes'!BQ107)),2)</f>
        <v>1171.1500000000001</v>
      </c>
      <c r="AD267" s="5">
        <f>ROUND((((SUM(SmtRes!BR102:'SmtRes'!BR107))-(SUM(SmtRes!BS102:'SmtRes'!BS107)))+AE267),2)</f>
        <v>2757.08</v>
      </c>
      <c r="AE267" s="5">
        <f>ROUND((SUM(SmtRes!BS102:'SmtRes'!BS107)),2)</f>
        <v>1680.94</v>
      </c>
      <c r="AF267" s="5">
        <f>ROUND((SUM(SmtRes!BT102:'SmtRes'!BT107)),2)</f>
        <v>41318.870000000003</v>
      </c>
      <c r="AG267" s="5">
        <f t="shared" si="120"/>
        <v>0</v>
      </c>
      <c r="AH267" s="5">
        <f>(SUM(SmtRes!BU102:'SmtRes'!BU107))</f>
        <v>132.25</v>
      </c>
      <c r="AI267" s="5">
        <f>(SUM(SmtRes!BV102:'SmtRes'!BV107))</f>
        <v>5.0874999999999995</v>
      </c>
      <c r="AJ267" s="5">
        <f t="shared" si="121"/>
        <v>0</v>
      </c>
      <c r="AK267" s="5">
        <v>40651.016320000002</v>
      </c>
      <c r="AL267" s="5">
        <v>1171.1452199999999</v>
      </c>
      <c r="AM267" s="5">
        <v>2205.6668</v>
      </c>
      <c r="AN267" s="5">
        <v>1344.7543000000001</v>
      </c>
      <c r="AO267" s="5">
        <v>35929.450000000004</v>
      </c>
      <c r="AP267" s="5">
        <v>0</v>
      </c>
      <c r="AQ267" s="5">
        <v>115</v>
      </c>
      <c r="AR267" s="5">
        <v>4.07</v>
      </c>
      <c r="AS267" s="5">
        <v>0</v>
      </c>
      <c r="AT267" s="5">
        <v>97.2</v>
      </c>
      <c r="AU267" s="5">
        <v>46.75</v>
      </c>
      <c r="AV267" s="5">
        <v>1</v>
      </c>
      <c r="AW267" s="5">
        <v>1</v>
      </c>
      <c r="AX267" s="5"/>
      <c r="AY267" s="5"/>
      <c r="AZ267" s="5">
        <v>1</v>
      </c>
      <c r="BA267" s="5">
        <v>1</v>
      </c>
      <c r="BB267" s="5">
        <v>1</v>
      </c>
      <c r="BC267" s="5">
        <v>1</v>
      </c>
      <c r="BD267" s="5" t="s">
        <v>6</v>
      </c>
      <c r="BE267" s="5" t="s">
        <v>6</v>
      </c>
      <c r="BF267" s="5" t="s">
        <v>6</v>
      </c>
      <c r="BG267" s="5" t="s">
        <v>6</v>
      </c>
      <c r="BH267" s="5">
        <v>0</v>
      </c>
      <c r="BI267" s="5">
        <v>1</v>
      </c>
      <c r="BJ267" s="5" t="s">
        <v>267</v>
      </c>
      <c r="BK267" s="5"/>
      <c r="BL267" s="5"/>
      <c r="BM267" s="5">
        <v>10001</v>
      </c>
      <c r="BN267" s="5">
        <v>66927928</v>
      </c>
      <c r="BO267" s="5" t="s">
        <v>6</v>
      </c>
      <c r="BP267" s="5">
        <v>0</v>
      </c>
      <c r="BQ267" s="5">
        <v>2</v>
      </c>
      <c r="BR267" s="5">
        <v>0</v>
      </c>
      <c r="BS267" s="5">
        <v>1</v>
      </c>
      <c r="BT267" s="5">
        <v>1</v>
      </c>
      <c r="BU267" s="5">
        <v>1</v>
      </c>
      <c r="BV267" s="5">
        <v>1</v>
      </c>
      <c r="BW267" s="5">
        <v>1</v>
      </c>
      <c r="BX267" s="5">
        <v>1</v>
      </c>
      <c r="BY267" s="5" t="s">
        <v>6</v>
      </c>
      <c r="BZ267" s="5">
        <v>108</v>
      </c>
      <c r="CA267" s="5">
        <v>55</v>
      </c>
      <c r="CB267" s="5" t="s">
        <v>6</v>
      </c>
      <c r="CC267" s="5"/>
      <c r="CD267" s="5"/>
      <c r="CE267" s="5">
        <v>0</v>
      </c>
      <c r="CF267" s="5">
        <v>0</v>
      </c>
      <c r="CG267" s="5">
        <v>0</v>
      </c>
      <c r="CH267" s="5"/>
      <c r="CI267" s="5"/>
      <c r="CJ267" s="5"/>
      <c r="CK267" s="5"/>
      <c r="CL267" s="5"/>
      <c r="CM267" s="5">
        <v>0</v>
      </c>
      <c r="CN267" s="5" t="s">
        <v>115</v>
      </c>
      <c r="CO267" s="5">
        <v>0</v>
      </c>
      <c r="CP267" s="5">
        <f t="shared" si="122"/>
        <v>2697.56</v>
      </c>
      <c r="CQ267" s="5">
        <f>SUMIF(SmtRes!AQ102:'SmtRes'!AQ107,"=1",SmtRes!AA102:'SmtRes'!AA107)</f>
        <v>101219.76</v>
      </c>
      <c r="CR267" s="5">
        <f>SUMIF(SmtRes!AQ102:'SmtRes'!AQ107,"=1",SmtRes!AB102:'SmtRes'!AB107)</f>
        <v>666.23</v>
      </c>
      <c r="CS267" s="5">
        <f>SUMIF(SmtRes!AQ102:'SmtRes'!AQ107,"=1",SmtRes!AC102:'SmtRes'!AC107)</f>
        <v>632.35</v>
      </c>
      <c r="CT267" s="5">
        <f>SUMIF(SmtRes!AQ102:'SmtRes'!AQ107,"=1",SmtRes!AD102:'SmtRes'!AD107)</f>
        <v>312.43</v>
      </c>
      <c r="CU267" s="5">
        <f t="shared" si="123"/>
        <v>0</v>
      </c>
      <c r="CV267" s="5">
        <f>SUMIF(SmtRes!AQ102:'SmtRes'!AQ107,"=1",SmtRes!BU102:'SmtRes'!BU107)</f>
        <v>132.25</v>
      </c>
      <c r="CW267" s="5">
        <f>SUMIF(SmtRes!AQ102:'SmtRes'!AQ107,"=1",SmtRes!BV102:'SmtRes'!BV107)</f>
        <v>5.0874999999999995</v>
      </c>
      <c r="CX267" s="5">
        <f t="shared" si="124"/>
        <v>0</v>
      </c>
      <c r="CY267" s="5">
        <f>(((S267+R267)*AT267)/100)</f>
        <v>2369.8234800000005</v>
      </c>
      <c r="CZ267" s="5">
        <f>(((S267+R267)*AU267)/100)</f>
        <v>1139.8070749999999</v>
      </c>
      <c r="DA267" s="5"/>
      <c r="DB267" s="5"/>
      <c r="DC267" s="5" t="s">
        <v>6</v>
      </c>
      <c r="DD267" s="5" t="s">
        <v>6</v>
      </c>
      <c r="DE267" s="5" t="s">
        <v>116</v>
      </c>
      <c r="DF267" s="5" t="s">
        <v>116</v>
      </c>
      <c r="DG267" s="5" t="s">
        <v>117</v>
      </c>
      <c r="DH267" s="5" t="s">
        <v>6</v>
      </c>
      <c r="DI267" s="5" t="s">
        <v>117</v>
      </c>
      <c r="DJ267" s="5" t="s">
        <v>116</v>
      </c>
      <c r="DK267" s="5" t="s">
        <v>6</v>
      </c>
      <c r="DL267" s="5" t="s">
        <v>118</v>
      </c>
      <c r="DM267" s="5" t="s">
        <v>119</v>
      </c>
      <c r="DN267" s="5">
        <v>0</v>
      </c>
      <c r="DO267" s="5">
        <v>0</v>
      </c>
      <c r="DP267" s="5">
        <v>1</v>
      </c>
      <c r="DQ267" s="5">
        <v>1</v>
      </c>
      <c r="DR267" s="5"/>
      <c r="DS267" s="5"/>
      <c r="DT267" s="5"/>
      <c r="DU267" s="5">
        <v>1005</v>
      </c>
      <c r="DV267" s="5" t="s">
        <v>90</v>
      </c>
      <c r="DW267" s="5" t="s">
        <v>90</v>
      </c>
      <c r="DX267" s="5">
        <v>100</v>
      </c>
      <c r="DY267" s="5"/>
      <c r="DZ267" s="5" t="s">
        <v>6</v>
      </c>
      <c r="EA267" s="5" t="s">
        <v>6</v>
      </c>
      <c r="EB267" s="5" t="s">
        <v>6</v>
      </c>
      <c r="EC267" s="5" t="s">
        <v>6</v>
      </c>
      <c r="ED267" s="5"/>
      <c r="EE267" s="5">
        <v>67841893</v>
      </c>
      <c r="EF267" s="5">
        <v>2</v>
      </c>
      <c r="EG267" s="5" t="s">
        <v>18</v>
      </c>
      <c r="EH267" s="5">
        <v>10</v>
      </c>
      <c r="EI267" s="5" t="s">
        <v>198</v>
      </c>
      <c r="EJ267" s="5">
        <v>1</v>
      </c>
      <c r="EK267" s="5">
        <v>10001</v>
      </c>
      <c r="EL267" s="5" t="s">
        <v>198</v>
      </c>
      <c r="EM267" s="5" t="s">
        <v>199</v>
      </c>
      <c r="EN267" s="5"/>
      <c r="EO267" s="5" t="s">
        <v>121</v>
      </c>
      <c r="EP267" s="5"/>
      <c r="EQ267" s="5">
        <v>0</v>
      </c>
      <c r="ER267" s="5">
        <v>0</v>
      </c>
      <c r="ES267" s="5">
        <v>0</v>
      </c>
      <c r="ET267" s="5">
        <v>0</v>
      </c>
      <c r="EU267" s="5">
        <v>0</v>
      </c>
      <c r="EV267" s="5">
        <v>0</v>
      </c>
      <c r="EW267" s="5">
        <v>115</v>
      </c>
      <c r="EX267" s="5">
        <v>4.07</v>
      </c>
      <c r="EY267" s="5">
        <v>0</v>
      </c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>
        <v>0</v>
      </c>
      <c r="FR267" s="5">
        <v>0</v>
      </c>
      <c r="FS267" s="5">
        <v>0</v>
      </c>
      <c r="FT267" s="5"/>
      <c r="FU267" s="5"/>
      <c r="FV267" s="5"/>
      <c r="FW267" s="5"/>
      <c r="FX267" s="5">
        <v>97.2</v>
      </c>
      <c r="FY267" s="5">
        <v>46.75</v>
      </c>
      <c r="FZ267" s="5"/>
      <c r="GA267" s="5" t="s">
        <v>6</v>
      </c>
      <c r="GB267" s="5"/>
      <c r="GC267" s="5"/>
      <c r="GD267" s="5">
        <v>1</v>
      </c>
      <c r="GE267" s="5"/>
      <c r="GF267" s="5">
        <v>180956960</v>
      </c>
      <c r="GG267" s="5">
        <v>2</v>
      </c>
      <c r="GH267" s="5">
        <v>1</v>
      </c>
      <c r="GI267" s="5">
        <v>-2</v>
      </c>
      <c r="GJ267" s="5">
        <v>0</v>
      </c>
      <c r="GK267" s="5">
        <v>0</v>
      </c>
      <c r="GL267" s="5">
        <f t="shared" si="125"/>
        <v>0</v>
      </c>
      <c r="GM267" s="5">
        <f t="shared" si="126"/>
        <v>6207.19</v>
      </c>
      <c r="GN267" s="5">
        <f t="shared" si="127"/>
        <v>6207.19</v>
      </c>
      <c r="GO267" s="5">
        <f t="shared" si="128"/>
        <v>0</v>
      </c>
      <c r="GP267" s="5">
        <f t="shared" si="129"/>
        <v>0</v>
      </c>
      <c r="GQ267" s="5"/>
      <c r="GR267" s="5">
        <v>0</v>
      </c>
      <c r="GS267" s="5">
        <v>3</v>
      </c>
      <c r="GT267" s="5">
        <v>0</v>
      </c>
      <c r="GU267" s="5" t="s">
        <v>6</v>
      </c>
      <c r="GV267" s="5">
        <f t="shared" si="130"/>
        <v>0</v>
      </c>
      <c r="GW267" s="5">
        <v>1</v>
      </c>
      <c r="GX267" s="5">
        <f t="shared" si="131"/>
        <v>0</v>
      </c>
      <c r="GY267" s="5"/>
      <c r="GZ267" s="5"/>
      <c r="HA267" s="5">
        <v>0</v>
      </c>
      <c r="HB267" s="5">
        <v>0</v>
      </c>
      <c r="HC267" s="5">
        <f t="shared" si="132"/>
        <v>0</v>
      </c>
      <c r="HD267" s="5"/>
      <c r="HE267" s="5" t="s">
        <v>6</v>
      </c>
      <c r="HF267" s="5" t="s">
        <v>6</v>
      </c>
      <c r="HG267" s="5"/>
      <c r="HH267" s="5"/>
      <c r="HI267" s="5"/>
      <c r="HJ267" s="5"/>
      <c r="HK267" s="5"/>
      <c r="HL267" s="5"/>
      <c r="HM267" s="5" t="s">
        <v>6</v>
      </c>
      <c r="HN267" s="5" t="s">
        <v>200</v>
      </c>
      <c r="HO267" s="5" t="s">
        <v>201</v>
      </c>
      <c r="HP267" s="5" t="s">
        <v>198</v>
      </c>
      <c r="HQ267" s="5" t="s">
        <v>198</v>
      </c>
      <c r="HR267" s="5"/>
      <c r="HS267" s="5">
        <v>0</v>
      </c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>
        <v>0</v>
      </c>
      <c r="IL267" s="5"/>
      <c r="IM267" s="5"/>
      <c r="IN267" s="5"/>
      <c r="IO267" s="5"/>
      <c r="IP267" s="5"/>
      <c r="IQ267" s="5"/>
      <c r="IR267" s="5"/>
      <c r="IS267" s="5"/>
      <c r="IT267" s="5"/>
      <c r="IU267" s="5"/>
    </row>
    <row r="268" spans="1:255" x14ac:dyDescent="0.2">
      <c r="A268" s="5">
        <v>17</v>
      </c>
      <c r="B268" s="5">
        <v>1</v>
      </c>
      <c r="C268" s="5"/>
      <c r="D268" s="5"/>
      <c r="E268" s="5" t="s">
        <v>268</v>
      </c>
      <c r="F268" s="5" t="s">
        <v>269</v>
      </c>
      <c r="G268" s="5" t="s">
        <v>270</v>
      </c>
      <c r="H268" s="5" t="s">
        <v>145</v>
      </c>
      <c r="I268" s="5">
        <v>5.67</v>
      </c>
      <c r="J268" s="5">
        <v>0</v>
      </c>
      <c r="K268" s="5">
        <v>5.67</v>
      </c>
      <c r="L268" s="5"/>
      <c r="M268" s="5"/>
      <c r="N268" s="5"/>
      <c r="O268" s="5">
        <f t="shared" si="115"/>
        <v>76144.47</v>
      </c>
      <c r="P268" s="5">
        <f>ROUND(CQ268*I268,2)</f>
        <v>76144.47</v>
      </c>
      <c r="Q268" s="5">
        <f>ROUND(CR268*I268,2)</f>
        <v>0</v>
      </c>
      <c r="R268" s="5">
        <f>ROUND(CS268*I268,2)</f>
        <v>0</v>
      </c>
      <c r="S268" s="5">
        <f>ROUND(CT268*I268,2)</f>
        <v>0</v>
      </c>
      <c r="T268" s="5">
        <f t="shared" si="116"/>
        <v>0</v>
      </c>
      <c r="U268" s="5">
        <f>ROUND(CV268*I268,7)</f>
        <v>0</v>
      </c>
      <c r="V268" s="5">
        <f>ROUND(CW268*I268,7)</f>
        <v>0</v>
      </c>
      <c r="W268" s="5">
        <f t="shared" si="117"/>
        <v>0</v>
      </c>
      <c r="X268" s="5">
        <f t="shared" si="118"/>
        <v>0</v>
      </c>
      <c r="Y268" s="5">
        <f t="shared" si="118"/>
        <v>0</v>
      </c>
      <c r="Z268" s="5"/>
      <c r="AA268" s="5">
        <v>74852007</v>
      </c>
      <c r="AB268" s="5">
        <f t="shared" si="119"/>
        <v>6958.22</v>
      </c>
      <c r="AC268" s="5">
        <f>ROUND((ES268),2)</f>
        <v>6958.22</v>
      </c>
      <c r="AD268" s="5">
        <f>ROUND((((ET268)-(EU268))+AE268),2)</f>
        <v>0</v>
      </c>
      <c r="AE268" s="5">
        <f t="shared" ref="AE268:AF271" si="133">ROUND((EU268),2)</f>
        <v>0</v>
      </c>
      <c r="AF268" s="5">
        <f t="shared" si="133"/>
        <v>0</v>
      </c>
      <c r="AG268" s="5">
        <f t="shared" si="120"/>
        <v>0</v>
      </c>
      <c r="AH268" s="5">
        <f t="shared" ref="AH268:AI271" si="134">(EW268)</f>
        <v>0</v>
      </c>
      <c r="AI268" s="5">
        <f t="shared" si="134"/>
        <v>0</v>
      </c>
      <c r="AJ268" s="5">
        <f t="shared" si="121"/>
        <v>0</v>
      </c>
      <c r="AK268" s="5">
        <v>6958.22</v>
      </c>
      <c r="AL268" s="5">
        <v>6958.22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1</v>
      </c>
      <c r="AW268" s="5">
        <v>1</v>
      </c>
      <c r="AX268" s="5"/>
      <c r="AY268" s="5"/>
      <c r="AZ268" s="5">
        <v>1</v>
      </c>
      <c r="BA268" s="5">
        <v>1</v>
      </c>
      <c r="BB268" s="5">
        <v>1</v>
      </c>
      <c r="BC268" s="5">
        <v>1.93</v>
      </c>
      <c r="BD268" s="5" t="s">
        <v>6</v>
      </c>
      <c r="BE268" s="5" t="s">
        <v>6</v>
      </c>
      <c r="BF268" s="5" t="s">
        <v>6</v>
      </c>
      <c r="BG268" s="5" t="s">
        <v>6</v>
      </c>
      <c r="BH268" s="5">
        <v>3</v>
      </c>
      <c r="BI268" s="5">
        <v>1</v>
      </c>
      <c r="BJ268" s="5" t="s">
        <v>271</v>
      </c>
      <c r="BK268" s="5"/>
      <c r="BL268" s="5"/>
      <c r="BM268" s="5">
        <v>500001</v>
      </c>
      <c r="BN268" s="5">
        <v>66927928</v>
      </c>
      <c r="BO268" s="5" t="s">
        <v>269</v>
      </c>
      <c r="BP268" s="5">
        <v>1</v>
      </c>
      <c r="BQ268" s="5">
        <v>8</v>
      </c>
      <c r="BR268" s="5">
        <v>0</v>
      </c>
      <c r="BS268" s="5">
        <v>1</v>
      </c>
      <c r="BT268" s="5">
        <v>1</v>
      </c>
      <c r="BU268" s="5">
        <v>1</v>
      </c>
      <c r="BV268" s="5">
        <v>1</v>
      </c>
      <c r="BW268" s="5">
        <v>1</v>
      </c>
      <c r="BX268" s="5">
        <v>1</v>
      </c>
      <c r="BY268" s="5" t="s">
        <v>6</v>
      </c>
      <c r="BZ268" s="5">
        <v>0</v>
      </c>
      <c r="CA268" s="5">
        <v>0</v>
      </c>
      <c r="CB268" s="5" t="s">
        <v>6</v>
      </c>
      <c r="CC268" s="5"/>
      <c r="CD268" s="5"/>
      <c r="CE268" s="5">
        <v>0</v>
      </c>
      <c r="CF268" s="5">
        <v>0</v>
      </c>
      <c r="CG268" s="5">
        <v>0</v>
      </c>
      <c r="CH268" s="5"/>
      <c r="CI268" s="5"/>
      <c r="CJ268" s="5"/>
      <c r="CK268" s="5"/>
      <c r="CL268" s="5"/>
      <c r="CM268" s="5">
        <v>0</v>
      </c>
      <c r="CN268" s="5" t="s">
        <v>6</v>
      </c>
      <c r="CO268" s="5">
        <v>0</v>
      </c>
      <c r="CP268" s="5">
        <f t="shared" si="122"/>
        <v>76144.47</v>
      </c>
      <c r="CQ268" s="5">
        <f>ROUND(AL268*BC268,2)</f>
        <v>13429.36</v>
      </c>
      <c r="CR268" s="5">
        <f>ROUND(AM268*BB268,2)</f>
        <v>0</v>
      </c>
      <c r="CS268" s="5">
        <f>ROUND(AN268*BS268,2)</f>
        <v>0</v>
      </c>
      <c r="CT268" s="5">
        <f>ROUND(AO268*BA268,2)</f>
        <v>0</v>
      </c>
      <c r="CU268" s="5">
        <f t="shared" si="123"/>
        <v>0</v>
      </c>
      <c r="CV268" s="5">
        <f t="shared" ref="CV268:CW271" si="135">AH268</f>
        <v>0</v>
      </c>
      <c r="CW268" s="5">
        <f t="shared" si="135"/>
        <v>0</v>
      </c>
      <c r="CX268" s="5">
        <f t="shared" si="124"/>
        <v>0</v>
      </c>
      <c r="CY268" s="5">
        <f>0</f>
        <v>0</v>
      </c>
      <c r="CZ268" s="5">
        <f>0</f>
        <v>0</v>
      </c>
      <c r="DA268" s="5"/>
      <c r="DB268" s="5"/>
      <c r="DC268" s="5" t="s">
        <v>6</v>
      </c>
      <c r="DD268" s="5" t="s">
        <v>6</v>
      </c>
      <c r="DE268" s="5" t="s">
        <v>6</v>
      </c>
      <c r="DF268" s="5" t="s">
        <v>6</v>
      </c>
      <c r="DG268" s="5" t="s">
        <v>6</v>
      </c>
      <c r="DH268" s="5" t="s">
        <v>6</v>
      </c>
      <c r="DI268" s="5" t="s">
        <v>6</v>
      </c>
      <c r="DJ268" s="5" t="s">
        <v>6</v>
      </c>
      <c r="DK268" s="5" t="s">
        <v>6</v>
      </c>
      <c r="DL268" s="5" t="s">
        <v>6</v>
      </c>
      <c r="DM268" s="5" t="s">
        <v>6</v>
      </c>
      <c r="DN268" s="5">
        <v>0</v>
      </c>
      <c r="DO268" s="5">
        <v>0</v>
      </c>
      <c r="DP268" s="5">
        <v>1</v>
      </c>
      <c r="DQ268" s="5">
        <v>1</v>
      </c>
      <c r="DR268" s="5"/>
      <c r="DS268" s="5"/>
      <c r="DT268" s="5"/>
      <c r="DU268" s="5">
        <v>1005</v>
      </c>
      <c r="DV268" s="5" t="s">
        <v>145</v>
      </c>
      <c r="DW268" s="5" t="s">
        <v>145</v>
      </c>
      <c r="DX268" s="5">
        <v>1</v>
      </c>
      <c r="DY268" s="5"/>
      <c r="DZ268" s="5" t="s">
        <v>6</v>
      </c>
      <c r="EA268" s="5" t="s">
        <v>6</v>
      </c>
      <c r="EB268" s="5" t="s">
        <v>6</v>
      </c>
      <c r="EC268" s="5" t="s">
        <v>6</v>
      </c>
      <c r="ED268" s="5"/>
      <c r="EE268" s="5">
        <v>67841826</v>
      </c>
      <c r="EF268" s="5">
        <v>8</v>
      </c>
      <c r="EG268" s="5" t="s">
        <v>136</v>
      </c>
      <c r="EH268" s="5">
        <v>0</v>
      </c>
      <c r="EI268" s="5" t="s">
        <v>6</v>
      </c>
      <c r="EJ268" s="5">
        <v>1</v>
      </c>
      <c r="EK268" s="5">
        <v>500001</v>
      </c>
      <c r="EL268" s="5" t="s">
        <v>137</v>
      </c>
      <c r="EM268" s="5" t="s">
        <v>138</v>
      </c>
      <c r="EN268" s="5"/>
      <c r="EO268" s="5" t="s">
        <v>6</v>
      </c>
      <c r="EP268" s="5"/>
      <c r="EQ268" s="5">
        <v>0</v>
      </c>
      <c r="ER268" s="5">
        <v>6958.22</v>
      </c>
      <c r="ES268" s="5">
        <v>6958.22</v>
      </c>
      <c r="ET268" s="5">
        <v>0</v>
      </c>
      <c r="EU268" s="5">
        <v>0</v>
      </c>
      <c r="EV268" s="5">
        <v>0</v>
      </c>
      <c r="EW268" s="5">
        <v>0</v>
      </c>
      <c r="EX268" s="5">
        <v>0</v>
      </c>
      <c r="EY268" s="5">
        <v>0</v>
      </c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>
        <v>0</v>
      </c>
      <c r="FR268" s="5">
        <v>0</v>
      </c>
      <c r="FS268" s="5">
        <v>0</v>
      </c>
      <c r="FT268" s="5"/>
      <c r="FU268" s="5"/>
      <c r="FV268" s="5"/>
      <c r="FW268" s="5"/>
      <c r="FX268" s="5">
        <v>0</v>
      </c>
      <c r="FY268" s="5">
        <v>0</v>
      </c>
      <c r="FZ268" s="5"/>
      <c r="GA268" s="5" t="s">
        <v>6</v>
      </c>
      <c r="GB268" s="5"/>
      <c r="GC268" s="5"/>
      <c r="GD268" s="5">
        <v>1</v>
      </c>
      <c r="GE268" s="5"/>
      <c r="GF268" s="5">
        <v>623609026</v>
      </c>
      <c r="GG268" s="5">
        <v>2</v>
      </c>
      <c r="GH268" s="5">
        <v>1</v>
      </c>
      <c r="GI268" s="5">
        <v>2</v>
      </c>
      <c r="GJ268" s="5">
        <v>0</v>
      </c>
      <c r="GK268" s="5">
        <v>0</v>
      </c>
      <c r="GL268" s="5">
        <f t="shared" si="125"/>
        <v>0</v>
      </c>
      <c r="GM268" s="5">
        <f t="shared" si="126"/>
        <v>76144.47</v>
      </c>
      <c r="GN268" s="5">
        <f t="shared" si="127"/>
        <v>76144.47</v>
      </c>
      <c r="GO268" s="5">
        <f t="shared" si="128"/>
        <v>0</v>
      </c>
      <c r="GP268" s="5">
        <f t="shared" si="129"/>
        <v>0</v>
      </c>
      <c r="GQ268" s="5"/>
      <c r="GR268" s="5">
        <v>0</v>
      </c>
      <c r="GS268" s="5">
        <v>3</v>
      </c>
      <c r="GT268" s="5">
        <v>0</v>
      </c>
      <c r="GU268" s="5" t="s">
        <v>6</v>
      </c>
      <c r="GV268" s="5">
        <f t="shared" si="130"/>
        <v>0</v>
      </c>
      <c r="GW268" s="5">
        <v>1</v>
      </c>
      <c r="GX268" s="5">
        <f t="shared" si="131"/>
        <v>0</v>
      </c>
      <c r="GY268" s="5"/>
      <c r="GZ268" s="5"/>
      <c r="HA268" s="5">
        <v>0</v>
      </c>
      <c r="HB268" s="5">
        <v>0</v>
      </c>
      <c r="HC268" s="5">
        <f t="shared" si="132"/>
        <v>0</v>
      </c>
      <c r="HD268" s="5"/>
      <c r="HE268" s="5" t="s">
        <v>6</v>
      </c>
      <c r="HF268" s="5" t="s">
        <v>6</v>
      </c>
      <c r="HG268" s="5"/>
      <c r="HH268" s="5"/>
      <c r="HI268" s="5"/>
      <c r="HJ268" s="5"/>
      <c r="HK268" s="5"/>
      <c r="HL268" s="5"/>
      <c r="HM268" s="5" t="s">
        <v>6</v>
      </c>
      <c r="HN268" s="5" t="s">
        <v>6</v>
      </c>
      <c r="HO268" s="5" t="s">
        <v>6</v>
      </c>
      <c r="HP268" s="5" t="s">
        <v>6</v>
      </c>
      <c r="HQ268" s="5" t="s">
        <v>6</v>
      </c>
      <c r="HR268" s="5"/>
      <c r="HS268" s="5">
        <v>0</v>
      </c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>
        <v>0</v>
      </c>
      <c r="IL268" s="5"/>
      <c r="IM268" s="5"/>
      <c r="IN268" s="5"/>
      <c r="IO268" s="5"/>
      <c r="IP268" s="5"/>
      <c r="IQ268" s="5"/>
      <c r="IR268" s="5"/>
      <c r="IS268" s="5"/>
      <c r="IT268" s="5"/>
      <c r="IU268" s="5"/>
    </row>
    <row r="269" spans="1:255" x14ac:dyDescent="0.2">
      <c r="A269" s="5">
        <v>17</v>
      </c>
      <c r="B269" s="5">
        <v>1</v>
      </c>
      <c r="C269" s="5"/>
      <c r="D269" s="5"/>
      <c r="E269" s="5" t="s">
        <v>272</v>
      </c>
      <c r="F269" s="5" t="s">
        <v>273</v>
      </c>
      <c r="G269" s="5" t="s">
        <v>274</v>
      </c>
      <c r="H269" s="5" t="s">
        <v>166</v>
      </c>
      <c r="I269" s="5">
        <v>6</v>
      </c>
      <c r="J269" s="5">
        <v>0</v>
      </c>
      <c r="K269" s="5">
        <v>6</v>
      </c>
      <c r="L269" s="5"/>
      <c r="M269" s="5"/>
      <c r="N269" s="5"/>
      <c r="O269" s="5">
        <f t="shared" si="115"/>
        <v>613.02</v>
      </c>
      <c r="P269" s="5">
        <f>ROUND(CQ269*I269,2)</f>
        <v>613.02</v>
      </c>
      <c r="Q269" s="5">
        <f>ROUND(CR269*I269,2)</f>
        <v>0</v>
      </c>
      <c r="R269" s="5">
        <f>ROUND(CS269*I269,2)</f>
        <v>0</v>
      </c>
      <c r="S269" s="5">
        <f>ROUND(CT269*I269,2)</f>
        <v>0</v>
      </c>
      <c r="T269" s="5">
        <f t="shared" si="116"/>
        <v>0</v>
      </c>
      <c r="U269" s="5">
        <f>ROUND(CV269*I269,7)</f>
        <v>0</v>
      </c>
      <c r="V269" s="5">
        <f>ROUND(CW269*I269,7)</f>
        <v>0</v>
      </c>
      <c r="W269" s="5">
        <f t="shared" si="117"/>
        <v>0</v>
      </c>
      <c r="X269" s="5">
        <f t="shared" si="118"/>
        <v>0</v>
      </c>
      <c r="Y269" s="5">
        <f t="shared" si="118"/>
        <v>0</v>
      </c>
      <c r="Z269" s="5"/>
      <c r="AA269" s="5">
        <v>74852007</v>
      </c>
      <c r="AB269" s="5">
        <f t="shared" si="119"/>
        <v>76.819999999999993</v>
      </c>
      <c r="AC269" s="5">
        <f>ROUND((ES269),2)</f>
        <v>76.819999999999993</v>
      </c>
      <c r="AD269" s="5">
        <f>ROUND((((ET269)-(EU269))+AE269),2)</f>
        <v>0</v>
      </c>
      <c r="AE269" s="5">
        <f t="shared" si="133"/>
        <v>0</v>
      </c>
      <c r="AF269" s="5">
        <f t="shared" si="133"/>
        <v>0</v>
      </c>
      <c r="AG269" s="5">
        <f t="shared" si="120"/>
        <v>0</v>
      </c>
      <c r="AH269" s="5">
        <f t="shared" si="134"/>
        <v>0</v>
      </c>
      <c r="AI269" s="5">
        <f t="shared" si="134"/>
        <v>0</v>
      </c>
      <c r="AJ269" s="5">
        <f t="shared" si="121"/>
        <v>0</v>
      </c>
      <c r="AK269" s="5">
        <v>76.819999999999993</v>
      </c>
      <c r="AL269" s="5">
        <v>76.819999999999993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1</v>
      </c>
      <c r="AW269" s="5">
        <v>1</v>
      </c>
      <c r="AX269" s="5"/>
      <c r="AY269" s="5"/>
      <c r="AZ269" s="5">
        <v>1</v>
      </c>
      <c r="BA269" s="5">
        <v>1</v>
      </c>
      <c r="BB269" s="5">
        <v>1</v>
      </c>
      <c r="BC269" s="5">
        <v>1.33</v>
      </c>
      <c r="BD269" s="5" t="s">
        <v>6</v>
      </c>
      <c r="BE269" s="5" t="s">
        <v>6</v>
      </c>
      <c r="BF269" s="5" t="s">
        <v>6</v>
      </c>
      <c r="BG269" s="5" t="s">
        <v>6</v>
      </c>
      <c r="BH269" s="5">
        <v>3</v>
      </c>
      <c r="BI269" s="5">
        <v>1</v>
      </c>
      <c r="BJ269" s="5" t="s">
        <v>275</v>
      </c>
      <c r="BK269" s="5"/>
      <c r="BL269" s="5"/>
      <c r="BM269" s="5">
        <v>500001</v>
      </c>
      <c r="BN269" s="5">
        <v>66927928</v>
      </c>
      <c r="BO269" s="5" t="s">
        <v>273</v>
      </c>
      <c r="BP269" s="5">
        <v>1</v>
      </c>
      <c r="BQ269" s="5">
        <v>8</v>
      </c>
      <c r="BR269" s="5">
        <v>0</v>
      </c>
      <c r="BS269" s="5">
        <v>1</v>
      </c>
      <c r="BT269" s="5">
        <v>1</v>
      </c>
      <c r="BU269" s="5">
        <v>1</v>
      </c>
      <c r="BV269" s="5">
        <v>1</v>
      </c>
      <c r="BW269" s="5">
        <v>1</v>
      </c>
      <c r="BX269" s="5">
        <v>1</v>
      </c>
      <c r="BY269" s="5" t="s">
        <v>6</v>
      </c>
      <c r="BZ269" s="5">
        <v>0</v>
      </c>
      <c r="CA269" s="5">
        <v>0</v>
      </c>
      <c r="CB269" s="5" t="s">
        <v>6</v>
      </c>
      <c r="CC269" s="5"/>
      <c r="CD269" s="5"/>
      <c r="CE269" s="5">
        <v>0</v>
      </c>
      <c r="CF269" s="5">
        <v>0</v>
      </c>
      <c r="CG269" s="5">
        <v>0</v>
      </c>
      <c r="CH269" s="5"/>
      <c r="CI269" s="5"/>
      <c r="CJ269" s="5"/>
      <c r="CK269" s="5"/>
      <c r="CL269" s="5"/>
      <c r="CM269" s="5">
        <v>0</v>
      </c>
      <c r="CN269" s="5" t="s">
        <v>6</v>
      </c>
      <c r="CO269" s="5">
        <v>0</v>
      </c>
      <c r="CP269" s="5">
        <f t="shared" si="122"/>
        <v>613.02</v>
      </c>
      <c r="CQ269" s="5">
        <f>ROUND(AL269*BC269,2)</f>
        <v>102.17</v>
      </c>
      <c r="CR269" s="5">
        <f>ROUND(AM269*BB269,2)</f>
        <v>0</v>
      </c>
      <c r="CS269" s="5">
        <f>ROUND(AN269*BS269,2)</f>
        <v>0</v>
      </c>
      <c r="CT269" s="5">
        <f>ROUND(AO269*BA269,2)</f>
        <v>0</v>
      </c>
      <c r="CU269" s="5">
        <f t="shared" si="123"/>
        <v>0</v>
      </c>
      <c r="CV269" s="5">
        <f t="shared" si="135"/>
        <v>0</v>
      </c>
      <c r="CW269" s="5">
        <f t="shared" si="135"/>
        <v>0</v>
      </c>
      <c r="CX269" s="5">
        <f t="shared" si="124"/>
        <v>0</v>
      </c>
      <c r="CY269" s="5">
        <f>0</f>
        <v>0</v>
      </c>
      <c r="CZ269" s="5">
        <f>0</f>
        <v>0</v>
      </c>
      <c r="DA269" s="5"/>
      <c r="DB269" s="5"/>
      <c r="DC269" s="5" t="s">
        <v>6</v>
      </c>
      <c r="DD269" s="5" t="s">
        <v>6</v>
      </c>
      <c r="DE269" s="5" t="s">
        <v>6</v>
      </c>
      <c r="DF269" s="5" t="s">
        <v>6</v>
      </c>
      <c r="DG269" s="5" t="s">
        <v>6</v>
      </c>
      <c r="DH269" s="5" t="s">
        <v>6</v>
      </c>
      <c r="DI269" s="5" t="s">
        <v>6</v>
      </c>
      <c r="DJ269" s="5" t="s">
        <v>6</v>
      </c>
      <c r="DK269" s="5" t="s">
        <v>6</v>
      </c>
      <c r="DL269" s="5" t="s">
        <v>6</v>
      </c>
      <c r="DM269" s="5" t="s">
        <v>6</v>
      </c>
      <c r="DN269" s="5">
        <v>0</v>
      </c>
      <c r="DO269" s="5">
        <v>0</v>
      </c>
      <c r="DP269" s="5">
        <v>1</v>
      </c>
      <c r="DQ269" s="5">
        <v>1</v>
      </c>
      <c r="DR269" s="5"/>
      <c r="DS269" s="5"/>
      <c r="DT269" s="5"/>
      <c r="DU269" s="5">
        <v>1013</v>
      </c>
      <c r="DV269" s="5" t="s">
        <v>166</v>
      </c>
      <c r="DW269" s="5" t="s">
        <v>166</v>
      </c>
      <c r="DX269" s="5">
        <v>1</v>
      </c>
      <c r="DY269" s="5"/>
      <c r="DZ269" s="5" t="s">
        <v>6</v>
      </c>
      <c r="EA269" s="5" t="s">
        <v>6</v>
      </c>
      <c r="EB269" s="5" t="s">
        <v>6</v>
      </c>
      <c r="EC269" s="5" t="s">
        <v>6</v>
      </c>
      <c r="ED269" s="5"/>
      <c r="EE269" s="5">
        <v>67841826</v>
      </c>
      <c r="EF269" s="5">
        <v>8</v>
      </c>
      <c r="EG269" s="5" t="s">
        <v>136</v>
      </c>
      <c r="EH269" s="5">
        <v>0</v>
      </c>
      <c r="EI269" s="5" t="s">
        <v>6</v>
      </c>
      <c r="EJ269" s="5">
        <v>1</v>
      </c>
      <c r="EK269" s="5">
        <v>500001</v>
      </c>
      <c r="EL269" s="5" t="s">
        <v>137</v>
      </c>
      <c r="EM269" s="5" t="s">
        <v>138</v>
      </c>
      <c r="EN269" s="5"/>
      <c r="EO269" s="5" t="s">
        <v>6</v>
      </c>
      <c r="EP269" s="5"/>
      <c r="EQ269" s="5">
        <v>0</v>
      </c>
      <c r="ER269" s="5">
        <v>76.819999999999993</v>
      </c>
      <c r="ES269" s="5">
        <v>76.819999999999993</v>
      </c>
      <c r="ET269" s="5">
        <v>0</v>
      </c>
      <c r="EU269" s="5">
        <v>0</v>
      </c>
      <c r="EV269" s="5">
        <v>0</v>
      </c>
      <c r="EW269" s="5">
        <v>0</v>
      </c>
      <c r="EX269" s="5">
        <v>0</v>
      </c>
      <c r="EY269" s="5">
        <v>0</v>
      </c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>
        <v>0</v>
      </c>
      <c r="FR269" s="5">
        <v>0</v>
      </c>
      <c r="FS269" s="5">
        <v>0</v>
      </c>
      <c r="FT269" s="5"/>
      <c r="FU269" s="5"/>
      <c r="FV269" s="5"/>
      <c r="FW269" s="5"/>
      <c r="FX269" s="5">
        <v>0</v>
      </c>
      <c r="FY269" s="5">
        <v>0</v>
      </c>
      <c r="FZ269" s="5"/>
      <c r="GA269" s="5" t="s">
        <v>6</v>
      </c>
      <c r="GB269" s="5"/>
      <c r="GC269" s="5"/>
      <c r="GD269" s="5">
        <v>1</v>
      </c>
      <c r="GE269" s="5"/>
      <c r="GF269" s="5">
        <v>-1721148766</v>
      </c>
      <c r="GG269" s="5">
        <v>2</v>
      </c>
      <c r="GH269" s="5">
        <v>1</v>
      </c>
      <c r="GI269" s="5">
        <v>2</v>
      </c>
      <c r="GJ269" s="5">
        <v>0</v>
      </c>
      <c r="GK269" s="5">
        <v>0</v>
      </c>
      <c r="GL269" s="5">
        <f t="shared" si="125"/>
        <v>0</v>
      </c>
      <c r="GM269" s="5">
        <f t="shared" si="126"/>
        <v>613.02</v>
      </c>
      <c r="GN269" s="5">
        <f t="shared" si="127"/>
        <v>613.02</v>
      </c>
      <c r="GO269" s="5">
        <f t="shared" si="128"/>
        <v>0</v>
      </c>
      <c r="GP269" s="5">
        <f t="shared" si="129"/>
        <v>0</v>
      </c>
      <c r="GQ269" s="5"/>
      <c r="GR269" s="5">
        <v>0</v>
      </c>
      <c r="GS269" s="5">
        <v>3</v>
      </c>
      <c r="GT269" s="5">
        <v>0</v>
      </c>
      <c r="GU269" s="5" t="s">
        <v>6</v>
      </c>
      <c r="GV269" s="5">
        <f t="shared" si="130"/>
        <v>0</v>
      </c>
      <c r="GW269" s="5">
        <v>1</v>
      </c>
      <c r="GX269" s="5">
        <f t="shared" si="131"/>
        <v>0</v>
      </c>
      <c r="GY269" s="5"/>
      <c r="GZ269" s="5"/>
      <c r="HA269" s="5">
        <v>0</v>
      </c>
      <c r="HB269" s="5">
        <v>0</v>
      </c>
      <c r="HC269" s="5">
        <f t="shared" si="132"/>
        <v>0</v>
      </c>
      <c r="HD269" s="5"/>
      <c r="HE269" s="5" t="s">
        <v>6</v>
      </c>
      <c r="HF269" s="5" t="s">
        <v>6</v>
      </c>
      <c r="HG269" s="5"/>
      <c r="HH269" s="5"/>
      <c r="HI269" s="5"/>
      <c r="HJ269" s="5"/>
      <c r="HK269" s="5"/>
      <c r="HL269" s="5"/>
      <c r="HM269" s="5" t="s">
        <v>6</v>
      </c>
      <c r="HN269" s="5" t="s">
        <v>6</v>
      </c>
      <c r="HO269" s="5" t="s">
        <v>6</v>
      </c>
      <c r="HP269" s="5" t="s">
        <v>6</v>
      </c>
      <c r="HQ269" s="5" t="s">
        <v>6</v>
      </c>
      <c r="HR269" s="5"/>
      <c r="HS269" s="5">
        <v>0</v>
      </c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>
        <v>0</v>
      </c>
      <c r="IL269" s="5"/>
      <c r="IM269" s="5"/>
      <c r="IN269" s="5"/>
      <c r="IO269" s="5"/>
      <c r="IP269" s="5"/>
      <c r="IQ269" s="5"/>
      <c r="IR269" s="5"/>
      <c r="IS269" s="5"/>
      <c r="IT269" s="5"/>
      <c r="IU269" s="5"/>
    </row>
    <row r="270" spans="1:255" x14ac:dyDescent="0.2">
      <c r="A270" s="5">
        <v>17</v>
      </c>
      <c r="B270" s="5">
        <v>1</v>
      </c>
      <c r="C270" s="5"/>
      <c r="D270" s="5"/>
      <c r="E270" s="5" t="s">
        <v>276</v>
      </c>
      <c r="F270" s="5" t="s">
        <v>277</v>
      </c>
      <c r="G270" s="5" t="s">
        <v>278</v>
      </c>
      <c r="H270" s="5" t="s">
        <v>166</v>
      </c>
      <c r="I270" s="5">
        <f>ROUND(2,7)</f>
        <v>2</v>
      </c>
      <c r="J270" s="5">
        <v>0</v>
      </c>
      <c r="K270" s="5">
        <f>ROUND(2,7)</f>
        <v>2</v>
      </c>
      <c r="L270" s="5"/>
      <c r="M270" s="5"/>
      <c r="N270" s="5"/>
      <c r="O270" s="5">
        <f t="shared" si="115"/>
        <v>839.14</v>
      </c>
      <c r="P270" s="5">
        <f>ROUND(CQ270*I270,2)</f>
        <v>839.14</v>
      </c>
      <c r="Q270" s="5">
        <f>ROUND(CR270*I270,2)</f>
        <v>0</v>
      </c>
      <c r="R270" s="5">
        <f>ROUND(CS270*I270,2)</f>
        <v>0</v>
      </c>
      <c r="S270" s="5">
        <f>ROUND(CT270*I270,2)</f>
        <v>0</v>
      </c>
      <c r="T270" s="5">
        <f t="shared" si="116"/>
        <v>0</v>
      </c>
      <c r="U270" s="5">
        <f>ROUND(CV270*I270,7)</f>
        <v>0</v>
      </c>
      <c r="V270" s="5">
        <f>ROUND(CW270*I270,7)</f>
        <v>0</v>
      </c>
      <c r="W270" s="5">
        <f t="shared" si="117"/>
        <v>0</v>
      </c>
      <c r="X270" s="5">
        <f t="shared" si="118"/>
        <v>0</v>
      </c>
      <c r="Y270" s="5">
        <f t="shared" si="118"/>
        <v>0</v>
      </c>
      <c r="Z270" s="5"/>
      <c r="AA270" s="5">
        <v>74852007</v>
      </c>
      <c r="AB270" s="5">
        <f t="shared" si="119"/>
        <v>377.99</v>
      </c>
      <c r="AC270" s="5">
        <f>ROUND((ES270),2)</f>
        <v>377.99</v>
      </c>
      <c r="AD270" s="5">
        <f>ROUND((((ET270)-(EU270))+AE270),2)</f>
        <v>0</v>
      </c>
      <c r="AE270" s="5">
        <f t="shared" si="133"/>
        <v>0</v>
      </c>
      <c r="AF270" s="5">
        <f t="shared" si="133"/>
        <v>0</v>
      </c>
      <c r="AG270" s="5">
        <f t="shared" si="120"/>
        <v>0</v>
      </c>
      <c r="AH270" s="5">
        <f t="shared" si="134"/>
        <v>0</v>
      </c>
      <c r="AI270" s="5">
        <f t="shared" si="134"/>
        <v>0</v>
      </c>
      <c r="AJ270" s="5">
        <f t="shared" si="121"/>
        <v>0</v>
      </c>
      <c r="AK270" s="5">
        <v>377.99</v>
      </c>
      <c r="AL270" s="5">
        <v>377.99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1</v>
      </c>
      <c r="AW270" s="5">
        <v>1</v>
      </c>
      <c r="AX270" s="5"/>
      <c r="AY270" s="5"/>
      <c r="AZ270" s="5">
        <v>1</v>
      </c>
      <c r="BA270" s="5">
        <v>1</v>
      </c>
      <c r="BB270" s="5">
        <v>1</v>
      </c>
      <c r="BC270" s="5">
        <v>1.1100000000000001</v>
      </c>
      <c r="BD270" s="5" t="s">
        <v>6</v>
      </c>
      <c r="BE270" s="5" t="s">
        <v>6</v>
      </c>
      <c r="BF270" s="5" t="s">
        <v>6</v>
      </c>
      <c r="BG270" s="5" t="s">
        <v>6</v>
      </c>
      <c r="BH270" s="5">
        <v>3</v>
      </c>
      <c r="BI270" s="5">
        <v>1</v>
      </c>
      <c r="BJ270" s="5" t="s">
        <v>279</v>
      </c>
      <c r="BK270" s="5"/>
      <c r="BL270" s="5"/>
      <c r="BM270" s="5">
        <v>500001</v>
      </c>
      <c r="BN270" s="5">
        <v>66927928</v>
      </c>
      <c r="BO270" s="5" t="s">
        <v>277</v>
      </c>
      <c r="BP270" s="5">
        <v>1</v>
      </c>
      <c r="BQ270" s="5">
        <v>8</v>
      </c>
      <c r="BR270" s="5">
        <v>0</v>
      </c>
      <c r="BS270" s="5">
        <v>1</v>
      </c>
      <c r="BT270" s="5">
        <v>1</v>
      </c>
      <c r="BU270" s="5">
        <v>1</v>
      </c>
      <c r="BV270" s="5">
        <v>1</v>
      </c>
      <c r="BW270" s="5">
        <v>1</v>
      </c>
      <c r="BX270" s="5">
        <v>1</v>
      </c>
      <c r="BY270" s="5" t="s">
        <v>6</v>
      </c>
      <c r="BZ270" s="5">
        <v>0</v>
      </c>
      <c r="CA270" s="5">
        <v>0</v>
      </c>
      <c r="CB270" s="5" t="s">
        <v>6</v>
      </c>
      <c r="CC270" s="5"/>
      <c r="CD270" s="5"/>
      <c r="CE270" s="5">
        <v>0</v>
      </c>
      <c r="CF270" s="5">
        <v>0</v>
      </c>
      <c r="CG270" s="5">
        <v>0</v>
      </c>
      <c r="CH270" s="5"/>
      <c r="CI270" s="5"/>
      <c r="CJ270" s="5"/>
      <c r="CK270" s="5"/>
      <c r="CL270" s="5"/>
      <c r="CM270" s="5">
        <v>0</v>
      </c>
      <c r="CN270" s="5" t="s">
        <v>6</v>
      </c>
      <c r="CO270" s="5">
        <v>0</v>
      </c>
      <c r="CP270" s="5">
        <f t="shared" si="122"/>
        <v>839.14</v>
      </c>
      <c r="CQ270" s="5">
        <f>ROUND(AL270*BC270,2)</f>
        <v>419.57</v>
      </c>
      <c r="CR270" s="5">
        <f>ROUND(AM270*BB270,2)</f>
        <v>0</v>
      </c>
      <c r="CS270" s="5">
        <f>ROUND(AN270*BS270,2)</f>
        <v>0</v>
      </c>
      <c r="CT270" s="5">
        <f>ROUND(AO270*BA270,2)</f>
        <v>0</v>
      </c>
      <c r="CU270" s="5">
        <f t="shared" si="123"/>
        <v>0</v>
      </c>
      <c r="CV270" s="5">
        <f t="shared" si="135"/>
        <v>0</v>
      </c>
      <c r="CW270" s="5">
        <f t="shared" si="135"/>
        <v>0</v>
      </c>
      <c r="CX270" s="5">
        <f t="shared" si="124"/>
        <v>0</v>
      </c>
      <c r="CY270" s="5">
        <f>0</f>
        <v>0</v>
      </c>
      <c r="CZ270" s="5">
        <f>0</f>
        <v>0</v>
      </c>
      <c r="DA270" s="5"/>
      <c r="DB270" s="5"/>
      <c r="DC270" s="5" t="s">
        <v>6</v>
      </c>
      <c r="DD270" s="5" t="s">
        <v>6</v>
      </c>
      <c r="DE270" s="5" t="s">
        <v>6</v>
      </c>
      <c r="DF270" s="5" t="s">
        <v>6</v>
      </c>
      <c r="DG270" s="5" t="s">
        <v>6</v>
      </c>
      <c r="DH270" s="5" t="s">
        <v>6</v>
      </c>
      <c r="DI270" s="5" t="s">
        <v>6</v>
      </c>
      <c r="DJ270" s="5" t="s">
        <v>6</v>
      </c>
      <c r="DK270" s="5" t="s">
        <v>6</v>
      </c>
      <c r="DL270" s="5" t="s">
        <v>6</v>
      </c>
      <c r="DM270" s="5" t="s">
        <v>6</v>
      </c>
      <c r="DN270" s="5">
        <v>0</v>
      </c>
      <c r="DO270" s="5">
        <v>0</v>
      </c>
      <c r="DP270" s="5">
        <v>1</v>
      </c>
      <c r="DQ270" s="5">
        <v>1</v>
      </c>
      <c r="DR270" s="5"/>
      <c r="DS270" s="5"/>
      <c r="DT270" s="5"/>
      <c r="DU270" s="5">
        <v>1013</v>
      </c>
      <c r="DV270" s="5" t="s">
        <v>166</v>
      </c>
      <c r="DW270" s="5" t="s">
        <v>166</v>
      </c>
      <c r="DX270" s="5">
        <v>1</v>
      </c>
      <c r="DY270" s="5"/>
      <c r="DZ270" s="5" t="s">
        <v>6</v>
      </c>
      <c r="EA270" s="5" t="s">
        <v>6</v>
      </c>
      <c r="EB270" s="5" t="s">
        <v>6</v>
      </c>
      <c r="EC270" s="5" t="s">
        <v>6</v>
      </c>
      <c r="ED270" s="5"/>
      <c r="EE270" s="5">
        <v>67841826</v>
      </c>
      <c r="EF270" s="5">
        <v>8</v>
      </c>
      <c r="EG270" s="5" t="s">
        <v>136</v>
      </c>
      <c r="EH270" s="5">
        <v>0</v>
      </c>
      <c r="EI270" s="5" t="s">
        <v>6</v>
      </c>
      <c r="EJ270" s="5">
        <v>1</v>
      </c>
      <c r="EK270" s="5">
        <v>500001</v>
      </c>
      <c r="EL270" s="5" t="s">
        <v>137</v>
      </c>
      <c r="EM270" s="5" t="s">
        <v>138</v>
      </c>
      <c r="EN270" s="5"/>
      <c r="EO270" s="5" t="s">
        <v>6</v>
      </c>
      <c r="EP270" s="5"/>
      <c r="EQ270" s="5">
        <v>0</v>
      </c>
      <c r="ER270" s="5">
        <v>377.99</v>
      </c>
      <c r="ES270" s="5">
        <v>377.99</v>
      </c>
      <c r="ET270" s="5">
        <v>0</v>
      </c>
      <c r="EU270" s="5">
        <v>0</v>
      </c>
      <c r="EV270" s="5">
        <v>0</v>
      </c>
      <c r="EW270" s="5">
        <v>0</v>
      </c>
      <c r="EX270" s="5">
        <v>0</v>
      </c>
      <c r="EY270" s="5">
        <v>0</v>
      </c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>
        <v>0</v>
      </c>
      <c r="FR270" s="5">
        <v>0</v>
      </c>
      <c r="FS270" s="5">
        <v>0</v>
      </c>
      <c r="FT270" s="5"/>
      <c r="FU270" s="5"/>
      <c r="FV270" s="5"/>
      <c r="FW270" s="5"/>
      <c r="FX270" s="5">
        <v>0</v>
      </c>
      <c r="FY270" s="5">
        <v>0</v>
      </c>
      <c r="FZ270" s="5"/>
      <c r="GA270" s="5" t="s">
        <v>6</v>
      </c>
      <c r="GB270" s="5"/>
      <c r="GC270" s="5"/>
      <c r="GD270" s="5">
        <v>1</v>
      </c>
      <c r="GE270" s="5"/>
      <c r="GF270" s="5">
        <v>-330537899</v>
      </c>
      <c r="GG270" s="5">
        <v>2</v>
      </c>
      <c r="GH270" s="5">
        <v>1</v>
      </c>
      <c r="GI270" s="5">
        <v>2</v>
      </c>
      <c r="GJ270" s="5">
        <v>0</v>
      </c>
      <c r="GK270" s="5">
        <v>0</v>
      </c>
      <c r="GL270" s="5">
        <f t="shared" si="125"/>
        <v>0</v>
      </c>
      <c r="GM270" s="5">
        <f t="shared" si="126"/>
        <v>839.14</v>
      </c>
      <c r="GN270" s="5">
        <f t="shared" si="127"/>
        <v>839.14</v>
      </c>
      <c r="GO270" s="5">
        <f t="shared" si="128"/>
        <v>0</v>
      </c>
      <c r="GP270" s="5">
        <f t="shared" si="129"/>
        <v>0</v>
      </c>
      <c r="GQ270" s="5"/>
      <c r="GR270" s="5">
        <v>0</v>
      </c>
      <c r="GS270" s="5">
        <v>3</v>
      </c>
      <c r="GT270" s="5">
        <v>0</v>
      </c>
      <c r="GU270" s="5" t="s">
        <v>6</v>
      </c>
      <c r="GV270" s="5">
        <f t="shared" si="130"/>
        <v>0</v>
      </c>
      <c r="GW270" s="5">
        <v>1</v>
      </c>
      <c r="GX270" s="5">
        <f t="shared" si="131"/>
        <v>0</v>
      </c>
      <c r="GY270" s="5"/>
      <c r="GZ270" s="5"/>
      <c r="HA270" s="5">
        <v>0</v>
      </c>
      <c r="HB270" s="5">
        <v>0</v>
      </c>
      <c r="HC270" s="5">
        <f t="shared" si="132"/>
        <v>0</v>
      </c>
      <c r="HD270" s="5"/>
      <c r="HE270" s="5" t="s">
        <v>6</v>
      </c>
      <c r="HF270" s="5" t="s">
        <v>6</v>
      </c>
      <c r="HG270" s="5"/>
      <c r="HH270" s="5"/>
      <c r="HI270" s="5"/>
      <c r="HJ270" s="5"/>
      <c r="HK270" s="5"/>
      <c r="HL270" s="5"/>
      <c r="HM270" s="5" t="s">
        <v>6</v>
      </c>
      <c r="HN270" s="5" t="s">
        <v>6</v>
      </c>
      <c r="HO270" s="5" t="s">
        <v>6</v>
      </c>
      <c r="HP270" s="5" t="s">
        <v>6</v>
      </c>
      <c r="HQ270" s="5" t="s">
        <v>6</v>
      </c>
      <c r="HR270" s="5"/>
      <c r="HS270" s="5">
        <v>0</v>
      </c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>
        <v>0</v>
      </c>
      <c r="IL270" s="5"/>
      <c r="IM270" s="5"/>
      <c r="IN270" s="5"/>
      <c r="IO270" s="5"/>
      <c r="IP270" s="5"/>
      <c r="IQ270" s="5"/>
      <c r="IR270" s="5"/>
      <c r="IS270" s="5"/>
      <c r="IT270" s="5"/>
      <c r="IU270" s="5"/>
    </row>
    <row r="271" spans="1:255" x14ac:dyDescent="0.2">
      <c r="A271" s="5">
        <v>17</v>
      </c>
      <c r="B271" s="5">
        <v>1</v>
      </c>
      <c r="C271" s="5"/>
      <c r="D271" s="5"/>
      <c r="E271" s="5" t="s">
        <v>280</v>
      </c>
      <c r="F271" s="5" t="s">
        <v>281</v>
      </c>
      <c r="G271" s="5" t="s">
        <v>282</v>
      </c>
      <c r="H271" s="5" t="s">
        <v>157</v>
      </c>
      <c r="I271" s="5">
        <v>30.62</v>
      </c>
      <c r="J271" s="5">
        <v>0</v>
      </c>
      <c r="K271" s="5">
        <v>30.62</v>
      </c>
      <c r="L271" s="5"/>
      <c r="M271" s="5"/>
      <c r="N271" s="5"/>
      <c r="O271" s="5">
        <f t="shared" si="115"/>
        <v>2743.55</v>
      </c>
      <c r="P271" s="5">
        <f>ROUND(CQ271*I271,2)</f>
        <v>2743.55</v>
      </c>
      <c r="Q271" s="5">
        <f>ROUND(CR271*I271,2)</f>
        <v>0</v>
      </c>
      <c r="R271" s="5">
        <f>ROUND(CS271*I271,2)</f>
        <v>0</v>
      </c>
      <c r="S271" s="5">
        <f>ROUND(CT271*I271,2)</f>
        <v>0</v>
      </c>
      <c r="T271" s="5">
        <f t="shared" si="116"/>
        <v>0</v>
      </c>
      <c r="U271" s="5">
        <f>ROUND(CV271*I271,7)</f>
        <v>0</v>
      </c>
      <c r="V271" s="5">
        <f>ROUND(CW271*I271,7)</f>
        <v>0</v>
      </c>
      <c r="W271" s="5">
        <f t="shared" si="117"/>
        <v>0</v>
      </c>
      <c r="X271" s="5">
        <f t="shared" si="118"/>
        <v>0</v>
      </c>
      <c r="Y271" s="5">
        <f t="shared" si="118"/>
        <v>0</v>
      </c>
      <c r="Z271" s="5"/>
      <c r="AA271" s="5">
        <v>74852007</v>
      </c>
      <c r="AB271" s="5">
        <f t="shared" si="119"/>
        <v>45.95</v>
      </c>
      <c r="AC271" s="5">
        <f>ROUND((ES271),2)</f>
        <v>45.95</v>
      </c>
      <c r="AD271" s="5">
        <f>ROUND((((ET271)-(EU271))+AE271),2)</f>
        <v>0</v>
      </c>
      <c r="AE271" s="5">
        <f t="shared" si="133"/>
        <v>0</v>
      </c>
      <c r="AF271" s="5">
        <f t="shared" si="133"/>
        <v>0</v>
      </c>
      <c r="AG271" s="5">
        <f t="shared" si="120"/>
        <v>0</v>
      </c>
      <c r="AH271" s="5">
        <f t="shared" si="134"/>
        <v>0</v>
      </c>
      <c r="AI271" s="5">
        <f t="shared" si="134"/>
        <v>0</v>
      </c>
      <c r="AJ271" s="5">
        <f t="shared" si="121"/>
        <v>0</v>
      </c>
      <c r="AK271" s="5">
        <v>45.95</v>
      </c>
      <c r="AL271" s="5">
        <v>45.95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1</v>
      </c>
      <c r="AW271" s="5">
        <v>1</v>
      </c>
      <c r="AX271" s="5"/>
      <c r="AY271" s="5"/>
      <c r="AZ271" s="5">
        <v>1</v>
      </c>
      <c r="BA271" s="5">
        <v>1</v>
      </c>
      <c r="BB271" s="5">
        <v>1</v>
      </c>
      <c r="BC271" s="5">
        <v>1.95</v>
      </c>
      <c r="BD271" s="5" t="s">
        <v>6</v>
      </c>
      <c r="BE271" s="5" t="s">
        <v>6</v>
      </c>
      <c r="BF271" s="5" t="s">
        <v>6</v>
      </c>
      <c r="BG271" s="5" t="s">
        <v>6</v>
      </c>
      <c r="BH271" s="5">
        <v>3</v>
      </c>
      <c r="BI271" s="5">
        <v>1</v>
      </c>
      <c r="BJ271" s="5" t="s">
        <v>283</v>
      </c>
      <c r="BK271" s="5"/>
      <c r="BL271" s="5"/>
      <c r="BM271" s="5">
        <v>500001</v>
      </c>
      <c r="BN271" s="5">
        <v>66927928</v>
      </c>
      <c r="BO271" s="5" t="s">
        <v>281</v>
      </c>
      <c r="BP271" s="5">
        <v>1</v>
      </c>
      <c r="BQ271" s="5">
        <v>8</v>
      </c>
      <c r="BR271" s="5">
        <v>0</v>
      </c>
      <c r="BS271" s="5">
        <v>1</v>
      </c>
      <c r="BT271" s="5">
        <v>1</v>
      </c>
      <c r="BU271" s="5">
        <v>1</v>
      </c>
      <c r="BV271" s="5">
        <v>1</v>
      </c>
      <c r="BW271" s="5">
        <v>1</v>
      </c>
      <c r="BX271" s="5">
        <v>1</v>
      </c>
      <c r="BY271" s="5" t="s">
        <v>6</v>
      </c>
      <c r="BZ271" s="5">
        <v>0</v>
      </c>
      <c r="CA271" s="5">
        <v>0</v>
      </c>
      <c r="CB271" s="5" t="s">
        <v>6</v>
      </c>
      <c r="CC271" s="5"/>
      <c r="CD271" s="5"/>
      <c r="CE271" s="5">
        <v>0</v>
      </c>
      <c r="CF271" s="5">
        <v>0</v>
      </c>
      <c r="CG271" s="5">
        <v>0</v>
      </c>
      <c r="CH271" s="5"/>
      <c r="CI271" s="5"/>
      <c r="CJ271" s="5"/>
      <c r="CK271" s="5"/>
      <c r="CL271" s="5"/>
      <c r="CM271" s="5">
        <v>0</v>
      </c>
      <c r="CN271" s="5" t="s">
        <v>6</v>
      </c>
      <c r="CO271" s="5">
        <v>0</v>
      </c>
      <c r="CP271" s="5">
        <f t="shared" si="122"/>
        <v>2743.55</v>
      </c>
      <c r="CQ271" s="5">
        <f>ROUND(AL271*BC271,2)</f>
        <v>89.6</v>
      </c>
      <c r="CR271" s="5">
        <f>ROUND(AM271*BB271,2)</f>
        <v>0</v>
      </c>
      <c r="CS271" s="5">
        <f>ROUND(AN271*BS271,2)</f>
        <v>0</v>
      </c>
      <c r="CT271" s="5">
        <f>ROUND(AO271*BA271,2)</f>
        <v>0</v>
      </c>
      <c r="CU271" s="5">
        <f t="shared" si="123"/>
        <v>0</v>
      </c>
      <c r="CV271" s="5">
        <f t="shared" si="135"/>
        <v>0</v>
      </c>
      <c r="CW271" s="5">
        <f t="shared" si="135"/>
        <v>0</v>
      </c>
      <c r="CX271" s="5">
        <f t="shared" si="124"/>
        <v>0</v>
      </c>
      <c r="CY271" s="5">
        <f>0</f>
        <v>0</v>
      </c>
      <c r="CZ271" s="5">
        <f>0</f>
        <v>0</v>
      </c>
      <c r="DA271" s="5"/>
      <c r="DB271" s="5"/>
      <c r="DC271" s="5" t="s">
        <v>6</v>
      </c>
      <c r="DD271" s="5" t="s">
        <v>6</v>
      </c>
      <c r="DE271" s="5" t="s">
        <v>6</v>
      </c>
      <c r="DF271" s="5" t="s">
        <v>6</v>
      </c>
      <c r="DG271" s="5" t="s">
        <v>6</v>
      </c>
      <c r="DH271" s="5" t="s">
        <v>6</v>
      </c>
      <c r="DI271" s="5" t="s">
        <v>6</v>
      </c>
      <c r="DJ271" s="5" t="s">
        <v>6</v>
      </c>
      <c r="DK271" s="5" t="s">
        <v>6</v>
      </c>
      <c r="DL271" s="5" t="s">
        <v>6</v>
      </c>
      <c r="DM271" s="5" t="s">
        <v>6</v>
      </c>
      <c r="DN271" s="5">
        <v>0</v>
      </c>
      <c r="DO271" s="5">
        <v>0</v>
      </c>
      <c r="DP271" s="5">
        <v>1</v>
      </c>
      <c r="DQ271" s="5">
        <v>1</v>
      </c>
      <c r="DR271" s="5"/>
      <c r="DS271" s="5"/>
      <c r="DT271" s="5"/>
      <c r="DU271" s="5">
        <v>1003</v>
      </c>
      <c r="DV271" s="5" t="s">
        <v>157</v>
      </c>
      <c r="DW271" s="5" t="s">
        <v>157</v>
      </c>
      <c r="DX271" s="5">
        <v>1</v>
      </c>
      <c r="DY271" s="5"/>
      <c r="DZ271" s="5" t="s">
        <v>6</v>
      </c>
      <c r="EA271" s="5" t="s">
        <v>6</v>
      </c>
      <c r="EB271" s="5" t="s">
        <v>6</v>
      </c>
      <c r="EC271" s="5" t="s">
        <v>6</v>
      </c>
      <c r="ED271" s="5"/>
      <c r="EE271" s="5">
        <v>67841826</v>
      </c>
      <c r="EF271" s="5">
        <v>8</v>
      </c>
      <c r="EG271" s="5" t="s">
        <v>136</v>
      </c>
      <c r="EH271" s="5">
        <v>0</v>
      </c>
      <c r="EI271" s="5" t="s">
        <v>6</v>
      </c>
      <c r="EJ271" s="5">
        <v>1</v>
      </c>
      <c r="EK271" s="5">
        <v>500001</v>
      </c>
      <c r="EL271" s="5" t="s">
        <v>137</v>
      </c>
      <c r="EM271" s="5" t="s">
        <v>138</v>
      </c>
      <c r="EN271" s="5"/>
      <c r="EO271" s="5" t="s">
        <v>6</v>
      </c>
      <c r="EP271" s="5"/>
      <c r="EQ271" s="5">
        <v>0</v>
      </c>
      <c r="ER271" s="5">
        <v>45.95</v>
      </c>
      <c r="ES271" s="5">
        <v>45.95</v>
      </c>
      <c r="ET271" s="5">
        <v>0</v>
      </c>
      <c r="EU271" s="5">
        <v>0</v>
      </c>
      <c r="EV271" s="5">
        <v>0</v>
      </c>
      <c r="EW271" s="5">
        <v>0</v>
      </c>
      <c r="EX271" s="5">
        <v>0</v>
      </c>
      <c r="EY271" s="5">
        <v>0</v>
      </c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>
        <v>0</v>
      </c>
      <c r="FR271" s="5">
        <v>0</v>
      </c>
      <c r="FS271" s="5">
        <v>0</v>
      </c>
      <c r="FT271" s="5"/>
      <c r="FU271" s="5"/>
      <c r="FV271" s="5"/>
      <c r="FW271" s="5"/>
      <c r="FX271" s="5">
        <v>0</v>
      </c>
      <c r="FY271" s="5">
        <v>0</v>
      </c>
      <c r="FZ271" s="5"/>
      <c r="GA271" s="5" t="s">
        <v>6</v>
      </c>
      <c r="GB271" s="5"/>
      <c r="GC271" s="5"/>
      <c r="GD271" s="5">
        <v>1</v>
      </c>
      <c r="GE271" s="5"/>
      <c r="GF271" s="5">
        <v>630192323</v>
      </c>
      <c r="GG271" s="5">
        <v>2</v>
      </c>
      <c r="GH271" s="5">
        <v>1</v>
      </c>
      <c r="GI271" s="5">
        <v>2</v>
      </c>
      <c r="GJ271" s="5">
        <v>0</v>
      </c>
      <c r="GK271" s="5">
        <v>0</v>
      </c>
      <c r="GL271" s="5">
        <f t="shared" si="125"/>
        <v>0</v>
      </c>
      <c r="GM271" s="5">
        <f t="shared" si="126"/>
        <v>2743.55</v>
      </c>
      <c r="GN271" s="5">
        <f t="shared" si="127"/>
        <v>2743.55</v>
      </c>
      <c r="GO271" s="5">
        <f t="shared" si="128"/>
        <v>0</v>
      </c>
      <c r="GP271" s="5">
        <f t="shared" si="129"/>
        <v>0</v>
      </c>
      <c r="GQ271" s="5"/>
      <c r="GR271" s="5">
        <v>0</v>
      </c>
      <c r="GS271" s="5">
        <v>3</v>
      </c>
      <c r="GT271" s="5">
        <v>0</v>
      </c>
      <c r="GU271" s="5" t="s">
        <v>6</v>
      </c>
      <c r="GV271" s="5">
        <f t="shared" si="130"/>
        <v>0</v>
      </c>
      <c r="GW271" s="5">
        <v>1</v>
      </c>
      <c r="GX271" s="5">
        <f t="shared" si="131"/>
        <v>0</v>
      </c>
      <c r="GY271" s="5"/>
      <c r="GZ271" s="5"/>
      <c r="HA271" s="5">
        <v>0</v>
      </c>
      <c r="HB271" s="5">
        <v>0</v>
      </c>
      <c r="HC271" s="5">
        <f t="shared" si="132"/>
        <v>0</v>
      </c>
      <c r="HD271" s="5"/>
      <c r="HE271" s="5" t="s">
        <v>6</v>
      </c>
      <c r="HF271" s="5" t="s">
        <v>6</v>
      </c>
      <c r="HG271" s="5"/>
      <c r="HH271" s="5"/>
      <c r="HI271" s="5"/>
      <c r="HJ271" s="5"/>
      <c r="HK271" s="5"/>
      <c r="HL271" s="5"/>
      <c r="HM271" s="5" t="s">
        <v>6</v>
      </c>
      <c r="HN271" s="5" t="s">
        <v>6</v>
      </c>
      <c r="HO271" s="5" t="s">
        <v>6</v>
      </c>
      <c r="HP271" s="5" t="s">
        <v>6</v>
      </c>
      <c r="HQ271" s="5" t="s">
        <v>6</v>
      </c>
      <c r="HR271" s="5"/>
      <c r="HS271" s="5">
        <v>0</v>
      </c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>
        <v>0</v>
      </c>
      <c r="IL271" s="5"/>
      <c r="IM271" s="5"/>
      <c r="IN271" s="5"/>
      <c r="IO271" s="5"/>
      <c r="IP271" s="5"/>
      <c r="IQ271" s="5"/>
      <c r="IR271" s="5"/>
      <c r="IS271" s="5"/>
      <c r="IT271" s="5"/>
      <c r="IU271" s="5"/>
    </row>
    <row r="273" spans="1:206" x14ac:dyDescent="0.2">
      <c r="A273" s="2">
        <v>51</v>
      </c>
      <c r="B273" s="2">
        <f>B228</f>
        <v>1</v>
      </c>
      <c r="C273" s="2">
        <f>A228</f>
        <v>4</v>
      </c>
      <c r="D273" s="2">
        <f>ROW(A228)</f>
        <v>228</v>
      </c>
      <c r="E273" s="2"/>
      <c r="F273" s="2" t="str">
        <f>IF(F228&lt;&gt;"",F228,"")</f>
        <v>1</v>
      </c>
      <c r="G273" s="2" t="str">
        <f>IF(G228&lt;&gt;"",G228,"")</f>
        <v>Помещения 74-78 (3 этаж)</v>
      </c>
      <c r="H273" s="2">
        <v>0</v>
      </c>
      <c r="I273" s="2"/>
      <c r="J273" s="2"/>
      <c r="K273" s="2"/>
      <c r="L273" s="2"/>
      <c r="M273" s="2"/>
      <c r="N273" s="2"/>
      <c r="O273" s="2">
        <f t="shared" ref="O273:T273" si="136">ROUND(AB273,2)</f>
        <v>300110.44</v>
      </c>
      <c r="P273" s="2">
        <f t="shared" si="136"/>
        <v>199160.15</v>
      </c>
      <c r="Q273" s="2">
        <f t="shared" si="136"/>
        <v>2742.3</v>
      </c>
      <c r="R273" s="2">
        <f t="shared" si="136"/>
        <v>2816.3</v>
      </c>
      <c r="S273" s="2">
        <f t="shared" si="136"/>
        <v>95391.69</v>
      </c>
      <c r="T273" s="2">
        <f t="shared" si="136"/>
        <v>0</v>
      </c>
      <c r="U273" s="2">
        <f>AH273</f>
        <v>316.76887700000003</v>
      </c>
      <c r="V273" s="2">
        <f>AI273</f>
        <v>9.1510058000000001</v>
      </c>
      <c r="W273" s="2">
        <f>ROUND(AJ273,2)</f>
        <v>0</v>
      </c>
      <c r="X273" s="2">
        <f>ROUND(AK273,2)</f>
        <v>89709.9</v>
      </c>
      <c r="Y273" s="2">
        <f>ROUND(AL273,2)</f>
        <v>44273.22</v>
      </c>
      <c r="Z273" s="2"/>
      <c r="AA273" s="2"/>
      <c r="AB273" s="2">
        <f>ROUND(SUMIF(AA232:AA271,"=74852007",O232:O271),2)</f>
        <v>300110.44</v>
      </c>
      <c r="AC273" s="2">
        <f>ROUND(SUMIF(AA232:AA271,"=74852007",P232:P271),2)</f>
        <v>199160.15</v>
      </c>
      <c r="AD273" s="2">
        <f>ROUND(SUMIF(AA232:AA271,"=74852007",Q232:Q271),2)</f>
        <v>2742.3</v>
      </c>
      <c r="AE273" s="2">
        <f>ROUND(SUMIF(AA232:AA271,"=74852007",R232:R271),2)</f>
        <v>2816.3</v>
      </c>
      <c r="AF273" s="2">
        <f>ROUND(SUMIF(AA232:AA271,"=74852007",S232:S271),2)</f>
        <v>95391.69</v>
      </c>
      <c r="AG273" s="2">
        <f>ROUND(SUMIF(AA232:AA271,"=74852007",T232:T271),2)</f>
        <v>0</v>
      </c>
      <c r="AH273" s="2">
        <f>SUMIF(AA232:AA271,"=74852007",U232:U271)</f>
        <v>316.76887700000003</v>
      </c>
      <c r="AI273" s="2">
        <f>SUMIF(AA232:AA271,"=74852007",V232:V271)</f>
        <v>9.1510058000000001</v>
      </c>
      <c r="AJ273" s="2">
        <f>ROUND(SUMIF(AA232:AA271,"=74852007",W232:W271),2)</f>
        <v>0</v>
      </c>
      <c r="AK273" s="2">
        <f>ROUND(SUMIF(AA232:AA271,"=74852007",X232:X271),2)</f>
        <v>89709.9</v>
      </c>
      <c r="AL273" s="2">
        <f>ROUND(SUMIF(AA232:AA271,"=74852007",Y232:Y271),2)</f>
        <v>44273.22</v>
      </c>
      <c r="AM273" s="2"/>
      <c r="AN273" s="2"/>
      <c r="AO273" s="2">
        <f t="shared" ref="AO273:BD273" si="137">ROUND(BX273,2)</f>
        <v>0</v>
      </c>
      <c r="AP273" s="2">
        <f t="shared" si="137"/>
        <v>0</v>
      </c>
      <c r="AQ273" s="2">
        <f t="shared" si="137"/>
        <v>0</v>
      </c>
      <c r="AR273" s="2">
        <f t="shared" si="137"/>
        <v>434093.56</v>
      </c>
      <c r="AS273" s="2">
        <f t="shared" si="137"/>
        <v>434093.56</v>
      </c>
      <c r="AT273" s="2">
        <f t="shared" si="137"/>
        <v>0</v>
      </c>
      <c r="AU273" s="2">
        <f t="shared" si="137"/>
        <v>0</v>
      </c>
      <c r="AV273" s="2">
        <f t="shared" si="137"/>
        <v>199160.15</v>
      </c>
      <c r="AW273" s="2">
        <f t="shared" si="137"/>
        <v>199160.15</v>
      </c>
      <c r="AX273" s="2">
        <f t="shared" si="137"/>
        <v>0</v>
      </c>
      <c r="AY273" s="2">
        <f t="shared" si="137"/>
        <v>199160.15</v>
      </c>
      <c r="AZ273" s="2">
        <f t="shared" si="137"/>
        <v>0</v>
      </c>
      <c r="BA273" s="2">
        <f t="shared" si="137"/>
        <v>0</v>
      </c>
      <c r="BB273" s="2">
        <f t="shared" si="137"/>
        <v>0</v>
      </c>
      <c r="BC273" s="2">
        <f t="shared" si="137"/>
        <v>0</v>
      </c>
      <c r="BD273" s="2">
        <f t="shared" si="137"/>
        <v>0</v>
      </c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>
        <f>ROUND(SUMIF(AA232:AA271,"=74852007",FQ232:FQ271),2)</f>
        <v>0</v>
      </c>
      <c r="BY273" s="2">
        <f>ROUND(SUMIF(AA232:AA271,"=74852007",FR232:FR271),2)</f>
        <v>0</v>
      </c>
      <c r="BZ273" s="2">
        <f>ROUND(SUMIF(AA232:AA271,"=74852007",GL232:GL271),2)</f>
        <v>0</v>
      </c>
      <c r="CA273" s="2">
        <f>ROUND(SUMIF(AA232:AA271,"=74852007",GM232:GM271),2)</f>
        <v>434093.56</v>
      </c>
      <c r="CB273" s="2">
        <f>ROUND(SUMIF(AA232:AA271,"=74852007",GN232:GN271),2)</f>
        <v>434093.56</v>
      </c>
      <c r="CC273" s="2">
        <f>ROUND(SUMIF(AA232:AA271,"=74852007",GO232:GO271),2)</f>
        <v>0</v>
      </c>
      <c r="CD273" s="2">
        <f>ROUND(SUMIF(AA232:AA271,"=74852007",GP232:GP271),2)</f>
        <v>0</v>
      </c>
      <c r="CE273" s="2">
        <f>AC273-BX273</f>
        <v>199160.15</v>
      </c>
      <c r="CF273" s="2">
        <f>AC273-BY273</f>
        <v>199160.15</v>
      </c>
      <c r="CG273" s="2">
        <f>BX273-BZ273</f>
        <v>0</v>
      </c>
      <c r="CH273" s="2">
        <f>AC273-BX273-BY273+BZ273</f>
        <v>199160.15</v>
      </c>
      <c r="CI273" s="2">
        <f>BY273-BZ273</f>
        <v>0</v>
      </c>
      <c r="CJ273" s="2">
        <f>ROUND(SUMIF(AA232:AA271,"=74852007",GX232:GX271),2)</f>
        <v>0</v>
      </c>
      <c r="CK273" s="2">
        <f>ROUND(SUMIF(AA232:AA271,"=74852007",GY232:GY271),2)</f>
        <v>0</v>
      </c>
      <c r="CL273" s="2">
        <f>ROUND(SUMIF(AA232:AA271,"=74852007",GZ232:GZ271),2)</f>
        <v>0</v>
      </c>
      <c r="CM273" s="2">
        <f>ROUND(SUMIF(AA232:AA271,"=74852007",HD232:HD271),2)</f>
        <v>0</v>
      </c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>
        <v>0</v>
      </c>
    </row>
    <row r="275" spans="1:206" x14ac:dyDescent="0.2">
      <c r="A275" s="4">
        <v>50</v>
      </c>
      <c r="B275" s="4">
        <v>0</v>
      </c>
      <c r="C275" s="4">
        <v>0</v>
      </c>
      <c r="D275" s="4">
        <v>1</v>
      </c>
      <c r="E275" s="4">
        <v>201</v>
      </c>
      <c r="F275" s="4">
        <f>ROUND(Source!O273,O275)</f>
        <v>300110.44</v>
      </c>
      <c r="G275" s="4" t="s">
        <v>21</v>
      </c>
      <c r="H275" s="4" t="s">
        <v>22</v>
      </c>
      <c r="I275" s="4"/>
      <c r="J275" s="4"/>
      <c r="K275" s="4">
        <v>201</v>
      </c>
      <c r="L275" s="4">
        <v>1</v>
      </c>
      <c r="M275" s="4">
        <v>3</v>
      </c>
      <c r="N275" s="4" t="s">
        <v>6</v>
      </c>
      <c r="O275" s="4">
        <v>2</v>
      </c>
      <c r="P275" s="4"/>
      <c r="Q275" s="4"/>
      <c r="R275" s="4"/>
      <c r="S275" s="4"/>
      <c r="T275" s="4"/>
      <c r="U275" s="4"/>
      <c r="V275" s="4"/>
      <c r="W275" s="4">
        <v>300110.44</v>
      </c>
      <c r="X275" s="4">
        <v>1</v>
      </c>
      <c r="Y275" s="4">
        <v>300110.44</v>
      </c>
      <c r="Z275" s="4"/>
      <c r="AA275" s="4"/>
      <c r="AB275" s="4"/>
    </row>
    <row r="276" spans="1:206" x14ac:dyDescent="0.2">
      <c r="A276" s="4">
        <v>50</v>
      </c>
      <c r="B276" s="4">
        <v>0</v>
      </c>
      <c r="C276" s="4">
        <v>0</v>
      </c>
      <c r="D276" s="4">
        <v>1</v>
      </c>
      <c r="E276" s="4">
        <v>202</v>
      </c>
      <c r="F276" s="4">
        <f>ROUND(Source!P273,O276)</f>
        <v>199160.15</v>
      </c>
      <c r="G276" s="4" t="s">
        <v>23</v>
      </c>
      <c r="H276" s="4" t="s">
        <v>24</v>
      </c>
      <c r="I276" s="4"/>
      <c r="J276" s="4"/>
      <c r="K276" s="4">
        <v>202</v>
      </c>
      <c r="L276" s="4">
        <v>2</v>
      </c>
      <c r="M276" s="4">
        <v>3</v>
      </c>
      <c r="N276" s="4" t="s">
        <v>6</v>
      </c>
      <c r="O276" s="4">
        <v>2</v>
      </c>
      <c r="P276" s="4"/>
      <c r="Q276" s="4"/>
      <c r="R276" s="4"/>
      <c r="S276" s="4"/>
      <c r="T276" s="4"/>
      <c r="U276" s="4"/>
      <c r="V276" s="4"/>
      <c r="W276" s="4">
        <v>199160.15</v>
      </c>
      <c r="X276" s="4">
        <v>1</v>
      </c>
      <c r="Y276" s="4">
        <v>199160.15</v>
      </c>
      <c r="Z276" s="4"/>
      <c r="AA276" s="4"/>
      <c r="AB276" s="4"/>
    </row>
    <row r="277" spans="1:206" x14ac:dyDescent="0.2">
      <c r="A277" s="4">
        <v>50</v>
      </c>
      <c r="B277" s="4">
        <v>0</v>
      </c>
      <c r="C277" s="4">
        <v>0</v>
      </c>
      <c r="D277" s="4">
        <v>1</v>
      </c>
      <c r="E277" s="4">
        <v>222</v>
      </c>
      <c r="F277" s="4">
        <f>ROUND(Source!AO273,O277)</f>
        <v>0</v>
      </c>
      <c r="G277" s="4" t="s">
        <v>25</v>
      </c>
      <c r="H277" s="4" t="s">
        <v>26</v>
      </c>
      <c r="I277" s="4"/>
      <c r="J277" s="4"/>
      <c r="K277" s="4">
        <v>222</v>
      </c>
      <c r="L277" s="4">
        <v>3</v>
      </c>
      <c r="M277" s="4">
        <v>3</v>
      </c>
      <c r="N277" s="4" t="s">
        <v>6</v>
      </c>
      <c r="O277" s="4">
        <v>2</v>
      </c>
      <c r="P277" s="4"/>
      <c r="Q277" s="4"/>
      <c r="R277" s="4"/>
      <c r="S277" s="4"/>
      <c r="T277" s="4"/>
      <c r="U277" s="4"/>
      <c r="V277" s="4"/>
      <c r="W277" s="4">
        <v>0</v>
      </c>
      <c r="X277" s="4">
        <v>1</v>
      </c>
      <c r="Y277" s="4">
        <v>0</v>
      </c>
      <c r="Z277" s="4"/>
      <c r="AA277" s="4"/>
      <c r="AB277" s="4"/>
    </row>
    <row r="278" spans="1:206" x14ac:dyDescent="0.2">
      <c r="A278" s="4">
        <v>50</v>
      </c>
      <c r="B278" s="4">
        <v>0</v>
      </c>
      <c r="C278" s="4">
        <v>0</v>
      </c>
      <c r="D278" s="4">
        <v>1</v>
      </c>
      <c r="E278" s="4">
        <v>225</v>
      </c>
      <c r="F278" s="4">
        <f>ROUND(Source!AV273,O278)</f>
        <v>199160.15</v>
      </c>
      <c r="G278" s="4" t="s">
        <v>27</v>
      </c>
      <c r="H278" s="4" t="s">
        <v>28</v>
      </c>
      <c r="I278" s="4"/>
      <c r="J278" s="4"/>
      <c r="K278" s="4">
        <v>225</v>
      </c>
      <c r="L278" s="4">
        <v>4</v>
      </c>
      <c r="M278" s="4">
        <v>3</v>
      </c>
      <c r="N278" s="4" t="s">
        <v>6</v>
      </c>
      <c r="O278" s="4">
        <v>2</v>
      </c>
      <c r="P278" s="4"/>
      <c r="Q278" s="4"/>
      <c r="R278" s="4"/>
      <c r="S278" s="4"/>
      <c r="T278" s="4"/>
      <c r="U278" s="4"/>
      <c r="V278" s="4"/>
      <c r="W278" s="4">
        <v>199160.15</v>
      </c>
      <c r="X278" s="4">
        <v>1</v>
      </c>
      <c r="Y278" s="4">
        <v>199160.15</v>
      </c>
      <c r="Z278" s="4"/>
      <c r="AA278" s="4"/>
      <c r="AB278" s="4"/>
    </row>
    <row r="279" spans="1:206" x14ac:dyDescent="0.2">
      <c r="A279" s="4">
        <v>50</v>
      </c>
      <c r="B279" s="4">
        <v>0</v>
      </c>
      <c r="C279" s="4">
        <v>0</v>
      </c>
      <c r="D279" s="4">
        <v>1</v>
      </c>
      <c r="E279" s="4">
        <v>226</v>
      </c>
      <c r="F279" s="4">
        <f>ROUND(Source!AW273,O279)</f>
        <v>199160.15</v>
      </c>
      <c r="G279" s="4" t="s">
        <v>29</v>
      </c>
      <c r="H279" s="4" t="s">
        <v>30</v>
      </c>
      <c r="I279" s="4"/>
      <c r="J279" s="4"/>
      <c r="K279" s="4">
        <v>226</v>
      </c>
      <c r="L279" s="4">
        <v>5</v>
      </c>
      <c r="M279" s="4">
        <v>3</v>
      </c>
      <c r="N279" s="4" t="s">
        <v>6</v>
      </c>
      <c r="O279" s="4">
        <v>2</v>
      </c>
      <c r="P279" s="4"/>
      <c r="Q279" s="4"/>
      <c r="R279" s="4"/>
      <c r="S279" s="4"/>
      <c r="T279" s="4"/>
      <c r="U279" s="4"/>
      <c r="V279" s="4"/>
      <c r="W279" s="4">
        <v>199160.15</v>
      </c>
      <c r="X279" s="4">
        <v>1</v>
      </c>
      <c r="Y279" s="4">
        <v>199160.15</v>
      </c>
      <c r="Z279" s="4"/>
      <c r="AA279" s="4"/>
      <c r="AB279" s="4"/>
    </row>
    <row r="280" spans="1:206" x14ac:dyDescent="0.2">
      <c r="A280" s="4">
        <v>50</v>
      </c>
      <c r="B280" s="4">
        <v>0</v>
      </c>
      <c r="C280" s="4">
        <v>0</v>
      </c>
      <c r="D280" s="4">
        <v>1</v>
      </c>
      <c r="E280" s="4">
        <v>227</v>
      </c>
      <c r="F280" s="4">
        <f>ROUND(Source!AX273,O280)</f>
        <v>0</v>
      </c>
      <c r="G280" s="4" t="s">
        <v>31</v>
      </c>
      <c r="H280" s="4" t="s">
        <v>32</v>
      </c>
      <c r="I280" s="4"/>
      <c r="J280" s="4"/>
      <c r="K280" s="4">
        <v>227</v>
      </c>
      <c r="L280" s="4">
        <v>6</v>
      </c>
      <c r="M280" s="4">
        <v>3</v>
      </c>
      <c r="N280" s="4" t="s">
        <v>6</v>
      </c>
      <c r="O280" s="4">
        <v>2</v>
      </c>
      <c r="P280" s="4"/>
      <c r="Q280" s="4"/>
      <c r="R280" s="4"/>
      <c r="S280" s="4"/>
      <c r="T280" s="4"/>
      <c r="U280" s="4"/>
      <c r="V280" s="4"/>
      <c r="W280" s="4">
        <v>0</v>
      </c>
      <c r="X280" s="4">
        <v>1</v>
      </c>
      <c r="Y280" s="4">
        <v>0</v>
      </c>
      <c r="Z280" s="4"/>
      <c r="AA280" s="4"/>
      <c r="AB280" s="4"/>
    </row>
    <row r="281" spans="1:206" x14ac:dyDescent="0.2">
      <c r="A281" s="4">
        <v>50</v>
      </c>
      <c r="B281" s="4">
        <v>0</v>
      </c>
      <c r="C281" s="4">
        <v>0</v>
      </c>
      <c r="D281" s="4">
        <v>1</v>
      </c>
      <c r="E281" s="4">
        <v>228</v>
      </c>
      <c r="F281" s="4">
        <f>ROUND(Source!AY273,O281)</f>
        <v>199160.15</v>
      </c>
      <c r="G281" s="4" t="s">
        <v>33</v>
      </c>
      <c r="H281" s="4" t="s">
        <v>34</v>
      </c>
      <c r="I281" s="4"/>
      <c r="J281" s="4"/>
      <c r="K281" s="4">
        <v>228</v>
      </c>
      <c r="L281" s="4">
        <v>7</v>
      </c>
      <c r="M281" s="4">
        <v>3</v>
      </c>
      <c r="N281" s="4" t="s">
        <v>6</v>
      </c>
      <c r="O281" s="4">
        <v>2</v>
      </c>
      <c r="P281" s="4"/>
      <c r="Q281" s="4"/>
      <c r="R281" s="4"/>
      <c r="S281" s="4"/>
      <c r="T281" s="4"/>
      <c r="U281" s="4"/>
      <c r="V281" s="4"/>
      <c r="W281" s="4">
        <v>199160.15</v>
      </c>
      <c r="X281" s="4">
        <v>1</v>
      </c>
      <c r="Y281" s="4">
        <v>199160.15</v>
      </c>
      <c r="Z281" s="4"/>
      <c r="AA281" s="4"/>
      <c r="AB281" s="4"/>
    </row>
    <row r="282" spans="1:206" x14ac:dyDescent="0.2">
      <c r="A282" s="4">
        <v>50</v>
      </c>
      <c r="B282" s="4">
        <v>0</v>
      </c>
      <c r="C282" s="4">
        <v>0</v>
      </c>
      <c r="D282" s="4">
        <v>1</v>
      </c>
      <c r="E282" s="4">
        <v>216</v>
      </c>
      <c r="F282" s="4">
        <f>ROUND(Source!AP273,O282)</f>
        <v>0</v>
      </c>
      <c r="G282" s="4" t="s">
        <v>35</v>
      </c>
      <c r="H282" s="4" t="s">
        <v>36</v>
      </c>
      <c r="I282" s="4"/>
      <c r="J282" s="4"/>
      <c r="K282" s="4">
        <v>216</v>
      </c>
      <c r="L282" s="4">
        <v>8</v>
      </c>
      <c r="M282" s="4">
        <v>3</v>
      </c>
      <c r="N282" s="4" t="s">
        <v>6</v>
      </c>
      <c r="O282" s="4">
        <v>2</v>
      </c>
      <c r="P282" s="4"/>
      <c r="Q282" s="4"/>
      <c r="R282" s="4"/>
      <c r="S282" s="4"/>
      <c r="T282" s="4"/>
      <c r="U282" s="4"/>
      <c r="V282" s="4"/>
      <c r="W282" s="4">
        <v>0</v>
      </c>
      <c r="X282" s="4">
        <v>1</v>
      </c>
      <c r="Y282" s="4">
        <v>0</v>
      </c>
      <c r="Z282" s="4"/>
      <c r="AA282" s="4"/>
      <c r="AB282" s="4"/>
    </row>
    <row r="283" spans="1:206" x14ac:dyDescent="0.2">
      <c r="A283" s="4">
        <v>50</v>
      </c>
      <c r="B283" s="4">
        <v>0</v>
      </c>
      <c r="C283" s="4">
        <v>0</v>
      </c>
      <c r="D283" s="4">
        <v>1</v>
      </c>
      <c r="E283" s="4">
        <v>223</v>
      </c>
      <c r="F283" s="4">
        <f>ROUND(Source!AQ273,O283)</f>
        <v>0</v>
      </c>
      <c r="G283" s="4" t="s">
        <v>37</v>
      </c>
      <c r="H283" s="4" t="s">
        <v>38</v>
      </c>
      <c r="I283" s="4"/>
      <c r="J283" s="4"/>
      <c r="K283" s="4">
        <v>223</v>
      </c>
      <c r="L283" s="4">
        <v>9</v>
      </c>
      <c r="M283" s="4">
        <v>3</v>
      </c>
      <c r="N283" s="4" t="s">
        <v>6</v>
      </c>
      <c r="O283" s="4">
        <v>2</v>
      </c>
      <c r="P283" s="4"/>
      <c r="Q283" s="4"/>
      <c r="R283" s="4"/>
      <c r="S283" s="4"/>
      <c r="T283" s="4"/>
      <c r="U283" s="4"/>
      <c r="V283" s="4"/>
      <c r="W283" s="4">
        <v>0</v>
      </c>
      <c r="X283" s="4">
        <v>1</v>
      </c>
      <c r="Y283" s="4">
        <v>0</v>
      </c>
      <c r="Z283" s="4"/>
      <c r="AA283" s="4"/>
      <c r="AB283" s="4"/>
    </row>
    <row r="284" spans="1:206" x14ac:dyDescent="0.2">
      <c r="A284" s="4">
        <v>50</v>
      </c>
      <c r="B284" s="4">
        <v>0</v>
      </c>
      <c r="C284" s="4">
        <v>0</v>
      </c>
      <c r="D284" s="4">
        <v>1</v>
      </c>
      <c r="E284" s="4">
        <v>229</v>
      </c>
      <c r="F284" s="4">
        <f>ROUND(Source!AZ273,O284)</f>
        <v>0</v>
      </c>
      <c r="G284" s="4" t="s">
        <v>39</v>
      </c>
      <c r="H284" s="4" t="s">
        <v>40</v>
      </c>
      <c r="I284" s="4"/>
      <c r="J284" s="4"/>
      <c r="K284" s="4">
        <v>229</v>
      </c>
      <c r="L284" s="4">
        <v>10</v>
      </c>
      <c r="M284" s="4">
        <v>3</v>
      </c>
      <c r="N284" s="4" t="s">
        <v>6</v>
      </c>
      <c r="O284" s="4">
        <v>2</v>
      </c>
      <c r="P284" s="4"/>
      <c r="Q284" s="4"/>
      <c r="R284" s="4"/>
      <c r="S284" s="4"/>
      <c r="T284" s="4"/>
      <c r="U284" s="4"/>
      <c r="V284" s="4"/>
      <c r="W284" s="4">
        <v>0</v>
      </c>
      <c r="X284" s="4">
        <v>1</v>
      </c>
      <c r="Y284" s="4">
        <v>0</v>
      </c>
      <c r="Z284" s="4"/>
      <c r="AA284" s="4"/>
      <c r="AB284" s="4"/>
    </row>
    <row r="285" spans="1:206" x14ac:dyDescent="0.2">
      <c r="A285" s="4">
        <v>50</v>
      </c>
      <c r="B285" s="4">
        <v>0</v>
      </c>
      <c r="C285" s="4">
        <v>0</v>
      </c>
      <c r="D285" s="4">
        <v>1</v>
      </c>
      <c r="E285" s="4">
        <v>203</v>
      </c>
      <c r="F285" s="4">
        <f>ROUND(Source!Q273,O285)</f>
        <v>2742.3</v>
      </c>
      <c r="G285" s="4" t="s">
        <v>41</v>
      </c>
      <c r="H285" s="4" t="s">
        <v>42</v>
      </c>
      <c r="I285" s="4"/>
      <c r="J285" s="4"/>
      <c r="K285" s="4">
        <v>203</v>
      </c>
      <c r="L285" s="4">
        <v>11</v>
      </c>
      <c r="M285" s="4">
        <v>3</v>
      </c>
      <c r="N285" s="4" t="s">
        <v>6</v>
      </c>
      <c r="O285" s="4">
        <v>2</v>
      </c>
      <c r="P285" s="4"/>
      <c r="Q285" s="4"/>
      <c r="R285" s="4"/>
      <c r="S285" s="4"/>
      <c r="T285" s="4"/>
      <c r="U285" s="4"/>
      <c r="V285" s="4"/>
      <c r="W285" s="4">
        <v>2742.2999999999993</v>
      </c>
      <c r="X285" s="4">
        <v>1</v>
      </c>
      <c r="Y285" s="4">
        <v>2742.2999999999993</v>
      </c>
      <c r="Z285" s="4"/>
      <c r="AA285" s="4"/>
      <c r="AB285" s="4"/>
    </row>
    <row r="286" spans="1:206" x14ac:dyDescent="0.2">
      <c r="A286" s="4">
        <v>50</v>
      </c>
      <c r="B286" s="4">
        <v>0</v>
      </c>
      <c r="C286" s="4">
        <v>0</v>
      </c>
      <c r="D286" s="4">
        <v>1</v>
      </c>
      <c r="E286" s="4">
        <v>231</v>
      </c>
      <c r="F286" s="4">
        <f>ROUND(Source!BB273,O286)</f>
        <v>0</v>
      </c>
      <c r="G286" s="4" t="s">
        <v>43</v>
      </c>
      <c r="H286" s="4" t="s">
        <v>44</v>
      </c>
      <c r="I286" s="4"/>
      <c r="J286" s="4"/>
      <c r="K286" s="4">
        <v>231</v>
      </c>
      <c r="L286" s="4">
        <v>12</v>
      </c>
      <c r="M286" s="4">
        <v>3</v>
      </c>
      <c r="N286" s="4" t="s">
        <v>6</v>
      </c>
      <c r="O286" s="4">
        <v>2</v>
      </c>
      <c r="P286" s="4"/>
      <c r="Q286" s="4"/>
      <c r="R286" s="4"/>
      <c r="S286" s="4"/>
      <c r="T286" s="4"/>
      <c r="U286" s="4"/>
      <c r="V286" s="4"/>
      <c r="W286" s="4">
        <v>0</v>
      </c>
      <c r="X286" s="4">
        <v>1</v>
      </c>
      <c r="Y286" s="4">
        <v>0</v>
      </c>
      <c r="Z286" s="4"/>
      <c r="AA286" s="4"/>
      <c r="AB286" s="4"/>
    </row>
    <row r="287" spans="1:206" x14ac:dyDescent="0.2">
      <c r="A287" s="4">
        <v>50</v>
      </c>
      <c r="B287" s="4">
        <v>0</v>
      </c>
      <c r="C287" s="4">
        <v>0</v>
      </c>
      <c r="D287" s="4">
        <v>1</v>
      </c>
      <c r="E287" s="4">
        <v>204</v>
      </c>
      <c r="F287" s="4">
        <f>ROUND(Source!R273,O287)</f>
        <v>2816.3</v>
      </c>
      <c r="G287" s="4" t="s">
        <v>45</v>
      </c>
      <c r="H287" s="4" t="s">
        <v>46</v>
      </c>
      <c r="I287" s="4"/>
      <c r="J287" s="4"/>
      <c r="K287" s="4">
        <v>204</v>
      </c>
      <c r="L287" s="4">
        <v>13</v>
      </c>
      <c r="M287" s="4">
        <v>3</v>
      </c>
      <c r="N287" s="4" t="s">
        <v>6</v>
      </c>
      <c r="O287" s="4">
        <v>2</v>
      </c>
      <c r="P287" s="4"/>
      <c r="Q287" s="4"/>
      <c r="R287" s="4"/>
      <c r="S287" s="4"/>
      <c r="T287" s="4"/>
      <c r="U287" s="4"/>
      <c r="V287" s="4"/>
      <c r="W287" s="4">
        <v>2816.3</v>
      </c>
      <c r="X287" s="4">
        <v>1</v>
      </c>
      <c r="Y287" s="4">
        <v>2816.3</v>
      </c>
      <c r="Z287" s="4"/>
      <c r="AA287" s="4"/>
      <c r="AB287" s="4"/>
    </row>
    <row r="288" spans="1:206" x14ac:dyDescent="0.2">
      <c r="A288" s="4">
        <v>50</v>
      </c>
      <c r="B288" s="4">
        <v>0</v>
      </c>
      <c r="C288" s="4">
        <v>0</v>
      </c>
      <c r="D288" s="4">
        <v>1</v>
      </c>
      <c r="E288" s="4">
        <v>205</v>
      </c>
      <c r="F288" s="4">
        <f>ROUND(Source!S273,O288)</f>
        <v>95391.69</v>
      </c>
      <c r="G288" s="4" t="s">
        <v>47</v>
      </c>
      <c r="H288" s="4" t="s">
        <v>48</v>
      </c>
      <c r="I288" s="4"/>
      <c r="J288" s="4"/>
      <c r="K288" s="4">
        <v>205</v>
      </c>
      <c r="L288" s="4">
        <v>14</v>
      </c>
      <c r="M288" s="4">
        <v>3</v>
      </c>
      <c r="N288" s="4" t="s">
        <v>6</v>
      </c>
      <c r="O288" s="4">
        <v>2</v>
      </c>
      <c r="P288" s="4"/>
      <c r="Q288" s="4"/>
      <c r="R288" s="4"/>
      <c r="S288" s="4"/>
      <c r="T288" s="4"/>
      <c r="U288" s="4"/>
      <c r="V288" s="4"/>
      <c r="W288" s="4">
        <v>95391.69</v>
      </c>
      <c r="X288" s="4">
        <v>1</v>
      </c>
      <c r="Y288" s="4">
        <v>95391.69</v>
      </c>
      <c r="Z288" s="4"/>
      <c r="AA288" s="4"/>
      <c r="AB288" s="4"/>
    </row>
    <row r="289" spans="1:88" x14ac:dyDescent="0.2">
      <c r="A289" s="4">
        <v>50</v>
      </c>
      <c r="B289" s="4">
        <v>0</v>
      </c>
      <c r="C289" s="4">
        <v>0</v>
      </c>
      <c r="D289" s="4">
        <v>1</v>
      </c>
      <c r="E289" s="4">
        <v>232</v>
      </c>
      <c r="F289" s="4">
        <f>ROUND(Source!BC273,O289)</f>
        <v>0</v>
      </c>
      <c r="G289" s="4" t="s">
        <v>49</v>
      </c>
      <c r="H289" s="4" t="s">
        <v>50</v>
      </c>
      <c r="I289" s="4"/>
      <c r="J289" s="4"/>
      <c r="K289" s="4">
        <v>232</v>
      </c>
      <c r="L289" s="4">
        <v>15</v>
      </c>
      <c r="M289" s="4">
        <v>3</v>
      </c>
      <c r="N289" s="4" t="s">
        <v>6</v>
      </c>
      <c r="O289" s="4">
        <v>2</v>
      </c>
      <c r="P289" s="4"/>
      <c r="Q289" s="4"/>
      <c r="R289" s="4"/>
      <c r="S289" s="4"/>
      <c r="T289" s="4"/>
      <c r="U289" s="4"/>
      <c r="V289" s="4"/>
      <c r="W289" s="4">
        <v>0</v>
      </c>
      <c r="X289" s="4">
        <v>1</v>
      </c>
      <c r="Y289" s="4">
        <v>0</v>
      </c>
      <c r="Z289" s="4"/>
      <c r="AA289" s="4"/>
      <c r="AB289" s="4"/>
    </row>
    <row r="290" spans="1:88" x14ac:dyDescent="0.2">
      <c r="A290" s="4">
        <v>50</v>
      </c>
      <c r="B290" s="4">
        <v>0</v>
      </c>
      <c r="C290" s="4">
        <v>0</v>
      </c>
      <c r="D290" s="4">
        <v>1</v>
      </c>
      <c r="E290" s="4">
        <v>214</v>
      </c>
      <c r="F290" s="4">
        <f>ROUND(Source!AS273,O290)</f>
        <v>434093.56</v>
      </c>
      <c r="G290" s="4" t="s">
        <v>51</v>
      </c>
      <c r="H290" s="4" t="s">
        <v>52</v>
      </c>
      <c r="I290" s="4"/>
      <c r="J290" s="4"/>
      <c r="K290" s="4">
        <v>214</v>
      </c>
      <c r="L290" s="4">
        <v>16</v>
      </c>
      <c r="M290" s="4">
        <v>3</v>
      </c>
      <c r="N290" s="4" t="s">
        <v>6</v>
      </c>
      <c r="O290" s="4">
        <v>2</v>
      </c>
      <c r="P290" s="4"/>
      <c r="Q290" s="4"/>
      <c r="R290" s="4"/>
      <c r="S290" s="4"/>
      <c r="T290" s="4"/>
      <c r="U290" s="4"/>
      <c r="V290" s="4"/>
      <c r="W290" s="4">
        <v>434093.56</v>
      </c>
      <c r="X290" s="4">
        <v>1</v>
      </c>
      <c r="Y290" s="4">
        <v>434093.56</v>
      </c>
      <c r="Z290" s="4"/>
      <c r="AA290" s="4"/>
      <c r="AB290" s="4"/>
    </row>
    <row r="291" spans="1:88" x14ac:dyDescent="0.2">
      <c r="A291" s="4">
        <v>50</v>
      </c>
      <c r="B291" s="4">
        <v>0</v>
      </c>
      <c r="C291" s="4">
        <v>0</v>
      </c>
      <c r="D291" s="4">
        <v>1</v>
      </c>
      <c r="E291" s="4">
        <v>215</v>
      </c>
      <c r="F291" s="4">
        <f>ROUND(Source!AT273,O291)</f>
        <v>0</v>
      </c>
      <c r="G291" s="4" t="s">
        <v>53</v>
      </c>
      <c r="H291" s="4" t="s">
        <v>54</v>
      </c>
      <c r="I291" s="4"/>
      <c r="J291" s="4"/>
      <c r="K291" s="4">
        <v>215</v>
      </c>
      <c r="L291" s="4">
        <v>17</v>
      </c>
      <c r="M291" s="4">
        <v>3</v>
      </c>
      <c r="N291" s="4" t="s">
        <v>6</v>
      </c>
      <c r="O291" s="4">
        <v>2</v>
      </c>
      <c r="P291" s="4"/>
      <c r="Q291" s="4"/>
      <c r="R291" s="4"/>
      <c r="S291" s="4"/>
      <c r="T291" s="4"/>
      <c r="U291" s="4"/>
      <c r="V291" s="4"/>
      <c r="W291" s="4">
        <v>0</v>
      </c>
      <c r="X291" s="4">
        <v>1</v>
      </c>
      <c r="Y291" s="4">
        <v>0</v>
      </c>
      <c r="Z291" s="4"/>
      <c r="AA291" s="4"/>
      <c r="AB291" s="4"/>
    </row>
    <row r="292" spans="1:88" x14ac:dyDescent="0.2">
      <c r="A292" s="4">
        <v>50</v>
      </c>
      <c r="B292" s="4">
        <v>0</v>
      </c>
      <c r="C292" s="4">
        <v>0</v>
      </c>
      <c r="D292" s="4">
        <v>1</v>
      </c>
      <c r="E292" s="4">
        <v>217</v>
      </c>
      <c r="F292" s="4">
        <f>ROUND(Source!AU273,O292)</f>
        <v>0</v>
      </c>
      <c r="G292" s="4" t="s">
        <v>55</v>
      </c>
      <c r="H292" s="4" t="s">
        <v>56</v>
      </c>
      <c r="I292" s="4"/>
      <c r="J292" s="4"/>
      <c r="K292" s="4">
        <v>217</v>
      </c>
      <c r="L292" s="4">
        <v>18</v>
      </c>
      <c r="M292" s="4">
        <v>3</v>
      </c>
      <c r="N292" s="4" t="s">
        <v>6</v>
      </c>
      <c r="O292" s="4">
        <v>2</v>
      </c>
      <c r="P292" s="4"/>
      <c r="Q292" s="4"/>
      <c r="R292" s="4"/>
      <c r="S292" s="4"/>
      <c r="T292" s="4"/>
      <c r="U292" s="4"/>
      <c r="V292" s="4"/>
      <c r="W292" s="4">
        <v>0</v>
      </c>
      <c r="X292" s="4">
        <v>1</v>
      </c>
      <c r="Y292" s="4">
        <v>0</v>
      </c>
      <c r="Z292" s="4"/>
      <c r="AA292" s="4"/>
      <c r="AB292" s="4"/>
    </row>
    <row r="293" spans="1:88" x14ac:dyDescent="0.2">
      <c r="A293" s="4">
        <v>50</v>
      </c>
      <c r="B293" s="4">
        <v>0</v>
      </c>
      <c r="C293" s="4">
        <v>0</v>
      </c>
      <c r="D293" s="4">
        <v>1</v>
      </c>
      <c r="E293" s="4">
        <v>230</v>
      </c>
      <c r="F293" s="4">
        <f>ROUND(Source!BA273,O293)</f>
        <v>0</v>
      </c>
      <c r="G293" s="4" t="s">
        <v>57</v>
      </c>
      <c r="H293" s="4" t="s">
        <v>58</v>
      </c>
      <c r="I293" s="4"/>
      <c r="J293" s="4"/>
      <c r="K293" s="4">
        <v>230</v>
      </c>
      <c r="L293" s="4">
        <v>19</v>
      </c>
      <c r="M293" s="4">
        <v>3</v>
      </c>
      <c r="N293" s="4" t="s">
        <v>6</v>
      </c>
      <c r="O293" s="4">
        <v>2</v>
      </c>
      <c r="P293" s="4"/>
      <c r="Q293" s="4"/>
      <c r="R293" s="4"/>
      <c r="S293" s="4"/>
      <c r="T293" s="4"/>
      <c r="U293" s="4"/>
      <c r="V293" s="4"/>
      <c r="W293" s="4">
        <v>0</v>
      </c>
      <c r="X293" s="4">
        <v>1</v>
      </c>
      <c r="Y293" s="4">
        <v>0</v>
      </c>
      <c r="Z293" s="4"/>
      <c r="AA293" s="4"/>
      <c r="AB293" s="4"/>
    </row>
    <row r="294" spans="1:88" x14ac:dyDescent="0.2">
      <c r="A294" s="4">
        <v>50</v>
      </c>
      <c r="B294" s="4">
        <v>0</v>
      </c>
      <c r="C294" s="4">
        <v>0</v>
      </c>
      <c r="D294" s="4">
        <v>1</v>
      </c>
      <c r="E294" s="4">
        <v>206</v>
      </c>
      <c r="F294" s="4">
        <f>ROUND(Source!T273,O294)</f>
        <v>0</v>
      </c>
      <c r="G294" s="4" t="s">
        <v>59</v>
      </c>
      <c r="H294" s="4" t="s">
        <v>60</v>
      </c>
      <c r="I294" s="4"/>
      <c r="J294" s="4"/>
      <c r="K294" s="4">
        <v>206</v>
      </c>
      <c r="L294" s="4">
        <v>20</v>
      </c>
      <c r="M294" s="4">
        <v>3</v>
      </c>
      <c r="N294" s="4" t="s">
        <v>6</v>
      </c>
      <c r="O294" s="4">
        <v>2</v>
      </c>
      <c r="P294" s="4"/>
      <c r="Q294" s="4"/>
      <c r="R294" s="4"/>
      <c r="S294" s="4"/>
      <c r="T294" s="4"/>
      <c r="U294" s="4"/>
      <c r="V294" s="4"/>
      <c r="W294" s="4">
        <v>0</v>
      </c>
      <c r="X294" s="4">
        <v>1</v>
      </c>
      <c r="Y294" s="4">
        <v>0</v>
      </c>
      <c r="Z294" s="4"/>
      <c r="AA294" s="4"/>
      <c r="AB294" s="4"/>
    </row>
    <row r="295" spans="1:88" x14ac:dyDescent="0.2">
      <c r="A295" s="4">
        <v>50</v>
      </c>
      <c r="B295" s="4">
        <v>0</v>
      </c>
      <c r="C295" s="4">
        <v>0</v>
      </c>
      <c r="D295" s="4">
        <v>1</v>
      </c>
      <c r="E295" s="4">
        <v>207</v>
      </c>
      <c r="F295" s="4">
        <f>ROUND(Source!U273,O295)</f>
        <v>316.76887699999997</v>
      </c>
      <c r="G295" s="4" t="s">
        <v>61</v>
      </c>
      <c r="H295" s="4" t="s">
        <v>62</v>
      </c>
      <c r="I295" s="4"/>
      <c r="J295" s="4"/>
      <c r="K295" s="4">
        <v>207</v>
      </c>
      <c r="L295" s="4">
        <v>21</v>
      </c>
      <c r="M295" s="4">
        <v>3</v>
      </c>
      <c r="N295" s="4" t="s">
        <v>6</v>
      </c>
      <c r="O295" s="4">
        <v>7</v>
      </c>
      <c r="P295" s="4"/>
      <c r="Q295" s="4"/>
      <c r="R295" s="4"/>
      <c r="S295" s="4"/>
      <c r="T295" s="4"/>
      <c r="U295" s="4"/>
      <c r="V295" s="4"/>
      <c r="W295" s="4">
        <v>316.76887699999997</v>
      </c>
      <c r="X295" s="4">
        <v>1</v>
      </c>
      <c r="Y295" s="4">
        <v>316.76887699999997</v>
      </c>
      <c r="Z295" s="4"/>
      <c r="AA295" s="4"/>
      <c r="AB295" s="4"/>
    </row>
    <row r="296" spans="1:88" x14ac:dyDescent="0.2">
      <c r="A296" s="4">
        <v>50</v>
      </c>
      <c r="B296" s="4">
        <v>0</v>
      </c>
      <c r="C296" s="4">
        <v>0</v>
      </c>
      <c r="D296" s="4">
        <v>1</v>
      </c>
      <c r="E296" s="4">
        <v>208</v>
      </c>
      <c r="F296" s="4">
        <f>ROUND(Source!V273,O296)</f>
        <v>9.1510058000000001</v>
      </c>
      <c r="G296" s="4" t="s">
        <v>63</v>
      </c>
      <c r="H296" s="4" t="s">
        <v>64</v>
      </c>
      <c r="I296" s="4"/>
      <c r="J296" s="4"/>
      <c r="K296" s="4">
        <v>208</v>
      </c>
      <c r="L296" s="4">
        <v>22</v>
      </c>
      <c r="M296" s="4">
        <v>3</v>
      </c>
      <c r="N296" s="4" t="s">
        <v>6</v>
      </c>
      <c r="O296" s="4">
        <v>7</v>
      </c>
      <c r="P296" s="4"/>
      <c r="Q296" s="4"/>
      <c r="R296" s="4"/>
      <c r="S296" s="4"/>
      <c r="T296" s="4"/>
      <c r="U296" s="4"/>
      <c r="V296" s="4"/>
      <c r="W296" s="4">
        <v>9.1510058000000001</v>
      </c>
      <c r="X296" s="4">
        <v>1</v>
      </c>
      <c r="Y296" s="4">
        <v>9.1510058000000001</v>
      </c>
      <c r="Z296" s="4"/>
      <c r="AA296" s="4"/>
      <c r="AB296" s="4"/>
    </row>
    <row r="297" spans="1:88" x14ac:dyDescent="0.2">
      <c r="A297" s="4">
        <v>50</v>
      </c>
      <c r="B297" s="4">
        <v>0</v>
      </c>
      <c r="C297" s="4">
        <v>0</v>
      </c>
      <c r="D297" s="4">
        <v>1</v>
      </c>
      <c r="E297" s="4">
        <v>209</v>
      </c>
      <c r="F297" s="4">
        <f>ROUND(Source!W273,O297)</f>
        <v>0</v>
      </c>
      <c r="G297" s="4" t="s">
        <v>65</v>
      </c>
      <c r="H297" s="4" t="s">
        <v>66</v>
      </c>
      <c r="I297" s="4"/>
      <c r="J297" s="4"/>
      <c r="K297" s="4">
        <v>209</v>
      </c>
      <c r="L297" s="4">
        <v>23</v>
      </c>
      <c r="M297" s="4">
        <v>3</v>
      </c>
      <c r="N297" s="4" t="s">
        <v>6</v>
      </c>
      <c r="O297" s="4">
        <v>2</v>
      </c>
      <c r="P297" s="4"/>
      <c r="Q297" s="4"/>
      <c r="R297" s="4"/>
      <c r="S297" s="4"/>
      <c r="T297" s="4"/>
      <c r="U297" s="4"/>
      <c r="V297" s="4"/>
      <c r="W297" s="4">
        <v>0</v>
      </c>
      <c r="X297" s="4">
        <v>1</v>
      </c>
      <c r="Y297" s="4">
        <v>0</v>
      </c>
      <c r="Z297" s="4"/>
      <c r="AA297" s="4"/>
      <c r="AB297" s="4"/>
    </row>
    <row r="298" spans="1:88" x14ac:dyDescent="0.2">
      <c r="A298" s="4">
        <v>50</v>
      </c>
      <c r="B298" s="4">
        <v>0</v>
      </c>
      <c r="C298" s="4">
        <v>0</v>
      </c>
      <c r="D298" s="4">
        <v>1</v>
      </c>
      <c r="E298" s="4">
        <v>233</v>
      </c>
      <c r="F298" s="4">
        <f>ROUND(Source!BD273,O298)</f>
        <v>0</v>
      </c>
      <c r="G298" s="4" t="s">
        <v>67</v>
      </c>
      <c r="H298" s="4" t="s">
        <v>68</v>
      </c>
      <c r="I298" s="4"/>
      <c r="J298" s="4"/>
      <c r="K298" s="4">
        <v>233</v>
      </c>
      <c r="L298" s="4">
        <v>24</v>
      </c>
      <c r="M298" s="4">
        <v>3</v>
      </c>
      <c r="N298" s="4" t="s">
        <v>6</v>
      </c>
      <c r="O298" s="4">
        <v>2</v>
      </c>
      <c r="P298" s="4"/>
      <c r="Q298" s="4"/>
      <c r="R298" s="4"/>
      <c r="S298" s="4"/>
      <c r="T298" s="4"/>
      <c r="U298" s="4"/>
      <c r="V298" s="4"/>
      <c r="W298" s="4">
        <v>0</v>
      </c>
      <c r="X298" s="4">
        <v>1</v>
      </c>
      <c r="Y298" s="4">
        <v>0</v>
      </c>
      <c r="Z298" s="4"/>
      <c r="AA298" s="4"/>
      <c r="AB298" s="4"/>
    </row>
    <row r="299" spans="1:88" x14ac:dyDescent="0.2">
      <c r="A299" s="4">
        <v>50</v>
      </c>
      <c r="B299" s="4">
        <v>0</v>
      </c>
      <c r="C299" s="4">
        <v>0</v>
      </c>
      <c r="D299" s="4">
        <v>1</v>
      </c>
      <c r="E299" s="4">
        <v>210</v>
      </c>
      <c r="F299" s="4">
        <f>ROUND(Source!X273,O299)</f>
        <v>89709.9</v>
      </c>
      <c r="G299" s="4" t="s">
        <v>69</v>
      </c>
      <c r="H299" s="4" t="s">
        <v>70</v>
      </c>
      <c r="I299" s="4"/>
      <c r="J299" s="4"/>
      <c r="K299" s="4">
        <v>210</v>
      </c>
      <c r="L299" s="4">
        <v>25</v>
      </c>
      <c r="M299" s="4">
        <v>3</v>
      </c>
      <c r="N299" s="4" t="s">
        <v>6</v>
      </c>
      <c r="O299" s="4">
        <v>2</v>
      </c>
      <c r="P299" s="4"/>
      <c r="Q299" s="4"/>
      <c r="R299" s="4"/>
      <c r="S299" s="4"/>
      <c r="T299" s="4"/>
      <c r="U299" s="4"/>
      <c r="V299" s="4"/>
      <c r="W299" s="4">
        <v>89709.9</v>
      </c>
      <c r="X299" s="4">
        <v>1</v>
      </c>
      <c r="Y299" s="4">
        <v>89709.9</v>
      </c>
      <c r="Z299" s="4"/>
      <c r="AA299" s="4"/>
      <c r="AB299" s="4"/>
    </row>
    <row r="300" spans="1:88" x14ac:dyDescent="0.2">
      <c r="A300" s="4">
        <v>50</v>
      </c>
      <c r="B300" s="4">
        <v>0</v>
      </c>
      <c r="C300" s="4">
        <v>0</v>
      </c>
      <c r="D300" s="4">
        <v>1</v>
      </c>
      <c r="E300" s="4">
        <v>211</v>
      </c>
      <c r="F300" s="4">
        <f>ROUND(Source!Y273,O300)</f>
        <v>44273.22</v>
      </c>
      <c r="G300" s="4" t="s">
        <v>71</v>
      </c>
      <c r="H300" s="4" t="s">
        <v>72</v>
      </c>
      <c r="I300" s="4"/>
      <c r="J300" s="4"/>
      <c r="K300" s="4">
        <v>211</v>
      </c>
      <c r="L300" s="4">
        <v>26</v>
      </c>
      <c r="M300" s="4">
        <v>3</v>
      </c>
      <c r="N300" s="4" t="s">
        <v>6</v>
      </c>
      <c r="O300" s="4">
        <v>2</v>
      </c>
      <c r="P300" s="4"/>
      <c r="Q300" s="4"/>
      <c r="R300" s="4"/>
      <c r="S300" s="4"/>
      <c r="T300" s="4"/>
      <c r="U300" s="4"/>
      <c r="V300" s="4"/>
      <c r="W300" s="4">
        <v>44273.22</v>
      </c>
      <c r="X300" s="4">
        <v>1</v>
      </c>
      <c r="Y300" s="4">
        <v>44273.22</v>
      </c>
      <c r="Z300" s="4"/>
      <c r="AA300" s="4"/>
      <c r="AB300" s="4"/>
    </row>
    <row r="301" spans="1:88" x14ac:dyDescent="0.2">
      <c r="A301" s="4">
        <v>50</v>
      </c>
      <c r="B301" s="4">
        <v>0</v>
      </c>
      <c r="C301" s="4">
        <v>0</v>
      </c>
      <c r="D301" s="4">
        <v>1</v>
      </c>
      <c r="E301" s="4">
        <v>224</v>
      </c>
      <c r="F301" s="4">
        <f>ROUND(Source!AR273,O301)</f>
        <v>434093.56</v>
      </c>
      <c r="G301" s="4" t="s">
        <v>73</v>
      </c>
      <c r="H301" s="4" t="s">
        <v>74</v>
      </c>
      <c r="I301" s="4"/>
      <c r="J301" s="4"/>
      <c r="K301" s="4">
        <v>224</v>
      </c>
      <c r="L301" s="4">
        <v>27</v>
      </c>
      <c r="M301" s="4">
        <v>3</v>
      </c>
      <c r="N301" s="4" t="s">
        <v>6</v>
      </c>
      <c r="O301" s="4">
        <v>2</v>
      </c>
      <c r="P301" s="4"/>
      <c r="Q301" s="4"/>
      <c r="R301" s="4"/>
      <c r="S301" s="4"/>
      <c r="T301" s="4"/>
      <c r="U301" s="4"/>
      <c r="V301" s="4"/>
      <c r="W301" s="4">
        <v>434093.56</v>
      </c>
      <c r="X301" s="4">
        <v>1</v>
      </c>
      <c r="Y301" s="4">
        <v>434093.56</v>
      </c>
      <c r="Z301" s="4"/>
      <c r="AA301" s="4"/>
      <c r="AB301" s="4"/>
    </row>
    <row r="303" spans="1:88" x14ac:dyDescent="0.2">
      <c r="A303" s="1">
        <v>4</v>
      </c>
      <c r="B303" s="1">
        <v>1</v>
      </c>
      <c r="C303" s="1"/>
      <c r="D303" s="1">
        <f>ROW(A310)</f>
        <v>310</v>
      </c>
      <c r="E303" s="1"/>
      <c r="F303" s="1" t="s">
        <v>96</v>
      </c>
      <c r="G303" s="1" t="s">
        <v>284</v>
      </c>
      <c r="H303" s="1" t="s">
        <v>6</v>
      </c>
      <c r="I303" s="1">
        <v>0</v>
      </c>
      <c r="J303" s="1"/>
      <c r="K303" s="1">
        <v>-1</v>
      </c>
      <c r="L303" s="1"/>
      <c r="M303" s="1" t="s">
        <v>6</v>
      </c>
      <c r="N303" s="1"/>
      <c r="O303" s="1"/>
      <c r="P303" s="1"/>
      <c r="Q303" s="1"/>
      <c r="R303" s="1"/>
      <c r="S303" s="1">
        <v>0</v>
      </c>
      <c r="T303" s="1"/>
      <c r="U303" s="1" t="s">
        <v>6</v>
      </c>
      <c r="V303" s="1">
        <v>0</v>
      </c>
      <c r="W303" s="1"/>
      <c r="X303" s="1"/>
      <c r="Y303" s="1"/>
      <c r="Z303" s="1"/>
      <c r="AA303" s="1"/>
      <c r="AB303" s="1" t="s">
        <v>6</v>
      </c>
      <c r="AC303" s="1" t="s">
        <v>6</v>
      </c>
      <c r="AD303" s="1" t="s">
        <v>6</v>
      </c>
      <c r="AE303" s="1" t="s">
        <v>6</v>
      </c>
      <c r="AF303" s="1" t="s">
        <v>6</v>
      </c>
      <c r="AG303" s="1" t="s">
        <v>6</v>
      </c>
      <c r="AH303" s="1"/>
      <c r="AI303" s="1"/>
      <c r="AJ303" s="1"/>
      <c r="AK303" s="1"/>
      <c r="AL303" s="1"/>
      <c r="AM303" s="1"/>
      <c r="AN303" s="1"/>
      <c r="AO303" s="1"/>
      <c r="AP303" s="1" t="s">
        <v>6</v>
      </c>
      <c r="AQ303" s="1" t="s">
        <v>6</v>
      </c>
      <c r="AR303" s="1" t="s">
        <v>6</v>
      </c>
      <c r="AS303" s="1"/>
      <c r="AT303" s="1"/>
      <c r="AU303" s="1"/>
      <c r="AV303" s="1"/>
      <c r="AW303" s="1"/>
      <c r="AX303" s="1"/>
      <c r="AY303" s="1"/>
      <c r="AZ303" s="1" t="s">
        <v>6</v>
      </c>
      <c r="BA303" s="1"/>
      <c r="BB303" s="1" t="s">
        <v>6</v>
      </c>
      <c r="BC303" s="1" t="s">
        <v>6</v>
      </c>
      <c r="BD303" s="1" t="s">
        <v>6</v>
      </c>
      <c r="BE303" s="1" t="s">
        <v>6</v>
      </c>
      <c r="BF303" s="1" t="s">
        <v>6</v>
      </c>
      <c r="BG303" s="1" t="s">
        <v>6</v>
      </c>
      <c r="BH303" s="1" t="s">
        <v>6</v>
      </c>
      <c r="BI303" s="1" t="s">
        <v>6</v>
      </c>
      <c r="BJ303" s="1" t="s">
        <v>6</v>
      </c>
      <c r="BK303" s="1" t="s">
        <v>6</v>
      </c>
      <c r="BL303" s="1" t="s">
        <v>6</v>
      </c>
      <c r="BM303" s="1" t="s">
        <v>6</v>
      </c>
      <c r="BN303" s="1" t="s">
        <v>6</v>
      </c>
      <c r="BO303" s="1" t="s">
        <v>6</v>
      </c>
      <c r="BP303" s="1" t="s">
        <v>6</v>
      </c>
      <c r="BQ303" s="1"/>
      <c r="BR303" s="1"/>
      <c r="BS303" s="1"/>
      <c r="BT303" s="1"/>
      <c r="BU303" s="1"/>
      <c r="BV303" s="1"/>
      <c r="BW303" s="1"/>
      <c r="BX303" s="1">
        <v>0</v>
      </c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>
        <v>0</v>
      </c>
    </row>
    <row r="305" spans="1:255" x14ac:dyDescent="0.2">
      <c r="A305" s="2">
        <v>52</v>
      </c>
      <c r="B305" s="2">
        <f t="shared" ref="B305:G305" si="138">B310</f>
        <v>1</v>
      </c>
      <c r="C305" s="2">
        <f t="shared" si="138"/>
        <v>4</v>
      </c>
      <c r="D305" s="2">
        <f t="shared" si="138"/>
        <v>303</v>
      </c>
      <c r="E305" s="2">
        <f t="shared" si="138"/>
        <v>0</v>
      </c>
      <c r="F305" s="2" t="str">
        <f t="shared" si="138"/>
        <v>2</v>
      </c>
      <c r="G305" s="2" t="str">
        <f t="shared" si="138"/>
        <v>Мусор</v>
      </c>
      <c r="H305" s="2"/>
      <c r="I305" s="2"/>
      <c r="J305" s="2"/>
      <c r="K305" s="2"/>
      <c r="L305" s="2"/>
      <c r="M305" s="2"/>
      <c r="N305" s="2"/>
      <c r="O305" s="2">
        <f t="shared" ref="O305:AT305" si="139">O310</f>
        <v>0</v>
      </c>
      <c r="P305" s="2">
        <f t="shared" si="139"/>
        <v>0</v>
      </c>
      <c r="Q305" s="2">
        <f t="shared" si="139"/>
        <v>0</v>
      </c>
      <c r="R305" s="2">
        <f t="shared" si="139"/>
        <v>0</v>
      </c>
      <c r="S305" s="2">
        <f t="shared" si="139"/>
        <v>0</v>
      </c>
      <c r="T305" s="2">
        <f t="shared" si="139"/>
        <v>0</v>
      </c>
      <c r="U305" s="2">
        <f t="shared" si="139"/>
        <v>0</v>
      </c>
      <c r="V305" s="2">
        <f t="shared" si="139"/>
        <v>0</v>
      </c>
      <c r="W305" s="2">
        <f t="shared" si="139"/>
        <v>0</v>
      </c>
      <c r="X305" s="2">
        <f t="shared" si="139"/>
        <v>0</v>
      </c>
      <c r="Y305" s="2">
        <f t="shared" si="139"/>
        <v>0</v>
      </c>
      <c r="Z305" s="2">
        <f t="shared" si="139"/>
        <v>0</v>
      </c>
      <c r="AA305" s="2">
        <f t="shared" si="139"/>
        <v>0</v>
      </c>
      <c r="AB305" s="2">
        <f t="shared" si="139"/>
        <v>0</v>
      </c>
      <c r="AC305" s="2">
        <f t="shared" si="139"/>
        <v>0</v>
      </c>
      <c r="AD305" s="2">
        <f t="shared" si="139"/>
        <v>0</v>
      </c>
      <c r="AE305" s="2">
        <f t="shared" si="139"/>
        <v>0</v>
      </c>
      <c r="AF305" s="2">
        <f t="shared" si="139"/>
        <v>0</v>
      </c>
      <c r="AG305" s="2">
        <f t="shared" si="139"/>
        <v>0</v>
      </c>
      <c r="AH305" s="2">
        <f t="shared" si="139"/>
        <v>0</v>
      </c>
      <c r="AI305" s="2">
        <f t="shared" si="139"/>
        <v>0</v>
      </c>
      <c r="AJ305" s="2">
        <f t="shared" si="139"/>
        <v>0</v>
      </c>
      <c r="AK305" s="2">
        <f t="shared" si="139"/>
        <v>0</v>
      </c>
      <c r="AL305" s="2">
        <f t="shared" si="139"/>
        <v>0</v>
      </c>
      <c r="AM305" s="2">
        <f t="shared" si="139"/>
        <v>0</v>
      </c>
      <c r="AN305" s="2">
        <f t="shared" si="139"/>
        <v>0</v>
      </c>
      <c r="AO305" s="2">
        <f t="shared" si="139"/>
        <v>0</v>
      </c>
      <c r="AP305" s="2">
        <f t="shared" si="139"/>
        <v>0</v>
      </c>
      <c r="AQ305" s="2">
        <f t="shared" si="139"/>
        <v>0</v>
      </c>
      <c r="AR305" s="2">
        <f t="shared" si="139"/>
        <v>9785.74</v>
      </c>
      <c r="AS305" s="2">
        <f t="shared" si="139"/>
        <v>9785.74</v>
      </c>
      <c r="AT305" s="2">
        <f t="shared" si="139"/>
        <v>0</v>
      </c>
      <c r="AU305" s="2">
        <f t="shared" ref="AU305:BZ305" si="140">AU310</f>
        <v>0</v>
      </c>
      <c r="AV305" s="2">
        <f t="shared" si="140"/>
        <v>0</v>
      </c>
      <c r="AW305" s="2">
        <f t="shared" si="140"/>
        <v>0</v>
      </c>
      <c r="AX305" s="2">
        <f t="shared" si="140"/>
        <v>0</v>
      </c>
      <c r="AY305" s="2">
        <f t="shared" si="140"/>
        <v>0</v>
      </c>
      <c r="AZ305" s="2">
        <f t="shared" si="140"/>
        <v>0</v>
      </c>
      <c r="BA305" s="2">
        <f t="shared" si="140"/>
        <v>0</v>
      </c>
      <c r="BB305" s="2">
        <f t="shared" si="140"/>
        <v>0</v>
      </c>
      <c r="BC305" s="2">
        <f t="shared" si="140"/>
        <v>0</v>
      </c>
      <c r="BD305" s="2">
        <f t="shared" si="140"/>
        <v>9785.74</v>
      </c>
      <c r="BE305" s="2">
        <f t="shared" si="140"/>
        <v>0</v>
      </c>
      <c r="BF305" s="2">
        <f t="shared" si="140"/>
        <v>0</v>
      </c>
      <c r="BG305" s="2">
        <f t="shared" si="140"/>
        <v>0</v>
      </c>
      <c r="BH305" s="2">
        <f t="shared" si="140"/>
        <v>0</v>
      </c>
      <c r="BI305" s="2">
        <f t="shared" si="140"/>
        <v>0</v>
      </c>
      <c r="BJ305" s="2">
        <f t="shared" si="140"/>
        <v>0</v>
      </c>
      <c r="BK305" s="2">
        <f t="shared" si="140"/>
        <v>0</v>
      </c>
      <c r="BL305" s="2">
        <f t="shared" si="140"/>
        <v>0</v>
      </c>
      <c r="BM305" s="2">
        <f t="shared" si="140"/>
        <v>0</v>
      </c>
      <c r="BN305" s="2">
        <f t="shared" si="140"/>
        <v>0</v>
      </c>
      <c r="BO305" s="2">
        <f t="shared" si="140"/>
        <v>0</v>
      </c>
      <c r="BP305" s="2">
        <f t="shared" si="140"/>
        <v>0</v>
      </c>
      <c r="BQ305" s="2">
        <f t="shared" si="140"/>
        <v>0</v>
      </c>
      <c r="BR305" s="2">
        <f t="shared" si="140"/>
        <v>0</v>
      </c>
      <c r="BS305" s="2">
        <f t="shared" si="140"/>
        <v>0</v>
      </c>
      <c r="BT305" s="2">
        <f t="shared" si="140"/>
        <v>0</v>
      </c>
      <c r="BU305" s="2">
        <f t="shared" si="140"/>
        <v>0</v>
      </c>
      <c r="BV305" s="2">
        <f t="shared" si="140"/>
        <v>0</v>
      </c>
      <c r="BW305" s="2">
        <f t="shared" si="140"/>
        <v>0</v>
      </c>
      <c r="BX305" s="2">
        <f t="shared" si="140"/>
        <v>0</v>
      </c>
      <c r="BY305" s="2">
        <f t="shared" si="140"/>
        <v>0</v>
      </c>
      <c r="BZ305" s="2">
        <f t="shared" si="140"/>
        <v>0</v>
      </c>
      <c r="CA305" s="2">
        <f t="shared" ref="CA305:DF305" si="141">CA310</f>
        <v>9785.74</v>
      </c>
      <c r="CB305" s="2">
        <f t="shared" si="141"/>
        <v>9785.74</v>
      </c>
      <c r="CC305" s="2">
        <f t="shared" si="141"/>
        <v>0</v>
      </c>
      <c r="CD305" s="2">
        <f t="shared" si="141"/>
        <v>0</v>
      </c>
      <c r="CE305" s="2">
        <f t="shared" si="141"/>
        <v>0</v>
      </c>
      <c r="CF305" s="2">
        <f t="shared" si="141"/>
        <v>0</v>
      </c>
      <c r="CG305" s="2">
        <f t="shared" si="141"/>
        <v>0</v>
      </c>
      <c r="CH305" s="2">
        <f t="shared" si="141"/>
        <v>0</v>
      </c>
      <c r="CI305" s="2">
        <f t="shared" si="141"/>
        <v>0</v>
      </c>
      <c r="CJ305" s="2">
        <f t="shared" si="141"/>
        <v>0</v>
      </c>
      <c r="CK305" s="2">
        <f t="shared" si="141"/>
        <v>0</v>
      </c>
      <c r="CL305" s="2">
        <f t="shared" si="141"/>
        <v>0</v>
      </c>
      <c r="CM305" s="2">
        <f t="shared" si="141"/>
        <v>9785.74</v>
      </c>
      <c r="CN305" s="2">
        <f t="shared" si="141"/>
        <v>0</v>
      </c>
      <c r="CO305" s="2">
        <f t="shared" si="141"/>
        <v>0</v>
      </c>
      <c r="CP305" s="2">
        <f t="shared" si="141"/>
        <v>0</v>
      </c>
      <c r="CQ305" s="2">
        <f t="shared" si="141"/>
        <v>0</v>
      </c>
      <c r="CR305" s="2">
        <f t="shared" si="141"/>
        <v>0</v>
      </c>
      <c r="CS305" s="2">
        <f t="shared" si="141"/>
        <v>0</v>
      </c>
      <c r="CT305" s="2">
        <f t="shared" si="141"/>
        <v>0</v>
      </c>
      <c r="CU305" s="2">
        <f t="shared" si="141"/>
        <v>0</v>
      </c>
      <c r="CV305" s="2">
        <f t="shared" si="141"/>
        <v>0</v>
      </c>
      <c r="CW305" s="2">
        <f t="shared" si="141"/>
        <v>0</v>
      </c>
      <c r="CX305" s="2">
        <f t="shared" si="141"/>
        <v>0</v>
      </c>
      <c r="CY305" s="2">
        <f t="shared" si="141"/>
        <v>0</v>
      </c>
      <c r="CZ305" s="2">
        <f t="shared" si="141"/>
        <v>0</v>
      </c>
      <c r="DA305" s="2">
        <f t="shared" si="141"/>
        <v>0</v>
      </c>
      <c r="DB305" s="2">
        <f t="shared" si="141"/>
        <v>0</v>
      </c>
      <c r="DC305" s="2">
        <f t="shared" si="141"/>
        <v>0</v>
      </c>
      <c r="DD305" s="2">
        <f t="shared" si="141"/>
        <v>0</v>
      </c>
      <c r="DE305" s="2">
        <f t="shared" si="141"/>
        <v>0</v>
      </c>
      <c r="DF305" s="2">
        <f t="shared" si="141"/>
        <v>0</v>
      </c>
      <c r="DG305" s="3">
        <f t="shared" ref="DG305:EL305" si="142">DG310</f>
        <v>0</v>
      </c>
      <c r="DH305" s="3">
        <f t="shared" si="142"/>
        <v>0</v>
      </c>
      <c r="DI305" s="3">
        <f t="shared" si="142"/>
        <v>0</v>
      </c>
      <c r="DJ305" s="3">
        <f t="shared" si="142"/>
        <v>0</v>
      </c>
      <c r="DK305" s="3">
        <f t="shared" si="142"/>
        <v>0</v>
      </c>
      <c r="DL305" s="3">
        <f t="shared" si="142"/>
        <v>0</v>
      </c>
      <c r="DM305" s="3">
        <f t="shared" si="142"/>
        <v>0</v>
      </c>
      <c r="DN305" s="3">
        <f t="shared" si="142"/>
        <v>0</v>
      </c>
      <c r="DO305" s="3">
        <f t="shared" si="142"/>
        <v>0</v>
      </c>
      <c r="DP305" s="3">
        <f t="shared" si="142"/>
        <v>0</v>
      </c>
      <c r="DQ305" s="3">
        <f t="shared" si="142"/>
        <v>0</v>
      </c>
      <c r="DR305" s="3">
        <f t="shared" si="142"/>
        <v>0</v>
      </c>
      <c r="DS305" s="3">
        <f t="shared" si="142"/>
        <v>0</v>
      </c>
      <c r="DT305" s="3">
        <f t="shared" si="142"/>
        <v>0</v>
      </c>
      <c r="DU305" s="3">
        <f t="shared" si="142"/>
        <v>0</v>
      </c>
      <c r="DV305" s="3">
        <f t="shared" si="142"/>
        <v>0</v>
      </c>
      <c r="DW305" s="3">
        <f t="shared" si="142"/>
        <v>0</v>
      </c>
      <c r="DX305" s="3">
        <f t="shared" si="142"/>
        <v>0</v>
      </c>
      <c r="DY305" s="3">
        <f t="shared" si="142"/>
        <v>0</v>
      </c>
      <c r="DZ305" s="3">
        <f t="shared" si="142"/>
        <v>0</v>
      </c>
      <c r="EA305" s="3">
        <f t="shared" si="142"/>
        <v>0</v>
      </c>
      <c r="EB305" s="3">
        <f t="shared" si="142"/>
        <v>0</v>
      </c>
      <c r="EC305" s="3">
        <f t="shared" si="142"/>
        <v>0</v>
      </c>
      <c r="ED305" s="3">
        <f t="shared" si="142"/>
        <v>0</v>
      </c>
      <c r="EE305" s="3">
        <f t="shared" si="142"/>
        <v>0</v>
      </c>
      <c r="EF305" s="3">
        <f t="shared" si="142"/>
        <v>0</v>
      </c>
      <c r="EG305" s="3">
        <f t="shared" si="142"/>
        <v>0</v>
      </c>
      <c r="EH305" s="3">
        <f t="shared" si="142"/>
        <v>0</v>
      </c>
      <c r="EI305" s="3">
        <f t="shared" si="142"/>
        <v>0</v>
      </c>
      <c r="EJ305" s="3">
        <f t="shared" si="142"/>
        <v>0</v>
      </c>
      <c r="EK305" s="3">
        <f t="shared" si="142"/>
        <v>0</v>
      </c>
      <c r="EL305" s="3">
        <f t="shared" si="142"/>
        <v>0</v>
      </c>
      <c r="EM305" s="3">
        <f t="shared" ref="EM305:FR305" si="143">EM310</f>
        <v>0</v>
      </c>
      <c r="EN305" s="3">
        <f t="shared" si="143"/>
        <v>0</v>
      </c>
      <c r="EO305" s="3">
        <f t="shared" si="143"/>
        <v>0</v>
      </c>
      <c r="EP305" s="3">
        <f t="shared" si="143"/>
        <v>0</v>
      </c>
      <c r="EQ305" s="3">
        <f t="shared" si="143"/>
        <v>0</v>
      </c>
      <c r="ER305" s="3">
        <f t="shared" si="143"/>
        <v>0</v>
      </c>
      <c r="ES305" s="3">
        <f t="shared" si="143"/>
        <v>0</v>
      </c>
      <c r="ET305" s="3">
        <f t="shared" si="143"/>
        <v>0</v>
      </c>
      <c r="EU305" s="3">
        <f t="shared" si="143"/>
        <v>0</v>
      </c>
      <c r="EV305" s="3">
        <f t="shared" si="143"/>
        <v>0</v>
      </c>
      <c r="EW305" s="3">
        <f t="shared" si="143"/>
        <v>0</v>
      </c>
      <c r="EX305" s="3">
        <f t="shared" si="143"/>
        <v>0</v>
      </c>
      <c r="EY305" s="3">
        <f t="shared" si="143"/>
        <v>0</v>
      </c>
      <c r="EZ305" s="3">
        <f t="shared" si="143"/>
        <v>0</v>
      </c>
      <c r="FA305" s="3">
        <f t="shared" si="143"/>
        <v>0</v>
      </c>
      <c r="FB305" s="3">
        <f t="shared" si="143"/>
        <v>0</v>
      </c>
      <c r="FC305" s="3">
        <f t="shared" si="143"/>
        <v>0</v>
      </c>
      <c r="FD305" s="3">
        <f t="shared" si="143"/>
        <v>0</v>
      </c>
      <c r="FE305" s="3">
        <f t="shared" si="143"/>
        <v>0</v>
      </c>
      <c r="FF305" s="3">
        <f t="shared" si="143"/>
        <v>0</v>
      </c>
      <c r="FG305" s="3">
        <f t="shared" si="143"/>
        <v>0</v>
      </c>
      <c r="FH305" s="3">
        <f t="shared" si="143"/>
        <v>0</v>
      </c>
      <c r="FI305" s="3">
        <f t="shared" si="143"/>
        <v>0</v>
      </c>
      <c r="FJ305" s="3">
        <f t="shared" si="143"/>
        <v>0</v>
      </c>
      <c r="FK305" s="3">
        <f t="shared" si="143"/>
        <v>0</v>
      </c>
      <c r="FL305" s="3">
        <f t="shared" si="143"/>
        <v>0</v>
      </c>
      <c r="FM305" s="3">
        <f t="shared" si="143"/>
        <v>0</v>
      </c>
      <c r="FN305" s="3">
        <f t="shared" si="143"/>
        <v>0</v>
      </c>
      <c r="FO305" s="3">
        <f t="shared" si="143"/>
        <v>0</v>
      </c>
      <c r="FP305" s="3">
        <f t="shared" si="143"/>
        <v>0</v>
      </c>
      <c r="FQ305" s="3">
        <f t="shared" si="143"/>
        <v>0</v>
      </c>
      <c r="FR305" s="3">
        <f t="shared" si="143"/>
        <v>0</v>
      </c>
      <c r="FS305" s="3">
        <f t="shared" ref="FS305:GX305" si="144">FS310</f>
        <v>0</v>
      </c>
      <c r="FT305" s="3">
        <f t="shared" si="144"/>
        <v>0</v>
      </c>
      <c r="FU305" s="3">
        <f t="shared" si="144"/>
        <v>0</v>
      </c>
      <c r="FV305" s="3">
        <f t="shared" si="144"/>
        <v>0</v>
      </c>
      <c r="FW305" s="3">
        <f t="shared" si="144"/>
        <v>0</v>
      </c>
      <c r="FX305" s="3">
        <f t="shared" si="144"/>
        <v>0</v>
      </c>
      <c r="FY305" s="3">
        <f t="shared" si="144"/>
        <v>0</v>
      </c>
      <c r="FZ305" s="3">
        <f t="shared" si="144"/>
        <v>0</v>
      </c>
      <c r="GA305" s="3">
        <f t="shared" si="144"/>
        <v>0</v>
      </c>
      <c r="GB305" s="3">
        <f t="shared" si="144"/>
        <v>0</v>
      </c>
      <c r="GC305" s="3">
        <f t="shared" si="144"/>
        <v>0</v>
      </c>
      <c r="GD305" s="3">
        <f t="shared" si="144"/>
        <v>0</v>
      </c>
      <c r="GE305" s="3">
        <f t="shared" si="144"/>
        <v>0</v>
      </c>
      <c r="GF305" s="3">
        <f t="shared" si="144"/>
        <v>0</v>
      </c>
      <c r="GG305" s="3">
        <f t="shared" si="144"/>
        <v>0</v>
      </c>
      <c r="GH305" s="3">
        <f t="shared" si="144"/>
        <v>0</v>
      </c>
      <c r="GI305" s="3">
        <f t="shared" si="144"/>
        <v>0</v>
      </c>
      <c r="GJ305" s="3">
        <f t="shared" si="144"/>
        <v>0</v>
      </c>
      <c r="GK305" s="3">
        <f t="shared" si="144"/>
        <v>0</v>
      </c>
      <c r="GL305" s="3">
        <f t="shared" si="144"/>
        <v>0</v>
      </c>
      <c r="GM305" s="3">
        <f t="shared" si="144"/>
        <v>0</v>
      </c>
      <c r="GN305" s="3">
        <f t="shared" si="144"/>
        <v>0</v>
      </c>
      <c r="GO305" s="3">
        <f t="shared" si="144"/>
        <v>0</v>
      </c>
      <c r="GP305" s="3">
        <f t="shared" si="144"/>
        <v>0</v>
      </c>
      <c r="GQ305" s="3">
        <f t="shared" si="144"/>
        <v>0</v>
      </c>
      <c r="GR305" s="3">
        <f t="shared" si="144"/>
        <v>0</v>
      </c>
      <c r="GS305" s="3">
        <f t="shared" si="144"/>
        <v>0</v>
      </c>
      <c r="GT305" s="3">
        <f t="shared" si="144"/>
        <v>0</v>
      </c>
      <c r="GU305" s="3">
        <f t="shared" si="144"/>
        <v>0</v>
      </c>
      <c r="GV305" s="3">
        <f t="shared" si="144"/>
        <v>0</v>
      </c>
      <c r="GW305" s="3">
        <f t="shared" si="144"/>
        <v>0</v>
      </c>
      <c r="GX305" s="3">
        <f t="shared" si="144"/>
        <v>0</v>
      </c>
    </row>
    <row r="307" spans="1:255" x14ac:dyDescent="0.2">
      <c r="A307" s="5">
        <v>17</v>
      </c>
      <c r="B307" s="5">
        <v>1</v>
      </c>
      <c r="C307" s="5"/>
      <c r="D307" s="5"/>
      <c r="E307" s="5" t="s">
        <v>285</v>
      </c>
      <c r="F307" s="5" t="s">
        <v>286</v>
      </c>
      <c r="G307" s="5" t="s">
        <v>287</v>
      </c>
      <c r="H307" s="5" t="s">
        <v>288</v>
      </c>
      <c r="I307" s="5">
        <v>9.4679900000000004</v>
      </c>
      <c r="J307" s="5">
        <v>0</v>
      </c>
      <c r="K307" s="5">
        <v>9.4679900000000004</v>
      </c>
      <c r="L307" s="5"/>
      <c r="M307" s="5"/>
      <c r="N307" s="5"/>
      <c r="O307" s="5">
        <f>0</f>
        <v>0</v>
      </c>
      <c r="P307" s="5">
        <f>0</f>
        <v>0</v>
      </c>
      <c r="Q307" s="5">
        <f>0</f>
        <v>0</v>
      </c>
      <c r="R307" s="5">
        <f>0</f>
        <v>0</v>
      </c>
      <c r="S307" s="5">
        <f>0</f>
        <v>0</v>
      </c>
      <c r="T307" s="5">
        <f>0</f>
        <v>0</v>
      </c>
      <c r="U307" s="5">
        <f>0</f>
        <v>0</v>
      </c>
      <c r="V307" s="5">
        <f>0</f>
        <v>0</v>
      </c>
      <c r="W307" s="5">
        <f>0</f>
        <v>0</v>
      </c>
      <c r="X307" s="5">
        <f>0</f>
        <v>0</v>
      </c>
      <c r="Y307" s="5">
        <f>0</f>
        <v>0</v>
      </c>
      <c r="Z307" s="5"/>
      <c r="AA307" s="5">
        <v>74852007</v>
      </c>
      <c r="AB307" s="5">
        <f>ROUND((AK307),2)</f>
        <v>840.61</v>
      </c>
      <c r="AC307" s="5">
        <f>0</f>
        <v>0</v>
      </c>
      <c r="AD307" s="5">
        <f>0</f>
        <v>0</v>
      </c>
      <c r="AE307" s="5">
        <f>0</f>
        <v>0</v>
      </c>
      <c r="AF307" s="5">
        <f>0</f>
        <v>0</v>
      </c>
      <c r="AG307" s="5">
        <f>0</f>
        <v>0</v>
      </c>
      <c r="AH307" s="5">
        <f>0</f>
        <v>0</v>
      </c>
      <c r="AI307" s="5">
        <f>0</f>
        <v>0</v>
      </c>
      <c r="AJ307" s="5">
        <f>0</f>
        <v>0</v>
      </c>
      <c r="AK307" s="5">
        <v>840.61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1</v>
      </c>
      <c r="AW307" s="5">
        <v>1</v>
      </c>
      <c r="AX307" s="5"/>
      <c r="AY307" s="5"/>
      <c r="AZ307" s="5">
        <v>1</v>
      </c>
      <c r="BA307" s="5">
        <v>1</v>
      </c>
      <c r="BB307" s="5">
        <v>1</v>
      </c>
      <c r="BC307" s="5">
        <v>1</v>
      </c>
      <c r="BD307" s="5" t="s">
        <v>6</v>
      </c>
      <c r="BE307" s="5" t="s">
        <v>6</v>
      </c>
      <c r="BF307" s="5" t="s">
        <v>6</v>
      </c>
      <c r="BG307" s="5" t="s">
        <v>6</v>
      </c>
      <c r="BH307" s="5">
        <v>0</v>
      </c>
      <c r="BI307" s="5">
        <v>1</v>
      </c>
      <c r="BJ307" s="5" t="s">
        <v>286</v>
      </c>
      <c r="BK307" s="5"/>
      <c r="BL307" s="5"/>
      <c r="BM307" s="5">
        <v>700007</v>
      </c>
      <c r="BN307" s="5">
        <v>66927928</v>
      </c>
      <c r="BO307" s="5" t="s">
        <v>6</v>
      </c>
      <c r="BP307" s="5">
        <v>0</v>
      </c>
      <c r="BQ307" s="5">
        <v>19</v>
      </c>
      <c r="BR307" s="5">
        <v>0</v>
      </c>
      <c r="BS307" s="5">
        <v>1</v>
      </c>
      <c r="BT307" s="5">
        <v>1</v>
      </c>
      <c r="BU307" s="5">
        <v>1</v>
      </c>
      <c r="BV307" s="5">
        <v>1</v>
      </c>
      <c r="BW307" s="5">
        <v>1</v>
      </c>
      <c r="BX307" s="5">
        <v>1</v>
      </c>
      <c r="BY307" s="5" t="s">
        <v>6</v>
      </c>
      <c r="BZ307" s="5">
        <v>94</v>
      </c>
      <c r="CA307" s="5">
        <v>42</v>
      </c>
      <c r="CB307" s="5" t="s">
        <v>6</v>
      </c>
      <c r="CC307" s="5"/>
      <c r="CD307" s="5"/>
      <c r="CE307" s="5">
        <v>0</v>
      </c>
      <c r="CF307" s="5">
        <v>0</v>
      </c>
      <c r="CG307" s="5">
        <v>0</v>
      </c>
      <c r="CH307" s="5"/>
      <c r="CI307" s="5"/>
      <c r="CJ307" s="5"/>
      <c r="CK307" s="5"/>
      <c r="CL307" s="5"/>
      <c r="CM307" s="5">
        <v>0</v>
      </c>
      <c r="CN307" s="5" t="s">
        <v>6</v>
      </c>
      <c r="CO307" s="5">
        <v>0</v>
      </c>
      <c r="CP307" s="5">
        <f>AB307*AZ307</f>
        <v>840.61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/>
      <c r="DB307" s="5"/>
      <c r="DC307" s="5" t="s">
        <v>6</v>
      </c>
      <c r="DD307" s="5" t="s">
        <v>6</v>
      </c>
      <c r="DE307" s="5" t="s">
        <v>6</v>
      </c>
      <c r="DF307" s="5" t="s">
        <v>6</v>
      </c>
      <c r="DG307" s="5" t="s">
        <v>6</v>
      </c>
      <c r="DH307" s="5" t="s">
        <v>6</v>
      </c>
      <c r="DI307" s="5" t="s">
        <v>6</v>
      </c>
      <c r="DJ307" s="5" t="s">
        <v>6</v>
      </c>
      <c r="DK307" s="5" t="s">
        <v>6</v>
      </c>
      <c r="DL307" s="5" t="s">
        <v>6</v>
      </c>
      <c r="DM307" s="5" t="s">
        <v>6</v>
      </c>
      <c r="DN307" s="5">
        <v>0</v>
      </c>
      <c r="DO307" s="5">
        <v>0</v>
      </c>
      <c r="DP307" s="5">
        <v>1</v>
      </c>
      <c r="DQ307" s="5">
        <v>1</v>
      </c>
      <c r="DR307" s="5"/>
      <c r="DS307" s="5"/>
      <c r="DT307" s="5"/>
      <c r="DU307" s="5">
        <v>1013</v>
      </c>
      <c r="DV307" s="5" t="s">
        <v>288</v>
      </c>
      <c r="DW307" s="5" t="s">
        <v>288</v>
      </c>
      <c r="DX307" s="5">
        <v>1</v>
      </c>
      <c r="DY307" s="5"/>
      <c r="DZ307" s="5" t="s">
        <v>6</v>
      </c>
      <c r="EA307" s="5" t="s">
        <v>6</v>
      </c>
      <c r="EB307" s="5" t="s">
        <v>6</v>
      </c>
      <c r="EC307" s="5" t="s">
        <v>6</v>
      </c>
      <c r="ED307" s="5"/>
      <c r="EE307" s="5">
        <v>67842332</v>
      </c>
      <c r="EF307" s="5">
        <v>19</v>
      </c>
      <c r="EG307" s="5" t="s">
        <v>289</v>
      </c>
      <c r="EH307" s="5">
        <v>106</v>
      </c>
      <c r="EI307" s="5" t="s">
        <v>289</v>
      </c>
      <c r="EJ307" s="5">
        <v>1</v>
      </c>
      <c r="EK307" s="5">
        <v>700007</v>
      </c>
      <c r="EL307" s="5" t="s">
        <v>289</v>
      </c>
      <c r="EM307" s="5" t="s">
        <v>290</v>
      </c>
      <c r="EN307" s="5"/>
      <c r="EO307" s="5" t="s">
        <v>6</v>
      </c>
      <c r="EP307" s="5"/>
      <c r="EQ307" s="5">
        <v>0</v>
      </c>
      <c r="ER307" s="5">
        <v>0</v>
      </c>
      <c r="ES307" s="5">
        <v>0</v>
      </c>
      <c r="ET307" s="5">
        <v>0</v>
      </c>
      <c r="EU307" s="5">
        <v>0</v>
      </c>
      <c r="EV307" s="5">
        <v>0</v>
      </c>
      <c r="EW307" s="5">
        <v>0</v>
      </c>
      <c r="EX307" s="5">
        <v>0</v>
      </c>
      <c r="EY307" s="5">
        <v>0</v>
      </c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>
        <v>0</v>
      </c>
      <c r="FR307" s="5">
        <v>0</v>
      </c>
      <c r="FS307" s="5">
        <v>0</v>
      </c>
      <c r="FT307" s="5"/>
      <c r="FU307" s="5"/>
      <c r="FV307" s="5"/>
      <c r="FW307" s="5"/>
      <c r="FX307" s="5">
        <v>0</v>
      </c>
      <c r="FY307" s="5">
        <v>0</v>
      </c>
      <c r="FZ307" s="5"/>
      <c r="GA307" s="5" t="s">
        <v>6</v>
      </c>
      <c r="GB307" s="5"/>
      <c r="GC307" s="5"/>
      <c r="GD307" s="5">
        <v>1</v>
      </c>
      <c r="GE307" s="5"/>
      <c r="GF307" s="5">
        <v>447273554</v>
      </c>
      <c r="GG307" s="5">
        <v>2</v>
      </c>
      <c r="GH307" s="5">
        <v>1</v>
      </c>
      <c r="GI307" s="5">
        <v>-2</v>
      </c>
      <c r="GJ307" s="5">
        <v>2</v>
      </c>
      <c r="GK307" s="5">
        <v>0</v>
      </c>
      <c r="GL307" s="5">
        <f>ROUND(IF(AND(BH307=3,BI307=3,FS307&lt;&gt;0),P307,0),2)</f>
        <v>0</v>
      </c>
      <c r="GM307" s="5">
        <f>ROUND(CP307*I307,2)</f>
        <v>7958.89</v>
      </c>
      <c r="GN307" s="5">
        <f>IF(OR(BI307=0,BI307=1),GM307-GX307,0)</f>
        <v>7958.89</v>
      </c>
      <c r="GO307" s="5">
        <f>IF(BI307=2,GM307-GX307,0)</f>
        <v>0</v>
      </c>
      <c r="GP307" s="5">
        <f>IF(BI307=4,GM307-GX307,0)</f>
        <v>0</v>
      </c>
      <c r="GQ307" s="5"/>
      <c r="GR307" s="5">
        <v>0</v>
      </c>
      <c r="GS307" s="5">
        <v>3</v>
      </c>
      <c r="GT307" s="5">
        <v>0</v>
      </c>
      <c r="GU307" s="5" t="s">
        <v>6</v>
      </c>
      <c r="GV307" s="5">
        <f>0</f>
        <v>0</v>
      </c>
      <c r="GW307" s="5">
        <v>1</v>
      </c>
      <c r="GX307" s="5">
        <f>0</f>
        <v>0</v>
      </c>
      <c r="GY307" s="5"/>
      <c r="GZ307" s="5"/>
      <c r="HA307" s="5">
        <v>0</v>
      </c>
      <c r="HB307" s="5">
        <v>0</v>
      </c>
      <c r="HC307" s="5">
        <v>0</v>
      </c>
      <c r="HD307" s="5">
        <f>GM307</f>
        <v>7958.89</v>
      </c>
      <c r="HE307" s="5" t="s">
        <v>6</v>
      </c>
      <c r="HF307" s="5" t="s">
        <v>6</v>
      </c>
      <c r="HG307" s="5"/>
      <c r="HH307" s="5"/>
      <c r="HI307" s="5"/>
      <c r="HJ307" s="5"/>
      <c r="HK307" s="5"/>
      <c r="HL307" s="5"/>
      <c r="HM307" s="5" t="s">
        <v>6</v>
      </c>
      <c r="HN307" s="5" t="s">
        <v>291</v>
      </c>
      <c r="HO307" s="5" t="s">
        <v>292</v>
      </c>
      <c r="HP307" s="5" t="s">
        <v>289</v>
      </c>
      <c r="HQ307" s="5" t="s">
        <v>289</v>
      </c>
      <c r="HR307" s="5"/>
      <c r="HS307" s="5">
        <v>0</v>
      </c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>
        <v>0</v>
      </c>
      <c r="IL307" s="5"/>
      <c r="IM307" s="5"/>
      <c r="IN307" s="5"/>
      <c r="IO307" s="5"/>
      <c r="IP307" s="5"/>
      <c r="IQ307" s="5"/>
      <c r="IR307" s="5"/>
      <c r="IS307" s="5"/>
      <c r="IT307" s="5"/>
      <c r="IU307" s="5"/>
    </row>
    <row r="308" spans="1:255" x14ac:dyDescent="0.2">
      <c r="A308" s="5">
        <v>17</v>
      </c>
      <c r="B308" s="5">
        <v>1</v>
      </c>
      <c r="C308" s="5"/>
      <c r="D308" s="5"/>
      <c r="E308" s="5" t="s">
        <v>293</v>
      </c>
      <c r="F308" s="5" t="s">
        <v>294</v>
      </c>
      <c r="G308" s="5" t="s">
        <v>295</v>
      </c>
      <c r="H308" s="5" t="s">
        <v>288</v>
      </c>
      <c r="I308" s="5">
        <v>9.4679900000000004</v>
      </c>
      <c r="J308" s="5">
        <v>0</v>
      </c>
      <c r="K308" s="5">
        <v>9.4679900000000004</v>
      </c>
      <c r="L308" s="5"/>
      <c r="M308" s="5"/>
      <c r="N308" s="5"/>
      <c r="O308" s="5">
        <f>0</f>
        <v>0</v>
      </c>
      <c r="P308" s="5">
        <f>0</f>
        <v>0</v>
      </c>
      <c r="Q308" s="5">
        <f>0</f>
        <v>0</v>
      </c>
      <c r="R308" s="5">
        <f>0</f>
        <v>0</v>
      </c>
      <c r="S308" s="5">
        <f>0</f>
        <v>0</v>
      </c>
      <c r="T308" s="5">
        <f>0</f>
        <v>0</v>
      </c>
      <c r="U308" s="5">
        <f>0</f>
        <v>0</v>
      </c>
      <c r="V308" s="5">
        <f>0</f>
        <v>0</v>
      </c>
      <c r="W308" s="5">
        <f>0</f>
        <v>0</v>
      </c>
      <c r="X308" s="5">
        <f>0</f>
        <v>0</v>
      </c>
      <c r="Y308" s="5">
        <f>0</f>
        <v>0</v>
      </c>
      <c r="Z308" s="5"/>
      <c r="AA308" s="5">
        <v>74852007</v>
      </c>
      <c r="AB308" s="5">
        <f>ROUND((AK308),2)</f>
        <v>192.95</v>
      </c>
      <c r="AC308" s="5">
        <f>0</f>
        <v>0</v>
      </c>
      <c r="AD308" s="5">
        <f>0</f>
        <v>0</v>
      </c>
      <c r="AE308" s="5">
        <f>0</f>
        <v>0</v>
      </c>
      <c r="AF308" s="5">
        <f>0</f>
        <v>0</v>
      </c>
      <c r="AG308" s="5">
        <f>0</f>
        <v>0</v>
      </c>
      <c r="AH308" s="5">
        <f>0</f>
        <v>0</v>
      </c>
      <c r="AI308" s="5">
        <f>0</f>
        <v>0</v>
      </c>
      <c r="AJ308" s="5">
        <f>0</f>
        <v>0</v>
      </c>
      <c r="AK308" s="5">
        <v>192.95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1</v>
      </c>
      <c r="AW308" s="5">
        <v>1</v>
      </c>
      <c r="AX308" s="5"/>
      <c r="AY308" s="5"/>
      <c r="AZ308" s="5">
        <v>1</v>
      </c>
      <c r="BA308" s="5">
        <v>1</v>
      </c>
      <c r="BB308" s="5">
        <v>1</v>
      </c>
      <c r="BC308" s="5">
        <v>1</v>
      </c>
      <c r="BD308" s="5" t="s">
        <v>6</v>
      </c>
      <c r="BE308" s="5" t="s">
        <v>6</v>
      </c>
      <c r="BF308" s="5" t="s">
        <v>6</v>
      </c>
      <c r="BG308" s="5" t="s">
        <v>6</v>
      </c>
      <c r="BH308" s="5">
        <v>0</v>
      </c>
      <c r="BI308" s="5">
        <v>1</v>
      </c>
      <c r="BJ308" s="5" t="s">
        <v>294</v>
      </c>
      <c r="BK308" s="5"/>
      <c r="BL308" s="5"/>
      <c r="BM308" s="5">
        <v>700008</v>
      </c>
      <c r="BN308" s="5">
        <v>66927928</v>
      </c>
      <c r="BO308" s="5" t="s">
        <v>6</v>
      </c>
      <c r="BP308" s="5">
        <v>0</v>
      </c>
      <c r="BQ308" s="5">
        <v>10</v>
      </c>
      <c r="BR308" s="5">
        <v>0</v>
      </c>
      <c r="BS308" s="5">
        <v>1</v>
      </c>
      <c r="BT308" s="5">
        <v>1</v>
      </c>
      <c r="BU308" s="5">
        <v>1</v>
      </c>
      <c r="BV308" s="5">
        <v>1</v>
      </c>
      <c r="BW308" s="5">
        <v>1</v>
      </c>
      <c r="BX308" s="5">
        <v>1</v>
      </c>
      <c r="BY308" s="5" t="s">
        <v>6</v>
      </c>
      <c r="BZ308" s="5">
        <v>94</v>
      </c>
      <c r="CA308" s="5">
        <v>61</v>
      </c>
      <c r="CB308" s="5" t="s">
        <v>6</v>
      </c>
      <c r="CC308" s="5"/>
      <c r="CD308" s="5"/>
      <c r="CE308" s="5">
        <v>0</v>
      </c>
      <c r="CF308" s="5">
        <v>0</v>
      </c>
      <c r="CG308" s="5">
        <v>0</v>
      </c>
      <c r="CH308" s="5"/>
      <c r="CI308" s="5"/>
      <c r="CJ308" s="5"/>
      <c r="CK308" s="5"/>
      <c r="CL308" s="5"/>
      <c r="CM308" s="5">
        <v>0</v>
      </c>
      <c r="CN308" s="5" t="s">
        <v>6</v>
      </c>
      <c r="CO308" s="5">
        <v>0</v>
      </c>
      <c r="CP308" s="5">
        <f>AB308*AZ308</f>
        <v>192.95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/>
      <c r="DB308" s="5"/>
      <c r="DC308" s="5" t="s">
        <v>6</v>
      </c>
      <c r="DD308" s="5" t="s">
        <v>6</v>
      </c>
      <c r="DE308" s="5" t="s">
        <v>6</v>
      </c>
      <c r="DF308" s="5" t="s">
        <v>6</v>
      </c>
      <c r="DG308" s="5" t="s">
        <v>6</v>
      </c>
      <c r="DH308" s="5" t="s">
        <v>6</v>
      </c>
      <c r="DI308" s="5" t="s">
        <v>6</v>
      </c>
      <c r="DJ308" s="5" t="s">
        <v>6</v>
      </c>
      <c r="DK308" s="5" t="s">
        <v>6</v>
      </c>
      <c r="DL308" s="5" t="s">
        <v>6</v>
      </c>
      <c r="DM308" s="5" t="s">
        <v>6</v>
      </c>
      <c r="DN308" s="5">
        <v>0</v>
      </c>
      <c r="DO308" s="5">
        <v>0</v>
      </c>
      <c r="DP308" s="5">
        <v>1</v>
      </c>
      <c r="DQ308" s="5">
        <v>1</v>
      </c>
      <c r="DR308" s="5"/>
      <c r="DS308" s="5"/>
      <c r="DT308" s="5"/>
      <c r="DU308" s="5">
        <v>1013</v>
      </c>
      <c r="DV308" s="5" t="s">
        <v>288</v>
      </c>
      <c r="DW308" s="5" t="s">
        <v>288</v>
      </c>
      <c r="DX308" s="5">
        <v>1</v>
      </c>
      <c r="DY308" s="5"/>
      <c r="DZ308" s="5" t="s">
        <v>6</v>
      </c>
      <c r="EA308" s="5" t="s">
        <v>6</v>
      </c>
      <c r="EB308" s="5" t="s">
        <v>6</v>
      </c>
      <c r="EC308" s="5" t="s">
        <v>6</v>
      </c>
      <c r="ED308" s="5"/>
      <c r="EE308" s="5">
        <v>67842333</v>
      </c>
      <c r="EF308" s="5">
        <v>10</v>
      </c>
      <c r="EG308" s="5" t="s">
        <v>296</v>
      </c>
      <c r="EH308" s="5">
        <v>107</v>
      </c>
      <c r="EI308" s="5" t="s">
        <v>297</v>
      </c>
      <c r="EJ308" s="5">
        <v>1</v>
      </c>
      <c r="EK308" s="5">
        <v>700008</v>
      </c>
      <c r="EL308" s="5" t="s">
        <v>298</v>
      </c>
      <c r="EM308" s="5" t="s">
        <v>299</v>
      </c>
      <c r="EN308" s="5"/>
      <c r="EO308" s="5" t="s">
        <v>6</v>
      </c>
      <c r="EP308" s="5"/>
      <c r="EQ308" s="5">
        <v>0</v>
      </c>
      <c r="ER308" s="5">
        <v>0</v>
      </c>
      <c r="ES308" s="5">
        <v>0</v>
      </c>
      <c r="ET308" s="5">
        <v>0</v>
      </c>
      <c r="EU308" s="5">
        <v>0</v>
      </c>
      <c r="EV308" s="5">
        <v>0</v>
      </c>
      <c r="EW308" s="5">
        <v>0</v>
      </c>
      <c r="EX308" s="5">
        <v>0</v>
      </c>
      <c r="EY308" s="5">
        <v>0</v>
      </c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>
        <v>0</v>
      </c>
      <c r="FR308" s="5">
        <v>0</v>
      </c>
      <c r="FS308" s="5">
        <v>0</v>
      </c>
      <c r="FT308" s="5"/>
      <c r="FU308" s="5"/>
      <c r="FV308" s="5"/>
      <c r="FW308" s="5"/>
      <c r="FX308" s="5">
        <v>0</v>
      </c>
      <c r="FY308" s="5">
        <v>0</v>
      </c>
      <c r="FZ308" s="5"/>
      <c r="GA308" s="5" t="s">
        <v>6</v>
      </c>
      <c r="GB308" s="5"/>
      <c r="GC308" s="5"/>
      <c r="GD308" s="5">
        <v>1</v>
      </c>
      <c r="GE308" s="5"/>
      <c r="GF308" s="5">
        <v>1632382981</v>
      </c>
      <c r="GG308" s="5">
        <v>2</v>
      </c>
      <c r="GH308" s="5">
        <v>1</v>
      </c>
      <c r="GI308" s="5">
        <v>-2</v>
      </c>
      <c r="GJ308" s="5">
        <v>2</v>
      </c>
      <c r="GK308" s="5">
        <v>0</v>
      </c>
      <c r="GL308" s="5">
        <f>ROUND(IF(AND(BH308=3,BI308=3,FS308&lt;&gt;0),P308,0),2)</f>
        <v>0</v>
      </c>
      <c r="GM308" s="5">
        <f>ROUND(CP308*I308,2)</f>
        <v>1826.85</v>
      </c>
      <c r="GN308" s="5">
        <f>IF(OR(BI308=0,BI308=1),GM308-GX308,0)</f>
        <v>1826.85</v>
      </c>
      <c r="GO308" s="5">
        <f>IF(BI308=2,GM308-GX308,0)</f>
        <v>0</v>
      </c>
      <c r="GP308" s="5">
        <f>IF(BI308=4,GM308-GX308,0)</f>
        <v>0</v>
      </c>
      <c r="GQ308" s="5"/>
      <c r="GR308" s="5">
        <v>0</v>
      </c>
      <c r="GS308" s="5">
        <v>3</v>
      </c>
      <c r="GT308" s="5">
        <v>0</v>
      </c>
      <c r="GU308" s="5" t="s">
        <v>6</v>
      </c>
      <c r="GV308" s="5">
        <f>0</f>
        <v>0</v>
      </c>
      <c r="GW308" s="5">
        <v>1</v>
      </c>
      <c r="GX308" s="5">
        <f>0</f>
        <v>0</v>
      </c>
      <c r="GY308" s="5"/>
      <c r="GZ308" s="5"/>
      <c r="HA308" s="5">
        <v>0</v>
      </c>
      <c r="HB308" s="5">
        <v>0</v>
      </c>
      <c r="HC308" s="5">
        <v>0</v>
      </c>
      <c r="HD308" s="5">
        <f>GM308</f>
        <v>1826.85</v>
      </c>
      <c r="HE308" s="5" t="s">
        <v>6</v>
      </c>
      <c r="HF308" s="5" t="s">
        <v>6</v>
      </c>
      <c r="HG308" s="5"/>
      <c r="HH308" s="5"/>
      <c r="HI308" s="5"/>
      <c r="HJ308" s="5"/>
      <c r="HK308" s="5"/>
      <c r="HL308" s="5"/>
      <c r="HM308" s="5" t="s">
        <v>6</v>
      </c>
      <c r="HN308" s="5" t="s">
        <v>300</v>
      </c>
      <c r="HO308" s="5" t="s">
        <v>301</v>
      </c>
      <c r="HP308" s="5" t="s">
        <v>297</v>
      </c>
      <c r="HQ308" s="5" t="s">
        <v>297</v>
      </c>
      <c r="HR308" s="5"/>
      <c r="HS308" s="5">
        <v>0</v>
      </c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>
        <v>0</v>
      </c>
      <c r="IL308" s="5"/>
      <c r="IM308" s="5"/>
      <c r="IN308" s="5"/>
      <c r="IO308" s="5"/>
      <c r="IP308" s="5"/>
      <c r="IQ308" s="5"/>
      <c r="IR308" s="5"/>
      <c r="IS308" s="5"/>
      <c r="IT308" s="5"/>
      <c r="IU308" s="5"/>
    </row>
    <row r="310" spans="1:255" x14ac:dyDescent="0.2">
      <c r="A310" s="2">
        <v>51</v>
      </c>
      <c r="B310" s="2">
        <f>B303</f>
        <v>1</v>
      </c>
      <c r="C310" s="2">
        <f>A303</f>
        <v>4</v>
      </c>
      <c r="D310" s="2">
        <f>ROW(A303)</f>
        <v>303</v>
      </c>
      <c r="E310" s="2"/>
      <c r="F310" s="2" t="str">
        <f>IF(F303&lt;&gt;"",F303,"")</f>
        <v>2</v>
      </c>
      <c r="G310" s="2" t="str">
        <f>IF(G303&lt;&gt;"",G303,"")</f>
        <v>Мусор</v>
      </c>
      <c r="H310" s="2">
        <v>0</v>
      </c>
      <c r="I310" s="2"/>
      <c r="J310" s="2"/>
      <c r="K310" s="2"/>
      <c r="L310" s="2"/>
      <c r="M310" s="2"/>
      <c r="N310" s="2"/>
      <c r="O310" s="2">
        <f t="shared" ref="O310:T310" si="145">ROUND(AB310,2)</f>
        <v>0</v>
      </c>
      <c r="P310" s="2">
        <f t="shared" si="145"/>
        <v>0</v>
      </c>
      <c r="Q310" s="2">
        <f t="shared" si="145"/>
        <v>0</v>
      </c>
      <c r="R310" s="2">
        <f t="shared" si="145"/>
        <v>0</v>
      </c>
      <c r="S310" s="2">
        <f t="shared" si="145"/>
        <v>0</v>
      </c>
      <c r="T310" s="2">
        <f t="shared" si="145"/>
        <v>0</v>
      </c>
      <c r="U310" s="2">
        <f>AH310</f>
        <v>0</v>
      </c>
      <c r="V310" s="2">
        <f>AI310</f>
        <v>0</v>
      </c>
      <c r="W310" s="2">
        <f>ROUND(AJ310,2)</f>
        <v>0</v>
      </c>
      <c r="X310" s="2">
        <f>ROUND(AK310,2)</f>
        <v>0</v>
      </c>
      <c r="Y310" s="2">
        <f>ROUND(AL310,2)</f>
        <v>0</v>
      </c>
      <c r="Z310" s="2"/>
      <c r="AA310" s="2"/>
      <c r="AB310" s="2">
        <f>ROUND(SUMIF(AA307:AA308,"=74852007",O307:O308),2)</f>
        <v>0</v>
      </c>
      <c r="AC310" s="2">
        <f>ROUND(SUMIF(AA307:AA308,"=74852007",P307:P308),2)</f>
        <v>0</v>
      </c>
      <c r="AD310" s="2">
        <f>ROUND(SUMIF(AA307:AA308,"=74852007",Q307:Q308),2)</f>
        <v>0</v>
      </c>
      <c r="AE310" s="2">
        <f>ROUND(SUMIF(AA307:AA308,"=74852007",R307:R308),2)</f>
        <v>0</v>
      </c>
      <c r="AF310" s="2">
        <f>ROUND(SUMIF(AA307:AA308,"=74852007",S307:S308),2)</f>
        <v>0</v>
      </c>
      <c r="AG310" s="2">
        <f>ROUND(SUMIF(AA307:AA308,"=74852007",T307:T308),2)</f>
        <v>0</v>
      </c>
      <c r="AH310" s="2">
        <f>SUMIF(AA307:AA308,"=74852007",U307:U308)</f>
        <v>0</v>
      </c>
      <c r="AI310" s="2">
        <f>SUMIF(AA307:AA308,"=74852007",V307:V308)</f>
        <v>0</v>
      </c>
      <c r="AJ310" s="2">
        <f>ROUND(SUMIF(AA307:AA308,"=74852007",W307:W308),2)</f>
        <v>0</v>
      </c>
      <c r="AK310" s="2">
        <f>ROUND(SUMIF(AA307:AA308,"=74852007",X307:X308),2)</f>
        <v>0</v>
      </c>
      <c r="AL310" s="2">
        <f>ROUND(SUMIF(AA307:AA308,"=74852007",Y307:Y308),2)</f>
        <v>0</v>
      </c>
      <c r="AM310" s="2"/>
      <c r="AN310" s="2"/>
      <c r="AO310" s="2">
        <f t="shared" ref="AO310:BD310" si="146">ROUND(BX310,2)</f>
        <v>0</v>
      </c>
      <c r="AP310" s="2">
        <f t="shared" si="146"/>
        <v>0</v>
      </c>
      <c r="AQ310" s="2">
        <f t="shared" si="146"/>
        <v>0</v>
      </c>
      <c r="AR310" s="2">
        <f t="shared" si="146"/>
        <v>9785.74</v>
      </c>
      <c r="AS310" s="2">
        <f t="shared" si="146"/>
        <v>9785.74</v>
      </c>
      <c r="AT310" s="2">
        <f t="shared" si="146"/>
        <v>0</v>
      </c>
      <c r="AU310" s="2">
        <f t="shared" si="146"/>
        <v>0</v>
      </c>
      <c r="AV310" s="2">
        <f t="shared" si="146"/>
        <v>0</v>
      </c>
      <c r="AW310" s="2">
        <f t="shared" si="146"/>
        <v>0</v>
      </c>
      <c r="AX310" s="2">
        <f t="shared" si="146"/>
        <v>0</v>
      </c>
      <c r="AY310" s="2">
        <f t="shared" si="146"/>
        <v>0</v>
      </c>
      <c r="AZ310" s="2">
        <f t="shared" si="146"/>
        <v>0</v>
      </c>
      <c r="BA310" s="2">
        <f t="shared" si="146"/>
        <v>0</v>
      </c>
      <c r="BB310" s="2">
        <f t="shared" si="146"/>
        <v>0</v>
      </c>
      <c r="BC310" s="2">
        <f t="shared" si="146"/>
        <v>0</v>
      </c>
      <c r="BD310" s="2">
        <f t="shared" si="146"/>
        <v>9785.74</v>
      </c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>
        <f>ROUND(SUMIF(AA307:AA308,"=74852007",FQ307:FQ308),2)</f>
        <v>0</v>
      </c>
      <c r="BY310" s="2">
        <f>ROUND(SUMIF(AA307:AA308,"=74852007",FR307:FR308),2)</f>
        <v>0</v>
      </c>
      <c r="BZ310" s="2">
        <f>ROUND(SUMIF(AA307:AA308,"=74852007",GL307:GL308),2)</f>
        <v>0</v>
      </c>
      <c r="CA310" s="2">
        <f>ROUND(SUMIF(AA307:AA308,"=74852007",GM307:GM308),2)</f>
        <v>9785.74</v>
      </c>
      <c r="CB310" s="2">
        <f>ROUND(SUMIF(AA307:AA308,"=74852007",GN307:GN308),2)</f>
        <v>9785.74</v>
      </c>
      <c r="CC310" s="2">
        <f>ROUND(SUMIF(AA307:AA308,"=74852007",GO307:GO308),2)</f>
        <v>0</v>
      </c>
      <c r="CD310" s="2">
        <f>ROUND(SUMIF(AA307:AA308,"=74852007",GP307:GP308),2)</f>
        <v>0</v>
      </c>
      <c r="CE310" s="2">
        <f>AC310-BX310</f>
        <v>0</v>
      </c>
      <c r="CF310" s="2">
        <f>AC310-BY310</f>
        <v>0</v>
      </c>
      <c r="CG310" s="2">
        <f>BX310-BZ310</f>
        <v>0</v>
      </c>
      <c r="CH310" s="2">
        <f>AC310-BX310-BY310+BZ310</f>
        <v>0</v>
      </c>
      <c r="CI310" s="2">
        <f>BY310-BZ310</f>
        <v>0</v>
      </c>
      <c r="CJ310" s="2">
        <f>ROUND(SUMIF(AA307:AA308,"=74852007",GX307:GX308),2)</f>
        <v>0</v>
      </c>
      <c r="CK310" s="2">
        <f>ROUND(SUMIF(AA307:AA308,"=74852007",GY307:GY308),2)</f>
        <v>0</v>
      </c>
      <c r="CL310" s="2">
        <f>ROUND(SUMIF(AA307:AA308,"=74852007",GZ307:GZ308),2)</f>
        <v>0</v>
      </c>
      <c r="CM310" s="2">
        <f>ROUND(SUMIF(AA307:AA308,"=74852007",HD307:HD308),2)</f>
        <v>9785.74</v>
      </c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>
        <v>0</v>
      </c>
    </row>
    <row r="312" spans="1:255" x14ac:dyDescent="0.2">
      <c r="A312" s="4">
        <v>50</v>
      </c>
      <c r="B312" s="4">
        <v>0</v>
      </c>
      <c r="C312" s="4">
        <v>0</v>
      </c>
      <c r="D312" s="4">
        <v>1</v>
      </c>
      <c r="E312" s="4">
        <v>201</v>
      </c>
      <c r="F312" s="4">
        <f>ROUND(Source!O310,O312)</f>
        <v>0</v>
      </c>
      <c r="G312" s="4" t="s">
        <v>21</v>
      </c>
      <c r="H312" s="4" t="s">
        <v>22</v>
      </c>
      <c r="I312" s="4"/>
      <c r="J312" s="4"/>
      <c r="K312" s="4">
        <v>201</v>
      </c>
      <c r="L312" s="4">
        <v>1</v>
      </c>
      <c r="M312" s="4">
        <v>3</v>
      </c>
      <c r="N312" s="4" t="s">
        <v>6</v>
      </c>
      <c r="O312" s="4">
        <v>2</v>
      </c>
      <c r="P312" s="4"/>
      <c r="Q312" s="4"/>
      <c r="R312" s="4"/>
      <c r="S312" s="4"/>
      <c r="T312" s="4"/>
      <c r="U312" s="4"/>
      <c r="V312" s="4"/>
      <c r="W312" s="4">
        <v>9785.74</v>
      </c>
      <c r="X312" s="4">
        <v>1</v>
      </c>
      <c r="Y312" s="4">
        <v>9785.74</v>
      </c>
      <c r="Z312" s="4"/>
      <c r="AA312" s="4"/>
      <c r="AB312" s="4"/>
    </row>
    <row r="313" spans="1:255" x14ac:dyDescent="0.2">
      <c r="A313" s="4">
        <v>50</v>
      </c>
      <c r="B313" s="4">
        <v>0</v>
      </c>
      <c r="C313" s="4">
        <v>0</v>
      </c>
      <c r="D313" s="4">
        <v>1</v>
      </c>
      <c r="E313" s="4">
        <v>202</v>
      </c>
      <c r="F313" s="4">
        <f>ROUND(Source!P310,O313)</f>
        <v>0</v>
      </c>
      <c r="G313" s="4" t="s">
        <v>23</v>
      </c>
      <c r="H313" s="4" t="s">
        <v>24</v>
      </c>
      <c r="I313" s="4"/>
      <c r="J313" s="4"/>
      <c r="K313" s="4">
        <v>202</v>
      </c>
      <c r="L313" s="4">
        <v>2</v>
      </c>
      <c r="M313" s="4">
        <v>3</v>
      </c>
      <c r="N313" s="4" t="s">
        <v>6</v>
      </c>
      <c r="O313" s="4">
        <v>2</v>
      </c>
      <c r="P313" s="4"/>
      <c r="Q313" s="4"/>
      <c r="R313" s="4"/>
      <c r="S313" s="4"/>
      <c r="T313" s="4"/>
      <c r="U313" s="4"/>
      <c r="V313" s="4"/>
      <c r="W313" s="4">
        <v>0</v>
      </c>
      <c r="X313" s="4">
        <v>1</v>
      </c>
      <c r="Y313" s="4">
        <v>0</v>
      </c>
      <c r="Z313" s="4"/>
      <c r="AA313" s="4"/>
      <c r="AB313" s="4"/>
    </row>
    <row r="314" spans="1:255" x14ac:dyDescent="0.2">
      <c r="A314" s="4">
        <v>50</v>
      </c>
      <c r="B314" s="4">
        <v>0</v>
      </c>
      <c r="C314" s="4">
        <v>0</v>
      </c>
      <c r="D314" s="4">
        <v>1</v>
      </c>
      <c r="E314" s="4">
        <v>222</v>
      </c>
      <c r="F314" s="4">
        <f>ROUND(Source!AO310,O314)</f>
        <v>0</v>
      </c>
      <c r="G314" s="4" t="s">
        <v>25</v>
      </c>
      <c r="H314" s="4" t="s">
        <v>26</v>
      </c>
      <c r="I314" s="4"/>
      <c r="J314" s="4"/>
      <c r="K314" s="4">
        <v>222</v>
      </c>
      <c r="L314" s="4">
        <v>3</v>
      </c>
      <c r="M314" s="4">
        <v>3</v>
      </c>
      <c r="N314" s="4" t="s">
        <v>6</v>
      </c>
      <c r="O314" s="4">
        <v>2</v>
      </c>
      <c r="P314" s="4"/>
      <c r="Q314" s="4"/>
      <c r="R314" s="4"/>
      <c r="S314" s="4"/>
      <c r="T314" s="4"/>
      <c r="U314" s="4"/>
      <c r="V314" s="4"/>
      <c r="W314" s="4">
        <v>0</v>
      </c>
      <c r="X314" s="4">
        <v>1</v>
      </c>
      <c r="Y314" s="4">
        <v>0</v>
      </c>
      <c r="Z314" s="4"/>
      <c r="AA314" s="4"/>
      <c r="AB314" s="4"/>
    </row>
    <row r="315" spans="1:255" x14ac:dyDescent="0.2">
      <c r="A315" s="4">
        <v>50</v>
      </c>
      <c r="B315" s="4">
        <v>0</v>
      </c>
      <c r="C315" s="4">
        <v>0</v>
      </c>
      <c r="D315" s="4">
        <v>1</v>
      </c>
      <c r="E315" s="4">
        <v>225</v>
      </c>
      <c r="F315" s="4">
        <f>ROUND(Source!AV310,O315)</f>
        <v>0</v>
      </c>
      <c r="G315" s="4" t="s">
        <v>27</v>
      </c>
      <c r="H315" s="4" t="s">
        <v>28</v>
      </c>
      <c r="I315" s="4"/>
      <c r="J315" s="4"/>
      <c r="K315" s="4">
        <v>225</v>
      </c>
      <c r="L315" s="4">
        <v>4</v>
      </c>
      <c r="M315" s="4">
        <v>3</v>
      </c>
      <c r="N315" s="4" t="s">
        <v>6</v>
      </c>
      <c r="O315" s="4">
        <v>2</v>
      </c>
      <c r="P315" s="4"/>
      <c r="Q315" s="4"/>
      <c r="R315" s="4"/>
      <c r="S315" s="4"/>
      <c r="T315" s="4"/>
      <c r="U315" s="4"/>
      <c r="V315" s="4"/>
      <c r="W315" s="4">
        <v>0</v>
      </c>
      <c r="X315" s="4">
        <v>1</v>
      </c>
      <c r="Y315" s="4">
        <v>0</v>
      </c>
      <c r="Z315" s="4"/>
      <c r="AA315" s="4"/>
      <c r="AB315" s="4"/>
    </row>
    <row r="316" spans="1:255" x14ac:dyDescent="0.2">
      <c r="A316" s="4">
        <v>50</v>
      </c>
      <c r="B316" s="4">
        <v>0</v>
      </c>
      <c r="C316" s="4">
        <v>0</v>
      </c>
      <c r="D316" s="4">
        <v>1</v>
      </c>
      <c r="E316" s="4">
        <v>226</v>
      </c>
      <c r="F316" s="4">
        <f>ROUND(Source!AW310,O316)</f>
        <v>0</v>
      </c>
      <c r="G316" s="4" t="s">
        <v>29</v>
      </c>
      <c r="H316" s="4" t="s">
        <v>30</v>
      </c>
      <c r="I316" s="4"/>
      <c r="J316" s="4"/>
      <c r="K316" s="4">
        <v>226</v>
      </c>
      <c r="L316" s="4">
        <v>5</v>
      </c>
      <c r="M316" s="4">
        <v>3</v>
      </c>
      <c r="N316" s="4" t="s">
        <v>6</v>
      </c>
      <c r="O316" s="4">
        <v>2</v>
      </c>
      <c r="P316" s="4"/>
      <c r="Q316" s="4"/>
      <c r="R316" s="4"/>
      <c r="S316" s="4"/>
      <c r="T316" s="4"/>
      <c r="U316" s="4"/>
      <c r="V316" s="4"/>
      <c r="W316" s="4">
        <v>0</v>
      </c>
      <c r="X316" s="4">
        <v>1</v>
      </c>
      <c r="Y316" s="4">
        <v>0</v>
      </c>
      <c r="Z316" s="4"/>
      <c r="AA316" s="4"/>
      <c r="AB316" s="4"/>
    </row>
    <row r="317" spans="1:255" x14ac:dyDescent="0.2">
      <c r="A317" s="4">
        <v>50</v>
      </c>
      <c r="B317" s="4">
        <v>0</v>
      </c>
      <c r="C317" s="4">
        <v>0</v>
      </c>
      <c r="D317" s="4">
        <v>1</v>
      </c>
      <c r="E317" s="4">
        <v>227</v>
      </c>
      <c r="F317" s="4">
        <f>ROUND(Source!AX310,O317)</f>
        <v>0</v>
      </c>
      <c r="G317" s="4" t="s">
        <v>31</v>
      </c>
      <c r="H317" s="4" t="s">
        <v>32</v>
      </c>
      <c r="I317" s="4"/>
      <c r="J317" s="4"/>
      <c r="K317" s="4">
        <v>227</v>
      </c>
      <c r="L317" s="4">
        <v>6</v>
      </c>
      <c r="M317" s="4">
        <v>3</v>
      </c>
      <c r="N317" s="4" t="s">
        <v>6</v>
      </c>
      <c r="O317" s="4">
        <v>2</v>
      </c>
      <c r="P317" s="4"/>
      <c r="Q317" s="4"/>
      <c r="R317" s="4"/>
      <c r="S317" s="4"/>
      <c r="T317" s="4"/>
      <c r="U317" s="4"/>
      <c r="V317" s="4"/>
      <c r="W317" s="4">
        <v>0</v>
      </c>
      <c r="X317" s="4">
        <v>1</v>
      </c>
      <c r="Y317" s="4">
        <v>0</v>
      </c>
      <c r="Z317" s="4"/>
      <c r="AA317" s="4"/>
      <c r="AB317" s="4"/>
    </row>
    <row r="318" spans="1:255" x14ac:dyDescent="0.2">
      <c r="A318" s="4">
        <v>50</v>
      </c>
      <c r="B318" s="4">
        <v>0</v>
      </c>
      <c r="C318" s="4">
        <v>0</v>
      </c>
      <c r="D318" s="4">
        <v>1</v>
      </c>
      <c r="E318" s="4">
        <v>228</v>
      </c>
      <c r="F318" s="4">
        <f>ROUND(Source!AY310,O318)</f>
        <v>0</v>
      </c>
      <c r="G318" s="4" t="s">
        <v>33</v>
      </c>
      <c r="H318" s="4" t="s">
        <v>34</v>
      </c>
      <c r="I318" s="4"/>
      <c r="J318" s="4"/>
      <c r="K318" s="4">
        <v>228</v>
      </c>
      <c r="L318" s="4">
        <v>7</v>
      </c>
      <c r="M318" s="4">
        <v>3</v>
      </c>
      <c r="N318" s="4" t="s">
        <v>6</v>
      </c>
      <c r="O318" s="4">
        <v>2</v>
      </c>
      <c r="P318" s="4"/>
      <c r="Q318" s="4"/>
      <c r="R318" s="4"/>
      <c r="S318" s="4"/>
      <c r="T318" s="4"/>
      <c r="U318" s="4"/>
      <c r="V318" s="4"/>
      <c r="W318" s="4">
        <v>0</v>
      </c>
      <c r="X318" s="4">
        <v>1</v>
      </c>
      <c r="Y318" s="4">
        <v>0</v>
      </c>
      <c r="Z318" s="4"/>
      <c r="AA318" s="4"/>
      <c r="AB318" s="4"/>
    </row>
    <row r="319" spans="1:255" x14ac:dyDescent="0.2">
      <c r="A319" s="4">
        <v>50</v>
      </c>
      <c r="B319" s="4">
        <v>0</v>
      </c>
      <c r="C319" s="4">
        <v>0</v>
      </c>
      <c r="D319" s="4">
        <v>1</v>
      </c>
      <c r="E319" s="4">
        <v>216</v>
      </c>
      <c r="F319" s="4">
        <f>ROUND(Source!AP310,O319)</f>
        <v>0</v>
      </c>
      <c r="G319" s="4" t="s">
        <v>35</v>
      </c>
      <c r="H319" s="4" t="s">
        <v>36</v>
      </c>
      <c r="I319" s="4"/>
      <c r="J319" s="4"/>
      <c r="K319" s="4">
        <v>216</v>
      </c>
      <c r="L319" s="4">
        <v>8</v>
      </c>
      <c r="M319" s="4">
        <v>3</v>
      </c>
      <c r="N319" s="4" t="s">
        <v>6</v>
      </c>
      <c r="O319" s="4">
        <v>2</v>
      </c>
      <c r="P319" s="4"/>
      <c r="Q319" s="4"/>
      <c r="R319" s="4"/>
      <c r="S319" s="4"/>
      <c r="T319" s="4"/>
      <c r="U319" s="4"/>
      <c r="V319" s="4"/>
      <c r="W319" s="4">
        <v>0</v>
      </c>
      <c r="X319" s="4">
        <v>1</v>
      </c>
      <c r="Y319" s="4">
        <v>0</v>
      </c>
      <c r="Z319" s="4"/>
      <c r="AA319" s="4"/>
      <c r="AB319" s="4"/>
    </row>
    <row r="320" spans="1:255" x14ac:dyDescent="0.2">
      <c r="A320" s="4">
        <v>50</v>
      </c>
      <c r="B320" s="4">
        <v>0</v>
      </c>
      <c r="C320" s="4">
        <v>0</v>
      </c>
      <c r="D320" s="4">
        <v>1</v>
      </c>
      <c r="E320" s="4">
        <v>223</v>
      </c>
      <c r="F320" s="4">
        <f>ROUND(Source!AQ310,O320)</f>
        <v>0</v>
      </c>
      <c r="G320" s="4" t="s">
        <v>37</v>
      </c>
      <c r="H320" s="4" t="s">
        <v>38</v>
      </c>
      <c r="I320" s="4"/>
      <c r="J320" s="4"/>
      <c r="K320" s="4">
        <v>223</v>
      </c>
      <c r="L320" s="4">
        <v>9</v>
      </c>
      <c r="M320" s="4">
        <v>3</v>
      </c>
      <c r="N320" s="4" t="s">
        <v>6</v>
      </c>
      <c r="O320" s="4">
        <v>2</v>
      </c>
      <c r="P320" s="4"/>
      <c r="Q320" s="4"/>
      <c r="R320" s="4"/>
      <c r="S320" s="4"/>
      <c r="T320" s="4"/>
      <c r="U320" s="4"/>
      <c r="V320" s="4"/>
      <c r="W320" s="4">
        <v>0</v>
      </c>
      <c r="X320" s="4">
        <v>1</v>
      </c>
      <c r="Y320" s="4">
        <v>0</v>
      </c>
      <c r="Z320" s="4"/>
      <c r="AA320" s="4"/>
      <c r="AB320" s="4"/>
    </row>
    <row r="321" spans="1:28" x14ac:dyDescent="0.2">
      <c r="A321" s="4">
        <v>50</v>
      </c>
      <c r="B321" s="4">
        <v>0</v>
      </c>
      <c r="C321" s="4">
        <v>0</v>
      </c>
      <c r="D321" s="4">
        <v>1</v>
      </c>
      <c r="E321" s="4">
        <v>229</v>
      </c>
      <c r="F321" s="4">
        <f>ROUND(Source!AZ310,O321)</f>
        <v>0</v>
      </c>
      <c r="G321" s="4" t="s">
        <v>39</v>
      </c>
      <c r="H321" s="4" t="s">
        <v>40</v>
      </c>
      <c r="I321" s="4"/>
      <c r="J321" s="4"/>
      <c r="K321" s="4">
        <v>229</v>
      </c>
      <c r="L321" s="4">
        <v>10</v>
      </c>
      <c r="M321" s="4">
        <v>3</v>
      </c>
      <c r="N321" s="4" t="s">
        <v>6</v>
      </c>
      <c r="O321" s="4">
        <v>2</v>
      </c>
      <c r="P321" s="4"/>
      <c r="Q321" s="4"/>
      <c r="R321" s="4"/>
      <c r="S321" s="4"/>
      <c r="T321" s="4"/>
      <c r="U321" s="4"/>
      <c r="V321" s="4"/>
      <c r="W321" s="4">
        <v>0</v>
      </c>
      <c r="X321" s="4">
        <v>1</v>
      </c>
      <c r="Y321" s="4">
        <v>0</v>
      </c>
      <c r="Z321" s="4"/>
      <c r="AA321" s="4"/>
      <c r="AB321" s="4"/>
    </row>
    <row r="322" spans="1:28" x14ac:dyDescent="0.2">
      <c r="A322" s="4">
        <v>50</v>
      </c>
      <c r="B322" s="4">
        <v>0</v>
      </c>
      <c r="C322" s="4">
        <v>0</v>
      </c>
      <c r="D322" s="4">
        <v>1</v>
      </c>
      <c r="E322" s="4">
        <v>203</v>
      </c>
      <c r="F322" s="4">
        <f>ROUND(Source!Q310,O322)</f>
        <v>0</v>
      </c>
      <c r="G322" s="4" t="s">
        <v>41</v>
      </c>
      <c r="H322" s="4" t="s">
        <v>42</v>
      </c>
      <c r="I322" s="4"/>
      <c r="J322" s="4"/>
      <c r="K322" s="4">
        <v>203</v>
      </c>
      <c r="L322" s="4">
        <v>11</v>
      </c>
      <c r="M322" s="4">
        <v>3</v>
      </c>
      <c r="N322" s="4" t="s">
        <v>6</v>
      </c>
      <c r="O322" s="4">
        <v>2</v>
      </c>
      <c r="P322" s="4"/>
      <c r="Q322" s="4"/>
      <c r="R322" s="4"/>
      <c r="S322" s="4"/>
      <c r="T322" s="4"/>
      <c r="U322" s="4"/>
      <c r="V322" s="4"/>
      <c r="W322" s="4">
        <v>0</v>
      </c>
      <c r="X322" s="4">
        <v>1</v>
      </c>
      <c r="Y322" s="4">
        <v>0</v>
      </c>
      <c r="Z322" s="4"/>
      <c r="AA322" s="4"/>
      <c r="AB322" s="4"/>
    </row>
    <row r="323" spans="1:28" x14ac:dyDescent="0.2">
      <c r="A323" s="4">
        <v>50</v>
      </c>
      <c r="B323" s="4">
        <v>0</v>
      </c>
      <c r="C323" s="4">
        <v>0</v>
      </c>
      <c r="D323" s="4">
        <v>1</v>
      </c>
      <c r="E323" s="4">
        <v>231</v>
      </c>
      <c r="F323" s="4">
        <f>ROUND(Source!BB310,O323)</f>
        <v>0</v>
      </c>
      <c r="G323" s="4" t="s">
        <v>43</v>
      </c>
      <c r="H323" s="4" t="s">
        <v>44</v>
      </c>
      <c r="I323" s="4"/>
      <c r="J323" s="4"/>
      <c r="K323" s="4">
        <v>231</v>
      </c>
      <c r="L323" s="4">
        <v>12</v>
      </c>
      <c r="M323" s="4">
        <v>3</v>
      </c>
      <c r="N323" s="4" t="s">
        <v>6</v>
      </c>
      <c r="O323" s="4">
        <v>2</v>
      </c>
      <c r="P323" s="4"/>
      <c r="Q323" s="4"/>
      <c r="R323" s="4"/>
      <c r="S323" s="4"/>
      <c r="T323" s="4"/>
      <c r="U323" s="4"/>
      <c r="V323" s="4"/>
      <c r="W323" s="4">
        <v>0</v>
      </c>
      <c r="X323" s="4">
        <v>1</v>
      </c>
      <c r="Y323" s="4">
        <v>0</v>
      </c>
      <c r="Z323" s="4"/>
      <c r="AA323" s="4"/>
      <c r="AB323" s="4"/>
    </row>
    <row r="324" spans="1:28" x14ac:dyDescent="0.2">
      <c r="A324" s="4">
        <v>50</v>
      </c>
      <c r="B324" s="4">
        <v>0</v>
      </c>
      <c r="C324" s="4">
        <v>0</v>
      </c>
      <c r="D324" s="4">
        <v>1</v>
      </c>
      <c r="E324" s="4">
        <v>204</v>
      </c>
      <c r="F324" s="4">
        <f>ROUND(Source!R310,O324)</f>
        <v>0</v>
      </c>
      <c r="G324" s="4" t="s">
        <v>45</v>
      </c>
      <c r="H324" s="4" t="s">
        <v>46</v>
      </c>
      <c r="I324" s="4"/>
      <c r="J324" s="4"/>
      <c r="K324" s="4">
        <v>204</v>
      </c>
      <c r="L324" s="4">
        <v>13</v>
      </c>
      <c r="M324" s="4">
        <v>3</v>
      </c>
      <c r="N324" s="4" t="s">
        <v>6</v>
      </c>
      <c r="O324" s="4">
        <v>2</v>
      </c>
      <c r="P324" s="4"/>
      <c r="Q324" s="4"/>
      <c r="R324" s="4"/>
      <c r="S324" s="4"/>
      <c r="T324" s="4"/>
      <c r="U324" s="4"/>
      <c r="V324" s="4"/>
      <c r="W324" s="4">
        <v>0</v>
      </c>
      <c r="X324" s="4">
        <v>1</v>
      </c>
      <c r="Y324" s="4">
        <v>0</v>
      </c>
      <c r="Z324" s="4"/>
      <c r="AA324" s="4"/>
      <c r="AB324" s="4"/>
    </row>
    <row r="325" spans="1:28" x14ac:dyDescent="0.2">
      <c r="A325" s="4">
        <v>50</v>
      </c>
      <c r="B325" s="4">
        <v>0</v>
      </c>
      <c r="C325" s="4">
        <v>0</v>
      </c>
      <c r="D325" s="4">
        <v>1</v>
      </c>
      <c r="E325" s="4">
        <v>205</v>
      </c>
      <c r="F325" s="4">
        <f>ROUND(Source!S310,O325)</f>
        <v>0</v>
      </c>
      <c r="G325" s="4" t="s">
        <v>47</v>
      </c>
      <c r="H325" s="4" t="s">
        <v>48</v>
      </c>
      <c r="I325" s="4"/>
      <c r="J325" s="4"/>
      <c r="K325" s="4">
        <v>205</v>
      </c>
      <c r="L325" s="4">
        <v>14</v>
      </c>
      <c r="M325" s="4">
        <v>3</v>
      </c>
      <c r="N325" s="4" t="s">
        <v>6</v>
      </c>
      <c r="O325" s="4">
        <v>2</v>
      </c>
      <c r="P325" s="4"/>
      <c r="Q325" s="4"/>
      <c r="R325" s="4"/>
      <c r="S325" s="4"/>
      <c r="T325" s="4"/>
      <c r="U325" s="4"/>
      <c r="V325" s="4"/>
      <c r="W325" s="4">
        <v>0</v>
      </c>
      <c r="X325" s="4">
        <v>1</v>
      </c>
      <c r="Y325" s="4">
        <v>0</v>
      </c>
      <c r="Z325" s="4"/>
      <c r="AA325" s="4"/>
      <c r="AB325" s="4"/>
    </row>
    <row r="326" spans="1:28" x14ac:dyDescent="0.2">
      <c r="A326" s="4">
        <v>50</v>
      </c>
      <c r="B326" s="4">
        <v>0</v>
      </c>
      <c r="C326" s="4">
        <v>0</v>
      </c>
      <c r="D326" s="4">
        <v>1</v>
      </c>
      <c r="E326" s="4">
        <v>232</v>
      </c>
      <c r="F326" s="4">
        <f>ROUND(Source!BC310,O326)</f>
        <v>0</v>
      </c>
      <c r="G326" s="4" t="s">
        <v>49</v>
      </c>
      <c r="H326" s="4" t="s">
        <v>50</v>
      </c>
      <c r="I326" s="4"/>
      <c r="J326" s="4"/>
      <c r="K326" s="4">
        <v>232</v>
      </c>
      <c r="L326" s="4">
        <v>15</v>
      </c>
      <c r="M326" s="4">
        <v>3</v>
      </c>
      <c r="N326" s="4" t="s">
        <v>6</v>
      </c>
      <c r="O326" s="4">
        <v>2</v>
      </c>
      <c r="P326" s="4"/>
      <c r="Q326" s="4"/>
      <c r="R326" s="4"/>
      <c r="S326" s="4"/>
      <c r="T326" s="4"/>
      <c r="U326" s="4"/>
      <c r="V326" s="4"/>
      <c r="W326" s="4">
        <v>0</v>
      </c>
      <c r="X326" s="4">
        <v>1</v>
      </c>
      <c r="Y326" s="4">
        <v>0</v>
      </c>
      <c r="Z326" s="4"/>
      <c r="AA326" s="4"/>
      <c r="AB326" s="4"/>
    </row>
    <row r="327" spans="1:28" x14ac:dyDescent="0.2">
      <c r="A327" s="4">
        <v>50</v>
      </c>
      <c r="B327" s="4">
        <v>0</v>
      </c>
      <c r="C327" s="4">
        <v>0</v>
      </c>
      <c r="D327" s="4">
        <v>1</v>
      </c>
      <c r="E327" s="4">
        <v>214</v>
      </c>
      <c r="F327" s="4">
        <f>ROUND(Source!AS310,O327)</f>
        <v>9785.74</v>
      </c>
      <c r="G327" s="4" t="s">
        <v>51</v>
      </c>
      <c r="H327" s="4" t="s">
        <v>52</v>
      </c>
      <c r="I327" s="4"/>
      <c r="J327" s="4"/>
      <c r="K327" s="4">
        <v>214</v>
      </c>
      <c r="L327" s="4">
        <v>16</v>
      </c>
      <c r="M327" s="4">
        <v>3</v>
      </c>
      <c r="N327" s="4" t="s">
        <v>6</v>
      </c>
      <c r="O327" s="4">
        <v>2</v>
      </c>
      <c r="P327" s="4"/>
      <c r="Q327" s="4"/>
      <c r="R327" s="4"/>
      <c r="S327" s="4"/>
      <c r="T327" s="4"/>
      <c r="U327" s="4"/>
      <c r="V327" s="4"/>
      <c r="W327" s="4">
        <v>9785.74</v>
      </c>
      <c r="X327" s="4">
        <v>1</v>
      </c>
      <c r="Y327" s="4">
        <v>9785.74</v>
      </c>
      <c r="Z327" s="4"/>
      <c r="AA327" s="4"/>
      <c r="AB327" s="4"/>
    </row>
    <row r="328" spans="1:28" x14ac:dyDescent="0.2">
      <c r="A328" s="4">
        <v>50</v>
      </c>
      <c r="B328" s="4">
        <v>0</v>
      </c>
      <c r="C328" s="4">
        <v>0</v>
      </c>
      <c r="D328" s="4">
        <v>1</v>
      </c>
      <c r="E328" s="4">
        <v>215</v>
      </c>
      <c r="F328" s="4">
        <f>ROUND(Source!AT310,O328)</f>
        <v>0</v>
      </c>
      <c r="G328" s="4" t="s">
        <v>53</v>
      </c>
      <c r="H328" s="4" t="s">
        <v>54</v>
      </c>
      <c r="I328" s="4"/>
      <c r="J328" s="4"/>
      <c r="K328" s="4">
        <v>215</v>
      </c>
      <c r="L328" s="4">
        <v>17</v>
      </c>
      <c r="M328" s="4">
        <v>3</v>
      </c>
      <c r="N328" s="4" t="s">
        <v>6</v>
      </c>
      <c r="O328" s="4">
        <v>2</v>
      </c>
      <c r="P328" s="4"/>
      <c r="Q328" s="4"/>
      <c r="R328" s="4"/>
      <c r="S328" s="4"/>
      <c r="T328" s="4"/>
      <c r="U328" s="4"/>
      <c r="V328" s="4"/>
      <c r="W328" s="4">
        <v>0</v>
      </c>
      <c r="X328" s="4">
        <v>1</v>
      </c>
      <c r="Y328" s="4">
        <v>0</v>
      </c>
      <c r="Z328" s="4"/>
      <c r="AA328" s="4"/>
      <c r="AB328" s="4"/>
    </row>
    <row r="329" spans="1:28" x14ac:dyDescent="0.2">
      <c r="A329" s="4">
        <v>50</v>
      </c>
      <c r="B329" s="4">
        <v>0</v>
      </c>
      <c r="C329" s="4">
        <v>0</v>
      </c>
      <c r="D329" s="4">
        <v>1</v>
      </c>
      <c r="E329" s="4">
        <v>217</v>
      </c>
      <c r="F329" s="4">
        <f>ROUND(Source!AU310,O329)</f>
        <v>0</v>
      </c>
      <c r="G329" s="4" t="s">
        <v>55</v>
      </c>
      <c r="H329" s="4" t="s">
        <v>56</v>
      </c>
      <c r="I329" s="4"/>
      <c r="J329" s="4"/>
      <c r="K329" s="4">
        <v>217</v>
      </c>
      <c r="L329" s="4">
        <v>18</v>
      </c>
      <c r="M329" s="4">
        <v>3</v>
      </c>
      <c r="N329" s="4" t="s">
        <v>6</v>
      </c>
      <c r="O329" s="4">
        <v>2</v>
      </c>
      <c r="P329" s="4"/>
      <c r="Q329" s="4"/>
      <c r="R329" s="4"/>
      <c r="S329" s="4"/>
      <c r="T329" s="4"/>
      <c r="U329" s="4"/>
      <c r="V329" s="4"/>
      <c r="W329" s="4">
        <v>0</v>
      </c>
      <c r="X329" s="4">
        <v>1</v>
      </c>
      <c r="Y329" s="4">
        <v>0</v>
      </c>
      <c r="Z329" s="4"/>
      <c r="AA329" s="4"/>
      <c r="AB329" s="4"/>
    </row>
    <row r="330" spans="1:28" x14ac:dyDescent="0.2">
      <c r="A330" s="4">
        <v>50</v>
      </c>
      <c r="B330" s="4">
        <v>0</v>
      </c>
      <c r="C330" s="4">
        <v>0</v>
      </c>
      <c r="D330" s="4">
        <v>1</v>
      </c>
      <c r="E330" s="4">
        <v>230</v>
      </c>
      <c r="F330" s="4">
        <f>ROUND(Source!BA310,O330)</f>
        <v>0</v>
      </c>
      <c r="G330" s="4" t="s">
        <v>57</v>
      </c>
      <c r="H330" s="4" t="s">
        <v>58</v>
      </c>
      <c r="I330" s="4"/>
      <c r="J330" s="4"/>
      <c r="K330" s="4">
        <v>230</v>
      </c>
      <c r="L330" s="4">
        <v>19</v>
      </c>
      <c r="M330" s="4">
        <v>3</v>
      </c>
      <c r="N330" s="4" t="s">
        <v>6</v>
      </c>
      <c r="O330" s="4">
        <v>2</v>
      </c>
      <c r="P330" s="4"/>
      <c r="Q330" s="4"/>
      <c r="R330" s="4"/>
      <c r="S330" s="4"/>
      <c r="T330" s="4"/>
      <c r="U330" s="4"/>
      <c r="V330" s="4"/>
      <c r="W330" s="4">
        <v>0</v>
      </c>
      <c r="X330" s="4">
        <v>1</v>
      </c>
      <c r="Y330" s="4">
        <v>0</v>
      </c>
      <c r="Z330" s="4"/>
      <c r="AA330" s="4"/>
      <c r="AB330" s="4"/>
    </row>
    <row r="331" spans="1:28" x14ac:dyDescent="0.2">
      <c r="A331" s="4">
        <v>50</v>
      </c>
      <c r="B331" s="4">
        <v>0</v>
      </c>
      <c r="C331" s="4">
        <v>0</v>
      </c>
      <c r="D331" s="4">
        <v>1</v>
      </c>
      <c r="E331" s="4">
        <v>206</v>
      </c>
      <c r="F331" s="4">
        <f>ROUND(Source!T310,O331)</f>
        <v>0</v>
      </c>
      <c r="G331" s="4" t="s">
        <v>59</v>
      </c>
      <c r="H331" s="4" t="s">
        <v>60</v>
      </c>
      <c r="I331" s="4"/>
      <c r="J331" s="4"/>
      <c r="K331" s="4">
        <v>206</v>
      </c>
      <c r="L331" s="4">
        <v>20</v>
      </c>
      <c r="M331" s="4">
        <v>3</v>
      </c>
      <c r="N331" s="4" t="s">
        <v>6</v>
      </c>
      <c r="O331" s="4">
        <v>2</v>
      </c>
      <c r="P331" s="4"/>
      <c r="Q331" s="4"/>
      <c r="R331" s="4"/>
      <c r="S331" s="4"/>
      <c r="T331" s="4"/>
      <c r="U331" s="4"/>
      <c r="V331" s="4"/>
      <c r="W331" s="4">
        <v>0</v>
      </c>
      <c r="X331" s="4">
        <v>1</v>
      </c>
      <c r="Y331" s="4">
        <v>0</v>
      </c>
      <c r="Z331" s="4"/>
      <c r="AA331" s="4"/>
      <c r="AB331" s="4"/>
    </row>
    <row r="332" spans="1:28" x14ac:dyDescent="0.2">
      <c r="A332" s="4">
        <v>50</v>
      </c>
      <c r="B332" s="4">
        <v>0</v>
      </c>
      <c r="C332" s="4">
        <v>0</v>
      </c>
      <c r="D332" s="4">
        <v>1</v>
      </c>
      <c r="E332" s="4">
        <v>207</v>
      </c>
      <c r="F332" s="4">
        <f>ROUND(Source!U310,O332)</f>
        <v>0</v>
      </c>
      <c r="G332" s="4" t="s">
        <v>61</v>
      </c>
      <c r="H332" s="4" t="s">
        <v>62</v>
      </c>
      <c r="I332" s="4"/>
      <c r="J332" s="4"/>
      <c r="K332" s="4">
        <v>207</v>
      </c>
      <c r="L332" s="4">
        <v>21</v>
      </c>
      <c r="M332" s="4">
        <v>3</v>
      </c>
      <c r="N332" s="4" t="s">
        <v>6</v>
      </c>
      <c r="O332" s="4">
        <v>7</v>
      </c>
      <c r="P332" s="4"/>
      <c r="Q332" s="4"/>
      <c r="R332" s="4"/>
      <c r="S332" s="4"/>
      <c r="T332" s="4"/>
      <c r="U332" s="4"/>
      <c r="V332" s="4"/>
      <c r="W332" s="4">
        <v>0</v>
      </c>
      <c r="X332" s="4">
        <v>1</v>
      </c>
      <c r="Y332" s="4">
        <v>0</v>
      </c>
      <c r="Z332" s="4"/>
      <c r="AA332" s="4"/>
      <c r="AB332" s="4"/>
    </row>
    <row r="333" spans="1:28" x14ac:dyDescent="0.2">
      <c r="A333" s="4">
        <v>50</v>
      </c>
      <c r="B333" s="4">
        <v>0</v>
      </c>
      <c r="C333" s="4">
        <v>0</v>
      </c>
      <c r="D333" s="4">
        <v>1</v>
      </c>
      <c r="E333" s="4">
        <v>208</v>
      </c>
      <c r="F333" s="4">
        <f>ROUND(Source!V310,O333)</f>
        <v>0</v>
      </c>
      <c r="G333" s="4" t="s">
        <v>63</v>
      </c>
      <c r="H333" s="4" t="s">
        <v>64</v>
      </c>
      <c r="I333" s="4"/>
      <c r="J333" s="4"/>
      <c r="K333" s="4">
        <v>208</v>
      </c>
      <c r="L333" s="4">
        <v>22</v>
      </c>
      <c r="M333" s="4">
        <v>3</v>
      </c>
      <c r="N333" s="4" t="s">
        <v>6</v>
      </c>
      <c r="O333" s="4">
        <v>7</v>
      </c>
      <c r="P333" s="4"/>
      <c r="Q333" s="4"/>
      <c r="R333" s="4"/>
      <c r="S333" s="4"/>
      <c r="T333" s="4"/>
      <c r="U333" s="4"/>
      <c r="V333" s="4"/>
      <c r="W333" s="4">
        <v>0</v>
      </c>
      <c r="X333" s="4">
        <v>1</v>
      </c>
      <c r="Y333" s="4">
        <v>0</v>
      </c>
      <c r="Z333" s="4"/>
      <c r="AA333" s="4"/>
      <c r="AB333" s="4"/>
    </row>
    <row r="334" spans="1:28" x14ac:dyDescent="0.2">
      <c r="A334" s="4">
        <v>50</v>
      </c>
      <c r="B334" s="4">
        <v>0</v>
      </c>
      <c r="C334" s="4">
        <v>0</v>
      </c>
      <c r="D334" s="4">
        <v>1</v>
      </c>
      <c r="E334" s="4">
        <v>209</v>
      </c>
      <c r="F334" s="4">
        <f>ROUND(Source!W310,O334)</f>
        <v>0</v>
      </c>
      <c r="G334" s="4" t="s">
        <v>65</v>
      </c>
      <c r="H334" s="4" t="s">
        <v>66</v>
      </c>
      <c r="I334" s="4"/>
      <c r="J334" s="4"/>
      <c r="K334" s="4">
        <v>209</v>
      </c>
      <c r="L334" s="4">
        <v>23</v>
      </c>
      <c r="M334" s="4">
        <v>3</v>
      </c>
      <c r="N334" s="4" t="s">
        <v>6</v>
      </c>
      <c r="O334" s="4">
        <v>2</v>
      </c>
      <c r="P334" s="4"/>
      <c r="Q334" s="4"/>
      <c r="R334" s="4"/>
      <c r="S334" s="4"/>
      <c r="T334" s="4"/>
      <c r="U334" s="4"/>
      <c r="V334" s="4"/>
      <c r="W334" s="4">
        <v>0</v>
      </c>
      <c r="X334" s="4">
        <v>1</v>
      </c>
      <c r="Y334" s="4">
        <v>0</v>
      </c>
      <c r="Z334" s="4"/>
      <c r="AA334" s="4"/>
      <c r="AB334" s="4"/>
    </row>
    <row r="335" spans="1:28" x14ac:dyDescent="0.2">
      <c r="A335" s="4">
        <v>50</v>
      </c>
      <c r="B335" s="4">
        <v>0</v>
      </c>
      <c r="C335" s="4">
        <v>0</v>
      </c>
      <c r="D335" s="4">
        <v>1</v>
      </c>
      <c r="E335" s="4">
        <v>233</v>
      </c>
      <c r="F335" s="4">
        <f>ROUND(Source!BD310,O335)</f>
        <v>9785.74</v>
      </c>
      <c r="G335" s="4" t="s">
        <v>67</v>
      </c>
      <c r="H335" s="4" t="s">
        <v>68</v>
      </c>
      <c r="I335" s="4"/>
      <c r="J335" s="4"/>
      <c r="K335" s="4">
        <v>233</v>
      </c>
      <c r="L335" s="4">
        <v>24</v>
      </c>
      <c r="M335" s="4">
        <v>3</v>
      </c>
      <c r="N335" s="4" t="s">
        <v>6</v>
      </c>
      <c r="O335" s="4">
        <v>2</v>
      </c>
      <c r="P335" s="4"/>
      <c r="Q335" s="4"/>
      <c r="R335" s="4"/>
      <c r="S335" s="4"/>
      <c r="T335" s="4"/>
      <c r="U335" s="4"/>
      <c r="V335" s="4"/>
      <c r="W335" s="4">
        <v>9785.74</v>
      </c>
      <c r="X335" s="4">
        <v>1</v>
      </c>
      <c r="Y335" s="4">
        <v>9785.74</v>
      </c>
      <c r="Z335" s="4"/>
      <c r="AA335" s="4"/>
      <c r="AB335" s="4"/>
    </row>
    <row r="336" spans="1:28" x14ac:dyDescent="0.2">
      <c r="A336" s="4">
        <v>50</v>
      </c>
      <c r="B336" s="4">
        <v>0</v>
      </c>
      <c r="C336" s="4">
        <v>0</v>
      </c>
      <c r="D336" s="4">
        <v>1</v>
      </c>
      <c r="E336" s="4">
        <v>210</v>
      </c>
      <c r="F336" s="4">
        <f>ROUND(Source!X310,O336)</f>
        <v>0</v>
      </c>
      <c r="G336" s="4" t="s">
        <v>69</v>
      </c>
      <c r="H336" s="4" t="s">
        <v>70</v>
      </c>
      <c r="I336" s="4"/>
      <c r="J336" s="4"/>
      <c r="K336" s="4">
        <v>210</v>
      </c>
      <c r="L336" s="4">
        <v>25</v>
      </c>
      <c r="M336" s="4">
        <v>3</v>
      </c>
      <c r="N336" s="4" t="s">
        <v>6</v>
      </c>
      <c r="O336" s="4">
        <v>2</v>
      </c>
      <c r="P336" s="4"/>
      <c r="Q336" s="4"/>
      <c r="R336" s="4"/>
      <c r="S336" s="4"/>
      <c r="T336" s="4"/>
      <c r="U336" s="4"/>
      <c r="V336" s="4"/>
      <c r="W336" s="4">
        <v>0</v>
      </c>
      <c r="X336" s="4">
        <v>1</v>
      </c>
      <c r="Y336" s="4">
        <v>0</v>
      </c>
      <c r="Z336" s="4"/>
      <c r="AA336" s="4"/>
      <c r="AB336" s="4"/>
    </row>
    <row r="337" spans="1:206" x14ac:dyDescent="0.2">
      <c r="A337" s="4">
        <v>50</v>
      </c>
      <c r="B337" s="4">
        <v>0</v>
      </c>
      <c r="C337" s="4">
        <v>0</v>
      </c>
      <c r="D337" s="4">
        <v>1</v>
      </c>
      <c r="E337" s="4">
        <v>211</v>
      </c>
      <c r="F337" s="4">
        <f>ROUND(Source!Y310,O337)</f>
        <v>0</v>
      </c>
      <c r="G337" s="4" t="s">
        <v>71</v>
      </c>
      <c r="H337" s="4" t="s">
        <v>72</v>
      </c>
      <c r="I337" s="4"/>
      <c r="J337" s="4"/>
      <c r="K337" s="4">
        <v>211</v>
      </c>
      <c r="L337" s="4">
        <v>26</v>
      </c>
      <c r="M337" s="4">
        <v>3</v>
      </c>
      <c r="N337" s="4" t="s">
        <v>6</v>
      </c>
      <c r="O337" s="4">
        <v>2</v>
      </c>
      <c r="P337" s="4"/>
      <c r="Q337" s="4"/>
      <c r="R337" s="4"/>
      <c r="S337" s="4"/>
      <c r="T337" s="4"/>
      <c r="U337" s="4"/>
      <c r="V337" s="4"/>
      <c r="W337" s="4">
        <v>0</v>
      </c>
      <c r="X337" s="4">
        <v>1</v>
      </c>
      <c r="Y337" s="4">
        <v>0</v>
      </c>
      <c r="Z337" s="4"/>
      <c r="AA337" s="4"/>
      <c r="AB337" s="4"/>
    </row>
    <row r="338" spans="1:206" x14ac:dyDescent="0.2">
      <c r="A338" s="4">
        <v>50</v>
      </c>
      <c r="B338" s="4">
        <v>0</v>
      </c>
      <c r="C338" s="4">
        <v>0</v>
      </c>
      <c r="D338" s="4">
        <v>1</v>
      </c>
      <c r="E338" s="4">
        <v>224</v>
      </c>
      <c r="F338" s="4">
        <f>ROUND(Source!AR310,O338)</f>
        <v>9785.74</v>
      </c>
      <c r="G338" s="4" t="s">
        <v>73</v>
      </c>
      <c r="H338" s="4" t="s">
        <v>74</v>
      </c>
      <c r="I338" s="4"/>
      <c r="J338" s="4"/>
      <c r="K338" s="4">
        <v>224</v>
      </c>
      <c r="L338" s="4">
        <v>27</v>
      </c>
      <c r="M338" s="4">
        <v>3</v>
      </c>
      <c r="N338" s="4" t="s">
        <v>6</v>
      </c>
      <c r="O338" s="4">
        <v>2</v>
      </c>
      <c r="P338" s="4"/>
      <c r="Q338" s="4"/>
      <c r="R338" s="4"/>
      <c r="S338" s="4"/>
      <c r="T338" s="4"/>
      <c r="U338" s="4"/>
      <c r="V338" s="4"/>
      <c r="W338" s="4">
        <v>9785.74</v>
      </c>
      <c r="X338" s="4">
        <v>1</v>
      </c>
      <c r="Y338" s="4">
        <v>9785.74</v>
      </c>
      <c r="Z338" s="4"/>
      <c r="AA338" s="4"/>
      <c r="AB338" s="4"/>
    </row>
    <row r="340" spans="1:206" x14ac:dyDescent="0.2">
      <c r="A340" s="2">
        <v>51</v>
      </c>
      <c r="B340" s="2">
        <f>B20</f>
        <v>1</v>
      </c>
      <c r="C340" s="2">
        <f>A20</f>
        <v>3</v>
      </c>
      <c r="D340" s="2">
        <f>ROW(A20)</f>
        <v>20</v>
      </c>
      <c r="E340" s="2"/>
      <c r="F340" s="2" t="str">
        <f>IF(F20&lt;&gt;"",F20,"")</f>
        <v>ЛСР02-01-01</v>
      </c>
      <c r="G340" s="2" t="str">
        <f>IF(G20&lt;&gt;"",G20,"")</f>
        <v>02-01-01 Общестроительные работы.</v>
      </c>
      <c r="H340" s="2">
        <v>0</v>
      </c>
      <c r="I340" s="2"/>
      <c r="J340" s="2"/>
      <c r="K340" s="2"/>
      <c r="L340" s="2"/>
      <c r="M340" s="2"/>
      <c r="N340" s="2"/>
      <c r="O340" s="2">
        <f t="shared" ref="O340:T340" si="147">ROUND(O28+O62+O96+O130+O164+O198+O273+O310+AB340,2)</f>
        <v>300110.44</v>
      </c>
      <c r="P340" s="2">
        <f t="shared" si="147"/>
        <v>199160.15</v>
      </c>
      <c r="Q340" s="2">
        <f t="shared" si="147"/>
        <v>2742.3</v>
      </c>
      <c r="R340" s="2">
        <f t="shared" si="147"/>
        <v>2816.3</v>
      </c>
      <c r="S340" s="2">
        <f t="shared" si="147"/>
        <v>95391.69</v>
      </c>
      <c r="T340" s="2">
        <f t="shared" si="147"/>
        <v>0</v>
      </c>
      <c r="U340" s="2">
        <f>U28+U62+U96+U130+U164+U198+U273+U310+AH340</f>
        <v>316.76887700000003</v>
      </c>
      <c r="V340" s="2">
        <f>V28+V62+V96+V130+V164+V198+V273+V310+AI340</f>
        <v>9.1510058000000001</v>
      </c>
      <c r="W340" s="2">
        <f>ROUND(W28+W62+W96+W130+W164+W198+W273+W310+AJ340,2)</f>
        <v>0</v>
      </c>
      <c r="X340" s="2">
        <f>ROUND(X28+X62+X96+X130+X164+X198+X273+X310+AK340,2)</f>
        <v>89709.9</v>
      </c>
      <c r="Y340" s="2">
        <f>ROUND(Y28+Y62+Y96+Y130+Y164+Y198+Y273+Y310+AL340,2)</f>
        <v>44273.22</v>
      </c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>
        <f t="shared" ref="AO340:BD340" si="148">ROUND(AO28+AO62+AO96+AO130+AO164+AO198+AO273+AO310+BX340,2)</f>
        <v>0</v>
      </c>
      <c r="AP340" s="2">
        <f t="shared" si="148"/>
        <v>0</v>
      </c>
      <c r="AQ340" s="2">
        <f t="shared" si="148"/>
        <v>0</v>
      </c>
      <c r="AR340" s="2">
        <f t="shared" si="148"/>
        <v>443879.3</v>
      </c>
      <c r="AS340" s="2">
        <f t="shared" si="148"/>
        <v>443879.3</v>
      </c>
      <c r="AT340" s="2">
        <f t="shared" si="148"/>
        <v>0</v>
      </c>
      <c r="AU340" s="2">
        <f t="shared" si="148"/>
        <v>0</v>
      </c>
      <c r="AV340" s="2">
        <f t="shared" si="148"/>
        <v>199160.15</v>
      </c>
      <c r="AW340" s="2">
        <f t="shared" si="148"/>
        <v>199160.15</v>
      </c>
      <c r="AX340" s="2">
        <f t="shared" si="148"/>
        <v>0</v>
      </c>
      <c r="AY340" s="2">
        <f t="shared" si="148"/>
        <v>199160.15</v>
      </c>
      <c r="AZ340" s="2">
        <f t="shared" si="148"/>
        <v>0</v>
      </c>
      <c r="BA340" s="2">
        <f t="shared" si="148"/>
        <v>0</v>
      </c>
      <c r="BB340" s="2">
        <f t="shared" si="148"/>
        <v>0</v>
      </c>
      <c r="BC340" s="2">
        <f t="shared" si="148"/>
        <v>0</v>
      </c>
      <c r="BD340" s="2">
        <f t="shared" si="148"/>
        <v>9785.74</v>
      </c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>
        <v>0</v>
      </c>
    </row>
    <row r="342" spans="1:206" x14ac:dyDescent="0.2">
      <c r="A342" s="4">
        <v>50</v>
      </c>
      <c r="B342" s="4">
        <v>0</v>
      </c>
      <c r="C342" s="4">
        <v>0</v>
      </c>
      <c r="D342" s="4">
        <v>1</v>
      </c>
      <c r="E342" s="4">
        <v>201</v>
      </c>
      <c r="F342" s="4">
        <f>ROUND(Source!O340,O342)</f>
        <v>300110.44</v>
      </c>
      <c r="G342" s="4" t="s">
        <v>21</v>
      </c>
      <c r="H342" s="4" t="s">
        <v>22</v>
      </c>
      <c r="I342" s="4"/>
      <c r="J342" s="4"/>
      <c r="K342" s="4">
        <v>201</v>
      </c>
      <c r="L342" s="4">
        <v>1</v>
      </c>
      <c r="M342" s="4">
        <v>3</v>
      </c>
      <c r="N342" s="4" t="s">
        <v>6</v>
      </c>
      <c r="O342" s="4">
        <v>2</v>
      </c>
      <c r="P342" s="4"/>
      <c r="Q342" s="4"/>
      <c r="R342" s="4"/>
      <c r="S342" s="4"/>
      <c r="T342" s="4"/>
      <c r="U342" s="4"/>
      <c r="V342" s="4"/>
      <c r="W342" s="4">
        <v>309896.18</v>
      </c>
      <c r="X342" s="4">
        <v>1</v>
      </c>
      <c r="Y342" s="4">
        <v>309896.18</v>
      </c>
      <c r="Z342" s="4"/>
      <c r="AA342" s="4"/>
      <c r="AB342" s="4"/>
    </row>
    <row r="343" spans="1:206" x14ac:dyDescent="0.2">
      <c r="A343" s="4">
        <v>50</v>
      </c>
      <c r="B343" s="4">
        <v>0</v>
      </c>
      <c r="C343" s="4">
        <v>0</v>
      </c>
      <c r="D343" s="4">
        <v>1</v>
      </c>
      <c r="E343" s="4">
        <v>202</v>
      </c>
      <c r="F343" s="4">
        <f>ROUND(Source!P340,O343)</f>
        <v>199160.15</v>
      </c>
      <c r="G343" s="4" t="s">
        <v>23</v>
      </c>
      <c r="H343" s="4" t="s">
        <v>24</v>
      </c>
      <c r="I343" s="4"/>
      <c r="J343" s="4"/>
      <c r="K343" s="4">
        <v>202</v>
      </c>
      <c r="L343" s="4">
        <v>2</v>
      </c>
      <c r="M343" s="4">
        <v>3</v>
      </c>
      <c r="N343" s="4" t="s">
        <v>6</v>
      </c>
      <c r="O343" s="4">
        <v>2</v>
      </c>
      <c r="P343" s="4"/>
      <c r="Q343" s="4"/>
      <c r="R343" s="4"/>
      <c r="S343" s="4"/>
      <c r="T343" s="4"/>
      <c r="U343" s="4"/>
      <c r="V343" s="4"/>
      <c r="W343" s="4">
        <v>199160.15</v>
      </c>
      <c r="X343" s="4">
        <v>1</v>
      </c>
      <c r="Y343" s="4">
        <v>199160.15</v>
      </c>
      <c r="Z343" s="4"/>
      <c r="AA343" s="4"/>
      <c r="AB343" s="4"/>
    </row>
    <row r="344" spans="1:206" x14ac:dyDescent="0.2">
      <c r="A344" s="4">
        <v>50</v>
      </c>
      <c r="B344" s="4">
        <v>0</v>
      </c>
      <c r="C344" s="4">
        <v>0</v>
      </c>
      <c r="D344" s="4">
        <v>1</v>
      </c>
      <c r="E344" s="4">
        <v>222</v>
      </c>
      <c r="F344" s="4">
        <f>ROUND(Source!AO340,O344)</f>
        <v>0</v>
      </c>
      <c r="G344" s="4" t="s">
        <v>25</v>
      </c>
      <c r="H344" s="4" t="s">
        <v>26</v>
      </c>
      <c r="I344" s="4"/>
      <c r="J344" s="4"/>
      <c r="K344" s="4">
        <v>222</v>
      </c>
      <c r="L344" s="4">
        <v>3</v>
      </c>
      <c r="M344" s="4">
        <v>3</v>
      </c>
      <c r="N344" s="4" t="s">
        <v>6</v>
      </c>
      <c r="O344" s="4">
        <v>2</v>
      </c>
      <c r="P344" s="4"/>
      <c r="Q344" s="4"/>
      <c r="R344" s="4"/>
      <c r="S344" s="4"/>
      <c r="T344" s="4"/>
      <c r="U344" s="4"/>
      <c r="V344" s="4"/>
      <c r="W344" s="4">
        <v>0</v>
      </c>
      <c r="X344" s="4">
        <v>1</v>
      </c>
      <c r="Y344" s="4">
        <v>0</v>
      </c>
      <c r="Z344" s="4"/>
      <c r="AA344" s="4"/>
      <c r="AB344" s="4"/>
    </row>
    <row r="345" spans="1:206" x14ac:dyDescent="0.2">
      <c r="A345" s="4">
        <v>50</v>
      </c>
      <c r="B345" s="4">
        <v>0</v>
      </c>
      <c r="C345" s="4">
        <v>0</v>
      </c>
      <c r="D345" s="4">
        <v>1</v>
      </c>
      <c r="E345" s="4">
        <v>225</v>
      </c>
      <c r="F345" s="4">
        <f>ROUND(Source!AV340,O345)</f>
        <v>199160.15</v>
      </c>
      <c r="G345" s="4" t="s">
        <v>27</v>
      </c>
      <c r="H345" s="4" t="s">
        <v>28</v>
      </c>
      <c r="I345" s="4"/>
      <c r="J345" s="4"/>
      <c r="K345" s="4">
        <v>225</v>
      </c>
      <c r="L345" s="4">
        <v>4</v>
      </c>
      <c r="M345" s="4">
        <v>3</v>
      </c>
      <c r="N345" s="4" t="s">
        <v>6</v>
      </c>
      <c r="O345" s="4">
        <v>2</v>
      </c>
      <c r="P345" s="4"/>
      <c r="Q345" s="4"/>
      <c r="R345" s="4"/>
      <c r="S345" s="4"/>
      <c r="T345" s="4"/>
      <c r="U345" s="4"/>
      <c r="V345" s="4"/>
      <c r="W345" s="4">
        <v>199160.15</v>
      </c>
      <c r="X345" s="4">
        <v>1</v>
      </c>
      <c r="Y345" s="4">
        <v>199160.15</v>
      </c>
      <c r="Z345" s="4"/>
      <c r="AA345" s="4"/>
      <c r="AB345" s="4"/>
    </row>
    <row r="346" spans="1:206" x14ac:dyDescent="0.2">
      <c r="A346" s="4">
        <v>50</v>
      </c>
      <c r="B346" s="4">
        <v>0</v>
      </c>
      <c r="C346" s="4">
        <v>0</v>
      </c>
      <c r="D346" s="4">
        <v>1</v>
      </c>
      <c r="E346" s="4">
        <v>226</v>
      </c>
      <c r="F346" s="4">
        <f>ROUND(Source!AW340,O346)</f>
        <v>199160.15</v>
      </c>
      <c r="G346" s="4" t="s">
        <v>29</v>
      </c>
      <c r="H346" s="4" t="s">
        <v>30</v>
      </c>
      <c r="I346" s="4"/>
      <c r="J346" s="4"/>
      <c r="K346" s="4">
        <v>226</v>
      </c>
      <c r="L346" s="4">
        <v>5</v>
      </c>
      <c r="M346" s="4">
        <v>3</v>
      </c>
      <c r="N346" s="4" t="s">
        <v>6</v>
      </c>
      <c r="O346" s="4">
        <v>2</v>
      </c>
      <c r="P346" s="4"/>
      <c r="Q346" s="4"/>
      <c r="R346" s="4"/>
      <c r="S346" s="4"/>
      <c r="T346" s="4"/>
      <c r="U346" s="4"/>
      <c r="V346" s="4"/>
      <c r="W346" s="4">
        <v>199160.15</v>
      </c>
      <c r="X346" s="4">
        <v>1</v>
      </c>
      <c r="Y346" s="4">
        <v>199160.15</v>
      </c>
      <c r="Z346" s="4"/>
      <c r="AA346" s="4"/>
      <c r="AB346" s="4"/>
    </row>
    <row r="347" spans="1:206" x14ac:dyDescent="0.2">
      <c r="A347" s="4">
        <v>50</v>
      </c>
      <c r="B347" s="4">
        <v>0</v>
      </c>
      <c r="C347" s="4">
        <v>0</v>
      </c>
      <c r="D347" s="4">
        <v>1</v>
      </c>
      <c r="E347" s="4">
        <v>227</v>
      </c>
      <c r="F347" s="4">
        <f>ROUND(Source!AX340,O347)</f>
        <v>0</v>
      </c>
      <c r="G347" s="4" t="s">
        <v>31</v>
      </c>
      <c r="H347" s="4" t="s">
        <v>32</v>
      </c>
      <c r="I347" s="4"/>
      <c r="J347" s="4"/>
      <c r="K347" s="4">
        <v>227</v>
      </c>
      <c r="L347" s="4">
        <v>6</v>
      </c>
      <c r="M347" s="4">
        <v>3</v>
      </c>
      <c r="N347" s="4" t="s">
        <v>6</v>
      </c>
      <c r="O347" s="4">
        <v>2</v>
      </c>
      <c r="P347" s="4"/>
      <c r="Q347" s="4"/>
      <c r="R347" s="4"/>
      <c r="S347" s="4"/>
      <c r="T347" s="4"/>
      <c r="U347" s="4"/>
      <c r="V347" s="4"/>
      <c r="W347" s="4">
        <v>0</v>
      </c>
      <c r="X347" s="4">
        <v>1</v>
      </c>
      <c r="Y347" s="4">
        <v>0</v>
      </c>
      <c r="Z347" s="4"/>
      <c r="AA347" s="4"/>
      <c r="AB347" s="4"/>
    </row>
    <row r="348" spans="1:206" x14ac:dyDescent="0.2">
      <c r="A348" s="4">
        <v>50</v>
      </c>
      <c r="B348" s="4">
        <v>0</v>
      </c>
      <c r="C348" s="4">
        <v>0</v>
      </c>
      <c r="D348" s="4">
        <v>1</v>
      </c>
      <c r="E348" s="4">
        <v>228</v>
      </c>
      <c r="F348" s="4">
        <f>ROUND(Source!AY340,O348)</f>
        <v>199160.15</v>
      </c>
      <c r="G348" s="4" t="s">
        <v>33</v>
      </c>
      <c r="H348" s="4" t="s">
        <v>34</v>
      </c>
      <c r="I348" s="4"/>
      <c r="J348" s="4"/>
      <c r="K348" s="4">
        <v>228</v>
      </c>
      <c r="L348" s="4">
        <v>7</v>
      </c>
      <c r="M348" s="4">
        <v>3</v>
      </c>
      <c r="N348" s="4" t="s">
        <v>6</v>
      </c>
      <c r="O348" s="4">
        <v>2</v>
      </c>
      <c r="P348" s="4"/>
      <c r="Q348" s="4"/>
      <c r="R348" s="4"/>
      <c r="S348" s="4"/>
      <c r="T348" s="4"/>
      <c r="U348" s="4"/>
      <c r="V348" s="4"/>
      <c r="W348" s="4">
        <v>199160.15</v>
      </c>
      <c r="X348" s="4">
        <v>1</v>
      </c>
      <c r="Y348" s="4">
        <v>199160.15</v>
      </c>
      <c r="Z348" s="4"/>
      <c r="AA348" s="4"/>
      <c r="AB348" s="4"/>
    </row>
    <row r="349" spans="1:206" x14ac:dyDescent="0.2">
      <c r="A349" s="4">
        <v>50</v>
      </c>
      <c r="B349" s="4">
        <v>0</v>
      </c>
      <c r="C349" s="4">
        <v>0</v>
      </c>
      <c r="D349" s="4">
        <v>1</v>
      </c>
      <c r="E349" s="4">
        <v>216</v>
      </c>
      <c r="F349" s="4">
        <f>ROUND(Source!AP340,O349)</f>
        <v>0</v>
      </c>
      <c r="G349" s="4" t="s">
        <v>35</v>
      </c>
      <c r="H349" s="4" t="s">
        <v>36</v>
      </c>
      <c r="I349" s="4"/>
      <c r="J349" s="4"/>
      <c r="K349" s="4">
        <v>216</v>
      </c>
      <c r="L349" s="4">
        <v>8</v>
      </c>
      <c r="M349" s="4">
        <v>3</v>
      </c>
      <c r="N349" s="4" t="s">
        <v>6</v>
      </c>
      <c r="O349" s="4">
        <v>2</v>
      </c>
      <c r="P349" s="4"/>
      <c r="Q349" s="4"/>
      <c r="R349" s="4"/>
      <c r="S349" s="4"/>
      <c r="T349" s="4"/>
      <c r="U349" s="4"/>
      <c r="V349" s="4"/>
      <c r="W349" s="4">
        <v>0</v>
      </c>
      <c r="X349" s="4">
        <v>1</v>
      </c>
      <c r="Y349" s="4">
        <v>0</v>
      </c>
      <c r="Z349" s="4"/>
      <c r="AA349" s="4"/>
      <c r="AB349" s="4"/>
    </row>
    <row r="350" spans="1:206" x14ac:dyDescent="0.2">
      <c r="A350" s="4">
        <v>50</v>
      </c>
      <c r="B350" s="4">
        <v>0</v>
      </c>
      <c r="C350" s="4">
        <v>0</v>
      </c>
      <c r="D350" s="4">
        <v>1</v>
      </c>
      <c r="E350" s="4">
        <v>223</v>
      </c>
      <c r="F350" s="4">
        <f>ROUND(Source!AQ340,O350)</f>
        <v>0</v>
      </c>
      <c r="G350" s="4" t="s">
        <v>37</v>
      </c>
      <c r="H350" s="4" t="s">
        <v>38</v>
      </c>
      <c r="I350" s="4"/>
      <c r="J350" s="4"/>
      <c r="K350" s="4">
        <v>223</v>
      </c>
      <c r="L350" s="4">
        <v>9</v>
      </c>
      <c r="M350" s="4">
        <v>3</v>
      </c>
      <c r="N350" s="4" t="s">
        <v>6</v>
      </c>
      <c r="O350" s="4">
        <v>2</v>
      </c>
      <c r="P350" s="4"/>
      <c r="Q350" s="4"/>
      <c r="R350" s="4"/>
      <c r="S350" s="4"/>
      <c r="T350" s="4"/>
      <c r="U350" s="4"/>
      <c r="V350" s="4"/>
      <c r="W350" s="4">
        <v>0</v>
      </c>
      <c r="X350" s="4">
        <v>1</v>
      </c>
      <c r="Y350" s="4">
        <v>0</v>
      </c>
      <c r="Z350" s="4"/>
      <c r="AA350" s="4"/>
      <c r="AB350" s="4"/>
    </row>
    <row r="351" spans="1:206" x14ac:dyDescent="0.2">
      <c r="A351" s="4">
        <v>50</v>
      </c>
      <c r="B351" s="4">
        <v>0</v>
      </c>
      <c r="C351" s="4">
        <v>0</v>
      </c>
      <c r="D351" s="4">
        <v>1</v>
      </c>
      <c r="E351" s="4">
        <v>229</v>
      </c>
      <c r="F351" s="4">
        <f>ROUND(Source!AZ340,O351)</f>
        <v>0</v>
      </c>
      <c r="G351" s="4" t="s">
        <v>39</v>
      </c>
      <c r="H351" s="4" t="s">
        <v>40</v>
      </c>
      <c r="I351" s="4"/>
      <c r="J351" s="4"/>
      <c r="K351" s="4">
        <v>229</v>
      </c>
      <c r="L351" s="4">
        <v>10</v>
      </c>
      <c r="M351" s="4">
        <v>3</v>
      </c>
      <c r="N351" s="4" t="s">
        <v>6</v>
      </c>
      <c r="O351" s="4">
        <v>2</v>
      </c>
      <c r="P351" s="4"/>
      <c r="Q351" s="4"/>
      <c r="R351" s="4"/>
      <c r="S351" s="4"/>
      <c r="T351" s="4"/>
      <c r="U351" s="4"/>
      <c r="V351" s="4"/>
      <c r="W351" s="4">
        <v>0</v>
      </c>
      <c r="X351" s="4">
        <v>1</v>
      </c>
      <c r="Y351" s="4">
        <v>0</v>
      </c>
      <c r="Z351" s="4"/>
      <c r="AA351" s="4"/>
      <c r="AB351" s="4"/>
    </row>
    <row r="352" spans="1:206" x14ac:dyDescent="0.2">
      <c r="A352" s="4">
        <v>50</v>
      </c>
      <c r="B352" s="4">
        <v>0</v>
      </c>
      <c r="C352" s="4">
        <v>0</v>
      </c>
      <c r="D352" s="4">
        <v>1</v>
      </c>
      <c r="E352" s="4">
        <v>203</v>
      </c>
      <c r="F352" s="4">
        <f>ROUND(Source!Q340,O352)</f>
        <v>2742.3</v>
      </c>
      <c r="G352" s="4" t="s">
        <v>41</v>
      </c>
      <c r="H352" s="4" t="s">
        <v>42</v>
      </c>
      <c r="I352" s="4"/>
      <c r="J352" s="4"/>
      <c r="K352" s="4">
        <v>203</v>
      </c>
      <c r="L352" s="4">
        <v>11</v>
      </c>
      <c r="M352" s="4">
        <v>3</v>
      </c>
      <c r="N352" s="4" t="s">
        <v>6</v>
      </c>
      <c r="O352" s="4">
        <v>2</v>
      </c>
      <c r="P352" s="4"/>
      <c r="Q352" s="4"/>
      <c r="R352" s="4"/>
      <c r="S352" s="4"/>
      <c r="T352" s="4"/>
      <c r="U352" s="4"/>
      <c r="V352" s="4"/>
      <c r="W352" s="4">
        <v>2742.2999999999993</v>
      </c>
      <c r="X352" s="4">
        <v>1</v>
      </c>
      <c r="Y352" s="4">
        <v>2742.2999999999993</v>
      </c>
      <c r="Z352" s="4"/>
      <c r="AA352" s="4"/>
      <c r="AB352" s="4"/>
    </row>
    <row r="353" spans="1:28" x14ac:dyDescent="0.2">
      <c r="A353" s="4">
        <v>50</v>
      </c>
      <c r="B353" s="4">
        <v>0</v>
      </c>
      <c r="C353" s="4">
        <v>0</v>
      </c>
      <c r="D353" s="4">
        <v>1</v>
      </c>
      <c r="E353" s="4">
        <v>231</v>
      </c>
      <c r="F353" s="4">
        <f>ROUND(Source!BB340,O353)</f>
        <v>0</v>
      </c>
      <c r="G353" s="4" t="s">
        <v>43</v>
      </c>
      <c r="H353" s="4" t="s">
        <v>44</v>
      </c>
      <c r="I353" s="4"/>
      <c r="J353" s="4"/>
      <c r="K353" s="4">
        <v>231</v>
      </c>
      <c r="L353" s="4">
        <v>12</v>
      </c>
      <c r="M353" s="4">
        <v>3</v>
      </c>
      <c r="N353" s="4" t="s">
        <v>6</v>
      </c>
      <c r="O353" s="4">
        <v>2</v>
      </c>
      <c r="P353" s="4"/>
      <c r="Q353" s="4"/>
      <c r="R353" s="4"/>
      <c r="S353" s="4"/>
      <c r="T353" s="4"/>
      <c r="U353" s="4"/>
      <c r="V353" s="4"/>
      <c r="W353" s="4">
        <v>0</v>
      </c>
      <c r="X353" s="4">
        <v>1</v>
      </c>
      <c r="Y353" s="4">
        <v>0</v>
      </c>
      <c r="Z353" s="4"/>
      <c r="AA353" s="4"/>
      <c r="AB353" s="4"/>
    </row>
    <row r="354" spans="1:28" x14ac:dyDescent="0.2">
      <c r="A354" s="4">
        <v>50</v>
      </c>
      <c r="B354" s="4">
        <v>0</v>
      </c>
      <c r="C354" s="4">
        <v>0</v>
      </c>
      <c r="D354" s="4">
        <v>1</v>
      </c>
      <c r="E354" s="4">
        <v>204</v>
      </c>
      <c r="F354" s="4">
        <f>ROUND(Source!R340,O354)</f>
        <v>2816.3</v>
      </c>
      <c r="G354" s="4" t="s">
        <v>45</v>
      </c>
      <c r="H354" s="4" t="s">
        <v>46</v>
      </c>
      <c r="I354" s="4"/>
      <c r="J354" s="4"/>
      <c r="K354" s="4">
        <v>204</v>
      </c>
      <c r="L354" s="4">
        <v>13</v>
      </c>
      <c r="M354" s="4">
        <v>3</v>
      </c>
      <c r="N354" s="4" t="s">
        <v>6</v>
      </c>
      <c r="O354" s="4">
        <v>2</v>
      </c>
      <c r="P354" s="4"/>
      <c r="Q354" s="4"/>
      <c r="R354" s="4"/>
      <c r="S354" s="4"/>
      <c r="T354" s="4"/>
      <c r="U354" s="4"/>
      <c r="V354" s="4"/>
      <c r="W354" s="4">
        <v>2816.3</v>
      </c>
      <c r="X354" s="4">
        <v>1</v>
      </c>
      <c r="Y354" s="4">
        <v>2816.3</v>
      </c>
      <c r="Z354" s="4"/>
      <c r="AA354" s="4"/>
      <c r="AB354" s="4"/>
    </row>
    <row r="355" spans="1:28" x14ac:dyDescent="0.2">
      <c r="A355" s="4">
        <v>50</v>
      </c>
      <c r="B355" s="4">
        <v>0</v>
      </c>
      <c r="C355" s="4">
        <v>0</v>
      </c>
      <c r="D355" s="4">
        <v>1</v>
      </c>
      <c r="E355" s="4">
        <v>205</v>
      </c>
      <c r="F355" s="4">
        <f>ROUND(Source!S340,O355)</f>
        <v>95391.69</v>
      </c>
      <c r="G355" s="4" t="s">
        <v>47</v>
      </c>
      <c r="H355" s="4" t="s">
        <v>48</v>
      </c>
      <c r="I355" s="4"/>
      <c r="J355" s="4"/>
      <c r="K355" s="4">
        <v>205</v>
      </c>
      <c r="L355" s="4">
        <v>14</v>
      </c>
      <c r="M355" s="4">
        <v>3</v>
      </c>
      <c r="N355" s="4" t="s">
        <v>6</v>
      </c>
      <c r="O355" s="4">
        <v>2</v>
      </c>
      <c r="P355" s="4"/>
      <c r="Q355" s="4"/>
      <c r="R355" s="4"/>
      <c r="S355" s="4"/>
      <c r="T355" s="4"/>
      <c r="U355" s="4"/>
      <c r="V355" s="4"/>
      <c r="W355" s="4">
        <v>95391.69</v>
      </c>
      <c r="X355" s="4">
        <v>1</v>
      </c>
      <c r="Y355" s="4">
        <v>95391.69</v>
      </c>
      <c r="Z355" s="4"/>
      <c r="AA355" s="4"/>
      <c r="AB355" s="4"/>
    </row>
    <row r="356" spans="1:28" x14ac:dyDescent="0.2">
      <c r="A356" s="4">
        <v>50</v>
      </c>
      <c r="B356" s="4">
        <v>0</v>
      </c>
      <c r="C356" s="4">
        <v>0</v>
      </c>
      <c r="D356" s="4">
        <v>1</v>
      </c>
      <c r="E356" s="4">
        <v>232</v>
      </c>
      <c r="F356" s="4">
        <f>ROUND(Source!BC340,O356)</f>
        <v>0</v>
      </c>
      <c r="G356" s="4" t="s">
        <v>49</v>
      </c>
      <c r="H356" s="4" t="s">
        <v>50</v>
      </c>
      <c r="I356" s="4"/>
      <c r="J356" s="4"/>
      <c r="K356" s="4">
        <v>232</v>
      </c>
      <c r="L356" s="4">
        <v>15</v>
      </c>
      <c r="M356" s="4">
        <v>3</v>
      </c>
      <c r="N356" s="4" t="s">
        <v>6</v>
      </c>
      <c r="O356" s="4">
        <v>2</v>
      </c>
      <c r="P356" s="4"/>
      <c r="Q356" s="4"/>
      <c r="R356" s="4"/>
      <c r="S356" s="4"/>
      <c r="T356" s="4"/>
      <c r="U356" s="4"/>
      <c r="V356" s="4"/>
      <c r="W356" s="4">
        <v>0</v>
      </c>
      <c r="X356" s="4">
        <v>1</v>
      </c>
      <c r="Y356" s="4">
        <v>0</v>
      </c>
      <c r="Z356" s="4"/>
      <c r="AA356" s="4"/>
      <c r="AB356" s="4"/>
    </row>
    <row r="357" spans="1:28" x14ac:dyDescent="0.2">
      <c r="A357" s="4">
        <v>50</v>
      </c>
      <c r="B357" s="4">
        <v>0</v>
      </c>
      <c r="C357" s="4">
        <v>0</v>
      </c>
      <c r="D357" s="4">
        <v>1</v>
      </c>
      <c r="E357" s="4">
        <v>214</v>
      </c>
      <c r="F357" s="4">
        <f>ROUND(Source!AS340,O357)</f>
        <v>443879.3</v>
      </c>
      <c r="G357" s="4" t="s">
        <v>51</v>
      </c>
      <c r="H357" s="4" t="s">
        <v>52</v>
      </c>
      <c r="I357" s="4"/>
      <c r="J357" s="4"/>
      <c r="K357" s="4">
        <v>214</v>
      </c>
      <c r="L357" s="4">
        <v>16</v>
      </c>
      <c r="M357" s="4">
        <v>3</v>
      </c>
      <c r="N357" s="4" t="s">
        <v>6</v>
      </c>
      <c r="O357" s="4">
        <v>2</v>
      </c>
      <c r="P357" s="4"/>
      <c r="Q357" s="4"/>
      <c r="R357" s="4"/>
      <c r="S357" s="4"/>
      <c r="T357" s="4"/>
      <c r="U357" s="4"/>
      <c r="V357" s="4"/>
      <c r="W357" s="4">
        <v>443879.3</v>
      </c>
      <c r="X357" s="4">
        <v>1</v>
      </c>
      <c r="Y357" s="4">
        <v>443879.3</v>
      </c>
      <c r="Z357" s="4"/>
      <c r="AA357" s="4"/>
      <c r="AB357" s="4"/>
    </row>
    <row r="358" spans="1:28" x14ac:dyDescent="0.2">
      <c r="A358" s="4">
        <v>50</v>
      </c>
      <c r="B358" s="4">
        <v>0</v>
      </c>
      <c r="C358" s="4">
        <v>0</v>
      </c>
      <c r="D358" s="4">
        <v>1</v>
      </c>
      <c r="E358" s="4">
        <v>215</v>
      </c>
      <c r="F358" s="4">
        <f>ROUND(Source!AT340,O358)</f>
        <v>0</v>
      </c>
      <c r="G358" s="4" t="s">
        <v>53</v>
      </c>
      <c r="H358" s="4" t="s">
        <v>54</v>
      </c>
      <c r="I358" s="4"/>
      <c r="J358" s="4"/>
      <c r="K358" s="4">
        <v>215</v>
      </c>
      <c r="L358" s="4">
        <v>17</v>
      </c>
      <c r="M358" s="4">
        <v>3</v>
      </c>
      <c r="N358" s="4" t="s">
        <v>6</v>
      </c>
      <c r="O358" s="4">
        <v>2</v>
      </c>
      <c r="P358" s="4"/>
      <c r="Q358" s="4"/>
      <c r="R358" s="4"/>
      <c r="S358" s="4"/>
      <c r="T358" s="4"/>
      <c r="U358" s="4"/>
      <c r="V358" s="4"/>
      <c r="W358" s="4">
        <v>0</v>
      </c>
      <c r="X358" s="4">
        <v>1</v>
      </c>
      <c r="Y358" s="4">
        <v>0</v>
      </c>
      <c r="Z358" s="4"/>
      <c r="AA358" s="4"/>
      <c r="AB358" s="4"/>
    </row>
    <row r="359" spans="1:28" x14ac:dyDescent="0.2">
      <c r="A359" s="4">
        <v>50</v>
      </c>
      <c r="B359" s="4">
        <v>0</v>
      </c>
      <c r="C359" s="4">
        <v>0</v>
      </c>
      <c r="D359" s="4">
        <v>1</v>
      </c>
      <c r="E359" s="4">
        <v>217</v>
      </c>
      <c r="F359" s="4">
        <f>ROUND(Source!AU340,O359)</f>
        <v>0</v>
      </c>
      <c r="G359" s="4" t="s">
        <v>55</v>
      </c>
      <c r="H359" s="4" t="s">
        <v>56</v>
      </c>
      <c r="I359" s="4"/>
      <c r="J359" s="4"/>
      <c r="K359" s="4">
        <v>217</v>
      </c>
      <c r="L359" s="4">
        <v>18</v>
      </c>
      <c r="M359" s="4">
        <v>3</v>
      </c>
      <c r="N359" s="4" t="s">
        <v>6</v>
      </c>
      <c r="O359" s="4">
        <v>2</v>
      </c>
      <c r="P359" s="4"/>
      <c r="Q359" s="4"/>
      <c r="R359" s="4"/>
      <c r="S359" s="4"/>
      <c r="T359" s="4"/>
      <c r="U359" s="4"/>
      <c r="V359" s="4"/>
      <c r="W359" s="4">
        <v>0</v>
      </c>
      <c r="X359" s="4">
        <v>1</v>
      </c>
      <c r="Y359" s="4">
        <v>0</v>
      </c>
      <c r="Z359" s="4"/>
      <c r="AA359" s="4"/>
      <c r="AB359" s="4"/>
    </row>
    <row r="360" spans="1:28" x14ac:dyDescent="0.2">
      <c r="A360" s="4">
        <v>50</v>
      </c>
      <c r="B360" s="4">
        <v>0</v>
      </c>
      <c r="C360" s="4">
        <v>0</v>
      </c>
      <c r="D360" s="4">
        <v>1</v>
      </c>
      <c r="E360" s="4">
        <v>230</v>
      </c>
      <c r="F360" s="4">
        <f>ROUND(Source!BA340,O360)</f>
        <v>0</v>
      </c>
      <c r="G360" s="4" t="s">
        <v>57</v>
      </c>
      <c r="H360" s="4" t="s">
        <v>58</v>
      </c>
      <c r="I360" s="4"/>
      <c r="J360" s="4"/>
      <c r="K360" s="4">
        <v>230</v>
      </c>
      <c r="L360" s="4">
        <v>19</v>
      </c>
      <c r="M360" s="4">
        <v>3</v>
      </c>
      <c r="N360" s="4" t="s">
        <v>6</v>
      </c>
      <c r="O360" s="4">
        <v>2</v>
      </c>
      <c r="P360" s="4"/>
      <c r="Q360" s="4"/>
      <c r="R360" s="4"/>
      <c r="S360" s="4"/>
      <c r="T360" s="4"/>
      <c r="U360" s="4"/>
      <c r="V360" s="4"/>
      <c r="W360" s="4">
        <v>0</v>
      </c>
      <c r="X360" s="4">
        <v>1</v>
      </c>
      <c r="Y360" s="4">
        <v>0</v>
      </c>
      <c r="Z360" s="4"/>
      <c r="AA360" s="4"/>
      <c r="AB360" s="4"/>
    </row>
    <row r="361" spans="1:28" x14ac:dyDescent="0.2">
      <c r="A361" s="4">
        <v>50</v>
      </c>
      <c r="B361" s="4">
        <v>0</v>
      </c>
      <c r="C361" s="4">
        <v>0</v>
      </c>
      <c r="D361" s="4">
        <v>1</v>
      </c>
      <c r="E361" s="4">
        <v>206</v>
      </c>
      <c r="F361" s="4">
        <f>ROUND(Source!T340,O361)</f>
        <v>0</v>
      </c>
      <c r="G361" s="4" t="s">
        <v>59</v>
      </c>
      <c r="H361" s="4" t="s">
        <v>60</v>
      </c>
      <c r="I361" s="4"/>
      <c r="J361" s="4"/>
      <c r="K361" s="4">
        <v>206</v>
      </c>
      <c r="L361" s="4">
        <v>20</v>
      </c>
      <c r="M361" s="4">
        <v>3</v>
      </c>
      <c r="N361" s="4" t="s">
        <v>6</v>
      </c>
      <c r="O361" s="4">
        <v>2</v>
      </c>
      <c r="P361" s="4"/>
      <c r="Q361" s="4"/>
      <c r="R361" s="4"/>
      <c r="S361" s="4"/>
      <c r="T361" s="4"/>
      <c r="U361" s="4"/>
      <c r="V361" s="4"/>
      <c r="W361" s="4">
        <v>0</v>
      </c>
      <c r="X361" s="4">
        <v>1</v>
      </c>
      <c r="Y361" s="4">
        <v>0</v>
      </c>
      <c r="Z361" s="4"/>
      <c r="AA361" s="4"/>
      <c r="AB361" s="4"/>
    </row>
    <row r="362" spans="1:28" x14ac:dyDescent="0.2">
      <c r="A362" s="4">
        <v>50</v>
      </c>
      <c r="B362" s="4">
        <v>0</v>
      </c>
      <c r="C362" s="4">
        <v>0</v>
      </c>
      <c r="D362" s="4">
        <v>1</v>
      </c>
      <c r="E362" s="4">
        <v>207</v>
      </c>
      <c r="F362" s="4">
        <f>ROUND(Source!U340,O362)</f>
        <v>316.76887699999997</v>
      </c>
      <c r="G362" s="4" t="s">
        <v>61</v>
      </c>
      <c r="H362" s="4" t="s">
        <v>62</v>
      </c>
      <c r="I362" s="4"/>
      <c r="J362" s="4"/>
      <c r="K362" s="4">
        <v>207</v>
      </c>
      <c r="L362" s="4">
        <v>21</v>
      </c>
      <c r="M362" s="4">
        <v>3</v>
      </c>
      <c r="N362" s="4" t="s">
        <v>6</v>
      </c>
      <c r="O362" s="4">
        <v>7</v>
      </c>
      <c r="P362" s="4"/>
      <c r="Q362" s="4"/>
      <c r="R362" s="4"/>
      <c r="S362" s="4"/>
      <c r="T362" s="4"/>
      <c r="U362" s="4"/>
      <c r="V362" s="4"/>
      <c r="W362" s="4">
        <v>316.76887699999997</v>
      </c>
      <c r="X362" s="4">
        <v>1</v>
      </c>
      <c r="Y362" s="4">
        <v>316.76887699999997</v>
      </c>
      <c r="Z362" s="4"/>
      <c r="AA362" s="4"/>
      <c r="AB362" s="4"/>
    </row>
    <row r="363" spans="1:28" x14ac:dyDescent="0.2">
      <c r="A363" s="4">
        <v>50</v>
      </c>
      <c r="B363" s="4">
        <v>0</v>
      </c>
      <c r="C363" s="4">
        <v>0</v>
      </c>
      <c r="D363" s="4">
        <v>1</v>
      </c>
      <c r="E363" s="4">
        <v>208</v>
      </c>
      <c r="F363" s="4">
        <f>ROUND(Source!V340,O363)</f>
        <v>9.1510058000000001</v>
      </c>
      <c r="G363" s="4" t="s">
        <v>63</v>
      </c>
      <c r="H363" s="4" t="s">
        <v>64</v>
      </c>
      <c r="I363" s="4"/>
      <c r="J363" s="4"/>
      <c r="K363" s="4">
        <v>208</v>
      </c>
      <c r="L363" s="4">
        <v>22</v>
      </c>
      <c r="M363" s="4">
        <v>3</v>
      </c>
      <c r="N363" s="4" t="s">
        <v>6</v>
      </c>
      <c r="O363" s="4">
        <v>7</v>
      </c>
      <c r="P363" s="4"/>
      <c r="Q363" s="4"/>
      <c r="R363" s="4"/>
      <c r="S363" s="4"/>
      <c r="T363" s="4"/>
      <c r="U363" s="4"/>
      <c r="V363" s="4"/>
      <c r="W363" s="4">
        <v>9.1510058000000001</v>
      </c>
      <c r="X363" s="4">
        <v>1</v>
      </c>
      <c r="Y363" s="4">
        <v>9.1510058000000001</v>
      </c>
      <c r="Z363" s="4"/>
      <c r="AA363" s="4"/>
      <c r="AB363" s="4"/>
    </row>
    <row r="364" spans="1:28" x14ac:dyDescent="0.2">
      <c r="A364" s="4">
        <v>50</v>
      </c>
      <c r="B364" s="4">
        <v>0</v>
      </c>
      <c r="C364" s="4">
        <v>0</v>
      </c>
      <c r="D364" s="4">
        <v>1</v>
      </c>
      <c r="E364" s="4">
        <v>209</v>
      </c>
      <c r="F364" s="4">
        <f>ROUND(Source!W340,O364)</f>
        <v>0</v>
      </c>
      <c r="G364" s="4" t="s">
        <v>65</v>
      </c>
      <c r="H364" s="4" t="s">
        <v>66</v>
      </c>
      <c r="I364" s="4"/>
      <c r="J364" s="4"/>
      <c r="K364" s="4">
        <v>209</v>
      </c>
      <c r="L364" s="4">
        <v>23</v>
      </c>
      <c r="M364" s="4">
        <v>3</v>
      </c>
      <c r="N364" s="4" t="s">
        <v>6</v>
      </c>
      <c r="O364" s="4">
        <v>2</v>
      </c>
      <c r="P364" s="4"/>
      <c r="Q364" s="4"/>
      <c r="R364" s="4"/>
      <c r="S364" s="4"/>
      <c r="T364" s="4"/>
      <c r="U364" s="4"/>
      <c r="V364" s="4"/>
      <c r="W364" s="4">
        <v>0</v>
      </c>
      <c r="X364" s="4">
        <v>1</v>
      </c>
      <c r="Y364" s="4">
        <v>0</v>
      </c>
      <c r="Z364" s="4"/>
      <c r="AA364" s="4"/>
      <c r="AB364" s="4"/>
    </row>
    <row r="365" spans="1:28" x14ac:dyDescent="0.2">
      <c r="A365" s="4">
        <v>50</v>
      </c>
      <c r="B365" s="4">
        <v>0</v>
      </c>
      <c r="C365" s="4">
        <v>0</v>
      </c>
      <c r="D365" s="4">
        <v>1</v>
      </c>
      <c r="E365" s="4">
        <v>233</v>
      </c>
      <c r="F365" s="4">
        <f>ROUND(Source!BD340,O365)</f>
        <v>9785.74</v>
      </c>
      <c r="G365" s="4" t="s">
        <v>67</v>
      </c>
      <c r="H365" s="4" t="s">
        <v>68</v>
      </c>
      <c r="I365" s="4"/>
      <c r="J365" s="4"/>
      <c r="K365" s="4">
        <v>233</v>
      </c>
      <c r="L365" s="4">
        <v>24</v>
      </c>
      <c r="M365" s="4">
        <v>3</v>
      </c>
      <c r="N365" s="4" t="s">
        <v>6</v>
      </c>
      <c r="O365" s="4">
        <v>2</v>
      </c>
      <c r="P365" s="4"/>
      <c r="Q365" s="4"/>
      <c r="R365" s="4"/>
      <c r="S365" s="4"/>
      <c r="T365" s="4"/>
      <c r="U365" s="4"/>
      <c r="V365" s="4"/>
      <c r="W365" s="4">
        <v>9785.74</v>
      </c>
      <c r="X365" s="4">
        <v>1</v>
      </c>
      <c r="Y365" s="4">
        <v>9785.74</v>
      </c>
      <c r="Z365" s="4"/>
      <c r="AA365" s="4"/>
      <c r="AB365" s="4"/>
    </row>
    <row r="366" spans="1:28" x14ac:dyDescent="0.2">
      <c r="A366" s="4">
        <v>50</v>
      </c>
      <c r="B366" s="4">
        <v>0</v>
      </c>
      <c r="C366" s="4">
        <v>0</v>
      </c>
      <c r="D366" s="4">
        <v>1</v>
      </c>
      <c r="E366" s="4">
        <v>210</v>
      </c>
      <c r="F366" s="4">
        <f>ROUND(Source!X340,O366)</f>
        <v>89709.9</v>
      </c>
      <c r="G366" s="4" t="s">
        <v>69</v>
      </c>
      <c r="H366" s="4" t="s">
        <v>70</v>
      </c>
      <c r="I366" s="4"/>
      <c r="J366" s="4"/>
      <c r="K366" s="4">
        <v>210</v>
      </c>
      <c r="L366" s="4">
        <v>25</v>
      </c>
      <c r="M366" s="4">
        <v>3</v>
      </c>
      <c r="N366" s="4" t="s">
        <v>6</v>
      </c>
      <c r="O366" s="4">
        <v>2</v>
      </c>
      <c r="P366" s="4"/>
      <c r="Q366" s="4"/>
      <c r="R366" s="4"/>
      <c r="S366" s="4"/>
      <c r="T366" s="4"/>
      <c r="U366" s="4"/>
      <c r="V366" s="4"/>
      <c r="W366" s="4">
        <v>89709.9</v>
      </c>
      <c r="X366" s="4">
        <v>1</v>
      </c>
      <c r="Y366" s="4">
        <v>89709.9</v>
      </c>
      <c r="Z366" s="4"/>
      <c r="AA366" s="4"/>
      <c r="AB366" s="4"/>
    </row>
    <row r="367" spans="1:28" x14ac:dyDescent="0.2">
      <c r="A367" s="4">
        <v>50</v>
      </c>
      <c r="B367" s="4">
        <v>0</v>
      </c>
      <c r="C367" s="4">
        <v>0</v>
      </c>
      <c r="D367" s="4">
        <v>1</v>
      </c>
      <c r="E367" s="4">
        <v>211</v>
      </c>
      <c r="F367" s="4">
        <f>ROUND(Source!Y340,O367)</f>
        <v>44273.22</v>
      </c>
      <c r="G367" s="4" t="s">
        <v>71</v>
      </c>
      <c r="H367" s="4" t="s">
        <v>72</v>
      </c>
      <c r="I367" s="4"/>
      <c r="J367" s="4"/>
      <c r="K367" s="4">
        <v>211</v>
      </c>
      <c r="L367" s="4">
        <v>26</v>
      </c>
      <c r="M367" s="4">
        <v>3</v>
      </c>
      <c r="N367" s="4" t="s">
        <v>6</v>
      </c>
      <c r="O367" s="4">
        <v>2</v>
      </c>
      <c r="P367" s="4"/>
      <c r="Q367" s="4"/>
      <c r="R367" s="4"/>
      <c r="S367" s="4"/>
      <c r="T367" s="4"/>
      <c r="U367" s="4"/>
      <c r="V367" s="4"/>
      <c r="W367" s="4">
        <v>44273.22</v>
      </c>
      <c r="X367" s="4">
        <v>1</v>
      </c>
      <c r="Y367" s="4">
        <v>44273.22</v>
      </c>
      <c r="Z367" s="4"/>
      <c r="AA367" s="4"/>
      <c r="AB367" s="4"/>
    </row>
    <row r="368" spans="1:28" x14ac:dyDescent="0.2">
      <c r="A368" s="4">
        <v>50</v>
      </c>
      <c r="B368" s="4">
        <v>0</v>
      </c>
      <c r="C368" s="4">
        <v>0</v>
      </c>
      <c r="D368" s="4">
        <v>1</v>
      </c>
      <c r="E368" s="4">
        <v>224</v>
      </c>
      <c r="F368" s="4">
        <f>ROUND(Source!AR340,O368)</f>
        <v>443879.3</v>
      </c>
      <c r="G368" s="4" t="s">
        <v>73</v>
      </c>
      <c r="H368" s="4" t="s">
        <v>74</v>
      </c>
      <c r="I368" s="4"/>
      <c r="J368" s="4"/>
      <c r="K368" s="4">
        <v>224</v>
      </c>
      <c r="L368" s="4">
        <v>27</v>
      </c>
      <c r="M368" s="4">
        <v>3</v>
      </c>
      <c r="N368" s="4" t="s">
        <v>6</v>
      </c>
      <c r="O368" s="4">
        <v>2</v>
      </c>
      <c r="P368" s="4"/>
      <c r="Q368" s="4"/>
      <c r="R368" s="4"/>
      <c r="S368" s="4"/>
      <c r="T368" s="4"/>
      <c r="U368" s="4"/>
      <c r="V368" s="4"/>
      <c r="W368" s="4">
        <v>443879.3</v>
      </c>
      <c r="X368" s="4">
        <v>1</v>
      </c>
      <c r="Y368" s="4">
        <v>443879.3</v>
      </c>
      <c r="Z368" s="4"/>
      <c r="AA368" s="4"/>
      <c r="AB368" s="4"/>
    </row>
    <row r="370" spans="1:206" x14ac:dyDescent="0.2">
      <c r="A370" s="6">
        <v>60</v>
      </c>
      <c r="B370" s="6">
        <f>IF(Source!F370&lt;&gt;0,1,0)</f>
        <v>1</v>
      </c>
      <c r="C370" s="6"/>
      <c r="D370" s="6">
        <f>ROW(A20)</f>
        <v>20</v>
      </c>
      <c r="E370" s="6">
        <v>1</v>
      </c>
      <c r="F370" s="6">
        <f>495</f>
        <v>495</v>
      </c>
      <c r="G370" s="6" t="s">
        <v>302</v>
      </c>
      <c r="H370" s="6" t="s">
        <v>303</v>
      </c>
    </row>
    <row r="372" spans="1:206" x14ac:dyDescent="0.2">
      <c r="A372" s="2">
        <v>51</v>
      </c>
      <c r="B372" s="2">
        <f>B12</f>
        <v>429</v>
      </c>
      <c r="C372" s="2">
        <f>A12</f>
        <v>1</v>
      </c>
      <c r="D372" s="2">
        <f>ROW(A12)</f>
        <v>12</v>
      </c>
      <c r="E372" s="2"/>
      <c r="F372" s="2" t="str">
        <f>IF(F12&lt;&gt;"",F12,"")</f>
        <v>ЛСР02-01-01_(Копия) (ФСНБ-2022)</v>
      </c>
      <c r="G372" s="2" t="str">
        <f>IF(G12&lt;&gt;"",G12,"")</f>
        <v>02-01-01 Общестроительные работы. костюм. (ФСНБ-2022)</v>
      </c>
      <c r="H372" s="2">
        <v>0</v>
      </c>
      <c r="I372" s="2"/>
      <c r="J372" s="2"/>
      <c r="K372" s="2"/>
      <c r="L372" s="2"/>
      <c r="M372" s="2"/>
      <c r="N372" s="2"/>
      <c r="O372" s="2">
        <f t="shared" ref="O372:T372" si="149">ROUND(O340,2)</f>
        <v>300110.44</v>
      </c>
      <c r="P372" s="2">
        <f t="shared" si="149"/>
        <v>199160.15</v>
      </c>
      <c r="Q372" s="2">
        <f t="shared" si="149"/>
        <v>2742.3</v>
      </c>
      <c r="R372" s="2">
        <f t="shared" si="149"/>
        <v>2816.3</v>
      </c>
      <c r="S372" s="2">
        <f t="shared" si="149"/>
        <v>95391.69</v>
      </c>
      <c r="T372" s="2">
        <f t="shared" si="149"/>
        <v>0</v>
      </c>
      <c r="U372" s="2">
        <f>U340</f>
        <v>316.76887700000003</v>
      </c>
      <c r="V372" s="2">
        <f>V340</f>
        <v>9.1510058000000001</v>
      </c>
      <c r="W372" s="2">
        <f>ROUND(W340,2)</f>
        <v>0</v>
      </c>
      <c r="X372" s="2">
        <f>ROUND(X340,2)</f>
        <v>89709.9</v>
      </c>
      <c r="Y372" s="2">
        <f>ROUND(Y340,2)</f>
        <v>44273.22</v>
      </c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>
        <f t="shared" ref="AO372:BD372" si="150">ROUND(AO340,2)</f>
        <v>0</v>
      </c>
      <c r="AP372" s="2">
        <f t="shared" si="150"/>
        <v>0</v>
      </c>
      <c r="AQ372" s="2">
        <f t="shared" si="150"/>
        <v>0</v>
      </c>
      <c r="AR372" s="2">
        <f t="shared" si="150"/>
        <v>443879.3</v>
      </c>
      <c r="AS372" s="2">
        <f t="shared" si="150"/>
        <v>443879.3</v>
      </c>
      <c r="AT372" s="2">
        <f t="shared" si="150"/>
        <v>0</v>
      </c>
      <c r="AU372" s="2">
        <f t="shared" si="150"/>
        <v>0</v>
      </c>
      <c r="AV372" s="2">
        <f t="shared" si="150"/>
        <v>199160.15</v>
      </c>
      <c r="AW372" s="2">
        <f t="shared" si="150"/>
        <v>199160.15</v>
      </c>
      <c r="AX372" s="2">
        <f t="shared" si="150"/>
        <v>0</v>
      </c>
      <c r="AY372" s="2">
        <f t="shared" si="150"/>
        <v>199160.15</v>
      </c>
      <c r="AZ372" s="2">
        <f t="shared" si="150"/>
        <v>0</v>
      </c>
      <c r="BA372" s="2">
        <f t="shared" si="150"/>
        <v>0</v>
      </c>
      <c r="BB372" s="2">
        <f t="shared" si="150"/>
        <v>0</v>
      </c>
      <c r="BC372" s="2">
        <f t="shared" si="150"/>
        <v>0</v>
      </c>
      <c r="BD372" s="2">
        <f t="shared" si="150"/>
        <v>9785.74</v>
      </c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>
        <v>0</v>
      </c>
    </row>
    <row r="374" spans="1:206" x14ac:dyDescent="0.2">
      <c r="A374" s="4">
        <v>50</v>
      </c>
      <c r="B374" s="4">
        <v>0</v>
      </c>
      <c r="C374" s="4">
        <v>0</v>
      </c>
      <c r="D374" s="4">
        <v>1</v>
      </c>
      <c r="E374" s="4">
        <v>201</v>
      </c>
      <c r="F374" s="4">
        <f>ROUND(Source!O372,O374)</f>
        <v>300110.44</v>
      </c>
      <c r="G374" s="4" t="s">
        <v>21</v>
      </c>
      <c r="H374" s="4" t="s">
        <v>22</v>
      </c>
      <c r="I374" s="4"/>
      <c r="J374" s="4"/>
      <c r="K374" s="4">
        <v>201</v>
      </c>
      <c r="L374" s="4">
        <v>1</v>
      </c>
      <c r="M374" s="4">
        <v>3</v>
      </c>
      <c r="N374" s="4" t="s">
        <v>6</v>
      </c>
      <c r="O374" s="4">
        <v>2</v>
      </c>
      <c r="P374" s="4"/>
      <c r="Q374" s="4"/>
      <c r="R374" s="4"/>
      <c r="S374" s="4"/>
      <c r="T374" s="4"/>
      <c r="U374" s="4"/>
      <c r="V374" s="4"/>
      <c r="W374" s="4">
        <v>309896.18</v>
      </c>
      <c r="X374" s="4">
        <v>1</v>
      </c>
      <c r="Y374" s="4">
        <v>309896.18</v>
      </c>
      <c r="Z374" s="4"/>
      <c r="AA374" s="4"/>
      <c r="AB374" s="4"/>
    </row>
    <row r="375" spans="1:206" x14ac:dyDescent="0.2">
      <c r="A375" s="4">
        <v>50</v>
      </c>
      <c r="B375" s="4">
        <v>0</v>
      </c>
      <c r="C375" s="4">
        <v>0</v>
      </c>
      <c r="D375" s="4">
        <v>1</v>
      </c>
      <c r="E375" s="4">
        <v>202</v>
      </c>
      <c r="F375" s="4">
        <f>ROUND(Source!P372,O375)</f>
        <v>199160.15</v>
      </c>
      <c r="G375" s="4" t="s">
        <v>23</v>
      </c>
      <c r="H375" s="4" t="s">
        <v>24</v>
      </c>
      <c r="I375" s="4"/>
      <c r="J375" s="4"/>
      <c r="K375" s="4">
        <v>202</v>
      </c>
      <c r="L375" s="4">
        <v>2</v>
      </c>
      <c r="M375" s="4">
        <v>3</v>
      </c>
      <c r="N375" s="4" t="s">
        <v>6</v>
      </c>
      <c r="O375" s="4">
        <v>2</v>
      </c>
      <c r="P375" s="4"/>
      <c r="Q375" s="4"/>
      <c r="R375" s="4"/>
      <c r="S375" s="4"/>
      <c r="T375" s="4"/>
      <c r="U375" s="4"/>
      <c r="V375" s="4"/>
      <c r="W375" s="4">
        <v>199160.15</v>
      </c>
      <c r="X375" s="4">
        <v>1</v>
      </c>
      <c r="Y375" s="4">
        <v>199160.15</v>
      </c>
      <c r="Z375" s="4"/>
      <c r="AA375" s="4"/>
      <c r="AB375" s="4"/>
    </row>
    <row r="376" spans="1:206" x14ac:dyDescent="0.2">
      <c r="A376" s="4">
        <v>50</v>
      </c>
      <c r="B376" s="4">
        <v>0</v>
      </c>
      <c r="C376" s="4">
        <v>0</v>
      </c>
      <c r="D376" s="4">
        <v>1</v>
      </c>
      <c r="E376" s="4">
        <v>222</v>
      </c>
      <c r="F376" s="4">
        <f>ROUND(Source!AO372,O376)</f>
        <v>0</v>
      </c>
      <c r="G376" s="4" t="s">
        <v>25</v>
      </c>
      <c r="H376" s="4" t="s">
        <v>26</v>
      </c>
      <c r="I376" s="4"/>
      <c r="J376" s="4"/>
      <c r="K376" s="4">
        <v>222</v>
      </c>
      <c r="L376" s="4">
        <v>3</v>
      </c>
      <c r="M376" s="4">
        <v>3</v>
      </c>
      <c r="N376" s="4" t="s">
        <v>6</v>
      </c>
      <c r="O376" s="4">
        <v>2</v>
      </c>
      <c r="P376" s="4"/>
      <c r="Q376" s="4"/>
      <c r="R376" s="4"/>
      <c r="S376" s="4"/>
      <c r="T376" s="4"/>
      <c r="U376" s="4"/>
      <c r="V376" s="4"/>
      <c r="W376" s="4">
        <v>0</v>
      </c>
      <c r="X376" s="4">
        <v>1</v>
      </c>
      <c r="Y376" s="4">
        <v>0</v>
      </c>
      <c r="Z376" s="4"/>
      <c r="AA376" s="4"/>
      <c r="AB376" s="4"/>
    </row>
    <row r="377" spans="1:206" x14ac:dyDescent="0.2">
      <c r="A377" s="4">
        <v>50</v>
      </c>
      <c r="B377" s="4">
        <v>0</v>
      </c>
      <c r="C377" s="4">
        <v>0</v>
      </c>
      <c r="D377" s="4">
        <v>1</v>
      </c>
      <c r="E377" s="4">
        <v>225</v>
      </c>
      <c r="F377" s="4">
        <f>ROUND(Source!AV372,O377)</f>
        <v>199160.15</v>
      </c>
      <c r="G377" s="4" t="s">
        <v>27</v>
      </c>
      <c r="H377" s="4" t="s">
        <v>28</v>
      </c>
      <c r="I377" s="4"/>
      <c r="J377" s="4"/>
      <c r="K377" s="4">
        <v>225</v>
      </c>
      <c r="L377" s="4">
        <v>4</v>
      </c>
      <c r="M377" s="4">
        <v>3</v>
      </c>
      <c r="N377" s="4" t="s">
        <v>6</v>
      </c>
      <c r="O377" s="4">
        <v>2</v>
      </c>
      <c r="P377" s="4"/>
      <c r="Q377" s="4"/>
      <c r="R377" s="4"/>
      <c r="S377" s="4"/>
      <c r="T377" s="4"/>
      <c r="U377" s="4"/>
      <c r="V377" s="4"/>
      <c r="W377" s="4">
        <v>199160.15</v>
      </c>
      <c r="X377" s="4">
        <v>1</v>
      </c>
      <c r="Y377" s="4">
        <v>199160.15</v>
      </c>
      <c r="Z377" s="4"/>
      <c r="AA377" s="4"/>
      <c r="AB377" s="4"/>
    </row>
    <row r="378" spans="1:206" x14ac:dyDescent="0.2">
      <c r="A378" s="4">
        <v>50</v>
      </c>
      <c r="B378" s="4">
        <v>0</v>
      </c>
      <c r="C378" s="4">
        <v>0</v>
      </c>
      <c r="D378" s="4">
        <v>1</v>
      </c>
      <c r="E378" s="4">
        <v>226</v>
      </c>
      <c r="F378" s="4">
        <f>ROUND(Source!AW372,O378)</f>
        <v>199160.15</v>
      </c>
      <c r="G378" s="4" t="s">
        <v>29</v>
      </c>
      <c r="H378" s="4" t="s">
        <v>30</v>
      </c>
      <c r="I378" s="4"/>
      <c r="J378" s="4"/>
      <c r="K378" s="4">
        <v>226</v>
      </c>
      <c r="L378" s="4">
        <v>5</v>
      </c>
      <c r="M378" s="4">
        <v>3</v>
      </c>
      <c r="N378" s="4" t="s">
        <v>6</v>
      </c>
      <c r="O378" s="4">
        <v>2</v>
      </c>
      <c r="P378" s="4"/>
      <c r="Q378" s="4"/>
      <c r="R378" s="4"/>
      <c r="S378" s="4"/>
      <c r="T378" s="4"/>
      <c r="U378" s="4"/>
      <c r="V378" s="4"/>
      <c r="W378" s="4">
        <v>199160.15</v>
      </c>
      <c r="X378" s="4">
        <v>1</v>
      </c>
      <c r="Y378" s="4">
        <v>199160.15</v>
      </c>
      <c r="Z378" s="4"/>
      <c r="AA378" s="4"/>
      <c r="AB378" s="4"/>
    </row>
    <row r="379" spans="1:206" x14ac:dyDescent="0.2">
      <c r="A379" s="4">
        <v>50</v>
      </c>
      <c r="B379" s="4">
        <v>0</v>
      </c>
      <c r="C379" s="4">
        <v>0</v>
      </c>
      <c r="D379" s="4">
        <v>1</v>
      </c>
      <c r="E379" s="4">
        <v>227</v>
      </c>
      <c r="F379" s="4">
        <f>ROUND(Source!AX372,O379)</f>
        <v>0</v>
      </c>
      <c r="G379" s="4" t="s">
        <v>31</v>
      </c>
      <c r="H379" s="4" t="s">
        <v>32</v>
      </c>
      <c r="I379" s="4"/>
      <c r="J379" s="4"/>
      <c r="K379" s="4">
        <v>227</v>
      </c>
      <c r="L379" s="4">
        <v>6</v>
      </c>
      <c r="M379" s="4">
        <v>3</v>
      </c>
      <c r="N379" s="4" t="s">
        <v>6</v>
      </c>
      <c r="O379" s="4">
        <v>2</v>
      </c>
      <c r="P379" s="4"/>
      <c r="Q379" s="4"/>
      <c r="R379" s="4"/>
      <c r="S379" s="4"/>
      <c r="T379" s="4"/>
      <c r="U379" s="4"/>
      <c r="V379" s="4"/>
      <c r="W379" s="4">
        <v>0</v>
      </c>
      <c r="X379" s="4">
        <v>1</v>
      </c>
      <c r="Y379" s="4">
        <v>0</v>
      </c>
      <c r="Z379" s="4"/>
      <c r="AA379" s="4"/>
      <c r="AB379" s="4"/>
    </row>
    <row r="380" spans="1:206" x14ac:dyDescent="0.2">
      <c r="A380" s="4">
        <v>50</v>
      </c>
      <c r="B380" s="4">
        <v>0</v>
      </c>
      <c r="C380" s="4">
        <v>0</v>
      </c>
      <c r="D380" s="4">
        <v>1</v>
      </c>
      <c r="E380" s="4">
        <v>228</v>
      </c>
      <c r="F380" s="4">
        <f>ROUND(Source!AY372,O380)</f>
        <v>199160.15</v>
      </c>
      <c r="G380" s="4" t="s">
        <v>33</v>
      </c>
      <c r="H380" s="4" t="s">
        <v>34</v>
      </c>
      <c r="I380" s="4"/>
      <c r="J380" s="4"/>
      <c r="K380" s="4">
        <v>228</v>
      </c>
      <c r="L380" s="4">
        <v>7</v>
      </c>
      <c r="M380" s="4">
        <v>3</v>
      </c>
      <c r="N380" s="4" t="s">
        <v>6</v>
      </c>
      <c r="O380" s="4">
        <v>2</v>
      </c>
      <c r="P380" s="4"/>
      <c r="Q380" s="4"/>
      <c r="R380" s="4"/>
      <c r="S380" s="4"/>
      <c r="T380" s="4"/>
      <c r="U380" s="4"/>
      <c r="V380" s="4"/>
      <c r="W380" s="4">
        <v>199160.15</v>
      </c>
      <c r="X380" s="4">
        <v>1</v>
      </c>
      <c r="Y380" s="4">
        <v>199160.15</v>
      </c>
      <c r="Z380" s="4"/>
      <c r="AA380" s="4"/>
      <c r="AB380" s="4"/>
    </row>
    <row r="381" spans="1:206" x14ac:dyDescent="0.2">
      <c r="A381" s="4">
        <v>50</v>
      </c>
      <c r="B381" s="4">
        <v>0</v>
      </c>
      <c r="C381" s="4">
        <v>0</v>
      </c>
      <c r="D381" s="4">
        <v>1</v>
      </c>
      <c r="E381" s="4">
        <v>216</v>
      </c>
      <c r="F381" s="4">
        <f>ROUND(Source!AP372,O381)</f>
        <v>0</v>
      </c>
      <c r="G381" s="4" t="s">
        <v>35</v>
      </c>
      <c r="H381" s="4" t="s">
        <v>36</v>
      </c>
      <c r="I381" s="4"/>
      <c r="J381" s="4"/>
      <c r="K381" s="4">
        <v>216</v>
      </c>
      <c r="L381" s="4">
        <v>8</v>
      </c>
      <c r="M381" s="4">
        <v>3</v>
      </c>
      <c r="N381" s="4" t="s">
        <v>6</v>
      </c>
      <c r="O381" s="4">
        <v>2</v>
      </c>
      <c r="P381" s="4"/>
      <c r="Q381" s="4"/>
      <c r="R381" s="4"/>
      <c r="S381" s="4"/>
      <c r="T381" s="4"/>
      <c r="U381" s="4"/>
      <c r="V381" s="4"/>
      <c r="W381" s="4">
        <v>0</v>
      </c>
      <c r="X381" s="4">
        <v>1</v>
      </c>
      <c r="Y381" s="4">
        <v>0</v>
      </c>
      <c r="Z381" s="4"/>
      <c r="AA381" s="4"/>
      <c r="AB381" s="4"/>
    </row>
    <row r="382" spans="1:206" x14ac:dyDescent="0.2">
      <c r="A382" s="4">
        <v>50</v>
      </c>
      <c r="B382" s="4">
        <v>0</v>
      </c>
      <c r="C382" s="4">
        <v>0</v>
      </c>
      <c r="D382" s="4">
        <v>1</v>
      </c>
      <c r="E382" s="4">
        <v>223</v>
      </c>
      <c r="F382" s="4">
        <f>ROUND(Source!AQ372,O382)</f>
        <v>0</v>
      </c>
      <c r="G382" s="4" t="s">
        <v>37</v>
      </c>
      <c r="H382" s="4" t="s">
        <v>38</v>
      </c>
      <c r="I382" s="4"/>
      <c r="J382" s="4"/>
      <c r="K382" s="4">
        <v>223</v>
      </c>
      <c r="L382" s="4">
        <v>9</v>
      </c>
      <c r="M382" s="4">
        <v>3</v>
      </c>
      <c r="N382" s="4" t="s">
        <v>6</v>
      </c>
      <c r="O382" s="4">
        <v>2</v>
      </c>
      <c r="P382" s="4"/>
      <c r="Q382" s="4"/>
      <c r="R382" s="4"/>
      <c r="S382" s="4"/>
      <c r="T382" s="4"/>
      <c r="U382" s="4"/>
      <c r="V382" s="4"/>
      <c r="W382" s="4">
        <v>0</v>
      </c>
      <c r="X382" s="4">
        <v>1</v>
      </c>
      <c r="Y382" s="4">
        <v>0</v>
      </c>
      <c r="Z382" s="4"/>
      <c r="AA382" s="4"/>
      <c r="AB382" s="4"/>
    </row>
    <row r="383" spans="1:206" x14ac:dyDescent="0.2">
      <c r="A383" s="4">
        <v>50</v>
      </c>
      <c r="B383" s="4">
        <v>0</v>
      </c>
      <c r="C383" s="4">
        <v>0</v>
      </c>
      <c r="D383" s="4">
        <v>1</v>
      </c>
      <c r="E383" s="4">
        <v>229</v>
      </c>
      <c r="F383" s="4">
        <f>ROUND(Source!AZ372,O383)</f>
        <v>0</v>
      </c>
      <c r="G383" s="4" t="s">
        <v>39</v>
      </c>
      <c r="H383" s="4" t="s">
        <v>40</v>
      </c>
      <c r="I383" s="4"/>
      <c r="J383" s="4"/>
      <c r="K383" s="4">
        <v>229</v>
      </c>
      <c r="L383" s="4">
        <v>10</v>
      </c>
      <c r="M383" s="4">
        <v>3</v>
      </c>
      <c r="N383" s="4" t="s">
        <v>6</v>
      </c>
      <c r="O383" s="4">
        <v>2</v>
      </c>
      <c r="P383" s="4"/>
      <c r="Q383" s="4"/>
      <c r="R383" s="4"/>
      <c r="S383" s="4"/>
      <c r="T383" s="4"/>
      <c r="U383" s="4"/>
      <c r="V383" s="4"/>
      <c r="W383" s="4">
        <v>0</v>
      </c>
      <c r="X383" s="4">
        <v>1</v>
      </c>
      <c r="Y383" s="4">
        <v>0</v>
      </c>
      <c r="Z383" s="4"/>
      <c r="AA383" s="4"/>
      <c r="AB383" s="4"/>
    </row>
    <row r="384" spans="1:206" x14ac:dyDescent="0.2">
      <c r="A384" s="4">
        <v>50</v>
      </c>
      <c r="B384" s="4">
        <v>0</v>
      </c>
      <c r="C384" s="4">
        <v>0</v>
      </c>
      <c r="D384" s="4">
        <v>1</v>
      </c>
      <c r="E384" s="4">
        <v>203</v>
      </c>
      <c r="F384" s="4">
        <f>ROUND(Source!Q372,O384)</f>
        <v>2742.3</v>
      </c>
      <c r="G384" s="4" t="s">
        <v>41</v>
      </c>
      <c r="H384" s="4" t="s">
        <v>42</v>
      </c>
      <c r="I384" s="4"/>
      <c r="J384" s="4"/>
      <c r="K384" s="4">
        <v>203</v>
      </c>
      <c r="L384" s="4">
        <v>11</v>
      </c>
      <c r="M384" s="4">
        <v>3</v>
      </c>
      <c r="N384" s="4" t="s">
        <v>6</v>
      </c>
      <c r="O384" s="4">
        <v>2</v>
      </c>
      <c r="P384" s="4"/>
      <c r="Q384" s="4"/>
      <c r="R384" s="4"/>
      <c r="S384" s="4"/>
      <c r="T384" s="4"/>
      <c r="U384" s="4"/>
      <c r="V384" s="4"/>
      <c r="W384" s="4">
        <v>2742.2999999999993</v>
      </c>
      <c r="X384" s="4">
        <v>1</v>
      </c>
      <c r="Y384" s="4">
        <v>2742.2999999999993</v>
      </c>
      <c r="Z384" s="4"/>
      <c r="AA384" s="4"/>
      <c r="AB384" s="4"/>
    </row>
    <row r="385" spans="1:28" x14ac:dyDescent="0.2">
      <c r="A385" s="4">
        <v>50</v>
      </c>
      <c r="B385" s="4">
        <v>0</v>
      </c>
      <c r="C385" s="4">
        <v>0</v>
      </c>
      <c r="D385" s="4">
        <v>1</v>
      </c>
      <c r="E385" s="4">
        <v>231</v>
      </c>
      <c r="F385" s="4">
        <f>ROUND(Source!BB372,O385)</f>
        <v>0</v>
      </c>
      <c r="G385" s="4" t="s">
        <v>43</v>
      </c>
      <c r="H385" s="4" t="s">
        <v>44</v>
      </c>
      <c r="I385" s="4"/>
      <c r="J385" s="4"/>
      <c r="K385" s="4">
        <v>231</v>
      </c>
      <c r="L385" s="4">
        <v>12</v>
      </c>
      <c r="M385" s="4">
        <v>3</v>
      </c>
      <c r="N385" s="4" t="s">
        <v>6</v>
      </c>
      <c r="O385" s="4">
        <v>2</v>
      </c>
      <c r="P385" s="4"/>
      <c r="Q385" s="4"/>
      <c r="R385" s="4"/>
      <c r="S385" s="4"/>
      <c r="T385" s="4"/>
      <c r="U385" s="4"/>
      <c r="V385" s="4"/>
      <c r="W385" s="4">
        <v>0</v>
      </c>
      <c r="X385" s="4">
        <v>1</v>
      </c>
      <c r="Y385" s="4">
        <v>0</v>
      </c>
      <c r="Z385" s="4"/>
      <c r="AA385" s="4"/>
      <c r="AB385" s="4"/>
    </row>
    <row r="386" spans="1:28" x14ac:dyDescent="0.2">
      <c r="A386" s="4">
        <v>50</v>
      </c>
      <c r="B386" s="4">
        <v>0</v>
      </c>
      <c r="C386" s="4">
        <v>0</v>
      </c>
      <c r="D386" s="4">
        <v>1</v>
      </c>
      <c r="E386" s="4">
        <v>204</v>
      </c>
      <c r="F386" s="4">
        <f>ROUND(Source!R372,O386)</f>
        <v>2816.3</v>
      </c>
      <c r="G386" s="4" t="s">
        <v>45</v>
      </c>
      <c r="H386" s="4" t="s">
        <v>46</v>
      </c>
      <c r="I386" s="4"/>
      <c r="J386" s="4"/>
      <c r="K386" s="4">
        <v>204</v>
      </c>
      <c r="L386" s="4">
        <v>13</v>
      </c>
      <c r="M386" s="4">
        <v>3</v>
      </c>
      <c r="N386" s="4" t="s">
        <v>6</v>
      </c>
      <c r="O386" s="4">
        <v>2</v>
      </c>
      <c r="P386" s="4"/>
      <c r="Q386" s="4"/>
      <c r="R386" s="4"/>
      <c r="S386" s="4"/>
      <c r="T386" s="4"/>
      <c r="U386" s="4"/>
      <c r="V386" s="4"/>
      <c r="W386" s="4">
        <v>2816.3</v>
      </c>
      <c r="X386" s="4">
        <v>1</v>
      </c>
      <c r="Y386" s="4">
        <v>2816.3</v>
      </c>
      <c r="Z386" s="4"/>
      <c r="AA386" s="4"/>
      <c r="AB386" s="4"/>
    </row>
    <row r="387" spans="1:28" x14ac:dyDescent="0.2">
      <c r="A387" s="4">
        <v>50</v>
      </c>
      <c r="B387" s="4">
        <v>0</v>
      </c>
      <c r="C387" s="4">
        <v>0</v>
      </c>
      <c r="D387" s="4">
        <v>1</v>
      </c>
      <c r="E387" s="4">
        <v>205</v>
      </c>
      <c r="F387" s="4">
        <f>ROUND(Source!S372,O387)</f>
        <v>95391.69</v>
      </c>
      <c r="G387" s="4" t="s">
        <v>47</v>
      </c>
      <c r="H387" s="4" t="s">
        <v>48</v>
      </c>
      <c r="I387" s="4"/>
      <c r="J387" s="4"/>
      <c r="K387" s="4">
        <v>205</v>
      </c>
      <c r="L387" s="4">
        <v>14</v>
      </c>
      <c r="M387" s="4">
        <v>3</v>
      </c>
      <c r="N387" s="4" t="s">
        <v>6</v>
      </c>
      <c r="O387" s="4">
        <v>2</v>
      </c>
      <c r="P387" s="4"/>
      <c r="Q387" s="4"/>
      <c r="R387" s="4"/>
      <c r="S387" s="4"/>
      <c r="T387" s="4"/>
      <c r="U387" s="4"/>
      <c r="V387" s="4"/>
      <c r="W387" s="4">
        <v>95391.69</v>
      </c>
      <c r="X387" s="4">
        <v>1</v>
      </c>
      <c r="Y387" s="4">
        <v>95391.69</v>
      </c>
      <c r="Z387" s="4"/>
      <c r="AA387" s="4"/>
      <c r="AB387" s="4"/>
    </row>
    <row r="388" spans="1:28" x14ac:dyDescent="0.2">
      <c r="A388" s="4">
        <v>50</v>
      </c>
      <c r="B388" s="4">
        <v>0</v>
      </c>
      <c r="C388" s="4">
        <v>0</v>
      </c>
      <c r="D388" s="4">
        <v>1</v>
      </c>
      <c r="E388" s="4">
        <v>232</v>
      </c>
      <c r="F388" s="4">
        <f>ROUND(Source!BC372,O388)</f>
        <v>0</v>
      </c>
      <c r="G388" s="4" t="s">
        <v>49</v>
      </c>
      <c r="H388" s="4" t="s">
        <v>50</v>
      </c>
      <c r="I388" s="4"/>
      <c r="J388" s="4"/>
      <c r="K388" s="4">
        <v>232</v>
      </c>
      <c r="L388" s="4">
        <v>15</v>
      </c>
      <c r="M388" s="4">
        <v>3</v>
      </c>
      <c r="N388" s="4" t="s">
        <v>6</v>
      </c>
      <c r="O388" s="4">
        <v>2</v>
      </c>
      <c r="P388" s="4"/>
      <c r="Q388" s="4"/>
      <c r="R388" s="4"/>
      <c r="S388" s="4"/>
      <c r="T388" s="4"/>
      <c r="U388" s="4"/>
      <c r="V388" s="4"/>
      <c r="W388" s="4">
        <v>0</v>
      </c>
      <c r="X388" s="4">
        <v>1</v>
      </c>
      <c r="Y388" s="4">
        <v>0</v>
      </c>
      <c r="Z388" s="4"/>
      <c r="AA388" s="4"/>
      <c r="AB388" s="4"/>
    </row>
    <row r="389" spans="1:28" x14ac:dyDescent="0.2">
      <c r="A389" s="4">
        <v>50</v>
      </c>
      <c r="B389" s="4">
        <v>0</v>
      </c>
      <c r="C389" s="4">
        <v>0</v>
      </c>
      <c r="D389" s="4">
        <v>1</v>
      </c>
      <c r="E389" s="4">
        <v>214</v>
      </c>
      <c r="F389" s="4">
        <f>ROUND(Source!AS372,O389)</f>
        <v>443879.3</v>
      </c>
      <c r="G389" s="4" t="s">
        <v>51</v>
      </c>
      <c r="H389" s="4" t="s">
        <v>52</v>
      </c>
      <c r="I389" s="4"/>
      <c r="J389" s="4"/>
      <c r="K389" s="4">
        <v>214</v>
      </c>
      <c r="L389" s="4">
        <v>16</v>
      </c>
      <c r="M389" s="4">
        <v>3</v>
      </c>
      <c r="N389" s="4" t="s">
        <v>6</v>
      </c>
      <c r="O389" s="4">
        <v>2</v>
      </c>
      <c r="P389" s="4"/>
      <c r="Q389" s="4"/>
      <c r="R389" s="4"/>
      <c r="S389" s="4"/>
      <c r="T389" s="4"/>
      <c r="U389" s="4"/>
      <c r="V389" s="4"/>
      <c r="W389" s="4">
        <v>443879.3</v>
      </c>
      <c r="X389" s="4">
        <v>1</v>
      </c>
      <c r="Y389" s="4">
        <v>443879.3</v>
      </c>
      <c r="Z389" s="4"/>
      <c r="AA389" s="4"/>
      <c r="AB389" s="4"/>
    </row>
    <row r="390" spans="1:28" x14ac:dyDescent="0.2">
      <c r="A390" s="4">
        <v>50</v>
      </c>
      <c r="B390" s="4">
        <v>0</v>
      </c>
      <c r="C390" s="4">
        <v>0</v>
      </c>
      <c r="D390" s="4">
        <v>1</v>
      </c>
      <c r="E390" s="4">
        <v>215</v>
      </c>
      <c r="F390" s="4">
        <f>ROUND(Source!AT372,O390)</f>
        <v>0</v>
      </c>
      <c r="G390" s="4" t="s">
        <v>53</v>
      </c>
      <c r="H390" s="4" t="s">
        <v>54</v>
      </c>
      <c r="I390" s="4"/>
      <c r="J390" s="4"/>
      <c r="K390" s="4">
        <v>215</v>
      </c>
      <c r="L390" s="4">
        <v>17</v>
      </c>
      <c r="M390" s="4">
        <v>3</v>
      </c>
      <c r="N390" s="4" t="s">
        <v>6</v>
      </c>
      <c r="O390" s="4">
        <v>2</v>
      </c>
      <c r="P390" s="4"/>
      <c r="Q390" s="4"/>
      <c r="R390" s="4"/>
      <c r="S390" s="4"/>
      <c r="T390" s="4"/>
      <c r="U390" s="4"/>
      <c r="V390" s="4"/>
      <c r="W390" s="4">
        <v>0</v>
      </c>
      <c r="X390" s="4">
        <v>1</v>
      </c>
      <c r="Y390" s="4">
        <v>0</v>
      </c>
      <c r="Z390" s="4"/>
      <c r="AA390" s="4"/>
      <c r="AB390" s="4"/>
    </row>
    <row r="391" spans="1:28" x14ac:dyDescent="0.2">
      <c r="A391" s="4">
        <v>50</v>
      </c>
      <c r="B391" s="4">
        <v>0</v>
      </c>
      <c r="C391" s="4">
        <v>0</v>
      </c>
      <c r="D391" s="4">
        <v>1</v>
      </c>
      <c r="E391" s="4">
        <v>217</v>
      </c>
      <c r="F391" s="4">
        <f>ROUND(Source!AU372,O391)</f>
        <v>0</v>
      </c>
      <c r="G391" s="4" t="s">
        <v>55</v>
      </c>
      <c r="H391" s="4" t="s">
        <v>56</v>
      </c>
      <c r="I391" s="4"/>
      <c r="J391" s="4"/>
      <c r="K391" s="4">
        <v>217</v>
      </c>
      <c r="L391" s="4">
        <v>18</v>
      </c>
      <c r="M391" s="4">
        <v>3</v>
      </c>
      <c r="N391" s="4" t="s">
        <v>6</v>
      </c>
      <c r="O391" s="4">
        <v>2</v>
      </c>
      <c r="P391" s="4"/>
      <c r="Q391" s="4"/>
      <c r="R391" s="4"/>
      <c r="S391" s="4"/>
      <c r="T391" s="4"/>
      <c r="U391" s="4"/>
      <c r="V391" s="4"/>
      <c r="W391" s="4">
        <v>0</v>
      </c>
      <c r="X391" s="4">
        <v>1</v>
      </c>
      <c r="Y391" s="4">
        <v>0</v>
      </c>
      <c r="Z391" s="4"/>
      <c r="AA391" s="4"/>
      <c r="AB391" s="4"/>
    </row>
    <row r="392" spans="1:28" x14ac:dyDescent="0.2">
      <c r="A392" s="4">
        <v>50</v>
      </c>
      <c r="B392" s="4">
        <v>0</v>
      </c>
      <c r="C392" s="4">
        <v>0</v>
      </c>
      <c r="D392" s="4">
        <v>1</v>
      </c>
      <c r="E392" s="4">
        <v>230</v>
      </c>
      <c r="F392" s="4">
        <f>ROUND(Source!BA372,O392)</f>
        <v>0</v>
      </c>
      <c r="G392" s="4" t="s">
        <v>57</v>
      </c>
      <c r="H392" s="4" t="s">
        <v>58</v>
      </c>
      <c r="I392" s="4"/>
      <c r="J392" s="4"/>
      <c r="K392" s="4">
        <v>230</v>
      </c>
      <c r="L392" s="4">
        <v>19</v>
      </c>
      <c r="M392" s="4">
        <v>3</v>
      </c>
      <c r="N392" s="4" t="s">
        <v>6</v>
      </c>
      <c r="O392" s="4">
        <v>2</v>
      </c>
      <c r="P392" s="4"/>
      <c r="Q392" s="4"/>
      <c r="R392" s="4"/>
      <c r="S392" s="4"/>
      <c r="T392" s="4"/>
      <c r="U392" s="4"/>
      <c r="V392" s="4"/>
      <c r="W392" s="4">
        <v>0</v>
      </c>
      <c r="X392" s="4">
        <v>1</v>
      </c>
      <c r="Y392" s="4">
        <v>0</v>
      </c>
      <c r="Z392" s="4"/>
      <c r="AA392" s="4"/>
      <c r="AB392" s="4"/>
    </row>
    <row r="393" spans="1:28" x14ac:dyDescent="0.2">
      <c r="A393" s="4">
        <v>50</v>
      </c>
      <c r="B393" s="4">
        <v>0</v>
      </c>
      <c r="C393" s="4">
        <v>0</v>
      </c>
      <c r="D393" s="4">
        <v>1</v>
      </c>
      <c r="E393" s="4">
        <v>206</v>
      </c>
      <c r="F393" s="4">
        <f>ROUND(Source!T372,O393)</f>
        <v>0</v>
      </c>
      <c r="G393" s="4" t="s">
        <v>59</v>
      </c>
      <c r="H393" s="4" t="s">
        <v>60</v>
      </c>
      <c r="I393" s="4"/>
      <c r="J393" s="4"/>
      <c r="K393" s="4">
        <v>206</v>
      </c>
      <c r="L393" s="4">
        <v>20</v>
      </c>
      <c r="M393" s="4">
        <v>3</v>
      </c>
      <c r="N393" s="4" t="s">
        <v>6</v>
      </c>
      <c r="O393" s="4">
        <v>2</v>
      </c>
      <c r="P393" s="4"/>
      <c r="Q393" s="4"/>
      <c r="R393" s="4"/>
      <c r="S393" s="4"/>
      <c r="T393" s="4"/>
      <c r="U393" s="4"/>
      <c r="V393" s="4"/>
      <c r="W393" s="4">
        <v>0</v>
      </c>
      <c r="X393" s="4">
        <v>1</v>
      </c>
      <c r="Y393" s="4">
        <v>0</v>
      </c>
      <c r="Z393" s="4"/>
      <c r="AA393" s="4"/>
      <c r="AB393" s="4"/>
    </row>
    <row r="394" spans="1:28" x14ac:dyDescent="0.2">
      <c r="A394" s="4">
        <v>50</v>
      </c>
      <c r="B394" s="4">
        <v>0</v>
      </c>
      <c r="C394" s="4">
        <v>0</v>
      </c>
      <c r="D394" s="4">
        <v>1</v>
      </c>
      <c r="E394" s="4">
        <v>207</v>
      </c>
      <c r="F394" s="4">
        <f>ROUND(Source!U372,O394)</f>
        <v>316.76887699999997</v>
      </c>
      <c r="G394" s="4" t="s">
        <v>61</v>
      </c>
      <c r="H394" s="4" t="s">
        <v>62</v>
      </c>
      <c r="I394" s="4"/>
      <c r="J394" s="4"/>
      <c r="K394" s="4">
        <v>207</v>
      </c>
      <c r="L394" s="4">
        <v>21</v>
      </c>
      <c r="M394" s="4">
        <v>3</v>
      </c>
      <c r="N394" s="4" t="s">
        <v>6</v>
      </c>
      <c r="O394" s="4">
        <v>7</v>
      </c>
      <c r="P394" s="4"/>
      <c r="Q394" s="4"/>
      <c r="R394" s="4"/>
      <c r="S394" s="4"/>
      <c r="T394" s="4"/>
      <c r="U394" s="4"/>
      <c r="V394" s="4"/>
      <c r="W394" s="4">
        <v>316.76887699999997</v>
      </c>
      <c r="X394" s="4">
        <v>1</v>
      </c>
      <c r="Y394" s="4">
        <v>316.76887699999997</v>
      </c>
      <c r="Z394" s="4"/>
      <c r="AA394" s="4"/>
      <c r="AB394" s="4"/>
    </row>
    <row r="395" spans="1:28" x14ac:dyDescent="0.2">
      <c r="A395" s="4">
        <v>50</v>
      </c>
      <c r="B395" s="4">
        <v>0</v>
      </c>
      <c r="C395" s="4">
        <v>0</v>
      </c>
      <c r="D395" s="4">
        <v>1</v>
      </c>
      <c r="E395" s="4">
        <v>208</v>
      </c>
      <c r="F395" s="4">
        <f>ROUND(Source!V372,O395)</f>
        <v>9.1510058000000001</v>
      </c>
      <c r="G395" s="4" t="s">
        <v>63</v>
      </c>
      <c r="H395" s="4" t="s">
        <v>64</v>
      </c>
      <c r="I395" s="4"/>
      <c r="J395" s="4"/>
      <c r="K395" s="4">
        <v>208</v>
      </c>
      <c r="L395" s="4">
        <v>22</v>
      </c>
      <c r="M395" s="4">
        <v>3</v>
      </c>
      <c r="N395" s="4" t="s">
        <v>6</v>
      </c>
      <c r="O395" s="4">
        <v>7</v>
      </c>
      <c r="P395" s="4"/>
      <c r="Q395" s="4"/>
      <c r="R395" s="4"/>
      <c r="S395" s="4"/>
      <c r="T395" s="4"/>
      <c r="U395" s="4"/>
      <c r="V395" s="4"/>
      <c r="W395" s="4">
        <v>9.1510058000000001</v>
      </c>
      <c r="X395" s="4">
        <v>1</v>
      </c>
      <c r="Y395" s="4">
        <v>9.1510058000000001</v>
      </c>
      <c r="Z395" s="4"/>
      <c r="AA395" s="4"/>
      <c r="AB395" s="4"/>
    </row>
    <row r="396" spans="1:28" x14ac:dyDescent="0.2">
      <c r="A396" s="4">
        <v>50</v>
      </c>
      <c r="B396" s="4">
        <v>0</v>
      </c>
      <c r="C396" s="4">
        <v>0</v>
      </c>
      <c r="D396" s="4">
        <v>1</v>
      </c>
      <c r="E396" s="4">
        <v>209</v>
      </c>
      <c r="F396" s="4">
        <f>ROUND(Source!W372,O396)</f>
        <v>0</v>
      </c>
      <c r="G396" s="4" t="s">
        <v>65</v>
      </c>
      <c r="H396" s="4" t="s">
        <v>66</v>
      </c>
      <c r="I396" s="4"/>
      <c r="J396" s="4"/>
      <c r="K396" s="4">
        <v>209</v>
      </c>
      <c r="L396" s="4">
        <v>23</v>
      </c>
      <c r="M396" s="4">
        <v>3</v>
      </c>
      <c r="N396" s="4" t="s">
        <v>6</v>
      </c>
      <c r="O396" s="4">
        <v>2</v>
      </c>
      <c r="P396" s="4"/>
      <c r="Q396" s="4"/>
      <c r="R396" s="4"/>
      <c r="S396" s="4"/>
      <c r="T396" s="4"/>
      <c r="U396" s="4"/>
      <c r="V396" s="4"/>
      <c r="W396" s="4">
        <v>0</v>
      </c>
      <c r="X396" s="4">
        <v>1</v>
      </c>
      <c r="Y396" s="4">
        <v>0</v>
      </c>
      <c r="Z396" s="4"/>
      <c r="AA396" s="4"/>
      <c r="AB396" s="4"/>
    </row>
    <row r="397" spans="1:28" x14ac:dyDescent="0.2">
      <c r="A397" s="4">
        <v>50</v>
      </c>
      <c r="B397" s="4">
        <v>0</v>
      </c>
      <c r="C397" s="4">
        <v>0</v>
      </c>
      <c r="D397" s="4">
        <v>1</v>
      </c>
      <c r="E397" s="4">
        <v>233</v>
      </c>
      <c r="F397" s="4">
        <f>ROUND(Source!BD372,O397)</f>
        <v>9785.74</v>
      </c>
      <c r="G397" s="4" t="s">
        <v>67</v>
      </c>
      <c r="H397" s="4" t="s">
        <v>68</v>
      </c>
      <c r="I397" s="4"/>
      <c r="J397" s="4"/>
      <c r="K397" s="4">
        <v>233</v>
      </c>
      <c r="L397" s="4">
        <v>24</v>
      </c>
      <c r="M397" s="4">
        <v>3</v>
      </c>
      <c r="N397" s="4" t="s">
        <v>6</v>
      </c>
      <c r="O397" s="4">
        <v>2</v>
      </c>
      <c r="P397" s="4"/>
      <c r="Q397" s="4"/>
      <c r="R397" s="4"/>
      <c r="S397" s="4"/>
      <c r="T397" s="4"/>
      <c r="U397" s="4"/>
      <c r="V397" s="4"/>
      <c r="W397" s="4">
        <v>9785.74</v>
      </c>
      <c r="X397" s="4">
        <v>1</v>
      </c>
      <c r="Y397" s="4">
        <v>9785.74</v>
      </c>
      <c r="Z397" s="4"/>
      <c r="AA397" s="4"/>
      <c r="AB397" s="4"/>
    </row>
    <row r="398" spans="1:28" x14ac:dyDescent="0.2">
      <c r="A398" s="4">
        <v>50</v>
      </c>
      <c r="B398" s="4">
        <v>0</v>
      </c>
      <c r="C398" s="4">
        <v>0</v>
      </c>
      <c r="D398" s="4">
        <v>1</v>
      </c>
      <c r="E398" s="4">
        <v>210</v>
      </c>
      <c r="F398" s="4">
        <f>ROUND(Source!X372,O398)</f>
        <v>89709.9</v>
      </c>
      <c r="G398" s="4" t="s">
        <v>69</v>
      </c>
      <c r="H398" s="4" t="s">
        <v>70</v>
      </c>
      <c r="I398" s="4"/>
      <c r="J398" s="4"/>
      <c r="K398" s="4">
        <v>210</v>
      </c>
      <c r="L398" s="4">
        <v>25</v>
      </c>
      <c r="M398" s="4">
        <v>3</v>
      </c>
      <c r="N398" s="4" t="s">
        <v>6</v>
      </c>
      <c r="O398" s="4">
        <v>2</v>
      </c>
      <c r="P398" s="4"/>
      <c r="Q398" s="4"/>
      <c r="R398" s="4"/>
      <c r="S398" s="4"/>
      <c r="T398" s="4"/>
      <c r="U398" s="4"/>
      <c r="V398" s="4"/>
      <c r="W398" s="4">
        <v>89709.9</v>
      </c>
      <c r="X398" s="4">
        <v>1</v>
      </c>
      <c r="Y398" s="4">
        <v>89709.9</v>
      </c>
      <c r="Z398" s="4"/>
      <c r="AA398" s="4"/>
      <c r="AB398" s="4"/>
    </row>
    <row r="399" spans="1:28" x14ac:dyDescent="0.2">
      <c r="A399" s="4">
        <v>50</v>
      </c>
      <c r="B399" s="4">
        <v>0</v>
      </c>
      <c r="C399" s="4">
        <v>0</v>
      </c>
      <c r="D399" s="4">
        <v>1</v>
      </c>
      <c r="E399" s="4">
        <v>211</v>
      </c>
      <c r="F399" s="4">
        <f>ROUND(Source!Y372,O399)</f>
        <v>44273.22</v>
      </c>
      <c r="G399" s="4" t="s">
        <v>71</v>
      </c>
      <c r="H399" s="4" t="s">
        <v>72</v>
      </c>
      <c r="I399" s="4"/>
      <c r="J399" s="4"/>
      <c r="K399" s="4">
        <v>211</v>
      </c>
      <c r="L399" s="4">
        <v>26</v>
      </c>
      <c r="M399" s="4">
        <v>3</v>
      </c>
      <c r="N399" s="4" t="s">
        <v>6</v>
      </c>
      <c r="O399" s="4">
        <v>2</v>
      </c>
      <c r="P399" s="4"/>
      <c r="Q399" s="4"/>
      <c r="R399" s="4"/>
      <c r="S399" s="4"/>
      <c r="T399" s="4"/>
      <c r="U399" s="4"/>
      <c r="V399" s="4"/>
      <c r="W399" s="4">
        <v>44273.22</v>
      </c>
      <c r="X399" s="4">
        <v>1</v>
      </c>
      <c r="Y399" s="4">
        <v>44273.22</v>
      </c>
      <c r="Z399" s="4"/>
      <c r="AA399" s="4"/>
      <c r="AB399" s="4"/>
    </row>
    <row r="400" spans="1:28" x14ac:dyDescent="0.2">
      <c r="A400" s="4">
        <v>50</v>
      </c>
      <c r="B400" s="4">
        <v>0</v>
      </c>
      <c r="C400" s="4">
        <v>0</v>
      </c>
      <c r="D400" s="4">
        <v>1</v>
      </c>
      <c r="E400" s="4">
        <v>224</v>
      </c>
      <c r="F400" s="4">
        <f>ROUND(Source!AR372,O400)</f>
        <v>443879.3</v>
      </c>
      <c r="G400" s="4" t="s">
        <v>73</v>
      </c>
      <c r="H400" s="4" t="s">
        <v>74</v>
      </c>
      <c r="I400" s="4"/>
      <c r="J400" s="4"/>
      <c r="K400" s="4">
        <v>224</v>
      </c>
      <c r="L400" s="4">
        <v>27</v>
      </c>
      <c r="M400" s="4">
        <v>3</v>
      </c>
      <c r="N400" s="4" t="s">
        <v>6</v>
      </c>
      <c r="O400" s="4">
        <v>2</v>
      </c>
      <c r="P400" s="4"/>
      <c r="Q400" s="4"/>
      <c r="R400" s="4"/>
      <c r="S400" s="4"/>
      <c r="T400" s="4"/>
      <c r="U400" s="4"/>
      <c r="V400" s="4"/>
      <c r="W400" s="4">
        <v>443879.3</v>
      </c>
      <c r="X400" s="4">
        <v>1</v>
      </c>
      <c r="Y400" s="4">
        <v>443879.3</v>
      </c>
      <c r="Z400" s="4"/>
      <c r="AA400" s="4"/>
      <c r="AB400" s="4"/>
    </row>
    <row r="403" spans="1:16" x14ac:dyDescent="0.2">
      <c r="A403">
        <v>70</v>
      </c>
      <c r="B403">
        <v>1</v>
      </c>
      <c r="D403">
        <v>1</v>
      </c>
      <c r="E403" t="s">
        <v>304</v>
      </c>
      <c r="F403" t="s">
        <v>305</v>
      </c>
      <c r="G403">
        <v>0</v>
      </c>
      <c r="H403">
        <v>0</v>
      </c>
      <c r="I403" t="s">
        <v>6</v>
      </c>
      <c r="J403">
        <v>1</v>
      </c>
      <c r="K403">
        <v>0</v>
      </c>
      <c r="L403" t="s">
        <v>6</v>
      </c>
      <c r="M403" t="s">
        <v>6</v>
      </c>
      <c r="N403">
        <v>0</v>
      </c>
      <c r="P403" t="s">
        <v>306</v>
      </c>
    </row>
    <row r="404" spans="1:16" x14ac:dyDescent="0.2">
      <c r="A404">
        <v>70</v>
      </c>
      <c r="B404">
        <v>1</v>
      </c>
      <c r="D404">
        <v>2</v>
      </c>
      <c r="E404" t="s">
        <v>307</v>
      </c>
      <c r="F404" t="s">
        <v>308</v>
      </c>
      <c r="G404">
        <v>1</v>
      </c>
      <c r="H404">
        <v>0</v>
      </c>
      <c r="I404" t="s">
        <v>6</v>
      </c>
      <c r="J404">
        <v>1</v>
      </c>
      <c r="K404">
        <v>0</v>
      </c>
      <c r="L404" t="s">
        <v>6</v>
      </c>
      <c r="M404" t="s">
        <v>6</v>
      </c>
      <c r="N404">
        <v>0</v>
      </c>
      <c r="P404" t="s">
        <v>309</v>
      </c>
    </row>
    <row r="405" spans="1:16" x14ac:dyDescent="0.2">
      <c r="A405">
        <v>70</v>
      </c>
      <c r="B405">
        <v>1</v>
      </c>
      <c r="D405">
        <v>3</v>
      </c>
      <c r="E405" t="s">
        <v>310</v>
      </c>
      <c r="F405" t="s">
        <v>311</v>
      </c>
      <c r="G405">
        <v>0</v>
      </c>
      <c r="H405">
        <v>0</v>
      </c>
      <c r="I405" t="s">
        <v>6</v>
      </c>
      <c r="J405">
        <v>1</v>
      </c>
      <c r="K405">
        <v>0</v>
      </c>
      <c r="L405" t="s">
        <v>6</v>
      </c>
      <c r="M405" t="s">
        <v>6</v>
      </c>
      <c r="N405">
        <v>0</v>
      </c>
      <c r="P405" t="s">
        <v>312</v>
      </c>
    </row>
    <row r="406" spans="1:16" x14ac:dyDescent="0.2">
      <c r="A406">
        <v>70</v>
      </c>
      <c r="B406">
        <v>1</v>
      </c>
      <c r="D406">
        <v>4</v>
      </c>
      <c r="E406" t="s">
        <v>313</v>
      </c>
      <c r="F406" t="s">
        <v>314</v>
      </c>
      <c r="G406">
        <v>1</v>
      </c>
      <c r="H406">
        <v>0</v>
      </c>
      <c r="I406" t="s">
        <v>6</v>
      </c>
      <c r="J406">
        <v>2</v>
      </c>
      <c r="K406">
        <v>0</v>
      </c>
      <c r="L406" t="s">
        <v>6</v>
      </c>
      <c r="M406" t="s">
        <v>6</v>
      </c>
      <c r="N406">
        <v>0</v>
      </c>
      <c r="P406" t="s">
        <v>6</v>
      </c>
    </row>
    <row r="407" spans="1:16" x14ac:dyDescent="0.2">
      <c r="A407">
        <v>70</v>
      </c>
      <c r="B407">
        <v>1</v>
      </c>
      <c r="D407">
        <v>5</v>
      </c>
      <c r="E407" t="s">
        <v>315</v>
      </c>
      <c r="F407" t="s">
        <v>316</v>
      </c>
      <c r="G407">
        <v>0</v>
      </c>
      <c r="H407">
        <v>0</v>
      </c>
      <c r="I407" t="s">
        <v>6</v>
      </c>
      <c r="J407">
        <v>2</v>
      </c>
      <c r="K407">
        <v>0</v>
      </c>
      <c r="L407" t="s">
        <v>6</v>
      </c>
      <c r="M407" t="s">
        <v>6</v>
      </c>
      <c r="N407">
        <v>0</v>
      </c>
      <c r="P407" t="s">
        <v>6</v>
      </c>
    </row>
    <row r="408" spans="1:16" x14ac:dyDescent="0.2">
      <c r="A408">
        <v>70</v>
      </c>
      <c r="B408">
        <v>1</v>
      </c>
      <c r="D408">
        <v>6</v>
      </c>
      <c r="E408" t="s">
        <v>317</v>
      </c>
      <c r="F408" t="s">
        <v>318</v>
      </c>
      <c r="G408">
        <v>0</v>
      </c>
      <c r="H408">
        <v>0</v>
      </c>
      <c r="I408" t="s">
        <v>6</v>
      </c>
      <c r="J408">
        <v>2</v>
      </c>
      <c r="K408">
        <v>0</v>
      </c>
      <c r="L408" t="s">
        <v>6</v>
      </c>
      <c r="M408" t="s">
        <v>6</v>
      </c>
      <c r="N408">
        <v>0</v>
      </c>
      <c r="P408" t="s">
        <v>6</v>
      </c>
    </row>
    <row r="409" spans="1:16" x14ac:dyDescent="0.2">
      <c r="A409">
        <v>70</v>
      </c>
      <c r="B409">
        <v>1</v>
      </c>
      <c r="D409">
        <v>7</v>
      </c>
      <c r="E409" t="s">
        <v>319</v>
      </c>
      <c r="F409" t="s">
        <v>320</v>
      </c>
      <c r="G409">
        <v>0</v>
      </c>
      <c r="H409">
        <v>0</v>
      </c>
      <c r="I409" t="s">
        <v>321</v>
      </c>
      <c r="J409">
        <v>0</v>
      </c>
      <c r="K409">
        <v>0</v>
      </c>
      <c r="L409" t="s">
        <v>6</v>
      </c>
      <c r="M409" t="s">
        <v>6</v>
      </c>
      <c r="N409">
        <v>0</v>
      </c>
      <c r="P409" t="s">
        <v>322</v>
      </c>
    </row>
    <row r="410" spans="1:16" x14ac:dyDescent="0.2">
      <c r="A410">
        <v>70</v>
      </c>
      <c r="B410">
        <v>1</v>
      </c>
      <c r="D410">
        <v>8</v>
      </c>
      <c r="E410" t="s">
        <v>323</v>
      </c>
      <c r="F410" t="s">
        <v>324</v>
      </c>
      <c r="G410">
        <v>1</v>
      </c>
      <c r="H410">
        <v>0</v>
      </c>
      <c r="I410" t="s">
        <v>6</v>
      </c>
      <c r="J410">
        <v>5</v>
      </c>
      <c r="K410">
        <v>0</v>
      </c>
      <c r="L410" t="s">
        <v>6</v>
      </c>
      <c r="M410" t="s">
        <v>6</v>
      </c>
      <c r="N410">
        <v>0</v>
      </c>
      <c r="P410" t="s">
        <v>6</v>
      </c>
    </row>
    <row r="411" spans="1:16" x14ac:dyDescent="0.2">
      <c r="A411">
        <v>70</v>
      </c>
      <c r="B411">
        <v>1</v>
      </c>
      <c r="D411">
        <v>9</v>
      </c>
      <c r="E411" t="s">
        <v>325</v>
      </c>
      <c r="F411" t="s">
        <v>326</v>
      </c>
      <c r="G411">
        <v>0</v>
      </c>
      <c r="H411">
        <v>0</v>
      </c>
      <c r="I411" t="s">
        <v>6</v>
      </c>
      <c r="J411">
        <v>5</v>
      </c>
      <c r="K411">
        <v>0</v>
      </c>
      <c r="L411" t="s">
        <v>6</v>
      </c>
      <c r="M411" t="s">
        <v>6</v>
      </c>
      <c r="N411">
        <v>0</v>
      </c>
      <c r="P411" t="s">
        <v>327</v>
      </c>
    </row>
    <row r="412" spans="1:16" x14ac:dyDescent="0.2">
      <c r="A412">
        <v>70</v>
      </c>
      <c r="B412">
        <v>1</v>
      </c>
      <c r="D412">
        <v>10</v>
      </c>
      <c r="E412" t="s">
        <v>328</v>
      </c>
      <c r="F412" t="s">
        <v>329</v>
      </c>
      <c r="G412">
        <v>0</v>
      </c>
      <c r="H412">
        <v>0</v>
      </c>
      <c r="I412" t="s">
        <v>330</v>
      </c>
      <c r="J412">
        <v>5</v>
      </c>
      <c r="K412">
        <v>0</v>
      </c>
      <c r="L412" t="s">
        <v>6</v>
      </c>
      <c r="M412" t="s">
        <v>6</v>
      </c>
      <c r="N412">
        <v>0</v>
      </c>
      <c r="P412" t="s">
        <v>331</v>
      </c>
    </row>
    <row r="413" spans="1:16" x14ac:dyDescent="0.2">
      <c r="A413">
        <v>70</v>
      </c>
      <c r="B413">
        <v>1</v>
      </c>
      <c r="D413">
        <v>11</v>
      </c>
      <c r="E413" t="s">
        <v>332</v>
      </c>
      <c r="F413" t="s">
        <v>333</v>
      </c>
      <c r="G413">
        <v>0</v>
      </c>
      <c r="H413">
        <v>0</v>
      </c>
      <c r="I413" t="s">
        <v>334</v>
      </c>
      <c r="J413">
        <v>0</v>
      </c>
      <c r="K413">
        <v>0</v>
      </c>
      <c r="L413" t="s">
        <v>6</v>
      </c>
      <c r="M413" t="s">
        <v>6</v>
      </c>
      <c r="N413">
        <v>0</v>
      </c>
      <c r="P413" t="s">
        <v>335</v>
      </c>
    </row>
    <row r="414" spans="1:16" x14ac:dyDescent="0.2">
      <c r="A414">
        <v>70</v>
      </c>
      <c r="B414">
        <v>1</v>
      </c>
      <c r="D414">
        <v>12</v>
      </c>
      <c r="E414" t="s">
        <v>336</v>
      </c>
      <c r="F414" t="s">
        <v>337</v>
      </c>
      <c r="G414">
        <v>0</v>
      </c>
      <c r="H414">
        <v>0</v>
      </c>
      <c r="I414" t="s">
        <v>338</v>
      </c>
      <c r="J414">
        <v>0</v>
      </c>
      <c r="K414">
        <v>0</v>
      </c>
      <c r="L414" t="s">
        <v>6</v>
      </c>
      <c r="M414" t="s">
        <v>6</v>
      </c>
      <c r="N414">
        <v>0</v>
      </c>
      <c r="P414" t="s">
        <v>339</v>
      </c>
    </row>
    <row r="415" spans="1:16" x14ac:dyDescent="0.2">
      <c r="A415">
        <v>70</v>
      </c>
      <c r="B415">
        <v>1</v>
      </c>
      <c r="D415">
        <v>13</v>
      </c>
      <c r="E415" t="s">
        <v>340</v>
      </c>
      <c r="F415" t="s">
        <v>341</v>
      </c>
      <c r="G415">
        <v>0</v>
      </c>
      <c r="H415">
        <v>0</v>
      </c>
      <c r="I415" t="s">
        <v>342</v>
      </c>
      <c r="J415">
        <v>0</v>
      </c>
      <c r="K415">
        <v>0</v>
      </c>
      <c r="L415" t="s">
        <v>6</v>
      </c>
      <c r="M415" t="s">
        <v>6</v>
      </c>
      <c r="N415">
        <v>0</v>
      </c>
      <c r="P415" t="s">
        <v>343</v>
      </c>
    </row>
    <row r="416" spans="1:16" x14ac:dyDescent="0.2">
      <c r="A416">
        <v>70</v>
      </c>
      <c r="B416">
        <v>1</v>
      </c>
      <c r="D416">
        <v>14</v>
      </c>
      <c r="E416" t="s">
        <v>344</v>
      </c>
      <c r="F416" t="s">
        <v>345</v>
      </c>
      <c r="G416">
        <v>0</v>
      </c>
      <c r="H416">
        <v>0</v>
      </c>
      <c r="I416" t="s">
        <v>6</v>
      </c>
      <c r="J416">
        <v>0</v>
      </c>
      <c r="K416">
        <v>0</v>
      </c>
      <c r="L416" t="s">
        <v>6</v>
      </c>
      <c r="M416" t="s">
        <v>6</v>
      </c>
      <c r="N416">
        <v>0</v>
      </c>
      <c r="P416" t="s">
        <v>6</v>
      </c>
    </row>
    <row r="417" spans="1:50" x14ac:dyDescent="0.2">
      <c r="A417">
        <v>70</v>
      </c>
      <c r="B417">
        <v>1</v>
      </c>
      <c r="D417">
        <v>15</v>
      </c>
      <c r="E417" t="s">
        <v>346</v>
      </c>
      <c r="F417" t="s">
        <v>347</v>
      </c>
      <c r="G417">
        <v>0</v>
      </c>
      <c r="H417">
        <v>0</v>
      </c>
      <c r="I417" t="s">
        <v>6</v>
      </c>
      <c r="J417">
        <v>0</v>
      </c>
      <c r="K417">
        <v>0</v>
      </c>
      <c r="L417" t="s">
        <v>6</v>
      </c>
      <c r="M417" t="s">
        <v>6</v>
      </c>
      <c r="N417">
        <v>0</v>
      </c>
      <c r="P417" t="s">
        <v>348</v>
      </c>
    </row>
    <row r="418" spans="1:50" x14ac:dyDescent="0.2">
      <c r="A418">
        <v>70</v>
      </c>
      <c r="B418">
        <v>1</v>
      </c>
      <c r="D418">
        <v>16</v>
      </c>
      <c r="E418" t="s">
        <v>349</v>
      </c>
      <c r="F418" t="s">
        <v>350</v>
      </c>
      <c r="G418">
        <v>0</v>
      </c>
      <c r="H418">
        <v>0</v>
      </c>
      <c r="I418" t="s">
        <v>6</v>
      </c>
      <c r="J418">
        <v>3</v>
      </c>
      <c r="K418">
        <v>0</v>
      </c>
      <c r="L418" t="s">
        <v>6</v>
      </c>
      <c r="M418" t="s">
        <v>6</v>
      </c>
      <c r="N418">
        <v>0</v>
      </c>
      <c r="P418" t="s">
        <v>6</v>
      </c>
    </row>
    <row r="419" spans="1:50" x14ac:dyDescent="0.2">
      <c r="A419">
        <v>70</v>
      </c>
      <c r="B419">
        <v>1</v>
      </c>
      <c r="D419">
        <v>17</v>
      </c>
      <c r="E419" t="s">
        <v>351</v>
      </c>
      <c r="F419" t="s">
        <v>352</v>
      </c>
      <c r="G419">
        <v>1</v>
      </c>
      <c r="H419">
        <v>0</v>
      </c>
      <c r="I419" t="s">
        <v>6</v>
      </c>
      <c r="J419">
        <v>3</v>
      </c>
      <c r="K419">
        <v>0</v>
      </c>
      <c r="L419" t="s">
        <v>6</v>
      </c>
      <c r="M419" t="s">
        <v>6</v>
      </c>
      <c r="N419">
        <v>0</v>
      </c>
      <c r="P419" t="s">
        <v>6</v>
      </c>
    </row>
    <row r="420" spans="1:50" x14ac:dyDescent="0.2">
      <c r="A420">
        <v>70</v>
      </c>
      <c r="B420">
        <v>1</v>
      </c>
      <c r="D420">
        <v>1</v>
      </c>
      <c r="E420" t="s">
        <v>353</v>
      </c>
      <c r="F420" t="s">
        <v>354</v>
      </c>
      <c r="G420">
        <v>0.9</v>
      </c>
      <c r="H420">
        <v>1</v>
      </c>
      <c r="I420" t="s">
        <v>355</v>
      </c>
      <c r="J420">
        <v>0</v>
      </c>
      <c r="K420">
        <v>0</v>
      </c>
      <c r="L420" t="s">
        <v>6</v>
      </c>
      <c r="M420" t="s">
        <v>6</v>
      </c>
      <c r="N420">
        <v>0</v>
      </c>
      <c r="P420" t="s">
        <v>356</v>
      </c>
    </row>
    <row r="421" spans="1:50" x14ac:dyDescent="0.2">
      <c r="A421">
        <v>70</v>
      </c>
      <c r="B421">
        <v>1</v>
      </c>
      <c r="D421">
        <v>2</v>
      </c>
      <c r="E421" t="s">
        <v>357</v>
      </c>
      <c r="F421" t="s">
        <v>358</v>
      </c>
      <c r="G421">
        <v>0.85</v>
      </c>
      <c r="H421">
        <v>1</v>
      </c>
      <c r="I421" t="s">
        <v>359</v>
      </c>
      <c r="J421">
        <v>0</v>
      </c>
      <c r="K421">
        <v>0</v>
      </c>
      <c r="L421" t="s">
        <v>6</v>
      </c>
      <c r="M421" t="s">
        <v>6</v>
      </c>
      <c r="N421">
        <v>0</v>
      </c>
      <c r="P421" t="s">
        <v>360</v>
      </c>
    </row>
    <row r="422" spans="1:50" x14ac:dyDescent="0.2">
      <c r="A422">
        <v>70</v>
      </c>
      <c r="B422">
        <v>1</v>
      </c>
      <c r="D422">
        <v>3</v>
      </c>
      <c r="E422" t="s">
        <v>361</v>
      </c>
      <c r="F422" t="s">
        <v>362</v>
      </c>
      <c r="G422">
        <v>1.03</v>
      </c>
      <c r="H422">
        <v>0</v>
      </c>
      <c r="I422" t="s">
        <v>6</v>
      </c>
      <c r="J422">
        <v>0</v>
      </c>
      <c r="K422">
        <v>0</v>
      </c>
      <c r="L422" t="s">
        <v>6</v>
      </c>
      <c r="M422" t="s">
        <v>6</v>
      </c>
      <c r="N422">
        <v>0</v>
      </c>
      <c r="P422" t="s">
        <v>363</v>
      </c>
    </row>
    <row r="423" spans="1:50" x14ac:dyDescent="0.2">
      <c r="A423">
        <v>70</v>
      </c>
      <c r="B423">
        <v>1</v>
      </c>
      <c r="D423">
        <v>4</v>
      </c>
      <c r="E423" t="s">
        <v>364</v>
      </c>
      <c r="F423" t="s">
        <v>365</v>
      </c>
      <c r="G423">
        <v>1.1499999999999999</v>
      </c>
      <c r="H423">
        <v>0</v>
      </c>
      <c r="I423" t="s">
        <v>6</v>
      </c>
      <c r="J423">
        <v>0</v>
      </c>
      <c r="K423">
        <v>0</v>
      </c>
      <c r="L423" t="s">
        <v>6</v>
      </c>
      <c r="M423" t="s">
        <v>6</v>
      </c>
      <c r="N423">
        <v>0</v>
      </c>
      <c r="P423" t="s">
        <v>366</v>
      </c>
    </row>
    <row r="424" spans="1:50" x14ac:dyDescent="0.2">
      <c r="A424">
        <v>70</v>
      </c>
      <c r="B424">
        <v>1</v>
      </c>
      <c r="D424">
        <v>5</v>
      </c>
      <c r="E424" t="s">
        <v>367</v>
      </c>
      <c r="F424" t="s">
        <v>368</v>
      </c>
      <c r="G424">
        <v>7</v>
      </c>
      <c r="H424">
        <v>0</v>
      </c>
      <c r="I424" t="s">
        <v>6</v>
      </c>
      <c r="J424">
        <v>0</v>
      </c>
      <c r="K424">
        <v>0</v>
      </c>
      <c r="L424" t="s">
        <v>6</v>
      </c>
      <c r="M424" t="s">
        <v>6</v>
      </c>
      <c r="N424">
        <v>0</v>
      </c>
      <c r="P424" t="s">
        <v>6</v>
      </c>
    </row>
    <row r="425" spans="1:50" x14ac:dyDescent="0.2">
      <c r="A425">
        <v>70</v>
      </c>
      <c r="B425">
        <v>1</v>
      </c>
      <c r="D425">
        <v>6</v>
      </c>
      <c r="E425" t="s">
        <v>369</v>
      </c>
      <c r="F425" t="s">
        <v>6</v>
      </c>
      <c r="G425">
        <v>2</v>
      </c>
      <c r="H425">
        <v>0</v>
      </c>
      <c r="I425" t="s">
        <v>6</v>
      </c>
      <c r="J425">
        <v>0</v>
      </c>
      <c r="K425">
        <v>0</v>
      </c>
      <c r="L425" t="s">
        <v>6</v>
      </c>
      <c r="M425" t="s">
        <v>6</v>
      </c>
      <c r="N425">
        <v>0</v>
      </c>
      <c r="P425" t="s">
        <v>6</v>
      </c>
    </row>
    <row r="427" spans="1:50" x14ac:dyDescent="0.2">
      <c r="A427">
        <v>-1</v>
      </c>
    </row>
    <row r="429" spans="1:50" x14ac:dyDescent="0.2">
      <c r="A429" s="3">
        <v>75</v>
      </c>
      <c r="B429" s="3" t="s">
        <v>370</v>
      </c>
      <c r="C429" s="3">
        <v>2025</v>
      </c>
      <c r="D429" s="3">
        <v>2</v>
      </c>
      <c r="E429" s="3">
        <v>0</v>
      </c>
      <c r="F429" s="3">
        <v>0</v>
      </c>
      <c r="G429" s="3">
        <v>0</v>
      </c>
      <c r="H429" s="3">
        <v>1</v>
      </c>
      <c r="I429" s="3">
        <v>0</v>
      </c>
      <c r="J429" s="3">
        <v>3</v>
      </c>
      <c r="K429" s="3">
        <v>0</v>
      </c>
      <c r="L429" s="3">
        <v>0</v>
      </c>
      <c r="M429" s="3">
        <v>0</v>
      </c>
      <c r="N429" s="3">
        <v>74852007</v>
      </c>
      <c r="O429" s="3">
        <v>1</v>
      </c>
    </row>
    <row r="430" spans="1:50" x14ac:dyDescent="0.2">
      <c r="A430" s="7">
        <v>1</v>
      </c>
      <c r="B430" s="7" t="s">
        <v>371</v>
      </c>
      <c r="C430" s="7" t="s">
        <v>372</v>
      </c>
      <c r="D430" s="7">
        <v>2025</v>
      </c>
      <c r="E430" s="7">
        <v>6</v>
      </c>
      <c r="F430" s="7">
        <v>1</v>
      </c>
      <c r="G430" s="7">
        <v>1</v>
      </c>
      <c r="H430" s="7">
        <v>0</v>
      </c>
      <c r="I430" s="7">
        <v>2</v>
      </c>
      <c r="J430" s="7">
        <v>1</v>
      </c>
      <c r="K430" s="7">
        <v>1</v>
      </c>
      <c r="L430" s="7">
        <v>1</v>
      </c>
      <c r="M430" s="7">
        <v>1</v>
      </c>
      <c r="N430" s="7">
        <v>1</v>
      </c>
      <c r="O430" s="7">
        <v>1</v>
      </c>
      <c r="P430" s="7">
        <v>1</v>
      </c>
      <c r="Q430" s="7">
        <v>1</v>
      </c>
      <c r="R430" s="7" t="s">
        <v>6</v>
      </c>
      <c r="S430" s="7" t="s">
        <v>6</v>
      </c>
      <c r="T430" s="7" t="s">
        <v>6</v>
      </c>
      <c r="U430" s="7" t="s">
        <v>6</v>
      </c>
      <c r="V430" s="7" t="s">
        <v>6</v>
      </c>
      <c r="W430" s="7" t="s">
        <v>6</v>
      </c>
      <c r="X430" s="7" t="s">
        <v>6</v>
      </c>
      <c r="Y430" s="7" t="s">
        <v>6</v>
      </c>
      <c r="Z430" s="7" t="s">
        <v>6</v>
      </c>
      <c r="AA430" s="7" t="s">
        <v>6</v>
      </c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>
        <v>74852008</v>
      </c>
      <c r="AO430" s="7" t="s">
        <v>373</v>
      </c>
      <c r="AP430" s="7" t="s">
        <v>374</v>
      </c>
      <c r="AQ430" s="7">
        <v>45800</v>
      </c>
      <c r="AR430" s="7">
        <v>381</v>
      </c>
      <c r="AS430" s="7" t="s">
        <v>375</v>
      </c>
      <c r="AT430" s="7" t="s">
        <v>376</v>
      </c>
      <c r="AU430" s="7" t="s">
        <v>374</v>
      </c>
      <c r="AV430" s="7">
        <v>45722</v>
      </c>
      <c r="AW430" s="7">
        <v>133</v>
      </c>
      <c r="AX430" s="7" t="s">
        <v>377</v>
      </c>
    </row>
    <row r="431" spans="1:50" x14ac:dyDescent="0.2">
      <c r="A431" s="7">
        <v>2</v>
      </c>
      <c r="B431" s="7" t="s">
        <v>378</v>
      </c>
      <c r="C431" s="7" t="s">
        <v>379</v>
      </c>
      <c r="D431" s="7">
        <v>0</v>
      </c>
      <c r="E431" s="7">
        <v>0</v>
      </c>
      <c r="F431" s="7">
        <v>0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>
        <v>74852009</v>
      </c>
    </row>
    <row r="435" spans="1:5" x14ac:dyDescent="0.2">
      <c r="A435">
        <v>65</v>
      </c>
      <c r="C435">
        <v>1</v>
      </c>
      <c r="D435">
        <v>0</v>
      </c>
      <c r="E435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style="5" customWidth="1"/>
    <col min="257" max="16384" width="9.140625" style="5"/>
  </cols>
  <sheetData>
    <row r="1" spans="1:133" x14ac:dyDescent="0.2">
      <c r="A1" s="5">
        <v>0</v>
      </c>
      <c r="B1" s="5" t="s">
        <v>0</v>
      </c>
      <c r="D1" s="5" t="s">
        <v>380</v>
      </c>
      <c r="F1" s="5">
        <v>0</v>
      </c>
      <c r="G1" s="5">
        <v>0</v>
      </c>
      <c r="H1" s="5">
        <v>0</v>
      </c>
      <c r="I1" s="5" t="s">
        <v>2</v>
      </c>
      <c r="J1" s="5" t="s">
        <v>3</v>
      </c>
      <c r="K1" s="5">
        <v>1</v>
      </c>
      <c r="L1" s="5">
        <v>42245</v>
      </c>
      <c r="M1" s="5">
        <v>10</v>
      </c>
      <c r="N1" s="5">
        <v>12</v>
      </c>
      <c r="O1" s="5">
        <v>1</v>
      </c>
      <c r="P1" s="5">
        <v>0</v>
      </c>
      <c r="Q1" s="5">
        <v>4</v>
      </c>
    </row>
    <row r="12" spans="1:133" x14ac:dyDescent="0.2">
      <c r="A12" s="8">
        <v>1</v>
      </c>
      <c r="B12" s="8">
        <v>51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6</v>
      </c>
      <c r="I12" s="8">
        <v>0</v>
      </c>
      <c r="J12" s="8" t="s">
        <v>6</v>
      </c>
      <c r="K12" s="8">
        <v>0</v>
      </c>
      <c r="L12" s="8">
        <v>0</v>
      </c>
      <c r="M12" s="8">
        <v>131595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6</v>
      </c>
      <c r="V12" s="8">
        <v>0</v>
      </c>
      <c r="W12" s="8" t="s">
        <v>6</v>
      </c>
      <c r="X12" s="8" t="s">
        <v>6</v>
      </c>
      <c r="Y12" s="8" t="s">
        <v>6</v>
      </c>
      <c r="Z12" s="8" t="s">
        <v>6</v>
      </c>
      <c r="AA12" s="8" t="s">
        <v>6</v>
      </c>
      <c r="AB12" s="8" t="s">
        <v>7</v>
      </c>
      <c r="AC12" s="8" t="s">
        <v>6</v>
      </c>
      <c r="AD12" s="8" t="s">
        <v>8</v>
      </c>
      <c r="AE12" s="8" t="s">
        <v>6</v>
      </c>
      <c r="AF12" s="8" t="s">
        <v>6</v>
      </c>
      <c r="AG12" s="8" t="s">
        <v>6</v>
      </c>
      <c r="AH12" s="8" t="s">
        <v>6</v>
      </c>
      <c r="AI12" s="8" t="s">
        <v>6</v>
      </c>
      <c r="AJ12" s="8" t="s">
        <v>6</v>
      </c>
      <c r="AK12" s="8"/>
      <c r="AL12" s="8" t="s">
        <v>6</v>
      </c>
      <c r="AM12" s="8" t="s">
        <v>6</v>
      </c>
      <c r="AN12" s="8" t="s">
        <v>6</v>
      </c>
      <c r="AO12" s="8"/>
      <c r="AP12" s="8" t="s">
        <v>6</v>
      </c>
      <c r="AQ12" s="8" t="s">
        <v>6</v>
      </c>
      <c r="AR12" s="8" t="s">
        <v>6</v>
      </c>
      <c r="AS12" s="8"/>
      <c r="AT12" s="8"/>
      <c r="AU12" s="8"/>
      <c r="AV12" s="8"/>
      <c r="AW12" s="8"/>
      <c r="AX12" s="8" t="s">
        <v>6</v>
      </c>
      <c r="AY12" s="8" t="s">
        <v>6</v>
      </c>
      <c r="AZ12" s="8" t="s">
        <v>6</v>
      </c>
      <c r="BA12" s="8"/>
      <c r="BB12" s="8">
        <v>2</v>
      </c>
      <c r="BC12" s="8"/>
      <c r="BD12" s="8"/>
      <c r="BE12" s="8"/>
      <c r="BF12" s="8"/>
      <c r="BG12" s="8"/>
      <c r="BH12" s="8" t="s">
        <v>9</v>
      </c>
      <c r="BI12" s="8" t="s">
        <v>10</v>
      </c>
      <c r="BJ12" s="8">
        <v>1</v>
      </c>
      <c r="BK12" s="8">
        <v>1</v>
      </c>
      <c r="BL12" s="8">
        <v>0</v>
      </c>
      <c r="BM12" s="8">
        <v>0</v>
      </c>
      <c r="BN12" s="8">
        <v>0</v>
      </c>
      <c r="BO12" s="8">
        <v>0</v>
      </c>
      <c r="BP12" s="8">
        <v>2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1</v>
      </c>
      <c r="BW12" s="8">
        <v>0</v>
      </c>
      <c r="BX12" s="8">
        <v>0</v>
      </c>
      <c r="BY12" s="8" t="s">
        <v>6</v>
      </c>
      <c r="BZ12" s="8" t="s">
        <v>11</v>
      </c>
      <c r="CA12" s="8" t="s">
        <v>12</v>
      </c>
      <c r="CB12" s="8" t="s">
        <v>12</v>
      </c>
      <c r="CC12" s="8" t="s">
        <v>12</v>
      </c>
      <c r="CD12" s="8" t="s">
        <v>12</v>
      </c>
      <c r="CE12" s="8" t="s">
        <v>13</v>
      </c>
      <c r="CF12" s="8">
        <v>0</v>
      </c>
      <c r="CG12" s="8">
        <v>0</v>
      </c>
      <c r="CH12" s="8">
        <v>489201672</v>
      </c>
      <c r="CI12" s="8" t="s">
        <v>6</v>
      </c>
      <c r="CJ12" s="8" t="s">
        <v>6</v>
      </c>
      <c r="CK12" s="8">
        <v>14</v>
      </c>
      <c r="CL12" s="8"/>
      <c r="CM12" s="8"/>
      <c r="CN12" s="8"/>
      <c r="CO12" s="8"/>
      <c r="CP12" s="8"/>
      <c r="CQ12" s="8" t="s">
        <v>14</v>
      </c>
      <c r="CR12" s="8" t="s">
        <v>15</v>
      </c>
      <c r="CS12" s="8">
        <v>45796</v>
      </c>
      <c r="CT12" s="8">
        <v>533</v>
      </c>
      <c r="CU12" s="8">
        <v>14</v>
      </c>
      <c r="CV12" s="8" t="s">
        <v>557</v>
      </c>
      <c r="CW12" s="8"/>
      <c r="CX12" s="8"/>
      <c r="CY12" s="8">
        <v>0</v>
      </c>
      <c r="CZ12" s="8" t="s">
        <v>6</v>
      </c>
      <c r="DA12" s="8" t="s">
        <v>6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74852007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16</v>
      </c>
      <c r="D16" s="9" t="s">
        <v>17</v>
      </c>
      <c r="E16" s="10">
        <f>ROUND((Source!F357)/1000,2)</f>
        <v>443.88</v>
      </c>
      <c r="F16" s="10">
        <f>ROUND((Source!F358)/1000,2)</f>
        <v>0</v>
      </c>
      <c r="G16" s="10">
        <f>ROUND((Source!F349)/1000,2)</f>
        <v>0</v>
      </c>
      <c r="H16" s="10">
        <f>ROUND((Source!F359)/1000+(Source!F360)/1000,2)</f>
        <v>0</v>
      </c>
      <c r="I16" s="10">
        <f>E16+F16+G16+H16</f>
        <v>443.88</v>
      </c>
      <c r="J16" s="10">
        <f>ROUND((Source!F355+Source!F354)/1000,2)</f>
        <v>98.21</v>
      </c>
      <c r="K16" s="10">
        <v>499.27</v>
      </c>
      <c r="L16" s="10">
        <v>0</v>
      </c>
      <c r="M16" s="10">
        <v>0</v>
      </c>
      <c r="N16" s="10">
        <f>I16+L16+M16</f>
        <v>443.88</v>
      </c>
      <c r="AI16" s="9">
        <v>0</v>
      </c>
      <c r="AJ16" s="9">
        <v>0</v>
      </c>
      <c r="AK16" s="9" t="s">
        <v>18</v>
      </c>
      <c r="AL16" s="9" t="s">
        <v>6</v>
      </c>
      <c r="AM16" s="9" t="s">
        <v>6</v>
      </c>
      <c r="AN16" s="9">
        <v>0</v>
      </c>
      <c r="AO16" s="9" t="s">
        <v>6</v>
      </c>
      <c r="AP16" s="9" t="s">
        <v>6</v>
      </c>
      <c r="AT16" s="10">
        <v>309896.18</v>
      </c>
      <c r="AU16" s="10">
        <v>199160.15</v>
      </c>
      <c r="AV16" s="10">
        <v>0</v>
      </c>
      <c r="AW16" s="10">
        <v>0</v>
      </c>
      <c r="AX16" s="10">
        <v>0</v>
      </c>
      <c r="AY16" s="10">
        <v>2742.2999999999993</v>
      </c>
      <c r="AZ16" s="10">
        <v>2816.3</v>
      </c>
      <c r="BA16" s="10">
        <v>95391.69</v>
      </c>
      <c r="BB16" s="10">
        <v>443879.3</v>
      </c>
      <c r="BC16" s="10">
        <v>0</v>
      </c>
      <c r="BD16" s="10">
        <v>0</v>
      </c>
      <c r="BE16" s="10">
        <v>0</v>
      </c>
      <c r="BF16" s="10">
        <v>316.76887699999997</v>
      </c>
      <c r="BG16" s="10">
        <v>9.1510058000000001</v>
      </c>
      <c r="BH16" s="10">
        <v>0</v>
      </c>
      <c r="BI16" s="10">
        <v>89709.9</v>
      </c>
      <c r="BJ16" s="10">
        <v>44273.22</v>
      </c>
      <c r="BK16" s="10">
        <v>443879.3</v>
      </c>
    </row>
    <row r="18" spans="1:16" x14ac:dyDescent="0.2">
      <c r="A18" s="5">
        <v>51</v>
      </c>
      <c r="E18" s="5">
        <v>443.88</v>
      </c>
      <c r="F18" s="5">
        <v>0</v>
      </c>
      <c r="G18" s="5">
        <v>0</v>
      </c>
      <c r="H18" s="5">
        <v>0</v>
      </c>
      <c r="I18" s="5">
        <v>443.88</v>
      </c>
      <c r="J18" s="5">
        <v>98.21</v>
      </c>
      <c r="K18" s="5">
        <v>499.27</v>
      </c>
      <c r="L18" s="5">
        <v>0</v>
      </c>
      <c r="M18" s="5">
        <v>0</v>
      </c>
      <c r="N18" s="5">
        <v>443.88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309896.18</v>
      </c>
      <c r="G20" s="11" t="s">
        <v>21</v>
      </c>
      <c r="H20" s="11" t="s">
        <v>22</v>
      </c>
      <c r="I20" s="11"/>
      <c r="J20" s="11"/>
      <c r="K20" s="11">
        <v>201</v>
      </c>
      <c r="L20" s="11">
        <v>1</v>
      </c>
      <c r="M20" s="11">
        <v>3</v>
      </c>
      <c r="N20" s="11" t="s">
        <v>6</v>
      </c>
      <c r="O20" s="11">
        <v>0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199160.15</v>
      </c>
      <c r="G21" s="11" t="s">
        <v>23</v>
      </c>
      <c r="H21" s="11" t="s">
        <v>24</v>
      </c>
      <c r="I21" s="11"/>
      <c r="J21" s="11"/>
      <c r="K21" s="11">
        <v>202</v>
      </c>
      <c r="L21" s="11">
        <v>2</v>
      </c>
      <c r="M21" s="11">
        <v>3</v>
      </c>
      <c r="N21" s="11" t="s">
        <v>6</v>
      </c>
      <c r="O21" s="11">
        <v>0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25</v>
      </c>
      <c r="H22" s="11" t="s">
        <v>26</v>
      </c>
      <c r="I22" s="11"/>
      <c r="J22" s="11"/>
      <c r="K22" s="11">
        <v>222</v>
      </c>
      <c r="L22" s="11">
        <v>3</v>
      </c>
      <c r="M22" s="11">
        <v>3</v>
      </c>
      <c r="N22" s="11" t="s">
        <v>6</v>
      </c>
      <c r="O22" s="11">
        <v>0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199160.15</v>
      </c>
      <c r="G23" s="11" t="s">
        <v>27</v>
      </c>
      <c r="H23" s="11" t="s">
        <v>28</v>
      </c>
      <c r="I23" s="11"/>
      <c r="J23" s="11"/>
      <c r="K23" s="11">
        <v>225</v>
      </c>
      <c r="L23" s="11">
        <v>4</v>
      </c>
      <c r="M23" s="11">
        <v>3</v>
      </c>
      <c r="N23" s="11" t="s">
        <v>6</v>
      </c>
      <c r="O23" s="11">
        <v>0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199160.15</v>
      </c>
      <c r="G24" s="11" t="s">
        <v>29</v>
      </c>
      <c r="H24" s="11" t="s">
        <v>30</v>
      </c>
      <c r="I24" s="11"/>
      <c r="J24" s="11"/>
      <c r="K24" s="11">
        <v>226</v>
      </c>
      <c r="L24" s="11">
        <v>5</v>
      </c>
      <c r="M24" s="11">
        <v>3</v>
      </c>
      <c r="N24" s="11" t="s">
        <v>6</v>
      </c>
      <c r="O24" s="11">
        <v>0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31</v>
      </c>
      <c r="H25" s="11" t="s">
        <v>32</v>
      </c>
      <c r="I25" s="11"/>
      <c r="J25" s="11"/>
      <c r="K25" s="11">
        <v>227</v>
      </c>
      <c r="L25" s="11">
        <v>6</v>
      </c>
      <c r="M25" s="11">
        <v>3</v>
      </c>
      <c r="N25" s="11" t="s">
        <v>6</v>
      </c>
      <c r="O25" s="11">
        <v>0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199160.15</v>
      </c>
      <c r="G26" s="11" t="s">
        <v>33</v>
      </c>
      <c r="H26" s="11" t="s">
        <v>34</v>
      </c>
      <c r="I26" s="11"/>
      <c r="J26" s="11"/>
      <c r="K26" s="11">
        <v>228</v>
      </c>
      <c r="L26" s="11">
        <v>7</v>
      </c>
      <c r="M26" s="11">
        <v>3</v>
      </c>
      <c r="N26" s="11" t="s">
        <v>6</v>
      </c>
      <c r="O26" s="11">
        <v>0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35</v>
      </c>
      <c r="H27" s="11" t="s">
        <v>36</v>
      </c>
      <c r="I27" s="11"/>
      <c r="J27" s="11"/>
      <c r="K27" s="11">
        <v>216</v>
      </c>
      <c r="L27" s="11">
        <v>8</v>
      </c>
      <c r="M27" s="11">
        <v>3</v>
      </c>
      <c r="N27" s="11" t="s">
        <v>6</v>
      </c>
      <c r="O27" s="11">
        <v>0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37</v>
      </c>
      <c r="H28" s="11" t="s">
        <v>38</v>
      </c>
      <c r="I28" s="11"/>
      <c r="J28" s="11"/>
      <c r="K28" s="11">
        <v>223</v>
      </c>
      <c r="L28" s="11">
        <v>9</v>
      </c>
      <c r="M28" s="11">
        <v>3</v>
      </c>
      <c r="N28" s="11" t="s">
        <v>6</v>
      </c>
      <c r="O28" s="11">
        <v>0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39</v>
      </c>
      <c r="H29" s="11" t="s">
        <v>40</v>
      </c>
      <c r="I29" s="11"/>
      <c r="J29" s="11"/>
      <c r="K29" s="11">
        <v>229</v>
      </c>
      <c r="L29" s="11">
        <v>10</v>
      </c>
      <c r="M29" s="11">
        <v>3</v>
      </c>
      <c r="N29" s="11" t="s">
        <v>6</v>
      </c>
      <c r="O29" s="11">
        <v>0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2742.2999999999993</v>
      </c>
      <c r="G30" s="11" t="s">
        <v>41</v>
      </c>
      <c r="H30" s="11" t="s">
        <v>42</v>
      </c>
      <c r="I30" s="11"/>
      <c r="J30" s="11"/>
      <c r="K30" s="11">
        <v>203</v>
      </c>
      <c r="L30" s="11">
        <v>11</v>
      </c>
      <c r="M30" s="11">
        <v>3</v>
      </c>
      <c r="N30" s="11" t="s">
        <v>6</v>
      </c>
      <c r="O30" s="11">
        <v>0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43</v>
      </c>
      <c r="H31" s="11" t="s">
        <v>44</v>
      </c>
      <c r="I31" s="11"/>
      <c r="J31" s="11"/>
      <c r="K31" s="11">
        <v>231</v>
      </c>
      <c r="L31" s="11">
        <v>12</v>
      </c>
      <c r="M31" s="11">
        <v>3</v>
      </c>
      <c r="N31" s="11" t="s">
        <v>6</v>
      </c>
      <c r="O31" s="11">
        <v>0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2816.3</v>
      </c>
      <c r="G32" s="11" t="s">
        <v>45</v>
      </c>
      <c r="H32" s="11" t="s">
        <v>46</v>
      </c>
      <c r="I32" s="11"/>
      <c r="J32" s="11"/>
      <c r="K32" s="11">
        <v>204</v>
      </c>
      <c r="L32" s="11">
        <v>13</v>
      </c>
      <c r="M32" s="11">
        <v>3</v>
      </c>
      <c r="N32" s="11" t="s">
        <v>6</v>
      </c>
      <c r="O32" s="11">
        <v>0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95391.69</v>
      </c>
      <c r="G33" s="11" t="s">
        <v>47</v>
      </c>
      <c r="H33" s="11" t="s">
        <v>48</v>
      </c>
      <c r="I33" s="11"/>
      <c r="J33" s="11"/>
      <c r="K33" s="11">
        <v>205</v>
      </c>
      <c r="L33" s="11">
        <v>14</v>
      </c>
      <c r="M33" s="11">
        <v>3</v>
      </c>
      <c r="N33" s="11" t="s">
        <v>6</v>
      </c>
      <c r="O33" s="11">
        <v>0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49</v>
      </c>
      <c r="H34" s="11" t="s">
        <v>50</v>
      </c>
      <c r="I34" s="11"/>
      <c r="J34" s="11"/>
      <c r="K34" s="11">
        <v>232</v>
      </c>
      <c r="L34" s="11">
        <v>15</v>
      </c>
      <c r="M34" s="11">
        <v>3</v>
      </c>
      <c r="N34" s="11" t="s">
        <v>6</v>
      </c>
      <c r="O34" s="11">
        <v>0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443879.3</v>
      </c>
      <c r="G35" s="11" t="s">
        <v>51</v>
      </c>
      <c r="H35" s="11" t="s">
        <v>52</v>
      </c>
      <c r="I35" s="11"/>
      <c r="J35" s="11"/>
      <c r="K35" s="11">
        <v>214</v>
      </c>
      <c r="L35" s="11">
        <v>16</v>
      </c>
      <c r="M35" s="11">
        <v>3</v>
      </c>
      <c r="N35" s="11" t="s">
        <v>6</v>
      </c>
      <c r="O35" s="11">
        <v>0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53</v>
      </c>
      <c r="H36" s="11" t="s">
        <v>54</v>
      </c>
      <c r="I36" s="11"/>
      <c r="J36" s="11"/>
      <c r="K36" s="11">
        <v>215</v>
      </c>
      <c r="L36" s="11">
        <v>17</v>
      </c>
      <c r="M36" s="11">
        <v>3</v>
      </c>
      <c r="N36" s="11" t="s">
        <v>6</v>
      </c>
      <c r="O36" s="11">
        <v>0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55</v>
      </c>
      <c r="H37" s="11" t="s">
        <v>56</v>
      </c>
      <c r="I37" s="11"/>
      <c r="J37" s="11"/>
      <c r="K37" s="11">
        <v>217</v>
      </c>
      <c r="L37" s="11">
        <v>18</v>
      </c>
      <c r="M37" s="11">
        <v>3</v>
      </c>
      <c r="N37" s="11" t="s">
        <v>6</v>
      </c>
      <c r="O37" s="11">
        <v>0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57</v>
      </c>
      <c r="H38" s="11" t="s">
        <v>58</v>
      </c>
      <c r="I38" s="11"/>
      <c r="J38" s="11"/>
      <c r="K38" s="11">
        <v>230</v>
      </c>
      <c r="L38" s="11">
        <v>19</v>
      </c>
      <c r="M38" s="11">
        <v>3</v>
      </c>
      <c r="N38" s="11" t="s">
        <v>6</v>
      </c>
      <c r="O38" s="11">
        <v>0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59</v>
      </c>
      <c r="H39" s="11" t="s">
        <v>60</v>
      </c>
      <c r="I39" s="11"/>
      <c r="J39" s="11"/>
      <c r="K39" s="11">
        <v>206</v>
      </c>
      <c r="L39" s="11">
        <v>20</v>
      </c>
      <c r="M39" s="11">
        <v>3</v>
      </c>
      <c r="N39" s="11" t="s">
        <v>6</v>
      </c>
      <c r="O39" s="11">
        <v>0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316.76887699999997</v>
      </c>
      <c r="G40" s="11" t="s">
        <v>61</v>
      </c>
      <c r="H40" s="11" t="s">
        <v>62</v>
      </c>
      <c r="I40" s="11"/>
      <c r="J40" s="11"/>
      <c r="K40" s="11">
        <v>207</v>
      </c>
      <c r="L40" s="11">
        <v>21</v>
      </c>
      <c r="M40" s="11">
        <v>3</v>
      </c>
      <c r="N40" s="11" t="s">
        <v>6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9.1510058000000001</v>
      </c>
      <c r="G41" s="11" t="s">
        <v>63</v>
      </c>
      <c r="H41" s="11" t="s">
        <v>64</v>
      </c>
      <c r="I41" s="11"/>
      <c r="J41" s="11"/>
      <c r="K41" s="11">
        <v>208</v>
      </c>
      <c r="L41" s="11">
        <v>22</v>
      </c>
      <c r="M41" s="11">
        <v>3</v>
      </c>
      <c r="N41" s="11" t="s">
        <v>6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65</v>
      </c>
      <c r="H42" s="11" t="s">
        <v>66</v>
      </c>
      <c r="I42" s="11"/>
      <c r="J42" s="11"/>
      <c r="K42" s="11">
        <v>209</v>
      </c>
      <c r="L42" s="11">
        <v>23</v>
      </c>
      <c r="M42" s="11">
        <v>3</v>
      </c>
      <c r="N42" s="11" t="s">
        <v>6</v>
      </c>
      <c r="O42" s="11">
        <v>0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9785.74</v>
      </c>
      <c r="G43" s="11" t="s">
        <v>67</v>
      </c>
      <c r="H43" s="11" t="s">
        <v>68</v>
      </c>
      <c r="I43" s="11"/>
      <c r="J43" s="11"/>
      <c r="K43" s="11">
        <v>233</v>
      </c>
      <c r="L43" s="11">
        <v>24</v>
      </c>
      <c r="M43" s="11">
        <v>3</v>
      </c>
      <c r="N43" s="11" t="s">
        <v>6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89709.9</v>
      </c>
      <c r="G44" s="11" t="s">
        <v>69</v>
      </c>
      <c r="H44" s="11" t="s">
        <v>70</v>
      </c>
      <c r="I44" s="11"/>
      <c r="J44" s="11"/>
      <c r="K44" s="11">
        <v>210</v>
      </c>
      <c r="L44" s="11">
        <v>25</v>
      </c>
      <c r="M44" s="11">
        <v>3</v>
      </c>
      <c r="N44" s="11" t="s">
        <v>6</v>
      </c>
      <c r="O44" s="11">
        <v>0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44273.22</v>
      </c>
      <c r="G45" s="11" t="s">
        <v>71</v>
      </c>
      <c r="H45" s="11" t="s">
        <v>72</v>
      </c>
      <c r="I45" s="11"/>
      <c r="J45" s="11"/>
      <c r="K45" s="11">
        <v>211</v>
      </c>
      <c r="L45" s="11">
        <v>26</v>
      </c>
      <c r="M45" s="11">
        <v>3</v>
      </c>
      <c r="N45" s="11" t="s">
        <v>6</v>
      </c>
      <c r="O45" s="11">
        <v>0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443879.3</v>
      </c>
      <c r="G46" s="11" t="s">
        <v>73</v>
      </c>
      <c r="H46" s="11" t="s">
        <v>74</v>
      </c>
      <c r="I46" s="11"/>
      <c r="J46" s="11"/>
      <c r="K46" s="11">
        <v>224</v>
      </c>
      <c r="L46" s="11">
        <v>27</v>
      </c>
      <c r="M46" s="11">
        <v>3</v>
      </c>
      <c r="N46" s="11" t="s">
        <v>6</v>
      </c>
      <c r="O46" s="11">
        <v>0</v>
      </c>
      <c r="P46" s="11"/>
    </row>
    <row r="48" spans="1:16" x14ac:dyDescent="0.2">
      <c r="A48" s="5">
        <v>-1</v>
      </c>
    </row>
    <row r="51" spans="1:50" x14ac:dyDescent="0.2">
      <c r="A51" s="12">
        <v>75</v>
      </c>
      <c r="B51" s="12" t="s">
        <v>370</v>
      </c>
      <c r="C51" s="12">
        <v>2025</v>
      </c>
      <c r="D51" s="12">
        <v>2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3</v>
      </c>
      <c r="K51" s="12">
        <v>0</v>
      </c>
      <c r="L51" s="12">
        <v>0</v>
      </c>
      <c r="M51" s="12">
        <v>0</v>
      </c>
      <c r="N51" s="12">
        <v>74852007</v>
      </c>
      <c r="O51" s="12">
        <v>1</v>
      </c>
    </row>
    <row r="52" spans="1:50" x14ac:dyDescent="0.2">
      <c r="A52" s="13">
        <v>1</v>
      </c>
      <c r="B52" s="13" t="s">
        <v>371</v>
      </c>
      <c r="C52" s="13" t="s">
        <v>372</v>
      </c>
      <c r="D52" s="13">
        <v>2025</v>
      </c>
      <c r="E52" s="13">
        <v>6</v>
      </c>
      <c r="F52" s="13">
        <v>1</v>
      </c>
      <c r="G52" s="13">
        <v>1</v>
      </c>
      <c r="H52" s="13">
        <v>0</v>
      </c>
      <c r="I52" s="13">
        <v>2</v>
      </c>
      <c r="J52" s="13">
        <v>1</v>
      </c>
      <c r="K52" s="13">
        <v>1</v>
      </c>
      <c r="L52" s="13">
        <v>1</v>
      </c>
      <c r="M52" s="13">
        <v>1</v>
      </c>
      <c r="N52" s="13">
        <v>1</v>
      </c>
      <c r="O52" s="13">
        <v>1</v>
      </c>
      <c r="P52" s="13">
        <v>1</v>
      </c>
      <c r="Q52" s="13">
        <v>1</v>
      </c>
      <c r="R52" s="13" t="s">
        <v>6</v>
      </c>
      <c r="S52" s="13" t="s">
        <v>6</v>
      </c>
      <c r="T52" s="13" t="s">
        <v>6</v>
      </c>
      <c r="U52" s="13" t="s">
        <v>6</v>
      </c>
      <c r="V52" s="13" t="s">
        <v>6</v>
      </c>
      <c r="W52" s="13" t="s">
        <v>6</v>
      </c>
      <c r="X52" s="13" t="s">
        <v>6</v>
      </c>
      <c r="Y52" s="13" t="s">
        <v>6</v>
      </c>
      <c r="Z52" s="13" t="s">
        <v>6</v>
      </c>
      <c r="AA52" s="13" t="s">
        <v>6</v>
      </c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>
        <v>74852008</v>
      </c>
      <c r="AO52" s="13" t="s">
        <v>373</v>
      </c>
      <c r="AP52" s="13" t="s">
        <v>374</v>
      </c>
      <c r="AQ52" s="13">
        <v>45800</v>
      </c>
      <c r="AR52" s="13">
        <v>381</v>
      </c>
      <c r="AS52" s="13" t="s">
        <v>375</v>
      </c>
      <c r="AT52" s="13" t="s">
        <v>376</v>
      </c>
      <c r="AU52" s="13" t="s">
        <v>374</v>
      </c>
      <c r="AV52" s="13">
        <v>45722</v>
      </c>
      <c r="AW52" s="13">
        <v>133</v>
      </c>
      <c r="AX52" s="13" t="s">
        <v>377</v>
      </c>
    </row>
    <row r="53" spans="1:50" x14ac:dyDescent="0.2">
      <c r="A53" s="13">
        <v>2</v>
      </c>
      <c r="B53" s="13" t="s">
        <v>378</v>
      </c>
      <c r="C53" s="13" t="s">
        <v>379</v>
      </c>
      <c r="D53" s="13">
        <v>0</v>
      </c>
      <c r="E53" s="13">
        <v>0</v>
      </c>
      <c r="F53" s="13">
        <v>0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>
        <v>74852009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ROW(Source!A233)</f>
        <v>233</v>
      </c>
      <c r="B1">
        <v>74852007</v>
      </c>
      <c r="C1">
        <v>74852466</v>
      </c>
      <c r="D1">
        <v>72527760</v>
      </c>
      <c r="E1">
        <v>114</v>
      </c>
      <c r="F1">
        <v>1</v>
      </c>
      <c r="G1">
        <v>1</v>
      </c>
      <c r="H1">
        <v>1</v>
      </c>
      <c r="I1" t="s">
        <v>381</v>
      </c>
      <c r="J1" t="s">
        <v>6</v>
      </c>
      <c r="K1" t="s">
        <v>382</v>
      </c>
      <c r="L1">
        <v>1191</v>
      </c>
      <c r="N1">
        <v>1013</v>
      </c>
      <c r="O1" t="s">
        <v>383</v>
      </c>
      <c r="P1" t="s">
        <v>383</v>
      </c>
      <c r="Q1">
        <v>1</v>
      </c>
      <c r="W1">
        <v>0</v>
      </c>
      <c r="X1">
        <v>370475345</v>
      </c>
      <c r="Y1">
        <f t="shared" ref="Y1:Y9" si="0">AT1</f>
        <v>11.39</v>
      </c>
      <c r="AA1">
        <v>0</v>
      </c>
      <c r="AB1">
        <v>0</v>
      </c>
      <c r="AC1">
        <v>0</v>
      </c>
      <c r="AD1">
        <v>272.43</v>
      </c>
      <c r="AE1">
        <v>0</v>
      </c>
      <c r="AF1">
        <v>0</v>
      </c>
      <c r="AG1">
        <v>0</v>
      </c>
      <c r="AH1">
        <v>272.43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6</v>
      </c>
      <c r="AT1">
        <v>11.39</v>
      </c>
      <c r="AU1" t="s">
        <v>6</v>
      </c>
      <c r="AV1">
        <v>1</v>
      </c>
      <c r="AW1">
        <v>2</v>
      </c>
      <c r="AX1">
        <v>74852827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3102.9777000000004</v>
      </c>
      <c r="BN1">
        <v>11.39</v>
      </c>
      <c r="BO1">
        <v>0</v>
      </c>
      <c r="BP1">
        <v>1</v>
      </c>
      <c r="BQ1">
        <v>0</v>
      </c>
      <c r="BR1">
        <v>0</v>
      </c>
      <c r="BS1">
        <v>0</v>
      </c>
      <c r="BT1">
        <v>3102.9777000000004</v>
      </c>
      <c r="BU1">
        <v>11.39</v>
      </c>
      <c r="BV1">
        <v>0</v>
      </c>
      <c r="BW1">
        <v>1</v>
      </c>
      <c r="CU1">
        <f>ROUND(AT1*Source!I233*AH1*AL1,2)</f>
        <v>999.16</v>
      </c>
      <c r="CV1">
        <f>ROUND(Y1*Source!I233,7)</f>
        <v>3.6675800000000001</v>
      </c>
      <c r="CW1">
        <v>0</v>
      </c>
      <c r="CX1">
        <f>ROUND(Y1*Source!I233,7)</f>
        <v>3.6675800000000001</v>
      </c>
      <c r="CY1">
        <f>AD1</f>
        <v>272.43</v>
      </c>
      <c r="CZ1">
        <f>AH1</f>
        <v>272.43</v>
      </c>
      <c r="DA1">
        <f>AL1</f>
        <v>1</v>
      </c>
      <c r="DB1">
        <f t="shared" ref="DB1:DB9" si="1">ROUND(ROUND(AT1*CZ1,2),2)</f>
        <v>3102.98</v>
      </c>
      <c r="DC1">
        <f t="shared" ref="DC1:DC9" si="2">ROUND(ROUND(AT1*AG1,2),2)</f>
        <v>0</v>
      </c>
      <c r="DD1" t="s">
        <v>6</v>
      </c>
      <c r="DE1" t="s">
        <v>6</v>
      </c>
      <c r="DF1">
        <f t="shared" ref="DF1:DF16" si="3">ROUND(ROUND(AE1,2)*CX1,2)</f>
        <v>0</v>
      </c>
      <c r="DG1">
        <f>ROUND(ROUND(AF1,2)*CX1,2)</f>
        <v>0</v>
      </c>
      <c r="DH1">
        <f t="shared" ref="DH1:DH32" si="4">ROUND(ROUND(AG1,2)*CX1,2)</f>
        <v>0</v>
      </c>
      <c r="DI1">
        <f t="shared" ref="DI1:DI32" si="5">ROUND(ROUND(AH1,2)*CX1,2)</f>
        <v>999.16</v>
      </c>
      <c r="DJ1">
        <f>DI1</f>
        <v>999.16</v>
      </c>
      <c r="DK1">
        <v>1</v>
      </c>
      <c r="DL1" t="s">
        <v>6</v>
      </c>
      <c r="DM1">
        <v>0</v>
      </c>
      <c r="DN1" t="s">
        <v>6</v>
      </c>
      <c r="DO1">
        <v>0</v>
      </c>
    </row>
    <row r="2" spans="1:119" x14ac:dyDescent="0.2">
      <c r="A2">
        <f>ROW(Source!A233)</f>
        <v>233</v>
      </c>
      <c r="B2">
        <v>74852007</v>
      </c>
      <c r="C2">
        <v>74852466</v>
      </c>
      <c r="D2">
        <v>72527995</v>
      </c>
      <c r="E2">
        <v>114</v>
      </c>
      <c r="F2">
        <v>1</v>
      </c>
      <c r="G2">
        <v>1</v>
      </c>
      <c r="H2">
        <v>1</v>
      </c>
      <c r="I2" t="s">
        <v>384</v>
      </c>
      <c r="J2" t="s">
        <v>6</v>
      </c>
      <c r="K2" t="s">
        <v>385</v>
      </c>
      <c r="L2">
        <v>1191</v>
      </c>
      <c r="N2">
        <v>1013</v>
      </c>
      <c r="O2" t="s">
        <v>383</v>
      </c>
      <c r="P2" t="s">
        <v>383</v>
      </c>
      <c r="Q2">
        <v>1</v>
      </c>
      <c r="W2">
        <v>0</v>
      </c>
      <c r="X2">
        <v>-1417349443</v>
      </c>
      <c r="Y2">
        <f t="shared" si="0"/>
        <v>0.13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6</v>
      </c>
      <c r="AT2">
        <v>0.13</v>
      </c>
      <c r="AU2" t="s">
        <v>6</v>
      </c>
      <c r="AV2">
        <v>2</v>
      </c>
      <c r="AW2">
        <v>2</v>
      </c>
      <c r="AX2">
        <v>74852828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ROUND(Y2*Source!I233,7)</f>
        <v>4.1860000000000001E-2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6</v>
      </c>
      <c r="DE2" t="s">
        <v>6</v>
      </c>
      <c r="DF2">
        <f t="shared" si="3"/>
        <v>0</v>
      </c>
      <c r="DG2">
        <f>ROUND(ROUND(AF2,2)*CX2,2)</f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6</v>
      </c>
      <c r="DM2">
        <v>0</v>
      </c>
      <c r="DN2" t="s">
        <v>6</v>
      </c>
      <c r="DO2">
        <v>0</v>
      </c>
    </row>
    <row r="3" spans="1:119" x14ac:dyDescent="0.2">
      <c r="A3">
        <f>ROW(Source!A233)</f>
        <v>233</v>
      </c>
      <c r="B3">
        <v>74852007</v>
      </c>
      <c r="C3">
        <v>74852466</v>
      </c>
      <c r="D3">
        <v>72652626</v>
      </c>
      <c r="E3">
        <v>1</v>
      </c>
      <c r="F3">
        <v>1</v>
      </c>
      <c r="G3">
        <v>1</v>
      </c>
      <c r="H3">
        <v>2</v>
      </c>
      <c r="I3" t="s">
        <v>386</v>
      </c>
      <c r="J3" t="s">
        <v>387</v>
      </c>
      <c r="K3" t="s">
        <v>388</v>
      </c>
      <c r="L3">
        <v>1368</v>
      </c>
      <c r="N3">
        <v>1011</v>
      </c>
      <c r="O3" t="s">
        <v>389</v>
      </c>
      <c r="P3" t="s">
        <v>389</v>
      </c>
      <c r="Q3">
        <v>1</v>
      </c>
      <c r="W3">
        <v>0</v>
      </c>
      <c r="X3">
        <v>-92307625</v>
      </c>
      <c r="Y3">
        <f t="shared" si="0"/>
        <v>0.13</v>
      </c>
      <c r="AA3">
        <v>0</v>
      </c>
      <c r="AB3">
        <v>55.23</v>
      </c>
      <c r="AC3">
        <v>297.43</v>
      </c>
      <c r="AD3">
        <v>0</v>
      </c>
      <c r="AE3">
        <v>0</v>
      </c>
      <c r="AF3">
        <v>37.32</v>
      </c>
      <c r="AG3">
        <v>297.43</v>
      </c>
      <c r="AH3">
        <v>0</v>
      </c>
      <c r="AI3">
        <v>1</v>
      </c>
      <c r="AJ3">
        <v>1.48</v>
      </c>
      <c r="AK3">
        <v>1</v>
      </c>
      <c r="AL3">
        <v>1</v>
      </c>
      <c r="AM3">
        <v>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6</v>
      </c>
      <c r="AT3">
        <v>0.13</v>
      </c>
      <c r="AU3" t="s">
        <v>6</v>
      </c>
      <c r="AV3">
        <v>1</v>
      </c>
      <c r="AW3">
        <v>2</v>
      </c>
      <c r="AX3">
        <v>74852829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4.8516000000000004</v>
      </c>
      <c r="BL3">
        <v>38.665900000000001</v>
      </c>
      <c r="BM3">
        <v>0</v>
      </c>
      <c r="BN3">
        <v>0</v>
      </c>
      <c r="BO3">
        <v>0.13</v>
      </c>
      <c r="BP3">
        <v>1</v>
      </c>
      <c r="BQ3">
        <v>0</v>
      </c>
      <c r="BR3">
        <v>4.8516000000000004</v>
      </c>
      <c r="BS3">
        <v>38.665900000000001</v>
      </c>
      <c r="BT3">
        <v>0</v>
      </c>
      <c r="BU3">
        <v>0</v>
      </c>
      <c r="BV3">
        <v>0.13</v>
      </c>
      <c r="BW3">
        <v>1</v>
      </c>
      <c r="CV3">
        <v>0</v>
      </c>
      <c r="CW3">
        <f>ROUND(Y3*Source!I233*DO3,7)</f>
        <v>4.1860000000000001E-2</v>
      </c>
      <c r="CX3">
        <f>ROUND(Y3*Source!I233,7)</f>
        <v>4.1860000000000001E-2</v>
      </c>
      <c r="CY3">
        <f>AB3</f>
        <v>55.23</v>
      </c>
      <c r="CZ3">
        <f>AF3</f>
        <v>37.32</v>
      </c>
      <c r="DA3">
        <f>AJ3</f>
        <v>1.48</v>
      </c>
      <c r="DB3">
        <f t="shared" si="1"/>
        <v>4.8499999999999996</v>
      </c>
      <c r="DC3">
        <f t="shared" si="2"/>
        <v>38.67</v>
      </c>
      <c r="DD3" t="s">
        <v>6</v>
      </c>
      <c r="DE3" t="s">
        <v>6</v>
      </c>
      <c r="DF3">
        <f t="shared" si="3"/>
        <v>0</v>
      </c>
      <c r="DG3">
        <f>ROUND(ROUND(AF3*AJ3,2)*CX3,2)</f>
        <v>2.31</v>
      </c>
      <c r="DH3">
        <f t="shared" si="4"/>
        <v>12.45</v>
      </c>
      <c r="DI3">
        <f t="shared" si="5"/>
        <v>0</v>
      </c>
      <c r="DJ3">
        <f>DG3+DH3</f>
        <v>14.76</v>
      </c>
      <c r="DK3">
        <v>0</v>
      </c>
      <c r="DL3" t="s">
        <v>390</v>
      </c>
      <c r="DM3">
        <v>3</v>
      </c>
      <c r="DN3" t="s">
        <v>383</v>
      </c>
      <c r="DO3">
        <v>1</v>
      </c>
    </row>
    <row r="4" spans="1:119" x14ac:dyDescent="0.2">
      <c r="A4">
        <f>ROW(Source!A234)</f>
        <v>234</v>
      </c>
      <c r="B4">
        <v>74852007</v>
      </c>
      <c r="C4">
        <v>74852474</v>
      </c>
      <c r="D4">
        <v>72527800</v>
      </c>
      <c r="E4">
        <v>114</v>
      </c>
      <c r="F4">
        <v>1</v>
      </c>
      <c r="G4">
        <v>1</v>
      </c>
      <c r="H4">
        <v>1</v>
      </c>
      <c r="I4" t="s">
        <v>391</v>
      </c>
      <c r="J4" t="s">
        <v>6</v>
      </c>
      <c r="K4" t="s">
        <v>392</v>
      </c>
      <c r="L4">
        <v>1191</v>
      </c>
      <c r="N4">
        <v>1013</v>
      </c>
      <c r="O4" t="s">
        <v>383</v>
      </c>
      <c r="P4" t="s">
        <v>383</v>
      </c>
      <c r="Q4">
        <v>1</v>
      </c>
      <c r="W4">
        <v>0</v>
      </c>
      <c r="X4">
        <v>-1833565283</v>
      </c>
      <c r="Y4">
        <f t="shared" si="0"/>
        <v>69.87</v>
      </c>
      <c r="AA4">
        <v>0</v>
      </c>
      <c r="AB4">
        <v>0</v>
      </c>
      <c r="AC4">
        <v>0</v>
      </c>
      <c r="AD4">
        <v>297.43</v>
      </c>
      <c r="AE4">
        <v>0</v>
      </c>
      <c r="AF4">
        <v>0</v>
      </c>
      <c r="AG4">
        <v>0</v>
      </c>
      <c r="AH4">
        <v>297.43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6</v>
      </c>
      <c r="AT4">
        <v>69.87</v>
      </c>
      <c r="AU4" t="s">
        <v>6</v>
      </c>
      <c r="AV4">
        <v>1</v>
      </c>
      <c r="AW4">
        <v>2</v>
      </c>
      <c r="AX4">
        <v>74853068</v>
      </c>
      <c r="AY4">
        <v>1</v>
      </c>
      <c r="AZ4">
        <v>0</v>
      </c>
      <c r="BA4">
        <v>5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20781.434100000002</v>
      </c>
      <c r="BN4">
        <v>69.87</v>
      </c>
      <c r="BO4">
        <v>0</v>
      </c>
      <c r="BP4">
        <v>1</v>
      </c>
      <c r="BQ4">
        <v>0</v>
      </c>
      <c r="BR4">
        <v>0</v>
      </c>
      <c r="BS4">
        <v>0</v>
      </c>
      <c r="BT4">
        <v>20781.434100000002</v>
      </c>
      <c r="BU4">
        <v>69.87</v>
      </c>
      <c r="BV4">
        <v>0</v>
      </c>
      <c r="BW4">
        <v>1</v>
      </c>
      <c r="CU4">
        <f>ROUND(AT4*Source!I234*AH4*AL4,2)</f>
        <v>6712.4</v>
      </c>
      <c r="CV4">
        <f>ROUND(Y4*Source!I234,7)</f>
        <v>22.568010000000001</v>
      </c>
      <c r="CW4">
        <v>0</v>
      </c>
      <c r="CX4">
        <f>ROUND(Y4*Source!I234,7)</f>
        <v>22.568010000000001</v>
      </c>
      <c r="CY4">
        <f>AD4</f>
        <v>297.43</v>
      </c>
      <c r="CZ4">
        <f>AH4</f>
        <v>297.43</v>
      </c>
      <c r="DA4">
        <f>AL4</f>
        <v>1</v>
      </c>
      <c r="DB4">
        <f t="shared" si="1"/>
        <v>20781.43</v>
      </c>
      <c r="DC4">
        <f t="shared" si="2"/>
        <v>0</v>
      </c>
      <c r="DD4" t="s">
        <v>6</v>
      </c>
      <c r="DE4" t="s">
        <v>6</v>
      </c>
      <c r="DF4">
        <f t="shared" si="3"/>
        <v>0</v>
      </c>
      <c r="DG4">
        <f>ROUND(ROUND(AF4,2)*CX4,2)</f>
        <v>0</v>
      </c>
      <c r="DH4">
        <f t="shared" si="4"/>
        <v>0</v>
      </c>
      <c r="DI4">
        <f t="shared" si="5"/>
        <v>6712.4</v>
      </c>
      <c r="DJ4">
        <f>DI4</f>
        <v>6712.4</v>
      </c>
      <c r="DK4">
        <v>1</v>
      </c>
      <c r="DL4" t="s">
        <v>6</v>
      </c>
      <c r="DM4">
        <v>0</v>
      </c>
      <c r="DN4" t="s">
        <v>6</v>
      </c>
      <c r="DO4">
        <v>0</v>
      </c>
    </row>
    <row r="5" spans="1:119" x14ac:dyDescent="0.2">
      <c r="A5">
        <f>ROW(Source!A234)</f>
        <v>234</v>
      </c>
      <c r="B5">
        <v>74852007</v>
      </c>
      <c r="C5">
        <v>74852474</v>
      </c>
      <c r="D5">
        <v>72527995</v>
      </c>
      <c r="E5">
        <v>114</v>
      </c>
      <c r="F5">
        <v>1</v>
      </c>
      <c r="G5">
        <v>1</v>
      </c>
      <c r="H5">
        <v>1</v>
      </c>
      <c r="I5" t="s">
        <v>384</v>
      </c>
      <c r="J5" t="s">
        <v>6</v>
      </c>
      <c r="K5" t="s">
        <v>385</v>
      </c>
      <c r="L5">
        <v>1191</v>
      </c>
      <c r="N5">
        <v>1013</v>
      </c>
      <c r="O5" t="s">
        <v>383</v>
      </c>
      <c r="P5" t="s">
        <v>383</v>
      </c>
      <c r="Q5">
        <v>1</v>
      </c>
      <c r="W5">
        <v>0</v>
      </c>
      <c r="X5">
        <v>-1417349443</v>
      </c>
      <c r="Y5">
        <f t="shared" si="0"/>
        <v>1.44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6</v>
      </c>
      <c r="AT5">
        <v>1.44</v>
      </c>
      <c r="AU5" t="s">
        <v>6</v>
      </c>
      <c r="AV5">
        <v>2</v>
      </c>
      <c r="AW5">
        <v>2</v>
      </c>
      <c r="AX5">
        <v>74853069</v>
      </c>
      <c r="AY5">
        <v>1</v>
      </c>
      <c r="AZ5">
        <v>0</v>
      </c>
      <c r="BA5">
        <v>6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ROUND(Y5*Source!I234,7)</f>
        <v>0.46511999999999998</v>
      </c>
      <c r="CY5">
        <f>AD5</f>
        <v>0</v>
      </c>
      <c r="CZ5">
        <f>AH5</f>
        <v>0</v>
      </c>
      <c r="DA5">
        <f>AL5</f>
        <v>1</v>
      </c>
      <c r="DB5">
        <f t="shared" si="1"/>
        <v>0</v>
      </c>
      <c r="DC5">
        <f t="shared" si="2"/>
        <v>0</v>
      </c>
      <c r="DD5" t="s">
        <v>6</v>
      </c>
      <c r="DE5" t="s">
        <v>6</v>
      </c>
      <c r="DF5">
        <f t="shared" si="3"/>
        <v>0</v>
      </c>
      <c r="DG5">
        <f>ROUND(ROUND(AF5,2)*CX5,2)</f>
        <v>0</v>
      </c>
      <c r="DH5">
        <f t="shared" si="4"/>
        <v>0</v>
      </c>
      <c r="DI5">
        <f t="shared" si="5"/>
        <v>0</v>
      </c>
      <c r="DJ5">
        <f>DI5</f>
        <v>0</v>
      </c>
      <c r="DK5">
        <v>0</v>
      </c>
      <c r="DL5" t="s">
        <v>6</v>
      </c>
      <c r="DM5">
        <v>0</v>
      </c>
      <c r="DN5" t="s">
        <v>6</v>
      </c>
      <c r="DO5">
        <v>0</v>
      </c>
    </row>
    <row r="6" spans="1:119" x14ac:dyDescent="0.2">
      <c r="A6">
        <f>ROW(Source!A234)</f>
        <v>234</v>
      </c>
      <c r="B6">
        <v>74852007</v>
      </c>
      <c r="C6">
        <v>74852474</v>
      </c>
      <c r="D6">
        <v>72652626</v>
      </c>
      <c r="E6">
        <v>1</v>
      </c>
      <c r="F6">
        <v>1</v>
      </c>
      <c r="G6">
        <v>1</v>
      </c>
      <c r="H6">
        <v>2</v>
      </c>
      <c r="I6" t="s">
        <v>386</v>
      </c>
      <c r="J6" t="s">
        <v>387</v>
      </c>
      <c r="K6" t="s">
        <v>388</v>
      </c>
      <c r="L6">
        <v>1368</v>
      </c>
      <c r="N6">
        <v>1011</v>
      </c>
      <c r="O6" t="s">
        <v>389</v>
      </c>
      <c r="P6" t="s">
        <v>389</v>
      </c>
      <c r="Q6">
        <v>1</v>
      </c>
      <c r="W6">
        <v>0</v>
      </c>
      <c r="X6">
        <v>-92307625</v>
      </c>
      <c r="Y6">
        <f t="shared" si="0"/>
        <v>1.44</v>
      </c>
      <c r="AA6">
        <v>0</v>
      </c>
      <c r="AB6">
        <v>55.23</v>
      </c>
      <c r="AC6">
        <v>297.43</v>
      </c>
      <c r="AD6">
        <v>0</v>
      </c>
      <c r="AE6">
        <v>0</v>
      </c>
      <c r="AF6">
        <v>37.32</v>
      </c>
      <c r="AG6">
        <v>297.43</v>
      </c>
      <c r="AH6">
        <v>0</v>
      </c>
      <c r="AI6">
        <v>1</v>
      </c>
      <c r="AJ6">
        <v>1.48</v>
      </c>
      <c r="AK6">
        <v>1</v>
      </c>
      <c r="AL6">
        <v>1</v>
      </c>
      <c r="AM6">
        <v>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6</v>
      </c>
      <c r="AT6">
        <v>1.44</v>
      </c>
      <c r="AU6" t="s">
        <v>6</v>
      </c>
      <c r="AV6">
        <v>1</v>
      </c>
      <c r="AW6">
        <v>2</v>
      </c>
      <c r="AX6">
        <v>74853070</v>
      </c>
      <c r="AY6">
        <v>1</v>
      </c>
      <c r="AZ6">
        <v>0</v>
      </c>
      <c r="BA6">
        <v>7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53.7408</v>
      </c>
      <c r="BL6">
        <v>428.29919999999998</v>
      </c>
      <c r="BM6">
        <v>0</v>
      </c>
      <c r="BN6">
        <v>0</v>
      </c>
      <c r="BO6">
        <v>1.44</v>
      </c>
      <c r="BP6">
        <v>1</v>
      </c>
      <c r="BQ6">
        <v>0</v>
      </c>
      <c r="BR6">
        <v>53.7408</v>
      </c>
      <c r="BS6">
        <v>428.29919999999998</v>
      </c>
      <c r="BT6">
        <v>0</v>
      </c>
      <c r="BU6">
        <v>0</v>
      </c>
      <c r="BV6">
        <v>1.44</v>
      </c>
      <c r="BW6">
        <v>1</v>
      </c>
      <c r="CV6">
        <v>0</v>
      </c>
      <c r="CW6">
        <f>ROUND(Y6*Source!I234*DO6,7)</f>
        <v>0.46511999999999998</v>
      </c>
      <c r="CX6">
        <f>ROUND(Y6*Source!I234,7)</f>
        <v>0.46511999999999998</v>
      </c>
      <c r="CY6">
        <f>AB6</f>
        <v>55.23</v>
      </c>
      <c r="CZ6">
        <f>AF6</f>
        <v>37.32</v>
      </c>
      <c r="DA6">
        <f>AJ6</f>
        <v>1.48</v>
      </c>
      <c r="DB6">
        <f t="shared" si="1"/>
        <v>53.74</v>
      </c>
      <c r="DC6">
        <f t="shared" si="2"/>
        <v>428.3</v>
      </c>
      <c r="DD6" t="s">
        <v>6</v>
      </c>
      <c r="DE6" t="s">
        <v>6</v>
      </c>
      <c r="DF6">
        <f t="shared" si="3"/>
        <v>0</v>
      </c>
      <c r="DG6">
        <f>ROUND(ROUND(AF6*AJ6,2)*CX6,2)</f>
        <v>25.69</v>
      </c>
      <c r="DH6">
        <f t="shared" si="4"/>
        <v>138.34</v>
      </c>
      <c r="DI6">
        <f t="shared" si="5"/>
        <v>0</v>
      </c>
      <c r="DJ6">
        <f>DG6+DH6</f>
        <v>164.03</v>
      </c>
      <c r="DK6">
        <v>0</v>
      </c>
      <c r="DL6" t="s">
        <v>390</v>
      </c>
      <c r="DM6">
        <v>3</v>
      </c>
      <c r="DN6" t="s">
        <v>383</v>
      </c>
      <c r="DO6">
        <v>1</v>
      </c>
    </row>
    <row r="7" spans="1:119" x14ac:dyDescent="0.2">
      <c r="A7">
        <f>ROW(Source!A235)</f>
        <v>235</v>
      </c>
      <c r="B7">
        <v>74852007</v>
      </c>
      <c r="C7">
        <v>74852483</v>
      </c>
      <c r="D7">
        <v>72527768</v>
      </c>
      <c r="E7">
        <v>114</v>
      </c>
      <c r="F7">
        <v>1</v>
      </c>
      <c r="G7">
        <v>1</v>
      </c>
      <c r="H7">
        <v>1</v>
      </c>
      <c r="I7" t="s">
        <v>393</v>
      </c>
      <c r="J7" t="s">
        <v>6</v>
      </c>
      <c r="K7" t="s">
        <v>394</v>
      </c>
      <c r="L7">
        <v>1191</v>
      </c>
      <c r="N7">
        <v>1013</v>
      </c>
      <c r="O7" t="s">
        <v>383</v>
      </c>
      <c r="P7" t="s">
        <v>383</v>
      </c>
      <c r="Q7">
        <v>1</v>
      </c>
      <c r="W7">
        <v>0</v>
      </c>
      <c r="X7">
        <v>1048598872</v>
      </c>
      <c r="Y7">
        <f t="shared" si="0"/>
        <v>14.23</v>
      </c>
      <c r="AA7">
        <v>0</v>
      </c>
      <c r="AB7">
        <v>0</v>
      </c>
      <c r="AC7">
        <v>0</v>
      </c>
      <c r="AD7">
        <v>277.43</v>
      </c>
      <c r="AE7">
        <v>0</v>
      </c>
      <c r="AF7">
        <v>0</v>
      </c>
      <c r="AG7">
        <v>0</v>
      </c>
      <c r="AH7">
        <v>277.43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6</v>
      </c>
      <c r="AT7">
        <v>14.23</v>
      </c>
      <c r="AU7" t="s">
        <v>6</v>
      </c>
      <c r="AV7">
        <v>1</v>
      </c>
      <c r="AW7">
        <v>2</v>
      </c>
      <c r="AX7">
        <v>74852837</v>
      </c>
      <c r="AY7">
        <v>1</v>
      </c>
      <c r="AZ7">
        <v>0</v>
      </c>
      <c r="BA7">
        <v>9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3947.8289000000004</v>
      </c>
      <c r="BN7">
        <v>14.23</v>
      </c>
      <c r="BO7">
        <v>0</v>
      </c>
      <c r="BP7">
        <v>1</v>
      </c>
      <c r="BQ7">
        <v>0</v>
      </c>
      <c r="BR7">
        <v>0</v>
      </c>
      <c r="BS7">
        <v>0</v>
      </c>
      <c r="BT7">
        <v>3947.8289000000004</v>
      </c>
      <c r="BU7">
        <v>14.23</v>
      </c>
      <c r="BV7">
        <v>0</v>
      </c>
      <c r="BW7">
        <v>1</v>
      </c>
      <c r="CU7">
        <f>ROUND(AT7*Source!I235*AH7*AL7,2)</f>
        <v>1271.2</v>
      </c>
      <c r="CV7">
        <f>ROUND(Y7*Source!I235,7)</f>
        <v>4.5820600000000002</v>
      </c>
      <c r="CW7">
        <v>0</v>
      </c>
      <c r="CX7">
        <f>ROUND(Y7*Source!I235,7)</f>
        <v>4.5820600000000002</v>
      </c>
      <c r="CY7">
        <f>AD7</f>
        <v>277.43</v>
      </c>
      <c r="CZ7">
        <f>AH7</f>
        <v>277.43</v>
      </c>
      <c r="DA7">
        <f>AL7</f>
        <v>1</v>
      </c>
      <c r="DB7">
        <f t="shared" si="1"/>
        <v>3947.83</v>
      </c>
      <c r="DC7">
        <f t="shared" si="2"/>
        <v>0</v>
      </c>
      <c r="DD7" t="s">
        <v>6</v>
      </c>
      <c r="DE7" t="s">
        <v>6</v>
      </c>
      <c r="DF7">
        <f t="shared" si="3"/>
        <v>0</v>
      </c>
      <c r="DG7">
        <f>ROUND(ROUND(AF7,2)*CX7,2)</f>
        <v>0</v>
      </c>
      <c r="DH7">
        <f t="shared" si="4"/>
        <v>0</v>
      </c>
      <c r="DI7">
        <f t="shared" si="5"/>
        <v>1271.2</v>
      </c>
      <c r="DJ7">
        <f>DI7</f>
        <v>1271.2</v>
      </c>
      <c r="DK7">
        <v>1</v>
      </c>
      <c r="DL7" t="s">
        <v>6</v>
      </c>
      <c r="DM7">
        <v>0</v>
      </c>
      <c r="DN7" t="s">
        <v>6</v>
      </c>
      <c r="DO7">
        <v>0</v>
      </c>
    </row>
    <row r="8" spans="1:119" x14ac:dyDescent="0.2">
      <c r="A8">
        <f>ROW(Source!A235)</f>
        <v>235</v>
      </c>
      <c r="B8">
        <v>74852007</v>
      </c>
      <c r="C8">
        <v>74852483</v>
      </c>
      <c r="D8">
        <v>72653546</v>
      </c>
      <c r="E8">
        <v>1</v>
      </c>
      <c r="F8">
        <v>1</v>
      </c>
      <c r="G8">
        <v>1</v>
      </c>
      <c r="H8">
        <v>2</v>
      </c>
      <c r="I8" t="s">
        <v>395</v>
      </c>
      <c r="J8" t="s">
        <v>396</v>
      </c>
      <c r="K8" t="s">
        <v>397</v>
      </c>
      <c r="L8">
        <v>1368</v>
      </c>
      <c r="N8">
        <v>1011</v>
      </c>
      <c r="O8" t="s">
        <v>389</v>
      </c>
      <c r="P8" t="s">
        <v>389</v>
      </c>
      <c r="Q8">
        <v>1</v>
      </c>
      <c r="W8">
        <v>0</v>
      </c>
      <c r="X8">
        <v>-266334253</v>
      </c>
      <c r="Y8">
        <f t="shared" si="0"/>
        <v>8</v>
      </c>
      <c r="AA8">
        <v>0</v>
      </c>
      <c r="AB8">
        <v>175.45</v>
      </c>
      <c r="AC8">
        <v>0</v>
      </c>
      <c r="AD8">
        <v>0</v>
      </c>
      <c r="AE8">
        <v>0</v>
      </c>
      <c r="AF8">
        <v>115.43</v>
      </c>
      <c r="AG8">
        <v>0</v>
      </c>
      <c r="AH8">
        <v>0</v>
      </c>
      <c r="AI8">
        <v>1</v>
      </c>
      <c r="AJ8">
        <v>1.52</v>
      </c>
      <c r="AK8">
        <v>1</v>
      </c>
      <c r="AL8">
        <v>1</v>
      </c>
      <c r="AM8">
        <v>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6</v>
      </c>
      <c r="AT8">
        <v>8</v>
      </c>
      <c r="AU8" t="s">
        <v>6</v>
      </c>
      <c r="AV8">
        <v>1</v>
      </c>
      <c r="AW8">
        <v>2</v>
      </c>
      <c r="AX8">
        <v>74852838</v>
      </c>
      <c r="AY8">
        <v>1</v>
      </c>
      <c r="AZ8">
        <v>0</v>
      </c>
      <c r="BA8">
        <v>10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923.44</v>
      </c>
      <c r="BL8">
        <v>0</v>
      </c>
      <c r="BM8">
        <v>0</v>
      </c>
      <c r="BN8">
        <v>0</v>
      </c>
      <c r="BO8">
        <v>0</v>
      </c>
      <c r="BP8">
        <v>1</v>
      </c>
      <c r="BQ8">
        <v>0</v>
      </c>
      <c r="BR8">
        <v>923.44</v>
      </c>
      <c r="BS8">
        <v>0</v>
      </c>
      <c r="BT8">
        <v>0</v>
      </c>
      <c r="BU8">
        <v>0</v>
      </c>
      <c r="BV8">
        <v>0</v>
      </c>
      <c r="BW8">
        <v>1</v>
      </c>
      <c r="CV8">
        <v>0</v>
      </c>
      <c r="CW8">
        <f>ROUND(Y8*Source!I235*DO8,7)</f>
        <v>0</v>
      </c>
      <c r="CX8">
        <f>ROUND(Y8*Source!I235,7)</f>
        <v>2.5760000000000001</v>
      </c>
      <c r="CY8">
        <f>AB8</f>
        <v>175.45</v>
      </c>
      <c r="CZ8">
        <f>AF8</f>
        <v>115.43</v>
      </c>
      <c r="DA8">
        <f>AJ8</f>
        <v>1.52</v>
      </c>
      <c r="DB8">
        <f t="shared" si="1"/>
        <v>923.44</v>
      </c>
      <c r="DC8">
        <f t="shared" si="2"/>
        <v>0</v>
      </c>
      <c r="DD8" t="s">
        <v>6</v>
      </c>
      <c r="DE8" t="s">
        <v>6</v>
      </c>
      <c r="DF8">
        <f t="shared" si="3"/>
        <v>0</v>
      </c>
      <c r="DG8">
        <f>ROUND(ROUND(AF8*AJ8,2)*CX8,2)</f>
        <v>451.96</v>
      </c>
      <c r="DH8">
        <f t="shared" si="4"/>
        <v>0</v>
      </c>
      <c r="DI8">
        <f t="shared" si="5"/>
        <v>0</v>
      </c>
      <c r="DJ8">
        <f>DG8+DH8</f>
        <v>451.96</v>
      </c>
      <c r="DK8">
        <v>0</v>
      </c>
      <c r="DL8" t="s">
        <v>6</v>
      </c>
      <c r="DM8">
        <v>0</v>
      </c>
      <c r="DN8" t="s">
        <v>6</v>
      </c>
      <c r="DO8">
        <v>0</v>
      </c>
    </row>
    <row r="9" spans="1:119" x14ac:dyDescent="0.2">
      <c r="A9">
        <f>ROW(Source!A235)</f>
        <v>235</v>
      </c>
      <c r="B9">
        <v>74852007</v>
      </c>
      <c r="C9">
        <v>74852483</v>
      </c>
      <c r="D9">
        <v>72653934</v>
      </c>
      <c r="E9">
        <v>1</v>
      </c>
      <c r="F9">
        <v>1</v>
      </c>
      <c r="G9">
        <v>1</v>
      </c>
      <c r="H9">
        <v>2</v>
      </c>
      <c r="I9" t="s">
        <v>398</v>
      </c>
      <c r="J9" t="s">
        <v>399</v>
      </c>
      <c r="K9" t="s">
        <v>400</v>
      </c>
      <c r="L9">
        <v>1368</v>
      </c>
      <c r="N9">
        <v>1011</v>
      </c>
      <c r="O9" t="s">
        <v>389</v>
      </c>
      <c r="P9" t="s">
        <v>389</v>
      </c>
      <c r="Q9">
        <v>1</v>
      </c>
      <c r="W9">
        <v>0</v>
      </c>
      <c r="X9">
        <v>-591012544</v>
      </c>
      <c r="Y9">
        <f t="shared" si="0"/>
        <v>8</v>
      </c>
      <c r="AA9">
        <v>0</v>
      </c>
      <c r="AB9">
        <v>2.92</v>
      </c>
      <c r="AC9">
        <v>0</v>
      </c>
      <c r="AD9">
        <v>0</v>
      </c>
      <c r="AE9">
        <v>0</v>
      </c>
      <c r="AF9">
        <v>2.92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6</v>
      </c>
      <c r="AT9">
        <v>8</v>
      </c>
      <c r="AU9" t="s">
        <v>6</v>
      </c>
      <c r="AV9">
        <v>1</v>
      </c>
      <c r="AW9">
        <v>2</v>
      </c>
      <c r="AX9">
        <v>74852839</v>
      </c>
      <c r="AY9">
        <v>1</v>
      </c>
      <c r="AZ9">
        <v>0</v>
      </c>
      <c r="BA9">
        <v>11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23.36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23.36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f>ROUND(Y9*Source!I235*DO9,7)</f>
        <v>0</v>
      </c>
      <c r="CX9">
        <f>ROUND(Y9*Source!I235,7)</f>
        <v>2.5760000000000001</v>
      </c>
      <c r="CY9">
        <f>AB9</f>
        <v>2.92</v>
      </c>
      <c r="CZ9">
        <f>AF9</f>
        <v>2.92</v>
      </c>
      <c r="DA9">
        <f>AJ9</f>
        <v>1</v>
      </c>
      <c r="DB9">
        <f t="shared" si="1"/>
        <v>23.36</v>
      </c>
      <c r="DC9">
        <f t="shared" si="2"/>
        <v>0</v>
      </c>
      <c r="DD9" t="s">
        <v>6</v>
      </c>
      <c r="DE9" t="s">
        <v>6</v>
      </c>
      <c r="DF9">
        <f t="shared" si="3"/>
        <v>0</v>
      </c>
      <c r="DG9">
        <f>ROUND(ROUND(AF9,2)*CX9,2)</f>
        <v>7.52</v>
      </c>
      <c r="DH9">
        <f t="shared" si="4"/>
        <v>0</v>
      </c>
      <c r="DI9">
        <f t="shared" si="5"/>
        <v>0</v>
      </c>
      <c r="DJ9">
        <f>DG9+DH9</f>
        <v>7.52</v>
      </c>
      <c r="DK9">
        <v>1</v>
      </c>
      <c r="DL9" t="s">
        <v>6</v>
      </c>
      <c r="DM9">
        <v>0</v>
      </c>
      <c r="DN9" t="s">
        <v>6</v>
      </c>
      <c r="DO9">
        <v>0</v>
      </c>
    </row>
    <row r="10" spans="1:119" x14ac:dyDescent="0.2">
      <c r="A10">
        <f>ROW(Source!A236)</f>
        <v>236</v>
      </c>
      <c r="B10">
        <v>74852007</v>
      </c>
      <c r="C10">
        <v>74852491</v>
      </c>
      <c r="D10">
        <v>72527768</v>
      </c>
      <c r="E10">
        <v>114</v>
      </c>
      <c r="F10">
        <v>1</v>
      </c>
      <c r="G10">
        <v>1</v>
      </c>
      <c r="H10">
        <v>1</v>
      </c>
      <c r="I10" t="s">
        <v>393</v>
      </c>
      <c r="J10" t="s">
        <v>6</v>
      </c>
      <c r="K10" t="s">
        <v>394</v>
      </c>
      <c r="L10">
        <v>1191</v>
      </c>
      <c r="N10">
        <v>1013</v>
      </c>
      <c r="O10" t="s">
        <v>383</v>
      </c>
      <c r="P10" t="s">
        <v>383</v>
      </c>
      <c r="Q10">
        <v>1</v>
      </c>
      <c r="W10">
        <v>0</v>
      </c>
      <c r="X10">
        <v>1048598872</v>
      </c>
      <c r="Y10">
        <f>(AT10*ROUND(2,7))</f>
        <v>7.12</v>
      </c>
      <c r="AA10">
        <v>0</v>
      </c>
      <c r="AB10">
        <v>0</v>
      </c>
      <c r="AC10">
        <v>0</v>
      </c>
      <c r="AD10">
        <v>277.43</v>
      </c>
      <c r="AE10">
        <v>0</v>
      </c>
      <c r="AF10">
        <v>0</v>
      </c>
      <c r="AG10">
        <v>0</v>
      </c>
      <c r="AH10">
        <v>277.43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6</v>
      </c>
      <c r="AT10">
        <v>3.56</v>
      </c>
      <c r="AU10" t="s">
        <v>109</v>
      </c>
      <c r="AV10">
        <v>1</v>
      </c>
      <c r="AW10">
        <v>2</v>
      </c>
      <c r="AX10">
        <v>74852841</v>
      </c>
      <c r="AY10">
        <v>1</v>
      </c>
      <c r="AZ10">
        <v>0</v>
      </c>
      <c r="BA10">
        <v>13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987.6508</v>
      </c>
      <c r="BN10">
        <v>3.56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1975.3016</v>
      </c>
      <c r="BU10">
        <v>7.12</v>
      </c>
      <c r="BV10">
        <v>0</v>
      </c>
      <c r="BW10">
        <v>1</v>
      </c>
      <c r="CU10">
        <f>ROUND(AT10*Source!I236*AH10*AL10,2)</f>
        <v>318.02</v>
      </c>
      <c r="CV10">
        <f>ROUND(Y10*Source!I236,7)</f>
        <v>2.29264</v>
      </c>
      <c r="CW10">
        <v>0</v>
      </c>
      <c r="CX10">
        <f>ROUND(Y10*Source!I236,7)</f>
        <v>2.29264</v>
      </c>
      <c r="CY10">
        <f>AD10</f>
        <v>277.43</v>
      </c>
      <c r="CZ10">
        <f>AH10</f>
        <v>277.43</v>
      </c>
      <c r="DA10">
        <f>AL10</f>
        <v>1</v>
      </c>
      <c r="DB10">
        <f>ROUND((ROUND(AT10*CZ10,2)*ROUND(2,7)),2)</f>
        <v>1975.3</v>
      </c>
      <c r="DC10">
        <f>ROUND((ROUND(AT10*AG10,2)*ROUND(2,7)),2)</f>
        <v>0</v>
      </c>
      <c r="DD10" t="s">
        <v>6</v>
      </c>
      <c r="DE10" t="s">
        <v>6</v>
      </c>
      <c r="DF10">
        <f t="shared" si="3"/>
        <v>0</v>
      </c>
      <c r="DG10">
        <f>ROUND(ROUND(AF10,2)*CX10,2)</f>
        <v>0</v>
      </c>
      <c r="DH10">
        <f t="shared" si="4"/>
        <v>0</v>
      </c>
      <c r="DI10">
        <f t="shared" si="5"/>
        <v>636.04999999999995</v>
      </c>
      <c r="DJ10">
        <f>DI10</f>
        <v>636.04999999999995</v>
      </c>
      <c r="DK10">
        <v>1</v>
      </c>
      <c r="DL10" t="s">
        <v>6</v>
      </c>
      <c r="DM10">
        <v>0</v>
      </c>
      <c r="DN10" t="s">
        <v>6</v>
      </c>
      <c r="DO10">
        <v>0</v>
      </c>
    </row>
    <row r="11" spans="1:119" x14ac:dyDescent="0.2">
      <c r="A11">
        <f>ROW(Source!A236)</f>
        <v>236</v>
      </c>
      <c r="B11">
        <v>74852007</v>
      </c>
      <c r="C11">
        <v>74852491</v>
      </c>
      <c r="D11">
        <v>72653546</v>
      </c>
      <c r="E11">
        <v>1</v>
      </c>
      <c r="F11">
        <v>1</v>
      </c>
      <c r="G11">
        <v>1</v>
      </c>
      <c r="H11">
        <v>2</v>
      </c>
      <c r="I11" t="s">
        <v>395</v>
      </c>
      <c r="J11" t="s">
        <v>396</v>
      </c>
      <c r="K11" t="s">
        <v>397</v>
      </c>
      <c r="L11">
        <v>1368</v>
      </c>
      <c r="N11">
        <v>1011</v>
      </c>
      <c r="O11" t="s">
        <v>389</v>
      </c>
      <c r="P11" t="s">
        <v>389</v>
      </c>
      <c r="Q11">
        <v>1</v>
      </c>
      <c r="W11">
        <v>0</v>
      </c>
      <c r="X11">
        <v>-266334253</v>
      </c>
      <c r="Y11">
        <f>(AT11*ROUND(2,7))</f>
        <v>4</v>
      </c>
      <c r="AA11">
        <v>0</v>
      </c>
      <c r="AB11">
        <v>175.45</v>
      </c>
      <c r="AC11">
        <v>0</v>
      </c>
      <c r="AD11">
        <v>0</v>
      </c>
      <c r="AE11">
        <v>0</v>
      </c>
      <c r="AF11">
        <v>115.43</v>
      </c>
      <c r="AG11">
        <v>0</v>
      </c>
      <c r="AH11">
        <v>0</v>
      </c>
      <c r="AI11">
        <v>1</v>
      </c>
      <c r="AJ11">
        <v>1.52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6</v>
      </c>
      <c r="AT11">
        <v>2</v>
      </c>
      <c r="AU11" t="s">
        <v>109</v>
      </c>
      <c r="AV11">
        <v>1</v>
      </c>
      <c r="AW11">
        <v>2</v>
      </c>
      <c r="AX11">
        <v>74852842</v>
      </c>
      <c r="AY11">
        <v>1</v>
      </c>
      <c r="AZ11">
        <v>0</v>
      </c>
      <c r="BA11">
        <v>14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230.86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0</v>
      </c>
      <c r="BR11">
        <v>461.72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f>ROUND(Y11*Source!I236*DO11,7)</f>
        <v>0</v>
      </c>
      <c r="CX11">
        <f>ROUND(Y11*Source!I236,7)</f>
        <v>1.288</v>
      </c>
      <c r="CY11">
        <f>AB11</f>
        <v>175.45</v>
      </c>
      <c r="CZ11">
        <f>AF11</f>
        <v>115.43</v>
      </c>
      <c r="DA11">
        <f>AJ11</f>
        <v>1.52</v>
      </c>
      <c r="DB11">
        <f>ROUND((ROUND(AT11*CZ11,2)*ROUND(2,7)),2)</f>
        <v>461.72</v>
      </c>
      <c r="DC11">
        <f>ROUND((ROUND(AT11*AG11,2)*ROUND(2,7)),2)</f>
        <v>0</v>
      </c>
      <c r="DD11" t="s">
        <v>6</v>
      </c>
      <c r="DE11" t="s">
        <v>6</v>
      </c>
      <c r="DF11">
        <f t="shared" si="3"/>
        <v>0</v>
      </c>
      <c r="DG11">
        <f>ROUND(ROUND(AF11*AJ11,2)*CX11,2)</f>
        <v>225.98</v>
      </c>
      <c r="DH11">
        <f t="shared" si="4"/>
        <v>0</v>
      </c>
      <c r="DI11">
        <f t="shared" si="5"/>
        <v>0</v>
      </c>
      <c r="DJ11">
        <f>DG11+DH11</f>
        <v>225.98</v>
      </c>
      <c r="DK11">
        <v>0</v>
      </c>
      <c r="DL11" t="s">
        <v>6</v>
      </c>
      <c r="DM11">
        <v>0</v>
      </c>
      <c r="DN11" t="s">
        <v>6</v>
      </c>
      <c r="DO11">
        <v>0</v>
      </c>
    </row>
    <row r="12" spans="1:119" x14ac:dyDescent="0.2">
      <c r="A12">
        <f>ROW(Source!A236)</f>
        <v>236</v>
      </c>
      <c r="B12">
        <v>74852007</v>
      </c>
      <c r="C12">
        <v>74852491</v>
      </c>
      <c r="D12">
        <v>72653934</v>
      </c>
      <c r="E12">
        <v>1</v>
      </c>
      <c r="F12">
        <v>1</v>
      </c>
      <c r="G12">
        <v>1</v>
      </c>
      <c r="H12">
        <v>2</v>
      </c>
      <c r="I12" t="s">
        <v>398</v>
      </c>
      <c r="J12" t="s">
        <v>399</v>
      </c>
      <c r="K12" t="s">
        <v>400</v>
      </c>
      <c r="L12">
        <v>1368</v>
      </c>
      <c r="N12">
        <v>1011</v>
      </c>
      <c r="O12" t="s">
        <v>389</v>
      </c>
      <c r="P12" t="s">
        <v>389</v>
      </c>
      <c r="Q12">
        <v>1</v>
      </c>
      <c r="W12">
        <v>0</v>
      </c>
      <c r="X12">
        <v>-591012544</v>
      </c>
      <c r="Y12">
        <f>(AT12*ROUND(2,7))</f>
        <v>4</v>
      </c>
      <c r="AA12">
        <v>0</v>
      </c>
      <c r="AB12">
        <v>2.92</v>
      </c>
      <c r="AC12">
        <v>0</v>
      </c>
      <c r="AD12">
        <v>0</v>
      </c>
      <c r="AE12">
        <v>0</v>
      </c>
      <c r="AF12">
        <v>2.92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6</v>
      </c>
      <c r="AT12">
        <v>2</v>
      </c>
      <c r="AU12" t="s">
        <v>109</v>
      </c>
      <c r="AV12">
        <v>1</v>
      </c>
      <c r="AW12">
        <v>2</v>
      </c>
      <c r="AX12">
        <v>74852843</v>
      </c>
      <c r="AY12">
        <v>1</v>
      </c>
      <c r="AZ12">
        <v>0</v>
      </c>
      <c r="BA12">
        <v>15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5.84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11.68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f>ROUND(Y12*Source!I236*DO12,7)</f>
        <v>0</v>
      </c>
      <c r="CX12">
        <f>ROUND(Y12*Source!I236,7)</f>
        <v>1.288</v>
      </c>
      <c r="CY12">
        <f>AB12</f>
        <v>2.92</v>
      </c>
      <c r="CZ12">
        <f>AF12</f>
        <v>2.92</v>
      </c>
      <c r="DA12">
        <f>AJ12</f>
        <v>1</v>
      </c>
      <c r="DB12">
        <f>ROUND((ROUND(AT12*CZ12,2)*ROUND(2,7)),2)</f>
        <v>11.68</v>
      </c>
      <c r="DC12">
        <f>ROUND((ROUND(AT12*AG12,2)*ROUND(2,7)),2)</f>
        <v>0</v>
      </c>
      <c r="DD12" t="s">
        <v>6</v>
      </c>
      <c r="DE12" t="s">
        <v>6</v>
      </c>
      <c r="DF12">
        <f t="shared" si="3"/>
        <v>0</v>
      </c>
      <c r="DG12">
        <f>ROUND(ROUND(AF12,2)*CX12,2)</f>
        <v>3.76</v>
      </c>
      <c r="DH12">
        <f t="shared" si="4"/>
        <v>0</v>
      </c>
      <c r="DI12">
        <f t="shared" si="5"/>
        <v>0</v>
      </c>
      <c r="DJ12">
        <f>DG12+DH12</f>
        <v>3.76</v>
      </c>
      <c r="DK12">
        <v>1</v>
      </c>
      <c r="DL12" t="s">
        <v>6</v>
      </c>
      <c r="DM12">
        <v>0</v>
      </c>
      <c r="DN12" t="s">
        <v>6</v>
      </c>
      <c r="DO12">
        <v>0</v>
      </c>
    </row>
    <row r="13" spans="1:119" x14ac:dyDescent="0.2">
      <c r="A13">
        <f>ROW(Source!A237)</f>
        <v>237</v>
      </c>
      <c r="B13">
        <v>74852007</v>
      </c>
      <c r="C13">
        <v>74852499</v>
      </c>
      <c r="D13">
        <v>72527768</v>
      </c>
      <c r="E13">
        <v>114</v>
      </c>
      <c r="F13">
        <v>1</v>
      </c>
      <c r="G13">
        <v>1</v>
      </c>
      <c r="H13">
        <v>1</v>
      </c>
      <c r="I13" t="s">
        <v>393</v>
      </c>
      <c r="J13" t="s">
        <v>6</v>
      </c>
      <c r="K13" t="s">
        <v>394</v>
      </c>
      <c r="L13">
        <v>1191</v>
      </c>
      <c r="N13">
        <v>1013</v>
      </c>
      <c r="O13" t="s">
        <v>383</v>
      </c>
      <c r="P13" t="s">
        <v>383</v>
      </c>
      <c r="Q13">
        <v>1</v>
      </c>
      <c r="W13">
        <v>0</v>
      </c>
      <c r="X13">
        <v>1048598872</v>
      </c>
      <c r="Y13">
        <f>(AT13*ROUND(1.15,7))</f>
        <v>40.94</v>
      </c>
      <c r="AA13">
        <v>0</v>
      </c>
      <c r="AB13">
        <v>0</v>
      </c>
      <c r="AC13">
        <v>0</v>
      </c>
      <c r="AD13">
        <v>277.43</v>
      </c>
      <c r="AE13">
        <v>0</v>
      </c>
      <c r="AF13">
        <v>0</v>
      </c>
      <c r="AG13">
        <v>0</v>
      </c>
      <c r="AH13">
        <v>277.43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6</v>
      </c>
      <c r="AT13">
        <v>35.6</v>
      </c>
      <c r="AU13" t="s">
        <v>117</v>
      </c>
      <c r="AV13">
        <v>1</v>
      </c>
      <c r="AW13">
        <v>2</v>
      </c>
      <c r="AX13">
        <v>74853073</v>
      </c>
      <c r="AY13">
        <v>1</v>
      </c>
      <c r="AZ13">
        <v>0</v>
      </c>
      <c r="BA13">
        <v>17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9876.5079999999998</v>
      </c>
      <c r="BN13">
        <v>35.6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11357.984199999999</v>
      </c>
      <c r="BU13">
        <v>40.94</v>
      </c>
      <c r="BV13">
        <v>0</v>
      </c>
      <c r="BW13">
        <v>1</v>
      </c>
      <c r="CU13">
        <f>ROUND(AT13*Source!I237*AH13*AL13,2)</f>
        <v>3180.24</v>
      </c>
      <c r="CV13">
        <f>ROUND(Y13*Source!I237,7)</f>
        <v>13.18268</v>
      </c>
      <c r="CW13">
        <v>0</v>
      </c>
      <c r="CX13">
        <f>ROUND(Y13*Source!I237,7)</f>
        <v>13.18268</v>
      </c>
      <c r="CY13">
        <f>AD13</f>
        <v>277.43</v>
      </c>
      <c r="CZ13">
        <f>AH13</f>
        <v>277.43</v>
      </c>
      <c r="DA13">
        <f>AL13</f>
        <v>1</v>
      </c>
      <c r="DB13">
        <f>ROUND((ROUND(AT13*CZ13,2)*ROUND(1.15,7)),2)</f>
        <v>11357.99</v>
      </c>
      <c r="DC13">
        <f>ROUND((ROUND(AT13*AG13,2)*ROUND(1.15,7)),2)</f>
        <v>0</v>
      </c>
      <c r="DD13" t="s">
        <v>6</v>
      </c>
      <c r="DE13" t="s">
        <v>6</v>
      </c>
      <c r="DF13">
        <f t="shared" si="3"/>
        <v>0</v>
      </c>
      <c r="DG13">
        <f>ROUND(ROUND(AF13,2)*CX13,2)</f>
        <v>0</v>
      </c>
      <c r="DH13">
        <f t="shared" si="4"/>
        <v>0</v>
      </c>
      <c r="DI13">
        <f t="shared" si="5"/>
        <v>3657.27</v>
      </c>
      <c r="DJ13">
        <f>DI13</f>
        <v>3657.27</v>
      </c>
      <c r="DK13">
        <v>1</v>
      </c>
      <c r="DL13" t="s">
        <v>6</v>
      </c>
      <c r="DM13">
        <v>0</v>
      </c>
      <c r="DN13" t="s">
        <v>6</v>
      </c>
      <c r="DO13">
        <v>0</v>
      </c>
    </row>
    <row r="14" spans="1:119" x14ac:dyDescent="0.2">
      <c r="A14">
        <f>ROW(Source!A237)</f>
        <v>237</v>
      </c>
      <c r="B14">
        <v>74852007</v>
      </c>
      <c r="C14">
        <v>74852499</v>
      </c>
      <c r="D14">
        <v>72527995</v>
      </c>
      <c r="E14">
        <v>114</v>
      </c>
      <c r="F14">
        <v>1</v>
      </c>
      <c r="G14">
        <v>1</v>
      </c>
      <c r="H14">
        <v>1</v>
      </c>
      <c r="I14" t="s">
        <v>384</v>
      </c>
      <c r="J14" t="s">
        <v>6</v>
      </c>
      <c r="K14" t="s">
        <v>385</v>
      </c>
      <c r="L14">
        <v>1191</v>
      </c>
      <c r="N14">
        <v>1013</v>
      </c>
      <c r="O14" t="s">
        <v>383</v>
      </c>
      <c r="P14" t="s">
        <v>383</v>
      </c>
      <c r="Q14">
        <v>1</v>
      </c>
      <c r="W14">
        <v>0</v>
      </c>
      <c r="X14">
        <v>-1417349443</v>
      </c>
      <c r="Y14">
        <f>(AT14*ROUND(1.25,7))</f>
        <v>1.5874999999999999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6</v>
      </c>
      <c r="AT14">
        <v>1.27</v>
      </c>
      <c r="AU14" t="s">
        <v>116</v>
      </c>
      <c r="AV14">
        <v>2</v>
      </c>
      <c r="AW14">
        <v>2</v>
      </c>
      <c r="AX14">
        <v>74853074</v>
      </c>
      <c r="AY14">
        <v>1</v>
      </c>
      <c r="AZ14">
        <v>0</v>
      </c>
      <c r="BA14">
        <v>18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V14">
        <v>0</v>
      </c>
      <c r="CW14">
        <v>0</v>
      </c>
      <c r="CX14">
        <f>ROUND(Y14*Source!I237,7)</f>
        <v>0.51117500000000005</v>
      </c>
      <c r="CY14">
        <f>AD14</f>
        <v>0</v>
      </c>
      <c r="CZ14">
        <f>AH14</f>
        <v>0</v>
      </c>
      <c r="DA14">
        <f>AL14</f>
        <v>1</v>
      </c>
      <c r="DB14">
        <f>ROUND((ROUND(AT14*CZ14,2)*ROUND(1.25,7)),2)</f>
        <v>0</v>
      </c>
      <c r="DC14">
        <f>ROUND((ROUND(AT14*AG14,2)*ROUND(1.25,7)),2)</f>
        <v>0</v>
      </c>
      <c r="DD14" t="s">
        <v>6</v>
      </c>
      <c r="DE14" t="s">
        <v>6</v>
      </c>
      <c r="DF14">
        <f t="shared" si="3"/>
        <v>0</v>
      </c>
      <c r="DG14">
        <f>ROUND(ROUND(AF14,2)*CX14,2)</f>
        <v>0</v>
      </c>
      <c r="DH14">
        <f t="shared" si="4"/>
        <v>0</v>
      </c>
      <c r="DI14">
        <f t="shared" si="5"/>
        <v>0</v>
      </c>
      <c r="DJ14">
        <f>DI14</f>
        <v>0</v>
      </c>
      <c r="DK14">
        <v>0</v>
      </c>
      <c r="DL14" t="s">
        <v>6</v>
      </c>
      <c r="DM14">
        <v>0</v>
      </c>
      <c r="DN14" t="s">
        <v>6</v>
      </c>
      <c r="DO14">
        <v>0</v>
      </c>
    </row>
    <row r="15" spans="1:119" x14ac:dyDescent="0.2">
      <c r="A15">
        <f>ROW(Source!A237)</f>
        <v>237</v>
      </c>
      <c r="B15">
        <v>74852007</v>
      </c>
      <c r="C15">
        <v>74852499</v>
      </c>
      <c r="D15">
        <v>72652626</v>
      </c>
      <c r="E15">
        <v>1</v>
      </c>
      <c r="F15">
        <v>1</v>
      </c>
      <c r="G15">
        <v>1</v>
      </c>
      <c r="H15">
        <v>2</v>
      </c>
      <c r="I15" t="s">
        <v>386</v>
      </c>
      <c r="J15" t="s">
        <v>387</v>
      </c>
      <c r="K15" t="s">
        <v>388</v>
      </c>
      <c r="L15">
        <v>1368</v>
      </c>
      <c r="N15">
        <v>1011</v>
      </c>
      <c r="O15" t="s">
        <v>389</v>
      </c>
      <c r="P15" t="s">
        <v>389</v>
      </c>
      <c r="Q15">
        <v>1</v>
      </c>
      <c r="W15">
        <v>0</v>
      </c>
      <c r="X15">
        <v>-92307625</v>
      </c>
      <c r="Y15">
        <f>(AT15*ROUND(1.25,7))</f>
        <v>1.5874999999999999</v>
      </c>
      <c r="AA15">
        <v>0</v>
      </c>
      <c r="AB15">
        <v>55.23</v>
      </c>
      <c r="AC15">
        <v>297.43</v>
      </c>
      <c r="AD15">
        <v>0</v>
      </c>
      <c r="AE15">
        <v>0</v>
      </c>
      <c r="AF15">
        <v>37.32</v>
      </c>
      <c r="AG15">
        <v>297.43</v>
      </c>
      <c r="AH15">
        <v>0</v>
      </c>
      <c r="AI15">
        <v>1</v>
      </c>
      <c r="AJ15">
        <v>1.48</v>
      </c>
      <c r="AK15">
        <v>1</v>
      </c>
      <c r="AL15">
        <v>1</v>
      </c>
      <c r="AM15">
        <v>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6</v>
      </c>
      <c r="AT15">
        <v>1.27</v>
      </c>
      <c r="AU15" t="s">
        <v>116</v>
      </c>
      <c r="AV15">
        <v>1</v>
      </c>
      <c r="AW15">
        <v>2</v>
      </c>
      <c r="AX15">
        <v>74853075</v>
      </c>
      <c r="AY15">
        <v>1</v>
      </c>
      <c r="AZ15">
        <v>0</v>
      </c>
      <c r="BA15">
        <v>19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47.3964</v>
      </c>
      <c r="BL15">
        <v>377.73610000000002</v>
      </c>
      <c r="BM15">
        <v>0</v>
      </c>
      <c r="BN15">
        <v>0</v>
      </c>
      <c r="BO15">
        <v>1.27</v>
      </c>
      <c r="BP15">
        <v>1</v>
      </c>
      <c r="BQ15">
        <v>0</v>
      </c>
      <c r="BR15">
        <v>59.2455</v>
      </c>
      <c r="BS15">
        <v>472.17012499999998</v>
      </c>
      <c r="BT15">
        <v>0</v>
      </c>
      <c r="BU15">
        <v>0</v>
      </c>
      <c r="BV15">
        <v>1.5874999999999999</v>
      </c>
      <c r="BW15">
        <v>1</v>
      </c>
      <c r="CV15">
        <v>0</v>
      </c>
      <c r="CW15">
        <f>ROUND(Y15*Source!I237*DO15,7)</f>
        <v>0.51117500000000005</v>
      </c>
      <c r="CX15">
        <f>ROUND(Y15*Source!I237,7)</f>
        <v>0.51117500000000005</v>
      </c>
      <c r="CY15">
        <f>AB15</f>
        <v>55.23</v>
      </c>
      <c r="CZ15">
        <f>AF15</f>
        <v>37.32</v>
      </c>
      <c r="DA15">
        <f>AJ15</f>
        <v>1.48</v>
      </c>
      <c r="DB15">
        <f>ROUND((ROUND(AT15*CZ15,2)*ROUND(1.25,7)),2)</f>
        <v>59.25</v>
      </c>
      <c r="DC15">
        <f>ROUND((ROUND(AT15*AG15,2)*ROUND(1.25,7)),2)</f>
        <v>472.18</v>
      </c>
      <c r="DD15" t="s">
        <v>6</v>
      </c>
      <c r="DE15" t="s">
        <v>6</v>
      </c>
      <c r="DF15">
        <f t="shared" si="3"/>
        <v>0</v>
      </c>
      <c r="DG15">
        <f>ROUND(ROUND(AF15*AJ15,2)*CX15,2)</f>
        <v>28.23</v>
      </c>
      <c r="DH15">
        <f t="shared" si="4"/>
        <v>152.04</v>
      </c>
      <c r="DI15">
        <f t="shared" si="5"/>
        <v>0</v>
      </c>
      <c r="DJ15">
        <f>DG15+DH15</f>
        <v>180.26999999999998</v>
      </c>
      <c r="DK15">
        <v>0</v>
      </c>
      <c r="DL15" t="s">
        <v>390</v>
      </c>
      <c r="DM15">
        <v>3</v>
      </c>
      <c r="DN15" t="s">
        <v>383</v>
      </c>
      <c r="DO15">
        <v>1</v>
      </c>
    </row>
    <row r="16" spans="1:119" x14ac:dyDescent="0.2">
      <c r="A16">
        <f>ROW(Source!A237)</f>
        <v>237</v>
      </c>
      <c r="B16">
        <v>74852007</v>
      </c>
      <c r="C16">
        <v>74852499</v>
      </c>
      <c r="D16">
        <v>72652696</v>
      </c>
      <c r="E16">
        <v>1</v>
      </c>
      <c r="F16">
        <v>1</v>
      </c>
      <c r="G16">
        <v>1</v>
      </c>
      <c r="H16">
        <v>2</v>
      </c>
      <c r="I16" t="s">
        <v>401</v>
      </c>
      <c r="J16" t="s">
        <v>402</v>
      </c>
      <c r="K16" t="s">
        <v>403</v>
      </c>
      <c r="L16">
        <v>1368</v>
      </c>
      <c r="N16">
        <v>1011</v>
      </c>
      <c r="O16" t="s">
        <v>389</v>
      </c>
      <c r="P16" t="s">
        <v>389</v>
      </c>
      <c r="Q16">
        <v>1</v>
      </c>
      <c r="W16">
        <v>0</v>
      </c>
      <c r="X16">
        <v>1781981071</v>
      </c>
      <c r="Y16">
        <f>(AT16*ROUND(1.25,7))</f>
        <v>9.7750000000000004</v>
      </c>
      <c r="AA16">
        <v>0</v>
      </c>
      <c r="AB16">
        <v>13.83</v>
      </c>
      <c r="AC16">
        <v>0</v>
      </c>
      <c r="AD16">
        <v>0</v>
      </c>
      <c r="AE16">
        <v>0</v>
      </c>
      <c r="AF16">
        <v>8.5399999999999991</v>
      </c>
      <c r="AG16">
        <v>0</v>
      </c>
      <c r="AH16">
        <v>0</v>
      </c>
      <c r="AI16">
        <v>1</v>
      </c>
      <c r="AJ16">
        <v>1.62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6</v>
      </c>
      <c r="AT16">
        <v>7.82</v>
      </c>
      <c r="AU16" t="s">
        <v>116</v>
      </c>
      <c r="AV16">
        <v>1</v>
      </c>
      <c r="AW16">
        <v>2</v>
      </c>
      <c r="AX16">
        <v>74853076</v>
      </c>
      <c r="AY16">
        <v>1</v>
      </c>
      <c r="AZ16">
        <v>0</v>
      </c>
      <c r="BA16">
        <v>20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66.782799999999995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83.478499999999997</v>
      </c>
      <c r="BS16">
        <v>0</v>
      </c>
      <c r="BT16">
        <v>0</v>
      </c>
      <c r="BU16">
        <v>0</v>
      </c>
      <c r="BV16">
        <v>0</v>
      </c>
      <c r="BW16">
        <v>1</v>
      </c>
      <c r="CV16">
        <v>0</v>
      </c>
      <c r="CW16">
        <f>ROUND(Y16*Source!I237*DO16,7)</f>
        <v>0</v>
      </c>
      <c r="CX16">
        <f>ROUND(Y16*Source!I237,7)</f>
        <v>3.1475499999999998</v>
      </c>
      <c r="CY16">
        <f>AB16</f>
        <v>13.83</v>
      </c>
      <c r="CZ16">
        <f>AF16</f>
        <v>8.5399999999999991</v>
      </c>
      <c r="DA16">
        <f>AJ16</f>
        <v>1.62</v>
      </c>
      <c r="DB16">
        <f>ROUND((ROUND(AT16*CZ16,2)*ROUND(1.25,7)),2)</f>
        <v>83.48</v>
      </c>
      <c r="DC16">
        <f>ROUND((ROUND(AT16*AG16,2)*ROUND(1.25,7)),2)</f>
        <v>0</v>
      </c>
      <c r="DD16" t="s">
        <v>6</v>
      </c>
      <c r="DE16" t="s">
        <v>6</v>
      </c>
      <c r="DF16">
        <f t="shared" si="3"/>
        <v>0</v>
      </c>
      <c r="DG16">
        <f>ROUND(ROUND(AF16*AJ16,2)*CX16,2)</f>
        <v>43.53</v>
      </c>
      <c r="DH16">
        <f t="shared" si="4"/>
        <v>0</v>
      </c>
      <c r="DI16">
        <f t="shared" si="5"/>
        <v>0</v>
      </c>
      <c r="DJ16">
        <f>DG16+DH16</f>
        <v>43.53</v>
      </c>
      <c r="DK16">
        <v>0</v>
      </c>
      <c r="DL16" t="s">
        <v>6</v>
      </c>
      <c r="DM16">
        <v>0</v>
      </c>
      <c r="DN16" t="s">
        <v>6</v>
      </c>
      <c r="DO16">
        <v>0</v>
      </c>
    </row>
    <row r="17" spans="1:119" x14ac:dyDescent="0.2">
      <c r="A17">
        <f>ROW(Source!A237)</f>
        <v>237</v>
      </c>
      <c r="B17">
        <v>74852007</v>
      </c>
      <c r="C17">
        <v>74852499</v>
      </c>
      <c r="D17">
        <v>72599517</v>
      </c>
      <c r="E17">
        <v>1</v>
      </c>
      <c r="F17">
        <v>1</v>
      </c>
      <c r="G17">
        <v>1</v>
      </c>
      <c r="H17">
        <v>3</v>
      </c>
      <c r="I17" t="s">
        <v>404</v>
      </c>
      <c r="J17" t="s">
        <v>405</v>
      </c>
      <c r="K17" t="s">
        <v>406</v>
      </c>
      <c r="L17">
        <v>1339</v>
      </c>
      <c r="N17">
        <v>1007</v>
      </c>
      <c r="O17" t="s">
        <v>134</v>
      </c>
      <c r="P17" t="s">
        <v>134</v>
      </c>
      <c r="Q17">
        <v>1</v>
      </c>
      <c r="W17">
        <v>0</v>
      </c>
      <c r="X17">
        <v>-1879317523</v>
      </c>
      <c r="Y17">
        <f>AT17</f>
        <v>3.5</v>
      </c>
      <c r="AA17">
        <v>20.71</v>
      </c>
      <c r="AB17">
        <v>0</v>
      </c>
      <c r="AC17">
        <v>0</v>
      </c>
      <c r="AD17">
        <v>0</v>
      </c>
      <c r="AE17">
        <v>35.71</v>
      </c>
      <c r="AF17">
        <v>0</v>
      </c>
      <c r="AG17">
        <v>0</v>
      </c>
      <c r="AH17">
        <v>0</v>
      </c>
      <c r="AI17">
        <v>0.57999999999999996</v>
      </c>
      <c r="AJ17">
        <v>1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6</v>
      </c>
      <c r="AT17">
        <v>3.5</v>
      </c>
      <c r="AU17" t="s">
        <v>6</v>
      </c>
      <c r="AV17">
        <v>0</v>
      </c>
      <c r="AW17">
        <v>2</v>
      </c>
      <c r="AX17">
        <v>74853077</v>
      </c>
      <c r="AY17">
        <v>1</v>
      </c>
      <c r="AZ17">
        <v>0</v>
      </c>
      <c r="BA17">
        <v>21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124.985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124.985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v>0</v>
      </c>
      <c r="CX17">
        <f>ROUND(Y17*Source!I237,7)</f>
        <v>1.127</v>
      </c>
      <c r="CY17">
        <f>AA17</f>
        <v>20.71</v>
      </c>
      <c r="CZ17">
        <f>AE17</f>
        <v>35.71</v>
      </c>
      <c r="DA17">
        <f>AI17</f>
        <v>0.57999999999999996</v>
      </c>
      <c r="DB17">
        <f>ROUND(ROUND(AT17*CZ17,2),2)</f>
        <v>124.99</v>
      </c>
      <c r="DC17">
        <f>ROUND(ROUND(AT17*AG17,2),2)</f>
        <v>0</v>
      </c>
      <c r="DD17" t="s">
        <v>6</v>
      </c>
      <c r="DE17" t="s">
        <v>6</v>
      </c>
      <c r="DF17">
        <f>ROUND(ROUND(AE17*AI17,2)*CX17,2)</f>
        <v>23.34</v>
      </c>
      <c r="DG17">
        <f>ROUND(ROUND(AF17,2)*CX17,2)</f>
        <v>0</v>
      </c>
      <c r="DH17">
        <f t="shared" si="4"/>
        <v>0</v>
      </c>
      <c r="DI17">
        <f t="shared" si="5"/>
        <v>0</v>
      </c>
      <c r="DJ17">
        <f>DF17</f>
        <v>23.34</v>
      </c>
      <c r="DK17">
        <v>0</v>
      </c>
      <c r="DL17" t="s">
        <v>6</v>
      </c>
      <c r="DM17">
        <v>0</v>
      </c>
      <c r="DN17" t="s">
        <v>6</v>
      </c>
      <c r="DO17">
        <v>0</v>
      </c>
    </row>
    <row r="18" spans="1:119" x14ac:dyDescent="0.2">
      <c r="A18">
        <f>ROW(Source!A238)</f>
        <v>238</v>
      </c>
      <c r="B18">
        <v>74852007</v>
      </c>
      <c r="C18">
        <v>74852512</v>
      </c>
      <c r="D18">
        <v>72527768</v>
      </c>
      <c r="E18">
        <v>114</v>
      </c>
      <c r="F18">
        <v>1</v>
      </c>
      <c r="G18">
        <v>1</v>
      </c>
      <c r="H18">
        <v>1</v>
      </c>
      <c r="I18" t="s">
        <v>393</v>
      </c>
      <c r="J18" t="s">
        <v>6</v>
      </c>
      <c r="K18" t="s">
        <v>394</v>
      </c>
      <c r="L18">
        <v>1191</v>
      </c>
      <c r="N18">
        <v>1013</v>
      </c>
      <c r="O18" t="s">
        <v>383</v>
      </c>
      <c r="P18" t="s">
        <v>383</v>
      </c>
      <c r="Q18">
        <v>1</v>
      </c>
      <c r="W18">
        <v>0</v>
      </c>
      <c r="X18">
        <v>1048598872</v>
      </c>
      <c r="Y18">
        <f>(AT18*ROUND((2*1.15),7))</f>
        <v>1.012</v>
      </c>
      <c r="AA18">
        <v>0</v>
      </c>
      <c r="AB18">
        <v>0</v>
      </c>
      <c r="AC18">
        <v>0</v>
      </c>
      <c r="AD18">
        <v>277.43</v>
      </c>
      <c r="AE18">
        <v>0</v>
      </c>
      <c r="AF18">
        <v>0</v>
      </c>
      <c r="AG18">
        <v>0</v>
      </c>
      <c r="AH18">
        <v>277.43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6</v>
      </c>
      <c r="AT18">
        <v>0.44</v>
      </c>
      <c r="AU18" t="s">
        <v>130</v>
      </c>
      <c r="AV18">
        <v>1</v>
      </c>
      <c r="AW18">
        <v>2</v>
      </c>
      <c r="AX18">
        <v>74853098</v>
      </c>
      <c r="AY18">
        <v>1</v>
      </c>
      <c r="AZ18">
        <v>0</v>
      </c>
      <c r="BA18">
        <v>23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122.06920000000001</v>
      </c>
      <c r="BN18">
        <v>0.44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280.75916000000001</v>
      </c>
      <c r="BU18">
        <v>1.012</v>
      </c>
      <c r="BV18">
        <v>0</v>
      </c>
      <c r="BW18">
        <v>1</v>
      </c>
      <c r="CU18">
        <f>ROUND(AT18*Source!I238*AH18*AL18,2)</f>
        <v>39.31</v>
      </c>
      <c r="CV18">
        <f>ROUND(Y18*Source!I238,7)</f>
        <v>0.32586399999999999</v>
      </c>
      <c r="CW18">
        <v>0</v>
      </c>
      <c r="CX18">
        <f>ROUND(Y18*Source!I238,7)</f>
        <v>0.32586399999999999</v>
      </c>
      <c r="CY18">
        <f>AD18</f>
        <v>277.43</v>
      </c>
      <c r="CZ18">
        <f>AH18</f>
        <v>277.43</v>
      </c>
      <c r="DA18">
        <f>AL18</f>
        <v>1</v>
      </c>
      <c r="DB18">
        <f>ROUND((ROUND(AT18*CZ18,2)*ROUND((2*1.15),7)),2)</f>
        <v>280.76</v>
      </c>
      <c r="DC18">
        <f>ROUND((ROUND(AT18*AG18,2)*ROUND((2*1.15),7)),2)</f>
        <v>0</v>
      </c>
      <c r="DD18" t="s">
        <v>6</v>
      </c>
      <c r="DE18" t="s">
        <v>6</v>
      </c>
      <c r="DF18">
        <f t="shared" ref="DF18:DF25" si="6">ROUND(ROUND(AE18,2)*CX18,2)</f>
        <v>0</v>
      </c>
      <c r="DG18">
        <f>ROUND(ROUND(AF18,2)*CX18,2)</f>
        <v>0</v>
      </c>
      <c r="DH18">
        <f t="shared" si="4"/>
        <v>0</v>
      </c>
      <c r="DI18">
        <f t="shared" si="5"/>
        <v>90.4</v>
      </c>
      <c r="DJ18">
        <f>DI18</f>
        <v>90.4</v>
      </c>
      <c r="DK18">
        <v>1</v>
      </c>
      <c r="DL18" t="s">
        <v>6</v>
      </c>
      <c r="DM18">
        <v>0</v>
      </c>
      <c r="DN18" t="s">
        <v>6</v>
      </c>
      <c r="DO18">
        <v>0</v>
      </c>
    </row>
    <row r="19" spans="1:119" x14ac:dyDescent="0.2">
      <c r="A19">
        <f>ROW(Source!A238)</f>
        <v>238</v>
      </c>
      <c r="B19">
        <v>74852007</v>
      </c>
      <c r="C19">
        <v>74852512</v>
      </c>
      <c r="D19">
        <v>72527995</v>
      </c>
      <c r="E19">
        <v>114</v>
      </c>
      <c r="F19">
        <v>1</v>
      </c>
      <c r="G19">
        <v>1</v>
      </c>
      <c r="H19">
        <v>1</v>
      </c>
      <c r="I19" t="s">
        <v>384</v>
      </c>
      <c r="J19" t="s">
        <v>6</v>
      </c>
      <c r="K19" t="s">
        <v>385</v>
      </c>
      <c r="L19">
        <v>1191</v>
      </c>
      <c r="N19">
        <v>1013</v>
      </c>
      <c r="O19" t="s">
        <v>383</v>
      </c>
      <c r="P19" t="s">
        <v>383</v>
      </c>
      <c r="Q19">
        <v>1</v>
      </c>
      <c r="W19">
        <v>0</v>
      </c>
      <c r="X19">
        <v>-1417349443</v>
      </c>
      <c r="Y19">
        <f>(AT19*ROUND((2*1.25),7))</f>
        <v>0.52500000000000002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6</v>
      </c>
      <c r="AT19">
        <v>0.21</v>
      </c>
      <c r="AU19" t="s">
        <v>129</v>
      </c>
      <c r="AV19">
        <v>2</v>
      </c>
      <c r="AW19">
        <v>2</v>
      </c>
      <c r="AX19">
        <v>74853099</v>
      </c>
      <c r="AY19">
        <v>1</v>
      </c>
      <c r="AZ19">
        <v>0</v>
      </c>
      <c r="BA19">
        <v>24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ROUND(Y19*Source!I238,7)</f>
        <v>0.16905000000000001</v>
      </c>
      <c r="CY19">
        <f>AD19</f>
        <v>0</v>
      </c>
      <c r="CZ19">
        <f>AH19</f>
        <v>0</v>
      </c>
      <c r="DA19">
        <f>AL19</f>
        <v>1</v>
      </c>
      <c r="DB19">
        <f>ROUND((ROUND(AT19*CZ19,2)*ROUND((2*1.25),7)),2)</f>
        <v>0</v>
      </c>
      <c r="DC19">
        <f>ROUND((ROUND(AT19*AG19,2)*ROUND((2*1.25),7)),2)</f>
        <v>0</v>
      </c>
      <c r="DD19" t="s">
        <v>6</v>
      </c>
      <c r="DE19" t="s">
        <v>6</v>
      </c>
      <c r="DF19">
        <f t="shared" si="6"/>
        <v>0</v>
      </c>
      <c r="DG19">
        <f>ROUND(ROUND(AF19,2)*CX19,2)</f>
        <v>0</v>
      </c>
      <c r="DH19">
        <f t="shared" si="4"/>
        <v>0</v>
      </c>
      <c r="DI19">
        <f t="shared" si="5"/>
        <v>0</v>
      </c>
      <c r="DJ19">
        <f>DI19</f>
        <v>0</v>
      </c>
      <c r="DK19">
        <v>0</v>
      </c>
      <c r="DL19" t="s">
        <v>6</v>
      </c>
      <c r="DM19">
        <v>0</v>
      </c>
      <c r="DN19" t="s">
        <v>6</v>
      </c>
      <c r="DO19">
        <v>0</v>
      </c>
    </row>
    <row r="20" spans="1:119" x14ac:dyDescent="0.2">
      <c r="A20">
        <f>ROW(Source!A238)</f>
        <v>238</v>
      </c>
      <c r="B20">
        <v>74852007</v>
      </c>
      <c r="C20">
        <v>74852512</v>
      </c>
      <c r="D20">
        <v>72652626</v>
      </c>
      <c r="E20">
        <v>1</v>
      </c>
      <c r="F20">
        <v>1</v>
      </c>
      <c r="G20">
        <v>1</v>
      </c>
      <c r="H20">
        <v>2</v>
      </c>
      <c r="I20" t="s">
        <v>386</v>
      </c>
      <c r="J20" t="s">
        <v>387</v>
      </c>
      <c r="K20" t="s">
        <v>388</v>
      </c>
      <c r="L20">
        <v>1368</v>
      </c>
      <c r="N20">
        <v>1011</v>
      </c>
      <c r="O20" t="s">
        <v>389</v>
      </c>
      <c r="P20" t="s">
        <v>389</v>
      </c>
      <c r="Q20">
        <v>1</v>
      </c>
      <c r="W20">
        <v>0</v>
      </c>
      <c r="X20">
        <v>-92307625</v>
      </c>
      <c r="Y20">
        <f>(AT20*ROUND((2*1.25),7))</f>
        <v>0.52500000000000002</v>
      </c>
      <c r="AA20">
        <v>0</v>
      </c>
      <c r="AB20">
        <v>55.23</v>
      </c>
      <c r="AC20">
        <v>297.43</v>
      </c>
      <c r="AD20">
        <v>0</v>
      </c>
      <c r="AE20">
        <v>0</v>
      </c>
      <c r="AF20">
        <v>37.32</v>
      </c>
      <c r="AG20">
        <v>297.43</v>
      </c>
      <c r="AH20">
        <v>0</v>
      </c>
      <c r="AI20">
        <v>1</v>
      </c>
      <c r="AJ20">
        <v>1.48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6</v>
      </c>
      <c r="AT20">
        <v>0.21</v>
      </c>
      <c r="AU20" t="s">
        <v>129</v>
      </c>
      <c r="AV20">
        <v>1</v>
      </c>
      <c r="AW20">
        <v>2</v>
      </c>
      <c r="AX20">
        <v>74853100</v>
      </c>
      <c r="AY20">
        <v>1</v>
      </c>
      <c r="AZ20">
        <v>0</v>
      </c>
      <c r="BA20">
        <v>25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7.8372000000000002</v>
      </c>
      <c r="BL20">
        <v>62.460299999999997</v>
      </c>
      <c r="BM20">
        <v>0</v>
      </c>
      <c r="BN20">
        <v>0</v>
      </c>
      <c r="BO20">
        <v>0.21</v>
      </c>
      <c r="BP20">
        <v>1</v>
      </c>
      <c r="BQ20">
        <v>0</v>
      </c>
      <c r="BR20">
        <v>19.593</v>
      </c>
      <c r="BS20">
        <v>156.15075000000002</v>
      </c>
      <c r="BT20">
        <v>0</v>
      </c>
      <c r="BU20">
        <v>0</v>
      </c>
      <c r="BV20">
        <v>0.52500000000000002</v>
      </c>
      <c r="BW20">
        <v>1</v>
      </c>
      <c r="CV20">
        <v>0</v>
      </c>
      <c r="CW20">
        <f>ROUND(Y20*Source!I238*DO20,7)</f>
        <v>0.16905000000000001</v>
      </c>
      <c r="CX20">
        <f>ROUND(Y20*Source!I238,7)</f>
        <v>0.16905000000000001</v>
      </c>
      <c r="CY20">
        <f>AB20</f>
        <v>55.23</v>
      </c>
      <c r="CZ20">
        <f>AF20</f>
        <v>37.32</v>
      </c>
      <c r="DA20">
        <f>AJ20</f>
        <v>1.48</v>
      </c>
      <c r="DB20">
        <f>ROUND((ROUND(AT20*CZ20,2)*ROUND((2*1.25),7)),2)</f>
        <v>19.600000000000001</v>
      </c>
      <c r="DC20">
        <f>ROUND((ROUND(AT20*AG20,2)*ROUND((2*1.25),7)),2)</f>
        <v>156.15</v>
      </c>
      <c r="DD20" t="s">
        <v>6</v>
      </c>
      <c r="DE20" t="s">
        <v>6</v>
      </c>
      <c r="DF20">
        <f t="shared" si="6"/>
        <v>0</v>
      </c>
      <c r="DG20">
        <f>ROUND(ROUND(AF20*AJ20,2)*CX20,2)</f>
        <v>9.34</v>
      </c>
      <c r="DH20">
        <f t="shared" si="4"/>
        <v>50.28</v>
      </c>
      <c r="DI20">
        <f t="shared" si="5"/>
        <v>0</v>
      </c>
      <c r="DJ20">
        <f>DG20+DH20</f>
        <v>59.620000000000005</v>
      </c>
      <c r="DK20">
        <v>0</v>
      </c>
      <c r="DL20" t="s">
        <v>390</v>
      </c>
      <c r="DM20">
        <v>3</v>
      </c>
      <c r="DN20" t="s">
        <v>383</v>
      </c>
      <c r="DO20">
        <v>1</v>
      </c>
    </row>
    <row r="21" spans="1:119" x14ac:dyDescent="0.2">
      <c r="A21">
        <f>ROW(Source!A238)</f>
        <v>238</v>
      </c>
      <c r="B21">
        <v>74852007</v>
      </c>
      <c r="C21">
        <v>74852512</v>
      </c>
      <c r="D21">
        <v>72652696</v>
      </c>
      <c r="E21">
        <v>1</v>
      </c>
      <c r="F21">
        <v>1</v>
      </c>
      <c r="G21">
        <v>1</v>
      </c>
      <c r="H21">
        <v>2</v>
      </c>
      <c r="I21" t="s">
        <v>401</v>
      </c>
      <c r="J21" t="s">
        <v>402</v>
      </c>
      <c r="K21" t="s">
        <v>403</v>
      </c>
      <c r="L21">
        <v>1368</v>
      </c>
      <c r="N21">
        <v>1011</v>
      </c>
      <c r="O21" t="s">
        <v>389</v>
      </c>
      <c r="P21" t="s">
        <v>389</v>
      </c>
      <c r="Q21">
        <v>1</v>
      </c>
      <c r="W21">
        <v>0</v>
      </c>
      <c r="X21">
        <v>1781981071</v>
      </c>
      <c r="Y21">
        <f>(AT21*ROUND((2*1.25),7))</f>
        <v>5</v>
      </c>
      <c r="AA21">
        <v>0</v>
      </c>
      <c r="AB21">
        <v>13.83</v>
      </c>
      <c r="AC21">
        <v>0</v>
      </c>
      <c r="AD21">
        <v>0</v>
      </c>
      <c r="AE21">
        <v>0</v>
      </c>
      <c r="AF21">
        <v>8.5399999999999991</v>
      </c>
      <c r="AG21">
        <v>0</v>
      </c>
      <c r="AH21">
        <v>0</v>
      </c>
      <c r="AI21">
        <v>1</v>
      </c>
      <c r="AJ21">
        <v>1.62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6</v>
      </c>
      <c r="AT21">
        <v>2</v>
      </c>
      <c r="AU21" t="s">
        <v>129</v>
      </c>
      <c r="AV21">
        <v>1</v>
      </c>
      <c r="AW21">
        <v>2</v>
      </c>
      <c r="AX21">
        <v>74853101</v>
      </c>
      <c r="AY21">
        <v>1</v>
      </c>
      <c r="AZ21">
        <v>0</v>
      </c>
      <c r="BA21">
        <v>26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17.079999999999998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42.699999999999996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f>ROUND(Y21*Source!I238*DO21,7)</f>
        <v>0</v>
      </c>
      <c r="CX21">
        <f>ROUND(Y21*Source!I238,7)</f>
        <v>1.61</v>
      </c>
      <c r="CY21">
        <f>AB21</f>
        <v>13.83</v>
      </c>
      <c r="CZ21">
        <f>AF21</f>
        <v>8.5399999999999991</v>
      </c>
      <c r="DA21">
        <f>AJ21</f>
        <v>1.62</v>
      </c>
      <c r="DB21">
        <f>ROUND((ROUND(AT21*CZ21,2)*ROUND((2*1.25),7)),2)</f>
        <v>42.7</v>
      </c>
      <c r="DC21">
        <f>ROUND((ROUND(AT21*AG21,2)*ROUND((2*1.25),7)),2)</f>
        <v>0</v>
      </c>
      <c r="DD21" t="s">
        <v>6</v>
      </c>
      <c r="DE21" t="s">
        <v>6</v>
      </c>
      <c r="DF21">
        <f t="shared" si="6"/>
        <v>0</v>
      </c>
      <c r="DG21">
        <f>ROUND(ROUND(AF21*AJ21,2)*CX21,2)</f>
        <v>22.27</v>
      </c>
      <c r="DH21">
        <f t="shared" si="4"/>
        <v>0</v>
      </c>
      <c r="DI21">
        <f t="shared" si="5"/>
        <v>0</v>
      </c>
      <c r="DJ21">
        <f>DG21+DH21</f>
        <v>22.27</v>
      </c>
      <c r="DK21">
        <v>0</v>
      </c>
      <c r="DL21" t="s">
        <v>6</v>
      </c>
      <c r="DM21">
        <v>0</v>
      </c>
      <c r="DN21" t="s">
        <v>6</v>
      </c>
      <c r="DO21">
        <v>0</v>
      </c>
    </row>
    <row r="22" spans="1:119" x14ac:dyDescent="0.2">
      <c r="A22">
        <f>ROW(Source!A240)</f>
        <v>240</v>
      </c>
      <c r="B22">
        <v>74852007</v>
      </c>
      <c r="C22">
        <v>74852524</v>
      </c>
      <c r="D22">
        <v>72527790</v>
      </c>
      <c r="E22">
        <v>114</v>
      </c>
      <c r="F22">
        <v>1</v>
      </c>
      <c r="G22">
        <v>1</v>
      </c>
      <c r="H22">
        <v>1</v>
      </c>
      <c r="I22" t="s">
        <v>407</v>
      </c>
      <c r="J22" t="s">
        <v>6</v>
      </c>
      <c r="K22" t="s">
        <v>408</v>
      </c>
      <c r="L22">
        <v>1191</v>
      </c>
      <c r="N22">
        <v>1013</v>
      </c>
      <c r="O22" t="s">
        <v>383</v>
      </c>
      <c r="P22" t="s">
        <v>383</v>
      </c>
      <c r="Q22">
        <v>1</v>
      </c>
      <c r="W22">
        <v>0</v>
      </c>
      <c r="X22">
        <v>1682852000</v>
      </c>
      <c r="Y22">
        <f>(AT22*ROUND(1.15,7))</f>
        <v>43.93</v>
      </c>
      <c r="AA22">
        <v>0</v>
      </c>
      <c r="AB22">
        <v>0</v>
      </c>
      <c r="AC22">
        <v>0</v>
      </c>
      <c r="AD22">
        <v>289.93</v>
      </c>
      <c r="AE22">
        <v>0</v>
      </c>
      <c r="AF22">
        <v>0</v>
      </c>
      <c r="AG22">
        <v>0</v>
      </c>
      <c r="AH22">
        <v>289.93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6</v>
      </c>
      <c r="AT22">
        <v>38.200000000000003</v>
      </c>
      <c r="AU22" t="s">
        <v>117</v>
      </c>
      <c r="AV22">
        <v>1</v>
      </c>
      <c r="AW22">
        <v>2</v>
      </c>
      <c r="AX22">
        <v>74853104</v>
      </c>
      <c r="AY22">
        <v>1</v>
      </c>
      <c r="AZ22">
        <v>0</v>
      </c>
      <c r="BA22">
        <v>28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11075.326000000001</v>
      </c>
      <c r="BN22">
        <v>38.200000000000003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12736.624900000001</v>
      </c>
      <c r="BU22">
        <v>43.93</v>
      </c>
      <c r="BV22">
        <v>0</v>
      </c>
      <c r="BW22">
        <v>1</v>
      </c>
      <c r="CU22">
        <f>ROUND(AT22*Source!I240*AH22*AL22,2)</f>
        <v>3566.25</v>
      </c>
      <c r="CV22">
        <f>ROUND(Y22*Source!I240,7)</f>
        <v>14.14546</v>
      </c>
      <c r="CW22">
        <v>0</v>
      </c>
      <c r="CX22">
        <f>ROUND(Y22*Source!I240,7)</f>
        <v>14.14546</v>
      </c>
      <c r="CY22">
        <f>AD22</f>
        <v>289.93</v>
      </c>
      <c r="CZ22">
        <f>AH22</f>
        <v>289.93</v>
      </c>
      <c r="DA22">
        <f>AL22</f>
        <v>1</v>
      </c>
      <c r="DB22">
        <f>ROUND((ROUND(AT22*CZ22,2)*ROUND(1.15,7)),2)</f>
        <v>12736.63</v>
      </c>
      <c r="DC22">
        <f>ROUND((ROUND(AT22*AG22,2)*ROUND(1.15,7)),2)</f>
        <v>0</v>
      </c>
      <c r="DD22" t="s">
        <v>6</v>
      </c>
      <c r="DE22" t="s">
        <v>6</v>
      </c>
      <c r="DF22">
        <f t="shared" si="6"/>
        <v>0</v>
      </c>
      <c r="DG22">
        <f>ROUND(ROUND(AF22,2)*CX22,2)</f>
        <v>0</v>
      </c>
      <c r="DH22">
        <f t="shared" si="4"/>
        <v>0</v>
      </c>
      <c r="DI22">
        <f t="shared" si="5"/>
        <v>4101.1899999999996</v>
      </c>
      <c r="DJ22">
        <f>DI22</f>
        <v>4101.1899999999996</v>
      </c>
      <c r="DK22">
        <v>1</v>
      </c>
      <c r="DL22" t="s">
        <v>6</v>
      </c>
      <c r="DM22">
        <v>0</v>
      </c>
      <c r="DN22" t="s">
        <v>6</v>
      </c>
      <c r="DO22">
        <v>0</v>
      </c>
    </row>
    <row r="23" spans="1:119" x14ac:dyDescent="0.2">
      <c r="A23">
        <f>ROW(Source!A240)</f>
        <v>240</v>
      </c>
      <c r="B23">
        <v>74852007</v>
      </c>
      <c r="C23">
        <v>74852524</v>
      </c>
      <c r="D23">
        <v>72527995</v>
      </c>
      <c r="E23">
        <v>114</v>
      </c>
      <c r="F23">
        <v>1</v>
      </c>
      <c r="G23">
        <v>1</v>
      </c>
      <c r="H23">
        <v>1</v>
      </c>
      <c r="I23" t="s">
        <v>384</v>
      </c>
      <c r="J23" t="s">
        <v>6</v>
      </c>
      <c r="K23" t="s">
        <v>385</v>
      </c>
      <c r="L23">
        <v>1191</v>
      </c>
      <c r="N23">
        <v>1013</v>
      </c>
      <c r="O23" t="s">
        <v>383</v>
      </c>
      <c r="P23" t="s">
        <v>383</v>
      </c>
      <c r="Q23">
        <v>1</v>
      </c>
      <c r="W23">
        <v>0</v>
      </c>
      <c r="X23">
        <v>-1417349443</v>
      </c>
      <c r="Y23">
        <f>(AT23*ROUND(1.25,7))</f>
        <v>1.0625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6</v>
      </c>
      <c r="AT23">
        <v>0.85</v>
      </c>
      <c r="AU23" t="s">
        <v>116</v>
      </c>
      <c r="AV23">
        <v>2</v>
      </c>
      <c r="AW23">
        <v>2</v>
      </c>
      <c r="AX23">
        <v>74853105</v>
      </c>
      <c r="AY23">
        <v>1</v>
      </c>
      <c r="AZ23">
        <v>0</v>
      </c>
      <c r="BA23">
        <v>29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ROUND(Y23*Source!I240,7)</f>
        <v>0.34212500000000001</v>
      </c>
      <c r="CY23">
        <f>AD23</f>
        <v>0</v>
      </c>
      <c r="CZ23">
        <f>AH23</f>
        <v>0</v>
      </c>
      <c r="DA23">
        <f>AL23</f>
        <v>1</v>
      </c>
      <c r="DB23">
        <f>ROUND((ROUND(AT23*CZ23,2)*ROUND(1.25,7)),2)</f>
        <v>0</v>
      </c>
      <c r="DC23">
        <f>ROUND((ROUND(AT23*AG23,2)*ROUND(1.25,7)),2)</f>
        <v>0</v>
      </c>
      <c r="DD23" t="s">
        <v>6</v>
      </c>
      <c r="DE23" t="s">
        <v>6</v>
      </c>
      <c r="DF23">
        <f t="shared" si="6"/>
        <v>0</v>
      </c>
      <c r="DG23">
        <f>ROUND(ROUND(AF23,2)*CX23,2)</f>
        <v>0</v>
      </c>
      <c r="DH23">
        <f t="shared" si="4"/>
        <v>0</v>
      </c>
      <c r="DI23">
        <f t="shared" si="5"/>
        <v>0</v>
      </c>
      <c r="DJ23">
        <f>DI23</f>
        <v>0</v>
      </c>
      <c r="DK23">
        <v>0</v>
      </c>
      <c r="DL23" t="s">
        <v>6</v>
      </c>
      <c r="DM23">
        <v>0</v>
      </c>
      <c r="DN23" t="s">
        <v>6</v>
      </c>
      <c r="DO23">
        <v>0</v>
      </c>
    </row>
    <row r="24" spans="1:119" x14ac:dyDescent="0.2">
      <c r="A24">
        <f>ROW(Source!A240)</f>
        <v>240</v>
      </c>
      <c r="B24">
        <v>74852007</v>
      </c>
      <c r="C24">
        <v>74852524</v>
      </c>
      <c r="D24">
        <v>72652626</v>
      </c>
      <c r="E24">
        <v>1</v>
      </c>
      <c r="F24">
        <v>1</v>
      </c>
      <c r="G24">
        <v>1</v>
      </c>
      <c r="H24">
        <v>2</v>
      </c>
      <c r="I24" t="s">
        <v>386</v>
      </c>
      <c r="J24" t="s">
        <v>387</v>
      </c>
      <c r="K24" t="s">
        <v>388</v>
      </c>
      <c r="L24">
        <v>1368</v>
      </c>
      <c r="N24">
        <v>1011</v>
      </c>
      <c r="O24" t="s">
        <v>389</v>
      </c>
      <c r="P24" t="s">
        <v>389</v>
      </c>
      <c r="Q24">
        <v>1</v>
      </c>
      <c r="W24">
        <v>0</v>
      </c>
      <c r="X24">
        <v>-92307625</v>
      </c>
      <c r="Y24">
        <f>(AT24*ROUND(1.25,7))</f>
        <v>0.4375</v>
      </c>
      <c r="AA24">
        <v>0</v>
      </c>
      <c r="AB24">
        <v>55.23</v>
      </c>
      <c r="AC24">
        <v>297.43</v>
      </c>
      <c r="AD24">
        <v>0</v>
      </c>
      <c r="AE24">
        <v>0</v>
      </c>
      <c r="AF24">
        <v>37.32</v>
      </c>
      <c r="AG24">
        <v>297.43</v>
      </c>
      <c r="AH24">
        <v>0</v>
      </c>
      <c r="AI24">
        <v>1</v>
      </c>
      <c r="AJ24">
        <v>1.48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6</v>
      </c>
      <c r="AT24">
        <v>0.35</v>
      </c>
      <c r="AU24" t="s">
        <v>116</v>
      </c>
      <c r="AV24">
        <v>1</v>
      </c>
      <c r="AW24">
        <v>2</v>
      </c>
      <c r="AX24">
        <v>74853106</v>
      </c>
      <c r="AY24">
        <v>1</v>
      </c>
      <c r="AZ24">
        <v>0</v>
      </c>
      <c r="BA24">
        <v>30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13.061999999999999</v>
      </c>
      <c r="BL24">
        <v>104.1005</v>
      </c>
      <c r="BM24">
        <v>0</v>
      </c>
      <c r="BN24">
        <v>0</v>
      </c>
      <c r="BO24">
        <v>0.35</v>
      </c>
      <c r="BP24">
        <v>1</v>
      </c>
      <c r="BQ24">
        <v>0</v>
      </c>
      <c r="BR24">
        <v>16.327500000000001</v>
      </c>
      <c r="BS24">
        <v>130.12562500000001</v>
      </c>
      <c r="BT24">
        <v>0</v>
      </c>
      <c r="BU24">
        <v>0</v>
      </c>
      <c r="BV24">
        <v>0.4375</v>
      </c>
      <c r="BW24">
        <v>1</v>
      </c>
      <c r="CV24">
        <v>0</v>
      </c>
      <c r="CW24">
        <f>ROUND(Y24*Source!I240*DO24,7)</f>
        <v>0.140875</v>
      </c>
      <c r="CX24">
        <f>ROUND(Y24*Source!I240,7)</f>
        <v>0.140875</v>
      </c>
      <c r="CY24">
        <f>AB24</f>
        <v>55.23</v>
      </c>
      <c r="CZ24">
        <f>AF24</f>
        <v>37.32</v>
      </c>
      <c r="DA24">
        <f>AJ24</f>
        <v>1.48</v>
      </c>
      <c r="DB24">
        <f>ROUND((ROUND(AT24*CZ24,2)*ROUND(1.25,7)),2)</f>
        <v>16.329999999999998</v>
      </c>
      <c r="DC24">
        <f>ROUND((ROUND(AT24*AG24,2)*ROUND(1.25,7)),2)</f>
        <v>130.13</v>
      </c>
      <c r="DD24" t="s">
        <v>6</v>
      </c>
      <c r="DE24" t="s">
        <v>6</v>
      </c>
      <c r="DF24">
        <f t="shared" si="6"/>
        <v>0</v>
      </c>
      <c r="DG24">
        <f>ROUND(ROUND(AF24*AJ24,2)*CX24,2)</f>
        <v>7.78</v>
      </c>
      <c r="DH24">
        <f t="shared" si="4"/>
        <v>41.9</v>
      </c>
      <c r="DI24">
        <f t="shared" si="5"/>
        <v>0</v>
      </c>
      <c r="DJ24">
        <f>DG24+DH24</f>
        <v>49.68</v>
      </c>
      <c r="DK24">
        <v>0</v>
      </c>
      <c r="DL24" t="s">
        <v>390</v>
      </c>
      <c r="DM24">
        <v>3</v>
      </c>
      <c r="DN24" t="s">
        <v>383</v>
      </c>
      <c r="DO24">
        <v>1</v>
      </c>
    </row>
    <row r="25" spans="1:119" x14ac:dyDescent="0.2">
      <c r="A25">
        <f>ROW(Source!A240)</f>
        <v>240</v>
      </c>
      <c r="B25">
        <v>74852007</v>
      </c>
      <c r="C25">
        <v>74852524</v>
      </c>
      <c r="D25">
        <v>72653331</v>
      </c>
      <c r="E25">
        <v>1</v>
      </c>
      <c r="F25">
        <v>1</v>
      </c>
      <c r="G25">
        <v>1</v>
      </c>
      <c r="H25">
        <v>2</v>
      </c>
      <c r="I25" t="s">
        <v>409</v>
      </c>
      <c r="J25" t="s">
        <v>410</v>
      </c>
      <c r="K25" t="s">
        <v>411</v>
      </c>
      <c r="L25">
        <v>1368</v>
      </c>
      <c r="N25">
        <v>1011</v>
      </c>
      <c r="O25" t="s">
        <v>389</v>
      </c>
      <c r="P25" t="s">
        <v>389</v>
      </c>
      <c r="Q25">
        <v>1</v>
      </c>
      <c r="W25">
        <v>0</v>
      </c>
      <c r="X25">
        <v>-1152394969</v>
      </c>
      <c r="Y25">
        <f>(AT25*ROUND(1.25,7))</f>
        <v>0.625</v>
      </c>
      <c r="AA25">
        <v>0</v>
      </c>
      <c r="AB25">
        <v>611</v>
      </c>
      <c r="AC25">
        <v>334.92</v>
      </c>
      <c r="AD25">
        <v>0</v>
      </c>
      <c r="AE25">
        <v>0</v>
      </c>
      <c r="AF25">
        <v>611</v>
      </c>
      <c r="AG25">
        <v>334.92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6</v>
      </c>
      <c r="AT25">
        <v>0.5</v>
      </c>
      <c r="AU25" t="s">
        <v>116</v>
      </c>
      <c r="AV25">
        <v>1</v>
      </c>
      <c r="AW25">
        <v>2</v>
      </c>
      <c r="AX25">
        <v>74853107</v>
      </c>
      <c r="AY25">
        <v>1</v>
      </c>
      <c r="AZ25">
        <v>0</v>
      </c>
      <c r="BA25">
        <v>31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305.5</v>
      </c>
      <c r="BL25">
        <v>167.46</v>
      </c>
      <c r="BM25">
        <v>0</v>
      </c>
      <c r="BN25">
        <v>0</v>
      </c>
      <c r="BO25">
        <v>0.5</v>
      </c>
      <c r="BP25">
        <v>1</v>
      </c>
      <c r="BQ25">
        <v>0</v>
      </c>
      <c r="BR25">
        <v>381.875</v>
      </c>
      <c r="BS25">
        <v>209.32500000000002</v>
      </c>
      <c r="BT25">
        <v>0</v>
      </c>
      <c r="BU25">
        <v>0</v>
      </c>
      <c r="BV25">
        <v>0.625</v>
      </c>
      <c r="BW25">
        <v>1</v>
      </c>
      <c r="CV25">
        <v>0</v>
      </c>
      <c r="CW25">
        <f>ROUND(Y25*Source!I240*DO25,7)</f>
        <v>0.20125000000000001</v>
      </c>
      <c r="CX25">
        <f>ROUND(Y25*Source!I240,7)</f>
        <v>0.20125000000000001</v>
      </c>
      <c r="CY25">
        <f>AB25</f>
        <v>611</v>
      </c>
      <c r="CZ25">
        <f>AF25</f>
        <v>611</v>
      </c>
      <c r="DA25">
        <f>AJ25</f>
        <v>1</v>
      </c>
      <c r="DB25">
        <f>ROUND((ROUND(AT25*CZ25,2)*ROUND(1.25,7)),2)</f>
        <v>381.88</v>
      </c>
      <c r="DC25">
        <f>ROUND((ROUND(AT25*AG25,2)*ROUND(1.25,7)),2)</f>
        <v>209.33</v>
      </c>
      <c r="DD25" t="s">
        <v>6</v>
      </c>
      <c r="DE25" t="s">
        <v>6</v>
      </c>
      <c r="DF25">
        <f t="shared" si="6"/>
        <v>0</v>
      </c>
      <c r="DG25">
        <f>ROUND(ROUND(AF25,2)*CX25,2)</f>
        <v>122.96</v>
      </c>
      <c r="DH25">
        <f t="shared" si="4"/>
        <v>67.400000000000006</v>
      </c>
      <c r="DI25">
        <f t="shared" si="5"/>
        <v>0</v>
      </c>
      <c r="DJ25">
        <f>DG25+DH25</f>
        <v>190.36</v>
      </c>
      <c r="DK25">
        <v>1</v>
      </c>
      <c r="DL25" t="s">
        <v>412</v>
      </c>
      <c r="DM25">
        <v>4</v>
      </c>
      <c r="DN25" t="s">
        <v>383</v>
      </c>
      <c r="DO25">
        <v>1</v>
      </c>
    </row>
    <row r="26" spans="1:119" x14ac:dyDescent="0.2">
      <c r="A26">
        <f>ROW(Source!A240)</f>
        <v>240</v>
      </c>
      <c r="B26">
        <v>74852007</v>
      </c>
      <c r="C26">
        <v>74852524</v>
      </c>
      <c r="D26">
        <v>72602142</v>
      </c>
      <c r="E26">
        <v>1</v>
      </c>
      <c r="F26">
        <v>1</v>
      </c>
      <c r="G26">
        <v>1</v>
      </c>
      <c r="H26">
        <v>3</v>
      </c>
      <c r="I26" t="s">
        <v>413</v>
      </c>
      <c r="J26" t="s">
        <v>414</v>
      </c>
      <c r="K26" t="s">
        <v>415</v>
      </c>
      <c r="L26">
        <v>1346</v>
      </c>
      <c r="N26">
        <v>1009</v>
      </c>
      <c r="O26" t="s">
        <v>217</v>
      </c>
      <c r="P26" t="s">
        <v>217</v>
      </c>
      <c r="Q26">
        <v>1</v>
      </c>
      <c r="W26">
        <v>0</v>
      </c>
      <c r="X26">
        <v>-130701290</v>
      </c>
      <c r="Y26">
        <f>AT26</f>
        <v>0.5</v>
      </c>
      <c r="AA26">
        <v>83.6</v>
      </c>
      <c r="AB26">
        <v>0</v>
      </c>
      <c r="AC26">
        <v>0</v>
      </c>
      <c r="AD26">
        <v>0</v>
      </c>
      <c r="AE26">
        <v>56.11</v>
      </c>
      <c r="AF26">
        <v>0</v>
      </c>
      <c r="AG26">
        <v>0</v>
      </c>
      <c r="AH26">
        <v>0</v>
      </c>
      <c r="AI26">
        <v>1.49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6</v>
      </c>
      <c r="AT26">
        <v>0.5</v>
      </c>
      <c r="AU26" t="s">
        <v>6</v>
      </c>
      <c r="AV26">
        <v>0</v>
      </c>
      <c r="AW26">
        <v>2</v>
      </c>
      <c r="AX26">
        <v>74853109</v>
      </c>
      <c r="AY26">
        <v>1</v>
      </c>
      <c r="AZ26">
        <v>0</v>
      </c>
      <c r="BA26">
        <v>33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28.055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28.055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CV26">
        <v>0</v>
      </c>
      <c r="CW26">
        <v>0</v>
      </c>
      <c r="CX26">
        <f>ROUND(Y26*Source!I240,7)</f>
        <v>0.161</v>
      </c>
      <c r="CY26">
        <f>AA26</f>
        <v>83.6</v>
      </c>
      <c r="CZ26">
        <f>AE26</f>
        <v>56.11</v>
      </c>
      <c r="DA26">
        <f>AI26</f>
        <v>1.49</v>
      </c>
      <c r="DB26">
        <f>ROUND(ROUND(AT26*CZ26,2),2)</f>
        <v>28.06</v>
      </c>
      <c r="DC26">
        <f>ROUND(ROUND(AT26*AG26,2),2)</f>
        <v>0</v>
      </c>
      <c r="DD26" t="s">
        <v>6</v>
      </c>
      <c r="DE26" t="s">
        <v>6</v>
      </c>
      <c r="DF26">
        <f>ROUND(ROUND(AE26*AI26,2)*CX26,2)</f>
        <v>13.46</v>
      </c>
      <c r="DG26">
        <f>ROUND(ROUND(AF26,2)*CX26,2)</f>
        <v>0</v>
      </c>
      <c r="DH26">
        <f t="shared" si="4"/>
        <v>0</v>
      </c>
      <c r="DI26">
        <f t="shared" si="5"/>
        <v>0</v>
      </c>
      <c r="DJ26">
        <f>DF26</f>
        <v>13.46</v>
      </c>
      <c r="DK26">
        <v>0</v>
      </c>
      <c r="DL26" t="s">
        <v>6</v>
      </c>
      <c r="DM26">
        <v>0</v>
      </c>
      <c r="DN26" t="s">
        <v>6</v>
      </c>
      <c r="DO26">
        <v>0</v>
      </c>
    </row>
    <row r="27" spans="1:119" x14ac:dyDescent="0.2">
      <c r="A27">
        <f>ROW(Source!A243)</f>
        <v>243</v>
      </c>
      <c r="B27">
        <v>74852007</v>
      </c>
      <c r="C27">
        <v>74852541</v>
      </c>
      <c r="D27">
        <v>72527812</v>
      </c>
      <c r="E27">
        <v>114</v>
      </c>
      <c r="F27">
        <v>1</v>
      </c>
      <c r="G27">
        <v>1</v>
      </c>
      <c r="H27">
        <v>1</v>
      </c>
      <c r="I27" t="s">
        <v>416</v>
      </c>
      <c r="J27" t="s">
        <v>6</v>
      </c>
      <c r="K27" t="s">
        <v>417</v>
      </c>
      <c r="L27">
        <v>1191</v>
      </c>
      <c r="N27">
        <v>1013</v>
      </c>
      <c r="O27" t="s">
        <v>383</v>
      </c>
      <c r="P27" t="s">
        <v>383</v>
      </c>
      <c r="Q27">
        <v>1</v>
      </c>
      <c r="W27">
        <v>0</v>
      </c>
      <c r="X27">
        <v>1733635447</v>
      </c>
      <c r="Y27">
        <f>(AT27*ROUND(1.15,7))</f>
        <v>7.6819999999999995</v>
      </c>
      <c r="AA27">
        <v>0</v>
      </c>
      <c r="AB27">
        <v>0</v>
      </c>
      <c r="AC27">
        <v>0</v>
      </c>
      <c r="AD27">
        <v>319.92</v>
      </c>
      <c r="AE27">
        <v>0</v>
      </c>
      <c r="AF27">
        <v>0</v>
      </c>
      <c r="AG27">
        <v>0</v>
      </c>
      <c r="AH27">
        <v>319.92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6</v>
      </c>
      <c r="AT27">
        <v>6.68</v>
      </c>
      <c r="AU27" t="s">
        <v>117</v>
      </c>
      <c r="AV27">
        <v>1</v>
      </c>
      <c r="AW27">
        <v>2</v>
      </c>
      <c r="AX27">
        <v>74853113</v>
      </c>
      <c r="AY27">
        <v>1</v>
      </c>
      <c r="AZ27">
        <v>0</v>
      </c>
      <c r="BA27">
        <v>35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2137.0655999999999</v>
      </c>
      <c r="BN27">
        <v>6.68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2457.6254399999998</v>
      </c>
      <c r="BU27">
        <v>7.6819999999999995</v>
      </c>
      <c r="BV27">
        <v>0</v>
      </c>
      <c r="BW27">
        <v>1</v>
      </c>
      <c r="CU27">
        <f>ROUND(AT27*Source!I243*AH27*AL27,2)</f>
        <v>906.12</v>
      </c>
      <c r="CV27">
        <f>ROUND(Y27*Source!I243,7)</f>
        <v>3.2571680000000001</v>
      </c>
      <c r="CW27">
        <v>0</v>
      </c>
      <c r="CX27">
        <f>ROUND(Y27*Source!I243,7)</f>
        <v>3.2571680000000001</v>
      </c>
      <c r="CY27">
        <f>AD27</f>
        <v>319.92</v>
      </c>
      <c r="CZ27">
        <f>AH27</f>
        <v>319.92</v>
      </c>
      <c r="DA27">
        <f>AL27</f>
        <v>1</v>
      </c>
      <c r="DB27">
        <f>ROUND((ROUND(AT27*CZ27,2)*ROUND(1.15,7)),2)</f>
        <v>2457.63</v>
      </c>
      <c r="DC27">
        <f>ROUND((ROUND(AT27*AG27,2)*ROUND(1.15,7)),2)</f>
        <v>0</v>
      </c>
      <c r="DD27" t="s">
        <v>6</v>
      </c>
      <c r="DE27" t="s">
        <v>6</v>
      </c>
      <c r="DF27">
        <f>ROUND(ROUND(AE27,2)*CX27,2)</f>
        <v>0</v>
      </c>
      <c r="DG27">
        <f>ROUND(ROUND(AF27,2)*CX27,2)</f>
        <v>0</v>
      </c>
      <c r="DH27">
        <f t="shared" si="4"/>
        <v>0</v>
      </c>
      <c r="DI27">
        <f t="shared" si="5"/>
        <v>1042.03</v>
      </c>
      <c r="DJ27">
        <f>DI27</f>
        <v>1042.03</v>
      </c>
      <c r="DK27">
        <v>1</v>
      </c>
      <c r="DL27" t="s">
        <v>6</v>
      </c>
      <c r="DM27">
        <v>0</v>
      </c>
      <c r="DN27" t="s">
        <v>6</v>
      </c>
      <c r="DO27">
        <v>0</v>
      </c>
    </row>
    <row r="28" spans="1:119" x14ac:dyDescent="0.2">
      <c r="A28">
        <f>ROW(Source!A243)</f>
        <v>243</v>
      </c>
      <c r="B28">
        <v>74852007</v>
      </c>
      <c r="C28">
        <v>74852541</v>
      </c>
      <c r="D28">
        <v>72527995</v>
      </c>
      <c r="E28">
        <v>114</v>
      </c>
      <c r="F28">
        <v>1</v>
      </c>
      <c r="G28">
        <v>1</v>
      </c>
      <c r="H28">
        <v>1</v>
      </c>
      <c r="I28" t="s">
        <v>384</v>
      </c>
      <c r="J28" t="s">
        <v>6</v>
      </c>
      <c r="K28" t="s">
        <v>385</v>
      </c>
      <c r="L28">
        <v>1191</v>
      </c>
      <c r="N28">
        <v>1013</v>
      </c>
      <c r="O28" t="s">
        <v>383</v>
      </c>
      <c r="P28" t="s">
        <v>383</v>
      </c>
      <c r="Q28">
        <v>1</v>
      </c>
      <c r="W28">
        <v>0</v>
      </c>
      <c r="X28">
        <v>-1417349443</v>
      </c>
      <c r="Y28">
        <f>(AT28*ROUND(1.25,7))</f>
        <v>0.05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6</v>
      </c>
      <c r="AT28">
        <v>0.04</v>
      </c>
      <c r="AU28" t="s">
        <v>116</v>
      </c>
      <c r="AV28">
        <v>2</v>
      </c>
      <c r="AW28">
        <v>2</v>
      </c>
      <c r="AX28">
        <v>74853114</v>
      </c>
      <c r="AY28">
        <v>1</v>
      </c>
      <c r="AZ28">
        <v>0</v>
      </c>
      <c r="BA28">
        <v>36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ROUND(Y28*Source!I243,7)</f>
        <v>2.12E-2</v>
      </c>
      <c r="CY28">
        <f>AD28</f>
        <v>0</v>
      </c>
      <c r="CZ28">
        <f>AH28</f>
        <v>0</v>
      </c>
      <c r="DA28">
        <f>AL28</f>
        <v>1</v>
      </c>
      <c r="DB28">
        <f>ROUND((ROUND(AT28*CZ28,2)*ROUND(1.25,7)),2)</f>
        <v>0</v>
      </c>
      <c r="DC28">
        <f>ROUND((ROUND(AT28*AG28,2)*ROUND(1.25,7)),2)</f>
        <v>0</v>
      </c>
      <c r="DD28" t="s">
        <v>6</v>
      </c>
      <c r="DE28" t="s">
        <v>6</v>
      </c>
      <c r="DF28">
        <f>ROUND(ROUND(AE28,2)*CX28,2)</f>
        <v>0</v>
      </c>
      <c r="DG28">
        <f>ROUND(ROUND(AF28,2)*CX28,2)</f>
        <v>0</v>
      </c>
      <c r="DH28">
        <f t="shared" si="4"/>
        <v>0</v>
      </c>
      <c r="DI28">
        <f t="shared" si="5"/>
        <v>0</v>
      </c>
      <c r="DJ28">
        <f>DI28</f>
        <v>0</v>
      </c>
      <c r="DK28">
        <v>0</v>
      </c>
      <c r="DL28" t="s">
        <v>6</v>
      </c>
      <c r="DM28">
        <v>0</v>
      </c>
      <c r="DN28" t="s">
        <v>6</v>
      </c>
      <c r="DO28">
        <v>0</v>
      </c>
    </row>
    <row r="29" spans="1:119" x14ac:dyDescent="0.2">
      <c r="A29">
        <f>ROW(Source!A243)</f>
        <v>243</v>
      </c>
      <c r="B29">
        <v>74852007</v>
      </c>
      <c r="C29">
        <v>74852541</v>
      </c>
      <c r="D29">
        <v>72652626</v>
      </c>
      <c r="E29">
        <v>1</v>
      </c>
      <c r="F29">
        <v>1</v>
      </c>
      <c r="G29">
        <v>1</v>
      </c>
      <c r="H29">
        <v>2</v>
      </c>
      <c r="I29" t="s">
        <v>386</v>
      </c>
      <c r="J29" t="s">
        <v>387</v>
      </c>
      <c r="K29" t="s">
        <v>388</v>
      </c>
      <c r="L29">
        <v>1368</v>
      </c>
      <c r="N29">
        <v>1011</v>
      </c>
      <c r="O29" t="s">
        <v>389</v>
      </c>
      <c r="P29" t="s">
        <v>389</v>
      </c>
      <c r="Q29">
        <v>1</v>
      </c>
      <c r="W29">
        <v>0</v>
      </c>
      <c r="X29">
        <v>-92307625</v>
      </c>
      <c r="Y29">
        <f>(AT29*ROUND(1.25,7))</f>
        <v>6.2500000000000003E-3</v>
      </c>
      <c r="AA29">
        <v>0</v>
      </c>
      <c r="AB29">
        <v>55.23</v>
      </c>
      <c r="AC29">
        <v>297.43</v>
      </c>
      <c r="AD29">
        <v>0</v>
      </c>
      <c r="AE29">
        <v>0</v>
      </c>
      <c r="AF29">
        <v>37.32</v>
      </c>
      <c r="AG29">
        <v>297.43</v>
      </c>
      <c r="AH29">
        <v>0</v>
      </c>
      <c r="AI29">
        <v>1</v>
      </c>
      <c r="AJ29">
        <v>1.48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6</v>
      </c>
      <c r="AT29">
        <v>5.0000000000000001E-3</v>
      </c>
      <c r="AU29" t="s">
        <v>116</v>
      </c>
      <c r="AV29">
        <v>1</v>
      </c>
      <c r="AW29">
        <v>2</v>
      </c>
      <c r="AX29">
        <v>74853115</v>
      </c>
      <c r="AY29">
        <v>1</v>
      </c>
      <c r="AZ29">
        <v>0</v>
      </c>
      <c r="BA29">
        <v>37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0.18660000000000002</v>
      </c>
      <c r="BL29">
        <v>1.48715</v>
      </c>
      <c r="BM29">
        <v>0</v>
      </c>
      <c r="BN29">
        <v>0</v>
      </c>
      <c r="BO29">
        <v>5.0000000000000001E-3</v>
      </c>
      <c r="BP29">
        <v>1</v>
      </c>
      <c r="BQ29">
        <v>0</v>
      </c>
      <c r="BR29">
        <v>0.23325000000000001</v>
      </c>
      <c r="BS29">
        <v>1.8589375000000001</v>
      </c>
      <c r="BT29">
        <v>0</v>
      </c>
      <c r="BU29">
        <v>0</v>
      </c>
      <c r="BV29">
        <v>6.2500000000000003E-3</v>
      </c>
      <c r="BW29">
        <v>1</v>
      </c>
      <c r="CV29">
        <v>0</v>
      </c>
      <c r="CW29">
        <f>ROUND(Y29*Source!I243*DO29,7)</f>
        <v>2.65E-3</v>
      </c>
      <c r="CX29">
        <f>ROUND(Y29*Source!I243,7)</f>
        <v>2.65E-3</v>
      </c>
      <c r="CY29">
        <f>AB29</f>
        <v>55.23</v>
      </c>
      <c r="CZ29">
        <f>AF29</f>
        <v>37.32</v>
      </c>
      <c r="DA29">
        <f>AJ29</f>
        <v>1.48</v>
      </c>
      <c r="DB29">
        <f>ROUND((ROUND(AT29*CZ29,2)*ROUND(1.25,7)),2)</f>
        <v>0.24</v>
      </c>
      <c r="DC29">
        <f>ROUND((ROUND(AT29*AG29,2)*ROUND(1.25,7)),2)</f>
        <v>1.86</v>
      </c>
      <c r="DD29" t="s">
        <v>6</v>
      </c>
      <c r="DE29" t="s">
        <v>6</v>
      </c>
      <c r="DF29">
        <f>ROUND(ROUND(AE29,2)*CX29,2)</f>
        <v>0</v>
      </c>
      <c r="DG29">
        <f>ROUND(ROUND(AF29*AJ29,2)*CX29,2)</f>
        <v>0.15</v>
      </c>
      <c r="DH29">
        <f t="shared" si="4"/>
        <v>0.79</v>
      </c>
      <c r="DI29">
        <f t="shared" si="5"/>
        <v>0</v>
      </c>
      <c r="DJ29">
        <f>DG29+DH29</f>
        <v>0.94000000000000006</v>
      </c>
      <c r="DK29">
        <v>0</v>
      </c>
      <c r="DL29" t="s">
        <v>390</v>
      </c>
      <c r="DM29">
        <v>3</v>
      </c>
      <c r="DN29" t="s">
        <v>383</v>
      </c>
      <c r="DO29">
        <v>1</v>
      </c>
    </row>
    <row r="30" spans="1:119" x14ac:dyDescent="0.2">
      <c r="A30">
        <f>ROW(Source!A243)</f>
        <v>243</v>
      </c>
      <c r="B30">
        <v>74852007</v>
      </c>
      <c r="C30">
        <v>74852541</v>
      </c>
      <c r="D30">
        <v>72653331</v>
      </c>
      <c r="E30">
        <v>1</v>
      </c>
      <c r="F30">
        <v>1</v>
      </c>
      <c r="G30">
        <v>1</v>
      </c>
      <c r="H30">
        <v>2</v>
      </c>
      <c r="I30" t="s">
        <v>409</v>
      </c>
      <c r="J30" t="s">
        <v>410</v>
      </c>
      <c r="K30" t="s">
        <v>411</v>
      </c>
      <c r="L30">
        <v>1368</v>
      </c>
      <c r="N30">
        <v>1011</v>
      </c>
      <c r="O30" t="s">
        <v>389</v>
      </c>
      <c r="P30" t="s">
        <v>389</v>
      </c>
      <c r="Q30">
        <v>1</v>
      </c>
      <c r="W30">
        <v>0</v>
      </c>
      <c r="X30">
        <v>-1152394969</v>
      </c>
      <c r="Y30">
        <f>(AT30*ROUND(1.25,7))</f>
        <v>3.7499999999999999E-2</v>
      </c>
      <c r="AA30">
        <v>0</v>
      </c>
      <c r="AB30">
        <v>611</v>
      </c>
      <c r="AC30">
        <v>334.92</v>
      </c>
      <c r="AD30">
        <v>0</v>
      </c>
      <c r="AE30">
        <v>0</v>
      </c>
      <c r="AF30">
        <v>611</v>
      </c>
      <c r="AG30">
        <v>334.92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6</v>
      </c>
      <c r="AT30">
        <v>0.03</v>
      </c>
      <c r="AU30" t="s">
        <v>116</v>
      </c>
      <c r="AV30">
        <v>1</v>
      </c>
      <c r="AW30">
        <v>2</v>
      </c>
      <c r="AX30">
        <v>74853116</v>
      </c>
      <c r="AY30">
        <v>1</v>
      </c>
      <c r="AZ30">
        <v>0</v>
      </c>
      <c r="BA30">
        <v>38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18.329999999999998</v>
      </c>
      <c r="BL30">
        <v>10.047600000000001</v>
      </c>
      <c r="BM30">
        <v>0</v>
      </c>
      <c r="BN30">
        <v>0</v>
      </c>
      <c r="BO30">
        <v>0.03</v>
      </c>
      <c r="BP30">
        <v>1</v>
      </c>
      <c r="BQ30">
        <v>0</v>
      </c>
      <c r="BR30">
        <v>22.912499999999998</v>
      </c>
      <c r="BS30">
        <v>12.5595</v>
      </c>
      <c r="BT30">
        <v>0</v>
      </c>
      <c r="BU30">
        <v>0</v>
      </c>
      <c r="BV30">
        <v>3.7499999999999999E-2</v>
      </c>
      <c r="BW30">
        <v>1</v>
      </c>
      <c r="CV30">
        <v>0</v>
      </c>
      <c r="CW30">
        <f>ROUND(Y30*Source!I243*DO30,7)</f>
        <v>1.5900000000000001E-2</v>
      </c>
      <c r="CX30">
        <f>ROUND(Y30*Source!I243,7)</f>
        <v>1.5900000000000001E-2</v>
      </c>
      <c r="CY30">
        <f>AB30</f>
        <v>611</v>
      </c>
      <c r="CZ30">
        <f>AF30</f>
        <v>611</v>
      </c>
      <c r="DA30">
        <f>AJ30</f>
        <v>1</v>
      </c>
      <c r="DB30">
        <f>ROUND((ROUND(AT30*CZ30,2)*ROUND(1.25,7)),2)</f>
        <v>22.91</v>
      </c>
      <c r="DC30">
        <f>ROUND((ROUND(AT30*AG30,2)*ROUND(1.25,7)),2)</f>
        <v>12.56</v>
      </c>
      <c r="DD30" t="s">
        <v>6</v>
      </c>
      <c r="DE30" t="s">
        <v>6</v>
      </c>
      <c r="DF30">
        <f>ROUND(ROUND(AE30,2)*CX30,2)</f>
        <v>0</v>
      </c>
      <c r="DG30">
        <f t="shared" ref="DG30:DG41" si="7">ROUND(ROUND(AF30,2)*CX30,2)</f>
        <v>9.7100000000000009</v>
      </c>
      <c r="DH30">
        <f t="shared" si="4"/>
        <v>5.33</v>
      </c>
      <c r="DI30">
        <f t="shared" si="5"/>
        <v>0</v>
      </c>
      <c r="DJ30">
        <f>DG30+DH30</f>
        <v>15.040000000000001</v>
      </c>
      <c r="DK30">
        <v>1</v>
      </c>
      <c r="DL30" t="s">
        <v>412</v>
      </c>
      <c r="DM30">
        <v>4</v>
      </c>
      <c r="DN30" t="s">
        <v>383</v>
      </c>
      <c r="DO30">
        <v>1</v>
      </c>
    </row>
    <row r="31" spans="1:119" x14ac:dyDescent="0.2">
      <c r="A31">
        <f>ROW(Source!A243)</f>
        <v>243</v>
      </c>
      <c r="B31">
        <v>74852007</v>
      </c>
      <c r="C31">
        <v>74852541</v>
      </c>
      <c r="D31">
        <v>72599529</v>
      </c>
      <c r="E31">
        <v>1</v>
      </c>
      <c r="F31">
        <v>1</v>
      </c>
      <c r="G31">
        <v>1</v>
      </c>
      <c r="H31">
        <v>3</v>
      </c>
      <c r="I31" t="s">
        <v>418</v>
      </c>
      <c r="J31" t="s">
        <v>419</v>
      </c>
      <c r="K31" t="s">
        <v>420</v>
      </c>
      <c r="L31">
        <v>1383</v>
      </c>
      <c r="N31">
        <v>1013</v>
      </c>
      <c r="O31" t="s">
        <v>421</v>
      </c>
      <c r="P31" t="s">
        <v>421</v>
      </c>
      <c r="Q31">
        <v>1</v>
      </c>
      <c r="W31">
        <v>0</v>
      </c>
      <c r="X31">
        <v>-2119218604</v>
      </c>
      <c r="Y31">
        <f t="shared" ref="Y31:Y36" si="8">AT31</f>
        <v>2.5407999999999999</v>
      </c>
      <c r="AA31">
        <v>7.94</v>
      </c>
      <c r="AB31">
        <v>0</v>
      </c>
      <c r="AC31">
        <v>0</v>
      </c>
      <c r="AD31">
        <v>0</v>
      </c>
      <c r="AE31">
        <v>7.94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6</v>
      </c>
      <c r="AT31">
        <v>2.5407999999999999</v>
      </c>
      <c r="AU31" t="s">
        <v>6</v>
      </c>
      <c r="AV31">
        <v>0</v>
      </c>
      <c r="AW31">
        <v>2</v>
      </c>
      <c r="AX31">
        <v>74853117</v>
      </c>
      <c r="AY31">
        <v>1</v>
      </c>
      <c r="AZ31">
        <v>0</v>
      </c>
      <c r="BA31">
        <v>39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20.173952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20.173952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v>0</v>
      </c>
      <c r="CX31">
        <f>ROUND(Y31*Source!I243,7)</f>
        <v>1.0772991999999999</v>
      </c>
      <c r="CY31">
        <f t="shared" ref="CY31:CY36" si="9">AA31</f>
        <v>7.94</v>
      </c>
      <c r="CZ31">
        <f t="shared" ref="CZ31:CZ36" si="10">AE31</f>
        <v>7.94</v>
      </c>
      <c r="DA31">
        <f t="shared" ref="DA31:DA36" si="11">AI31</f>
        <v>1</v>
      </c>
      <c r="DB31">
        <f t="shared" ref="DB31:DB36" si="12">ROUND(ROUND(AT31*CZ31,2),2)</f>
        <v>20.170000000000002</v>
      </c>
      <c r="DC31">
        <f t="shared" ref="DC31:DC36" si="13">ROUND(ROUND(AT31*AG31,2),2)</f>
        <v>0</v>
      </c>
      <c r="DD31" t="s">
        <v>6</v>
      </c>
      <c r="DE31" t="s">
        <v>6</v>
      </c>
      <c r="DF31">
        <f>ROUND(ROUND(AE31,2)*CX31,2)</f>
        <v>8.5500000000000007</v>
      </c>
      <c r="DG31">
        <f t="shared" si="7"/>
        <v>0</v>
      </c>
      <c r="DH31">
        <f t="shared" si="4"/>
        <v>0</v>
      </c>
      <c r="DI31">
        <f t="shared" si="5"/>
        <v>0</v>
      </c>
      <c r="DJ31">
        <f t="shared" ref="DJ31:DJ36" si="14">DF31</f>
        <v>8.5500000000000007</v>
      </c>
      <c r="DK31">
        <v>1</v>
      </c>
      <c r="DL31" t="s">
        <v>6</v>
      </c>
      <c r="DM31">
        <v>0</v>
      </c>
      <c r="DN31" t="s">
        <v>6</v>
      </c>
      <c r="DO31">
        <v>0</v>
      </c>
    </row>
    <row r="32" spans="1:119" x14ac:dyDescent="0.2">
      <c r="A32">
        <f>ROW(Source!A243)</f>
        <v>243</v>
      </c>
      <c r="B32">
        <v>74852007</v>
      </c>
      <c r="C32">
        <v>74852541</v>
      </c>
      <c r="D32">
        <v>72601076</v>
      </c>
      <c r="E32">
        <v>1</v>
      </c>
      <c r="F32">
        <v>1</v>
      </c>
      <c r="G32">
        <v>1</v>
      </c>
      <c r="H32">
        <v>3</v>
      </c>
      <c r="I32" t="s">
        <v>422</v>
      </c>
      <c r="J32" t="s">
        <v>423</v>
      </c>
      <c r="K32" t="s">
        <v>424</v>
      </c>
      <c r="L32">
        <v>1407</v>
      </c>
      <c r="N32">
        <v>1013</v>
      </c>
      <c r="O32" t="s">
        <v>425</v>
      </c>
      <c r="P32" t="s">
        <v>425</v>
      </c>
      <c r="Q32">
        <v>1</v>
      </c>
      <c r="W32">
        <v>0</v>
      </c>
      <c r="X32">
        <v>619602462</v>
      </c>
      <c r="Y32">
        <f t="shared" si="8"/>
        <v>0.26300000000000001</v>
      </c>
      <c r="AA32">
        <v>222.89</v>
      </c>
      <c r="AB32">
        <v>0</v>
      </c>
      <c r="AC32">
        <v>0</v>
      </c>
      <c r="AD32">
        <v>0</v>
      </c>
      <c r="AE32">
        <v>174.13</v>
      </c>
      <c r="AF32">
        <v>0</v>
      </c>
      <c r="AG32">
        <v>0</v>
      </c>
      <c r="AH32">
        <v>0</v>
      </c>
      <c r="AI32">
        <v>1.28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6</v>
      </c>
      <c r="AT32">
        <v>0.26300000000000001</v>
      </c>
      <c r="AU32" t="s">
        <v>6</v>
      </c>
      <c r="AV32">
        <v>0</v>
      </c>
      <c r="AW32">
        <v>2</v>
      </c>
      <c r="AX32">
        <v>74853118</v>
      </c>
      <c r="AY32">
        <v>1</v>
      </c>
      <c r="AZ32">
        <v>0</v>
      </c>
      <c r="BA32">
        <v>40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45.796190000000003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45.796190000000003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ROUND(Y32*Source!I243,7)</f>
        <v>0.111512</v>
      </c>
      <c r="CY32">
        <f t="shared" si="9"/>
        <v>222.89</v>
      </c>
      <c r="CZ32">
        <f t="shared" si="10"/>
        <v>174.13</v>
      </c>
      <c r="DA32">
        <f t="shared" si="11"/>
        <v>1.28</v>
      </c>
      <c r="DB32">
        <f t="shared" si="12"/>
        <v>45.8</v>
      </c>
      <c r="DC32">
        <f t="shared" si="13"/>
        <v>0</v>
      </c>
      <c r="DD32" t="s">
        <v>6</v>
      </c>
      <c r="DE32" t="s">
        <v>6</v>
      </c>
      <c r="DF32">
        <f>ROUND(ROUND(AE32*AI32,2)*CX32,2)</f>
        <v>24.85</v>
      </c>
      <c r="DG32">
        <f t="shared" si="7"/>
        <v>0</v>
      </c>
      <c r="DH32">
        <f t="shared" si="4"/>
        <v>0</v>
      </c>
      <c r="DI32">
        <f t="shared" si="5"/>
        <v>0</v>
      </c>
      <c r="DJ32">
        <f t="shared" si="14"/>
        <v>24.85</v>
      </c>
      <c r="DK32">
        <v>0</v>
      </c>
      <c r="DL32" t="s">
        <v>6</v>
      </c>
      <c r="DM32">
        <v>0</v>
      </c>
      <c r="DN32" t="s">
        <v>6</v>
      </c>
      <c r="DO32">
        <v>0</v>
      </c>
    </row>
    <row r="33" spans="1:119" x14ac:dyDescent="0.2">
      <c r="A33">
        <f>ROW(Source!A243)</f>
        <v>243</v>
      </c>
      <c r="B33">
        <v>74852007</v>
      </c>
      <c r="C33">
        <v>74852541</v>
      </c>
      <c r="D33">
        <v>72601377</v>
      </c>
      <c r="E33">
        <v>1</v>
      </c>
      <c r="F33">
        <v>1</v>
      </c>
      <c r="G33">
        <v>1</v>
      </c>
      <c r="H33">
        <v>3</v>
      </c>
      <c r="I33" t="s">
        <v>426</v>
      </c>
      <c r="J33" t="s">
        <v>427</v>
      </c>
      <c r="K33" t="s">
        <v>428</v>
      </c>
      <c r="L33">
        <v>1425</v>
      </c>
      <c r="N33">
        <v>1013</v>
      </c>
      <c r="O33" t="s">
        <v>222</v>
      </c>
      <c r="P33" t="s">
        <v>222</v>
      </c>
      <c r="Q33">
        <v>1</v>
      </c>
      <c r="W33">
        <v>0</v>
      </c>
      <c r="X33">
        <v>-318332837</v>
      </c>
      <c r="Y33">
        <f t="shared" si="8"/>
        <v>2.63</v>
      </c>
      <c r="AA33">
        <v>113.74</v>
      </c>
      <c r="AB33">
        <v>0</v>
      </c>
      <c r="AC33">
        <v>0</v>
      </c>
      <c r="AD33">
        <v>0</v>
      </c>
      <c r="AE33">
        <v>88.86</v>
      </c>
      <c r="AF33">
        <v>0</v>
      </c>
      <c r="AG33">
        <v>0</v>
      </c>
      <c r="AH33">
        <v>0</v>
      </c>
      <c r="AI33">
        <v>1.28</v>
      </c>
      <c r="AJ33">
        <v>1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6</v>
      </c>
      <c r="AT33">
        <v>2.63</v>
      </c>
      <c r="AU33" t="s">
        <v>6</v>
      </c>
      <c r="AV33">
        <v>0</v>
      </c>
      <c r="AW33">
        <v>2</v>
      </c>
      <c r="AX33">
        <v>74853119</v>
      </c>
      <c r="AY33">
        <v>1</v>
      </c>
      <c r="AZ33">
        <v>0</v>
      </c>
      <c r="BA33">
        <v>41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233.70179999999999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233.70179999999999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V33">
        <v>0</v>
      </c>
      <c r="CW33">
        <v>0</v>
      </c>
      <c r="CX33">
        <f>ROUND(Y33*Source!I243,7)</f>
        <v>1.1151199999999999</v>
      </c>
      <c r="CY33">
        <f t="shared" si="9"/>
        <v>113.74</v>
      </c>
      <c r="CZ33">
        <f t="shared" si="10"/>
        <v>88.86</v>
      </c>
      <c r="DA33">
        <f t="shared" si="11"/>
        <v>1.28</v>
      </c>
      <c r="DB33">
        <f t="shared" si="12"/>
        <v>233.7</v>
      </c>
      <c r="DC33">
        <f t="shared" si="13"/>
        <v>0</v>
      </c>
      <c r="DD33" t="s">
        <v>6</v>
      </c>
      <c r="DE33" t="s">
        <v>6</v>
      </c>
      <c r="DF33">
        <f>ROUND(ROUND(AE33*AI33,2)*CX33,2)</f>
        <v>126.83</v>
      </c>
      <c r="DG33">
        <f t="shared" si="7"/>
        <v>0</v>
      </c>
      <c r="DH33">
        <f t="shared" ref="DH33:DH64" si="15">ROUND(ROUND(AG33,2)*CX33,2)</f>
        <v>0</v>
      </c>
      <c r="DI33">
        <f t="shared" ref="DI33:DI64" si="16">ROUND(ROUND(AH33,2)*CX33,2)</f>
        <v>0</v>
      </c>
      <c r="DJ33">
        <f t="shared" si="14"/>
        <v>126.83</v>
      </c>
      <c r="DK33">
        <v>0</v>
      </c>
      <c r="DL33" t="s">
        <v>6</v>
      </c>
      <c r="DM33">
        <v>0</v>
      </c>
      <c r="DN33" t="s">
        <v>6</v>
      </c>
      <c r="DO33">
        <v>0</v>
      </c>
    </row>
    <row r="34" spans="1:119" x14ac:dyDescent="0.2">
      <c r="A34">
        <f>ROW(Source!A243)</f>
        <v>243</v>
      </c>
      <c r="B34">
        <v>74852007</v>
      </c>
      <c r="C34">
        <v>74852541</v>
      </c>
      <c r="D34">
        <v>72611754</v>
      </c>
      <c r="E34">
        <v>1</v>
      </c>
      <c r="F34">
        <v>1</v>
      </c>
      <c r="G34">
        <v>1</v>
      </c>
      <c r="H34">
        <v>3</v>
      </c>
      <c r="I34" t="s">
        <v>429</v>
      </c>
      <c r="J34" t="s">
        <v>430</v>
      </c>
      <c r="K34" t="s">
        <v>431</v>
      </c>
      <c r="L34">
        <v>1425</v>
      </c>
      <c r="N34">
        <v>1013</v>
      </c>
      <c r="O34" t="s">
        <v>222</v>
      </c>
      <c r="P34" t="s">
        <v>222</v>
      </c>
      <c r="Q34">
        <v>1</v>
      </c>
      <c r="W34">
        <v>0</v>
      </c>
      <c r="X34">
        <v>-2031199137</v>
      </c>
      <c r="Y34">
        <f t="shared" si="8"/>
        <v>0.16</v>
      </c>
      <c r="AA34">
        <v>2323.4</v>
      </c>
      <c r="AB34">
        <v>0</v>
      </c>
      <c r="AC34">
        <v>0</v>
      </c>
      <c r="AD34">
        <v>0</v>
      </c>
      <c r="AE34">
        <v>1815.16</v>
      </c>
      <c r="AF34">
        <v>0</v>
      </c>
      <c r="AG34">
        <v>0</v>
      </c>
      <c r="AH34">
        <v>0</v>
      </c>
      <c r="AI34">
        <v>1.28</v>
      </c>
      <c r="AJ34">
        <v>1</v>
      </c>
      <c r="AK34">
        <v>1</v>
      </c>
      <c r="AL34">
        <v>1</v>
      </c>
      <c r="AM34">
        <v>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6</v>
      </c>
      <c r="AT34">
        <v>0.16</v>
      </c>
      <c r="AU34" t="s">
        <v>6</v>
      </c>
      <c r="AV34">
        <v>0</v>
      </c>
      <c r="AW34">
        <v>2</v>
      </c>
      <c r="AX34">
        <v>74853121</v>
      </c>
      <c r="AY34">
        <v>1</v>
      </c>
      <c r="AZ34">
        <v>0</v>
      </c>
      <c r="BA34">
        <v>43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290.42560000000003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290.42560000000003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CV34">
        <v>0</v>
      </c>
      <c r="CW34">
        <v>0</v>
      </c>
      <c r="CX34">
        <f>ROUND(Y34*Source!I243,7)</f>
        <v>6.7839999999999998E-2</v>
      </c>
      <c r="CY34">
        <f t="shared" si="9"/>
        <v>2323.4</v>
      </c>
      <c r="CZ34">
        <f t="shared" si="10"/>
        <v>1815.16</v>
      </c>
      <c r="DA34">
        <f t="shared" si="11"/>
        <v>1.28</v>
      </c>
      <c r="DB34">
        <f t="shared" si="12"/>
        <v>290.43</v>
      </c>
      <c r="DC34">
        <f t="shared" si="13"/>
        <v>0</v>
      </c>
      <c r="DD34" t="s">
        <v>6</v>
      </c>
      <c r="DE34" t="s">
        <v>6</v>
      </c>
      <c r="DF34">
        <f>ROUND(ROUND(AE34*AI34,2)*CX34,2)</f>
        <v>157.62</v>
      </c>
      <c r="DG34">
        <f t="shared" si="7"/>
        <v>0</v>
      </c>
      <c r="DH34">
        <f t="shared" si="15"/>
        <v>0</v>
      </c>
      <c r="DI34">
        <f t="shared" si="16"/>
        <v>0</v>
      </c>
      <c r="DJ34">
        <f t="shared" si="14"/>
        <v>157.62</v>
      </c>
      <c r="DK34">
        <v>0</v>
      </c>
      <c r="DL34" t="s">
        <v>6</v>
      </c>
      <c r="DM34">
        <v>0</v>
      </c>
      <c r="DN34" t="s">
        <v>6</v>
      </c>
      <c r="DO34">
        <v>0</v>
      </c>
    </row>
    <row r="35" spans="1:119" x14ac:dyDescent="0.2">
      <c r="A35">
        <f>ROW(Source!A243)</f>
        <v>243</v>
      </c>
      <c r="B35">
        <v>74852007</v>
      </c>
      <c r="C35">
        <v>74852541</v>
      </c>
      <c r="D35">
        <v>72611755</v>
      </c>
      <c r="E35">
        <v>1</v>
      </c>
      <c r="F35">
        <v>1</v>
      </c>
      <c r="G35">
        <v>1</v>
      </c>
      <c r="H35">
        <v>3</v>
      </c>
      <c r="I35" t="s">
        <v>432</v>
      </c>
      <c r="J35" t="s">
        <v>433</v>
      </c>
      <c r="K35" t="s">
        <v>434</v>
      </c>
      <c r="L35">
        <v>1425</v>
      </c>
      <c r="N35">
        <v>1013</v>
      </c>
      <c r="O35" t="s">
        <v>222</v>
      </c>
      <c r="P35" t="s">
        <v>222</v>
      </c>
      <c r="Q35">
        <v>1</v>
      </c>
      <c r="W35">
        <v>0</v>
      </c>
      <c r="X35">
        <v>-39529272</v>
      </c>
      <c r="Y35">
        <f t="shared" si="8"/>
        <v>0.4</v>
      </c>
      <c r="AA35">
        <v>1853.95</v>
      </c>
      <c r="AB35">
        <v>0</v>
      </c>
      <c r="AC35">
        <v>0</v>
      </c>
      <c r="AD35">
        <v>0</v>
      </c>
      <c r="AE35">
        <v>1448.4</v>
      </c>
      <c r="AF35">
        <v>0</v>
      </c>
      <c r="AG35">
        <v>0</v>
      </c>
      <c r="AH35">
        <v>0</v>
      </c>
      <c r="AI35">
        <v>1.28</v>
      </c>
      <c r="AJ35">
        <v>1</v>
      </c>
      <c r="AK35">
        <v>1</v>
      </c>
      <c r="AL35">
        <v>1</v>
      </c>
      <c r="AM35">
        <v>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6</v>
      </c>
      <c r="AT35">
        <v>0.4</v>
      </c>
      <c r="AU35" t="s">
        <v>6</v>
      </c>
      <c r="AV35">
        <v>0</v>
      </c>
      <c r="AW35">
        <v>2</v>
      </c>
      <c r="AX35">
        <v>74853122</v>
      </c>
      <c r="AY35">
        <v>1</v>
      </c>
      <c r="AZ35">
        <v>0</v>
      </c>
      <c r="BA35">
        <v>44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579.36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579.36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v>0</v>
      </c>
      <c r="CX35">
        <f>ROUND(Y35*Source!I243,7)</f>
        <v>0.1696</v>
      </c>
      <c r="CY35">
        <f t="shared" si="9"/>
        <v>1853.95</v>
      </c>
      <c r="CZ35">
        <f t="shared" si="10"/>
        <v>1448.4</v>
      </c>
      <c r="DA35">
        <f t="shared" si="11"/>
        <v>1.28</v>
      </c>
      <c r="DB35">
        <f t="shared" si="12"/>
        <v>579.36</v>
      </c>
      <c r="DC35">
        <f t="shared" si="13"/>
        <v>0</v>
      </c>
      <c r="DD35" t="s">
        <v>6</v>
      </c>
      <c r="DE35" t="s">
        <v>6</v>
      </c>
      <c r="DF35">
        <f>ROUND(ROUND(AE35*AI35,2)*CX35,2)</f>
        <v>314.43</v>
      </c>
      <c r="DG35">
        <f t="shared" si="7"/>
        <v>0</v>
      </c>
      <c r="DH35">
        <f t="shared" si="15"/>
        <v>0</v>
      </c>
      <c r="DI35">
        <f t="shared" si="16"/>
        <v>0</v>
      </c>
      <c r="DJ35">
        <f t="shared" si="14"/>
        <v>314.43</v>
      </c>
      <c r="DK35">
        <v>0</v>
      </c>
      <c r="DL35" t="s">
        <v>6</v>
      </c>
      <c r="DM35">
        <v>0</v>
      </c>
      <c r="DN35" t="s">
        <v>6</v>
      </c>
      <c r="DO35">
        <v>0</v>
      </c>
    </row>
    <row r="36" spans="1:119" x14ac:dyDescent="0.2">
      <c r="A36">
        <f>ROW(Source!A243)</f>
        <v>243</v>
      </c>
      <c r="B36">
        <v>74852007</v>
      </c>
      <c r="C36">
        <v>74852541</v>
      </c>
      <c r="D36">
        <v>72611756</v>
      </c>
      <c r="E36">
        <v>1</v>
      </c>
      <c r="F36">
        <v>1</v>
      </c>
      <c r="G36">
        <v>1</v>
      </c>
      <c r="H36">
        <v>3</v>
      </c>
      <c r="I36" t="s">
        <v>435</v>
      </c>
      <c r="J36" t="s">
        <v>436</v>
      </c>
      <c r="K36" t="s">
        <v>437</v>
      </c>
      <c r="L36">
        <v>1425</v>
      </c>
      <c r="N36">
        <v>1013</v>
      </c>
      <c r="O36" t="s">
        <v>222</v>
      </c>
      <c r="P36" t="s">
        <v>222</v>
      </c>
      <c r="Q36">
        <v>1</v>
      </c>
      <c r="W36">
        <v>0</v>
      </c>
      <c r="X36">
        <v>1156839519</v>
      </c>
      <c r="Y36">
        <f t="shared" si="8"/>
        <v>0.14000000000000001</v>
      </c>
      <c r="AA36">
        <v>1632.15</v>
      </c>
      <c r="AB36">
        <v>0</v>
      </c>
      <c r="AC36">
        <v>0</v>
      </c>
      <c r="AD36">
        <v>0</v>
      </c>
      <c r="AE36">
        <v>1275.1199999999999</v>
      </c>
      <c r="AF36">
        <v>0</v>
      </c>
      <c r="AG36">
        <v>0</v>
      </c>
      <c r="AH36">
        <v>0</v>
      </c>
      <c r="AI36">
        <v>1.28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6</v>
      </c>
      <c r="AT36">
        <v>0.14000000000000001</v>
      </c>
      <c r="AU36" t="s">
        <v>6</v>
      </c>
      <c r="AV36">
        <v>0</v>
      </c>
      <c r="AW36">
        <v>2</v>
      </c>
      <c r="AX36">
        <v>74853123</v>
      </c>
      <c r="AY36">
        <v>1</v>
      </c>
      <c r="AZ36">
        <v>0</v>
      </c>
      <c r="BA36">
        <v>45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178.51679999999999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178.51679999999999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ROUND(Y36*Source!I243,7)</f>
        <v>5.9360000000000003E-2</v>
      </c>
      <c r="CY36">
        <f t="shared" si="9"/>
        <v>1632.15</v>
      </c>
      <c r="CZ36">
        <f t="shared" si="10"/>
        <v>1275.1199999999999</v>
      </c>
      <c r="DA36">
        <f t="shared" si="11"/>
        <v>1.28</v>
      </c>
      <c r="DB36">
        <f t="shared" si="12"/>
        <v>178.52</v>
      </c>
      <c r="DC36">
        <f t="shared" si="13"/>
        <v>0</v>
      </c>
      <c r="DD36" t="s">
        <v>6</v>
      </c>
      <c r="DE36" t="s">
        <v>6</v>
      </c>
      <c r="DF36">
        <f>ROUND(ROUND(AE36*AI36,2)*CX36,2)</f>
        <v>96.88</v>
      </c>
      <c r="DG36">
        <f t="shared" si="7"/>
        <v>0</v>
      </c>
      <c r="DH36">
        <f t="shared" si="15"/>
        <v>0</v>
      </c>
      <c r="DI36">
        <f t="shared" si="16"/>
        <v>0</v>
      </c>
      <c r="DJ36">
        <f t="shared" si="14"/>
        <v>96.88</v>
      </c>
      <c r="DK36">
        <v>0</v>
      </c>
      <c r="DL36" t="s">
        <v>6</v>
      </c>
      <c r="DM36">
        <v>0</v>
      </c>
      <c r="DN36" t="s">
        <v>6</v>
      </c>
      <c r="DO36">
        <v>0</v>
      </c>
    </row>
    <row r="37" spans="1:119" x14ac:dyDescent="0.2">
      <c r="A37">
        <f>ROW(Source!A245)</f>
        <v>245</v>
      </c>
      <c r="B37">
        <v>74852007</v>
      </c>
      <c r="C37">
        <v>74852565</v>
      </c>
      <c r="D37">
        <v>72527800</v>
      </c>
      <c r="E37">
        <v>114</v>
      </c>
      <c r="F37">
        <v>1</v>
      </c>
      <c r="G37">
        <v>1</v>
      </c>
      <c r="H37">
        <v>1</v>
      </c>
      <c r="I37" t="s">
        <v>391</v>
      </c>
      <c r="J37" t="s">
        <v>6</v>
      </c>
      <c r="K37" t="s">
        <v>392</v>
      </c>
      <c r="L37">
        <v>1191</v>
      </c>
      <c r="N37">
        <v>1013</v>
      </c>
      <c r="O37" t="s">
        <v>383</v>
      </c>
      <c r="P37" t="s">
        <v>383</v>
      </c>
      <c r="Q37">
        <v>1</v>
      </c>
      <c r="W37">
        <v>0</v>
      </c>
      <c r="X37">
        <v>-1833565283</v>
      </c>
      <c r="Y37">
        <f>(AT37*ROUND(1.15,7))</f>
        <v>19.135999999999999</v>
      </c>
      <c r="AA37">
        <v>0</v>
      </c>
      <c r="AB37">
        <v>0</v>
      </c>
      <c r="AC37">
        <v>0</v>
      </c>
      <c r="AD37">
        <v>297.43</v>
      </c>
      <c r="AE37">
        <v>0</v>
      </c>
      <c r="AF37">
        <v>0</v>
      </c>
      <c r="AG37">
        <v>0</v>
      </c>
      <c r="AH37">
        <v>297.43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0</v>
      </c>
      <c r="AP37">
        <v>1</v>
      </c>
      <c r="AQ37">
        <v>1</v>
      </c>
      <c r="AR37">
        <v>0</v>
      </c>
      <c r="AS37" t="s">
        <v>6</v>
      </c>
      <c r="AT37">
        <v>16.64</v>
      </c>
      <c r="AU37" t="s">
        <v>117</v>
      </c>
      <c r="AV37">
        <v>1</v>
      </c>
      <c r="AW37">
        <v>2</v>
      </c>
      <c r="AX37">
        <v>74853125</v>
      </c>
      <c r="AY37">
        <v>1</v>
      </c>
      <c r="AZ37">
        <v>0</v>
      </c>
      <c r="BA37">
        <v>46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4949.2352000000001</v>
      </c>
      <c r="BN37">
        <v>16.64</v>
      </c>
      <c r="BO37">
        <v>0</v>
      </c>
      <c r="BP37">
        <v>1</v>
      </c>
      <c r="BQ37">
        <v>0</v>
      </c>
      <c r="BR37">
        <v>0</v>
      </c>
      <c r="BS37">
        <v>0</v>
      </c>
      <c r="BT37">
        <v>5691.6204799999996</v>
      </c>
      <c r="BU37">
        <v>19.135999999999999</v>
      </c>
      <c r="BV37">
        <v>0</v>
      </c>
      <c r="BW37">
        <v>1</v>
      </c>
      <c r="CU37">
        <f>ROUND(AT37*Source!I245*AH37*AL37,2)</f>
        <v>222.72</v>
      </c>
      <c r="CV37">
        <f>ROUND(Y37*Source!I245,7)</f>
        <v>0.86112</v>
      </c>
      <c r="CW37">
        <v>0</v>
      </c>
      <c r="CX37">
        <f>ROUND(Y37*Source!I245,7)</f>
        <v>0.86112</v>
      </c>
      <c r="CY37">
        <f>AD37</f>
        <v>297.43</v>
      </c>
      <c r="CZ37">
        <f>AH37</f>
        <v>297.43</v>
      </c>
      <c r="DA37">
        <f>AL37</f>
        <v>1</v>
      </c>
      <c r="DB37">
        <f>ROUND((ROUND(AT37*CZ37,2)*ROUND(1.15,7)),2)</f>
        <v>5691.63</v>
      </c>
      <c r="DC37">
        <f>ROUND((ROUND(AT37*AG37,2)*ROUND(1.15,7)),2)</f>
        <v>0</v>
      </c>
      <c r="DD37" t="s">
        <v>6</v>
      </c>
      <c r="DE37" t="s">
        <v>6</v>
      </c>
      <c r="DF37">
        <f>ROUND(ROUND(AE37,2)*CX37,2)</f>
        <v>0</v>
      </c>
      <c r="DG37">
        <f t="shared" si="7"/>
        <v>0</v>
      </c>
      <c r="DH37">
        <f t="shared" si="15"/>
        <v>0</v>
      </c>
      <c r="DI37">
        <f t="shared" si="16"/>
        <v>256.12</v>
      </c>
      <c r="DJ37">
        <f>DI37</f>
        <v>256.12</v>
      </c>
      <c r="DK37">
        <v>1</v>
      </c>
      <c r="DL37" t="s">
        <v>6</v>
      </c>
      <c r="DM37">
        <v>0</v>
      </c>
      <c r="DN37" t="s">
        <v>6</v>
      </c>
      <c r="DO37">
        <v>0</v>
      </c>
    </row>
    <row r="38" spans="1:119" x14ac:dyDescent="0.2">
      <c r="A38">
        <f>ROW(Source!A245)</f>
        <v>245</v>
      </c>
      <c r="B38">
        <v>74852007</v>
      </c>
      <c r="C38">
        <v>74852565</v>
      </c>
      <c r="D38">
        <v>72599529</v>
      </c>
      <c r="E38">
        <v>1</v>
      </c>
      <c r="F38">
        <v>1</v>
      </c>
      <c r="G38">
        <v>1</v>
      </c>
      <c r="H38">
        <v>3</v>
      </c>
      <c r="I38" t="s">
        <v>418</v>
      </c>
      <c r="J38" t="s">
        <v>419</v>
      </c>
      <c r="K38" t="s">
        <v>420</v>
      </c>
      <c r="L38">
        <v>1383</v>
      </c>
      <c r="N38">
        <v>1013</v>
      </c>
      <c r="O38" t="s">
        <v>421</v>
      </c>
      <c r="P38" t="s">
        <v>421</v>
      </c>
      <c r="Q38">
        <v>1</v>
      </c>
      <c r="W38">
        <v>0</v>
      </c>
      <c r="X38">
        <v>-2119218604</v>
      </c>
      <c r="Y38">
        <f t="shared" ref="Y38:Y45" si="17">AT38</f>
        <v>6.8760000000000003</v>
      </c>
      <c r="AA38">
        <v>7.94</v>
      </c>
      <c r="AB38">
        <v>0</v>
      </c>
      <c r="AC38">
        <v>0</v>
      </c>
      <c r="AD38">
        <v>0</v>
      </c>
      <c r="AE38">
        <v>7.94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6</v>
      </c>
      <c r="AT38">
        <v>6.8760000000000003</v>
      </c>
      <c r="AU38" t="s">
        <v>6</v>
      </c>
      <c r="AV38">
        <v>0</v>
      </c>
      <c r="AW38">
        <v>2</v>
      </c>
      <c r="AX38">
        <v>74853126</v>
      </c>
      <c r="AY38">
        <v>1</v>
      </c>
      <c r="AZ38">
        <v>0</v>
      </c>
      <c r="BA38">
        <v>47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54.595440000000004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54.595440000000004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CV38">
        <v>0</v>
      </c>
      <c r="CW38">
        <v>0</v>
      </c>
      <c r="CX38">
        <f>ROUND(Y38*Source!I245,7)</f>
        <v>0.30941999999999997</v>
      </c>
      <c r="CY38">
        <f>AA38</f>
        <v>7.94</v>
      </c>
      <c r="CZ38">
        <f>AE38</f>
        <v>7.94</v>
      </c>
      <c r="DA38">
        <f>AI38</f>
        <v>1</v>
      </c>
      <c r="DB38">
        <f t="shared" ref="DB38:DB45" si="18">ROUND(ROUND(AT38*CZ38,2),2)</f>
        <v>54.6</v>
      </c>
      <c r="DC38">
        <f t="shared" ref="DC38:DC45" si="19">ROUND(ROUND(AT38*AG38,2),2)</f>
        <v>0</v>
      </c>
      <c r="DD38" t="s">
        <v>6</v>
      </c>
      <c r="DE38" t="s">
        <v>6</v>
      </c>
      <c r="DF38">
        <f>ROUND(ROUND(AE38,2)*CX38,2)</f>
        <v>2.46</v>
      </c>
      <c r="DG38">
        <f t="shared" si="7"/>
        <v>0</v>
      </c>
      <c r="DH38">
        <f t="shared" si="15"/>
        <v>0</v>
      </c>
      <c r="DI38">
        <f t="shared" si="16"/>
        <v>0</v>
      </c>
      <c r="DJ38">
        <f>DF38</f>
        <v>2.46</v>
      </c>
      <c r="DK38">
        <v>1</v>
      </c>
      <c r="DL38" t="s">
        <v>6</v>
      </c>
      <c r="DM38">
        <v>0</v>
      </c>
      <c r="DN38" t="s">
        <v>6</v>
      </c>
      <c r="DO38">
        <v>0</v>
      </c>
    </row>
    <row r="39" spans="1:119" x14ac:dyDescent="0.2">
      <c r="A39">
        <f>ROW(Source!A245)</f>
        <v>245</v>
      </c>
      <c r="B39">
        <v>74852007</v>
      </c>
      <c r="C39">
        <v>74852565</v>
      </c>
      <c r="D39">
        <v>72601377</v>
      </c>
      <c r="E39">
        <v>1</v>
      </c>
      <c r="F39">
        <v>1</v>
      </c>
      <c r="G39">
        <v>1</v>
      </c>
      <c r="H39">
        <v>3</v>
      </c>
      <c r="I39" t="s">
        <v>426</v>
      </c>
      <c r="J39" t="s">
        <v>427</v>
      </c>
      <c r="K39" t="s">
        <v>428</v>
      </c>
      <c r="L39">
        <v>1425</v>
      </c>
      <c r="N39">
        <v>1013</v>
      </c>
      <c r="O39" t="s">
        <v>222</v>
      </c>
      <c r="P39" t="s">
        <v>222</v>
      </c>
      <c r="Q39">
        <v>1</v>
      </c>
      <c r="W39">
        <v>0</v>
      </c>
      <c r="X39">
        <v>-318332837</v>
      </c>
      <c r="Y39">
        <f t="shared" si="17"/>
        <v>6.7</v>
      </c>
      <c r="AA39">
        <v>113.74</v>
      </c>
      <c r="AB39">
        <v>0</v>
      </c>
      <c r="AC39">
        <v>0</v>
      </c>
      <c r="AD39">
        <v>0</v>
      </c>
      <c r="AE39">
        <v>88.86</v>
      </c>
      <c r="AF39">
        <v>0</v>
      </c>
      <c r="AG39">
        <v>0</v>
      </c>
      <c r="AH39">
        <v>0</v>
      </c>
      <c r="AI39">
        <v>1.28</v>
      </c>
      <c r="AJ39">
        <v>1</v>
      </c>
      <c r="AK39">
        <v>1</v>
      </c>
      <c r="AL39">
        <v>1</v>
      </c>
      <c r="AM39">
        <v>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6</v>
      </c>
      <c r="AT39">
        <v>6.7</v>
      </c>
      <c r="AU39" t="s">
        <v>6</v>
      </c>
      <c r="AV39">
        <v>0</v>
      </c>
      <c r="AW39">
        <v>2</v>
      </c>
      <c r="AX39">
        <v>74853127</v>
      </c>
      <c r="AY39">
        <v>1</v>
      </c>
      <c r="AZ39">
        <v>0</v>
      </c>
      <c r="BA39">
        <v>48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595.36199999999997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595.36199999999997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v>0</v>
      </c>
      <c r="CX39">
        <f>ROUND(Y39*Source!I245,7)</f>
        <v>0.30149999999999999</v>
      </c>
      <c r="CY39">
        <f>AA39</f>
        <v>113.74</v>
      </c>
      <c r="CZ39">
        <f>AE39</f>
        <v>88.86</v>
      </c>
      <c r="DA39">
        <f>AI39</f>
        <v>1.28</v>
      </c>
      <c r="DB39">
        <f t="shared" si="18"/>
        <v>595.36</v>
      </c>
      <c r="DC39">
        <f t="shared" si="19"/>
        <v>0</v>
      </c>
      <c r="DD39" t="s">
        <v>6</v>
      </c>
      <c r="DE39" t="s">
        <v>6</v>
      </c>
      <c r="DF39">
        <f>ROUND(ROUND(AE39*AI39,2)*CX39,2)</f>
        <v>34.29</v>
      </c>
      <c r="DG39">
        <f t="shared" si="7"/>
        <v>0</v>
      </c>
      <c r="DH39">
        <f t="shared" si="15"/>
        <v>0</v>
      </c>
      <c r="DI39">
        <f t="shared" si="16"/>
        <v>0</v>
      </c>
      <c r="DJ39">
        <f>DF39</f>
        <v>34.29</v>
      </c>
      <c r="DK39">
        <v>0</v>
      </c>
      <c r="DL39" t="s">
        <v>6</v>
      </c>
      <c r="DM39">
        <v>0</v>
      </c>
      <c r="DN39" t="s">
        <v>6</v>
      </c>
      <c r="DO39">
        <v>0</v>
      </c>
    </row>
    <row r="40" spans="1:119" x14ac:dyDescent="0.2">
      <c r="A40">
        <f>ROW(Source!A248)</f>
        <v>248</v>
      </c>
      <c r="B40">
        <v>74852007</v>
      </c>
      <c r="C40">
        <v>74852576</v>
      </c>
      <c r="D40">
        <v>72527766</v>
      </c>
      <c r="E40">
        <v>114</v>
      </c>
      <c r="F40">
        <v>1</v>
      </c>
      <c r="G40">
        <v>1</v>
      </c>
      <c r="H40">
        <v>1</v>
      </c>
      <c r="I40" t="s">
        <v>438</v>
      </c>
      <c r="J40" t="s">
        <v>6</v>
      </c>
      <c r="K40" t="s">
        <v>439</v>
      </c>
      <c r="L40">
        <v>1191</v>
      </c>
      <c r="N40">
        <v>1013</v>
      </c>
      <c r="O40" t="s">
        <v>383</v>
      </c>
      <c r="P40" t="s">
        <v>383</v>
      </c>
      <c r="Q40">
        <v>1</v>
      </c>
      <c r="W40">
        <v>0</v>
      </c>
      <c r="X40">
        <v>-1321739209</v>
      </c>
      <c r="Y40">
        <f t="shared" si="17"/>
        <v>74.3</v>
      </c>
      <c r="AA40">
        <v>0</v>
      </c>
      <c r="AB40">
        <v>0</v>
      </c>
      <c r="AC40">
        <v>0</v>
      </c>
      <c r="AD40">
        <v>274.93</v>
      </c>
      <c r="AE40">
        <v>0</v>
      </c>
      <c r="AF40">
        <v>0</v>
      </c>
      <c r="AG40">
        <v>0</v>
      </c>
      <c r="AH40">
        <v>274.93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6</v>
      </c>
      <c r="AT40">
        <v>74.3</v>
      </c>
      <c r="AU40" t="s">
        <v>6</v>
      </c>
      <c r="AV40">
        <v>1</v>
      </c>
      <c r="AW40">
        <v>2</v>
      </c>
      <c r="AX40">
        <v>74853130</v>
      </c>
      <c r="AY40">
        <v>1</v>
      </c>
      <c r="AZ40">
        <v>0</v>
      </c>
      <c r="BA40">
        <v>50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20427.298999999999</v>
      </c>
      <c r="BN40">
        <v>74.3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20427.298999999999</v>
      </c>
      <c r="BU40">
        <v>74.3</v>
      </c>
      <c r="BV40">
        <v>0</v>
      </c>
      <c r="BW40">
        <v>1</v>
      </c>
      <c r="CU40">
        <f>ROUND(AT40*Source!I248*AH40*AL40,2)</f>
        <v>15218.34</v>
      </c>
      <c r="CV40">
        <f>ROUND(Y40*Source!I248,7)</f>
        <v>55.353499999999997</v>
      </c>
      <c r="CW40">
        <v>0</v>
      </c>
      <c r="CX40">
        <f>ROUND(Y40*Source!I248,7)</f>
        <v>55.353499999999997</v>
      </c>
      <c r="CY40">
        <f>AD40</f>
        <v>274.93</v>
      </c>
      <c r="CZ40">
        <f>AH40</f>
        <v>274.93</v>
      </c>
      <c r="DA40">
        <f>AL40</f>
        <v>1</v>
      </c>
      <c r="DB40">
        <f t="shared" si="18"/>
        <v>20427.3</v>
      </c>
      <c r="DC40">
        <f t="shared" si="19"/>
        <v>0</v>
      </c>
      <c r="DD40" t="s">
        <v>6</v>
      </c>
      <c r="DE40" t="s">
        <v>6</v>
      </c>
      <c r="DF40">
        <f t="shared" ref="DF40:DF49" si="20">ROUND(ROUND(AE40,2)*CX40,2)</f>
        <v>0</v>
      </c>
      <c r="DG40">
        <f t="shared" si="7"/>
        <v>0</v>
      </c>
      <c r="DH40">
        <f t="shared" si="15"/>
        <v>0</v>
      </c>
      <c r="DI40">
        <f t="shared" si="16"/>
        <v>15218.34</v>
      </c>
      <c r="DJ40">
        <f>DI40</f>
        <v>15218.34</v>
      </c>
      <c r="DK40">
        <v>1</v>
      </c>
      <c r="DL40" t="s">
        <v>6</v>
      </c>
      <c r="DM40">
        <v>0</v>
      </c>
      <c r="DN40" t="s">
        <v>6</v>
      </c>
      <c r="DO40">
        <v>0</v>
      </c>
    </row>
    <row r="41" spans="1:119" x14ac:dyDescent="0.2">
      <c r="A41">
        <f>ROW(Source!A248)</f>
        <v>248</v>
      </c>
      <c r="B41">
        <v>74852007</v>
      </c>
      <c r="C41">
        <v>74852576</v>
      </c>
      <c r="D41">
        <v>72527995</v>
      </c>
      <c r="E41">
        <v>114</v>
      </c>
      <c r="F41">
        <v>1</v>
      </c>
      <c r="G41">
        <v>1</v>
      </c>
      <c r="H41">
        <v>1</v>
      </c>
      <c r="I41" t="s">
        <v>384</v>
      </c>
      <c r="J41" t="s">
        <v>6</v>
      </c>
      <c r="K41" t="s">
        <v>385</v>
      </c>
      <c r="L41">
        <v>1191</v>
      </c>
      <c r="N41">
        <v>1013</v>
      </c>
      <c r="O41" t="s">
        <v>383</v>
      </c>
      <c r="P41" t="s">
        <v>383</v>
      </c>
      <c r="Q41">
        <v>1</v>
      </c>
      <c r="W41">
        <v>0</v>
      </c>
      <c r="X41">
        <v>-1417349443</v>
      </c>
      <c r="Y41">
        <f t="shared" si="17"/>
        <v>0.35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6</v>
      </c>
      <c r="AT41">
        <v>0.35</v>
      </c>
      <c r="AU41" t="s">
        <v>6</v>
      </c>
      <c r="AV41">
        <v>2</v>
      </c>
      <c r="AW41">
        <v>2</v>
      </c>
      <c r="AX41">
        <v>74853131</v>
      </c>
      <c r="AY41">
        <v>1</v>
      </c>
      <c r="AZ41">
        <v>0</v>
      </c>
      <c r="BA41">
        <v>51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ROUND(Y41*Source!I248,7)</f>
        <v>0.26074999999999998</v>
      </c>
      <c r="CY41">
        <f>AD41</f>
        <v>0</v>
      </c>
      <c r="CZ41">
        <f>AH41</f>
        <v>0</v>
      </c>
      <c r="DA41">
        <f>AL41</f>
        <v>1</v>
      </c>
      <c r="DB41">
        <f t="shared" si="18"/>
        <v>0</v>
      </c>
      <c r="DC41">
        <f t="shared" si="19"/>
        <v>0</v>
      </c>
      <c r="DD41" t="s">
        <v>6</v>
      </c>
      <c r="DE41" t="s">
        <v>6</v>
      </c>
      <c r="DF41">
        <f t="shared" si="20"/>
        <v>0</v>
      </c>
      <c r="DG41">
        <f t="shared" si="7"/>
        <v>0</v>
      </c>
      <c r="DH41">
        <f t="shared" si="15"/>
        <v>0</v>
      </c>
      <c r="DI41">
        <f t="shared" si="16"/>
        <v>0</v>
      </c>
      <c r="DJ41">
        <f>DI41</f>
        <v>0</v>
      </c>
      <c r="DK41">
        <v>0</v>
      </c>
      <c r="DL41" t="s">
        <v>6</v>
      </c>
      <c r="DM41">
        <v>0</v>
      </c>
      <c r="DN41" t="s">
        <v>6</v>
      </c>
      <c r="DO41">
        <v>0</v>
      </c>
    </row>
    <row r="42" spans="1:119" x14ac:dyDescent="0.2">
      <c r="A42">
        <f>ROW(Source!A248)</f>
        <v>248</v>
      </c>
      <c r="B42">
        <v>74852007</v>
      </c>
      <c r="C42">
        <v>74852576</v>
      </c>
      <c r="D42">
        <v>72652626</v>
      </c>
      <c r="E42">
        <v>1</v>
      </c>
      <c r="F42">
        <v>1</v>
      </c>
      <c r="G42">
        <v>1</v>
      </c>
      <c r="H42">
        <v>2</v>
      </c>
      <c r="I42" t="s">
        <v>386</v>
      </c>
      <c r="J42" t="s">
        <v>387</v>
      </c>
      <c r="K42" t="s">
        <v>388</v>
      </c>
      <c r="L42">
        <v>1368</v>
      </c>
      <c r="N42">
        <v>1011</v>
      </c>
      <c r="O42" t="s">
        <v>389</v>
      </c>
      <c r="P42" t="s">
        <v>389</v>
      </c>
      <c r="Q42">
        <v>1</v>
      </c>
      <c r="W42">
        <v>0</v>
      </c>
      <c r="X42">
        <v>-92307625</v>
      </c>
      <c r="Y42">
        <f t="shared" si="17"/>
        <v>0.35</v>
      </c>
      <c r="AA42">
        <v>0</v>
      </c>
      <c r="AB42">
        <v>55.23</v>
      </c>
      <c r="AC42">
        <v>297.43</v>
      </c>
      <c r="AD42">
        <v>0</v>
      </c>
      <c r="AE42">
        <v>0</v>
      </c>
      <c r="AF42">
        <v>37.32</v>
      </c>
      <c r="AG42">
        <v>297.43</v>
      </c>
      <c r="AH42">
        <v>0</v>
      </c>
      <c r="AI42">
        <v>1</v>
      </c>
      <c r="AJ42">
        <v>1.48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6</v>
      </c>
      <c r="AT42">
        <v>0.35</v>
      </c>
      <c r="AU42" t="s">
        <v>6</v>
      </c>
      <c r="AV42">
        <v>1</v>
      </c>
      <c r="AW42">
        <v>2</v>
      </c>
      <c r="AX42">
        <v>74853132</v>
      </c>
      <c r="AY42">
        <v>1</v>
      </c>
      <c r="AZ42">
        <v>0</v>
      </c>
      <c r="BA42">
        <v>52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13.061999999999999</v>
      </c>
      <c r="BL42">
        <v>104.1005</v>
      </c>
      <c r="BM42">
        <v>0</v>
      </c>
      <c r="BN42">
        <v>0</v>
      </c>
      <c r="BO42">
        <v>0.35</v>
      </c>
      <c r="BP42">
        <v>1</v>
      </c>
      <c r="BQ42">
        <v>0</v>
      </c>
      <c r="BR42">
        <v>13.061999999999999</v>
      </c>
      <c r="BS42">
        <v>104.1005</v>
      </c>
      <c r="BT42">
        <v>0</v>
      </c>
      <c r="BU42">
        <v>0</v>
      </c>
      <c r="BV42">
        <v>0.35</v>
      </c>
      <c r="BW42">
        <v>1</v>
      </c>
      <c r="CV42">
        <v>0</v>
      </c>
      <c r="CW42">
        <f>ROUND(Y42*Source!I248*DO42,7)</f>
        <v>0.26074999999999998</v>
      </c>
      <c r="CX42">
        <f>ROUND(Y42*Source!I248,7)</f>
        <v>0.26074999999999998</v>
      </c>
      <c r="CY42">
        <f>AB42</f>
        <v>55.23</v>
      </c>
      <c r="CZ42">
        <f>AF42</f>
        <v>37.32</v>
      </c>
      <c r="DA42">
        <f>AJ42</f>
        <v>1.48</v>
      </c>
      <c r="DB42">
        <f t="shared" si="18"/>
        <v>13.06</v>
      </c>
      <c r="DC42">
        <f t="shared" si="19"/>
        <v>104.1</v>
      </c>
      <c r="DD42" t="s">
        <v>6</v>
      </c>
      <c r="DE42" t="s">
        <v>6</v>
      </c>
      <c r="DF42">
        <f t="shared" si="20"/>
        <v>0</v>
      </c>
      <c r="DG42">
        <f>ROUND(ROUND(AF42*AJ42,2)*CX42,2)</f>
        <v>14.4</v>
      </c>
      <c r="DH42">
        <f t="shared" si="15"/>
        <v>77.55</v>
      </c>
      <c r="DI42">
        <f t="shared" si="16"/>
        <v>0</v>
      </c>
      <c r="DJ42">
        <f>DG42+DH42</f>
        <v>91.95</v>
      </c>
      <c r="DK42">
        <v>0</v>
      </c>
      <c r="DL42" t="s">
        <v>390</v>
      </c>
      <c r="DM42">
        <v>3</v>
      </c>
      <c r="DN42" t="s">
        <v>383</v>
      </c>
      <c r="DO42">
        <v>1</v>
      </c>
    </row>
    <row r="43" spans="1:119" x14ac:dyDescent="0.2">
      <c r="A43">
        <f>ROW(Source!A248)</f>
        <v>248</v>
      </c>
      <c r="B43">
        <v>74852007</v>
      </c>
      <c r="C43">
        <v>74852576</v>
      </c>
      <c r="D43">
        <v>72653546</v>
      </c>
      <c r="E43">
        <v>1</v>
      </c>
      <c r="F43">
        <v>1</v>
      </c>
      <c r="G43">
        <v>1</v>
      </c>
      <c r="H43">
        <v>2</v>
      </c>
      <c r="I43" t="s">
        <v>395</v>
      </c>
      <c r="J43" t="s">
        <v>396</v>
      </c>
      <c r="K43" t="s">
        <v>397</v>
      </c>
      <c r="L43">
        <v>1368</v>
      </c>
      <c r="N43">
        <v>1011</v>
      </c>
      <c r="O43" t="s">
        <v>389</v>
      </c>
      <c r="P43" t="s">
        <v>389</v>
      </c>
      <c r="Q43">
        <v>1</v>
      </c>
      <c r="W43">
        <v>0</v>
      </c>
      <c r="X43">
        <v>-266334253</v>
      </c>
      <c r="Y43">
        <f t="shared" si="17"/>
        <v>1.64</v>
      </c>
      <c r="AA43">
        <v>0</v>
      </c>
      <c r="AB43">
        <v>175.45</v>
      </c>
      <c r="AC43">
        <v>0</v>
      </c>
      <c r="AD43">
        <v>0</v>
      </c>
      <c r="AE43">
        <v>0</v>
      </c>
      <c r="AF43">
        <v>115.43</v>
      </c>
      <c r="AG43">
        <v>0</v>
      </c>
      <c r="AH43">
        <v>0</v>
      </c>
      <c r="AI43">
        <v>1</v>
      </c>
      <c r="AJ43">
        <v>1.52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6</v>
      </c>
      <c r="AT43">
        <v>1.64</v>
      </c>
      <c r="AU43" t="s">
        <v>6</v>
      </c>
      <c r="AV43">
        <v>1</v>
      </c>
      <c r="AW43">
        <v>2</v>
      </c>
      <c r="AX43">
        <v>74853133</v>
      </c>
      <c r="AY43">
        <v>1</v>
      </c>
      <c r="AZ43">
        <v>0</v>
      </c>
      <c r="BA43">
        <v>53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189.30520000000001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189.30520000000001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f>ROUND(Y43*Source!I248*DO43,7)</f>
        <v>0</v>
      </c>
      <c r="CX43">
        <f>ROUND(Y43*Source!I248,7)</f>
        <v>1.2218</v>
      </c>
      <c r="CY43">
        <f>AB43</f>
        <v>175.45</v>
      </c>
      <c r="CZ43">
        <f>AF43</f>
        <v>115.43</v>
      </c>
      <c r="DA43">
        <f>AJ43</f>
        <v>1.52</v>
      </c>
      <c r="DB43">
        <f t="shared" si="18"/>
        <v>189.31</v>
      </c>
      <c r="DC43">
        <f t="shared" si="19"/>
        <v>0</v>
      </c>
      <c r="DD43" t="s">
        <v>6</v>
      </c>
      <c r="DE43" t="s">
        <v>6</v>
      </c>
      <c r="DF43">
        <f t="shared" si="20"/>
        <v>0</v>
      </c>
      <c r="DG43">
        <f>ROUND(ROUND(AF43*AJ43,2)*CX43,2)</f>
        <v>214.36</v>
      </c>
      <c r="DH43">
        <f t="shared" si="15"/>
        <v>0</v>
      </c>
      <c r="DI43">
        <f t="shared" si="16"/>
        <v>0</v>
      </c>
      <c r="DJ43">
        <f>DG43+DH43</f>
        <v>214.36</v>
      </c>
      <c r="DK43">
        <v>0</v>
      </c>
      <c r="DL43" t="s">
        <v>6</v>
      </c>
      <c r="DM43">
        <v>0</v>
      </c>
      <c r="DN43" t="s">
        <v>6</v>
      </c>
      <c r="DO43">
        <v>0</v>
      </c>
    </row>
    <row r="44" spans="1:119" x14ac:dyDescent="0.2">
      <c r="A44">
        <f>ROW(Source!A248)</f>
        <v>248</v>
      </c>
      <c r="B44">
        <v>74852007</v>
      </c>
      <c r="C44">
        <v>74852576</v>
      </c>
      <c r="D44">
        <v>72653934</v>
      </c>
      <c r="E44">
        <v>1</v>
      </c>
      <c r="F44">
        <v>1</v>
      </c>
      <c r="G44">
        <v>1</v>
      </c>
      <c r="H44">
        <v>2</v>
      </c>
      <c r="I44" t="s">
        <v>398</v>
      </c>
      <c r="J44" t="s">
        <v>399</v>
      </c>
      <c r="K44" t="s">
        <v>400</v>
      </c>
      <c r="L44">
        <v>1368</v>
      </c>
      <c r="N44">
        <v>1011</v>
      </c>
      <c r="O44" t="s">
        <v>389</v>
      </c>
      <c r="P44" t="s">
        <v>389</v>
      </c>
      <c r="Q44">
        <v>1</v>
      </c>
      <c r="W44">
        <v>0</v>
      </c>
      <c r="X44">
        <v>-591012544</v>
      </c>
      <c r="Y44">
        <f t="shared" si="17"/>
        <v>3.28</v>
      </c>
      <c r="AA44">
        <v>0</v>
      </c>
      <c r="AB44">
        <v>2.92</v>
      </c>
      <c r="AC44">
        <v>0</v>
      </c>
      <c r="AD44">
        <v>0</v>
      </c>
      <c r="AE44">
        <v>0</v>
      </c>
      <c r="AF44">
        <v>2.92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6</v>
      </c>
      <c r="AT44">
        <v>3.28</v>
      </c>
      <c r="AU44" t="s">
        <v>6</v>
      </c>
      <c r="AV44">
        <v>1</v>
      </c>
      <c r="AW44">
        <v>2</v>
      </c>
      <c r="AX44">
        <v>74853134</v>
      </c>
      <c r="AY44">
        <v>1</v>
      </c>
      <c r="AZ44">
        <v>0</v>
      </c>
      <c r="BA44">
        <v>54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9.5775999999999986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0</v>
      </c>
      <c r="BR44">
        <v>9.5775999999999986</v>
      </c>
      <c r="BS44">
        <v>0</v>
      </c>
      <c r="BT44">
        <v>0</v>
      </c>
      <c r="BU44">
        <v>0</v>
      </c>
      <c r="BV44">
        <v>0</v>
      </c>
      <c r="BW44">
        <v>1</v>
      </c>
      <c r="CV44">
        <v>0</v>
      </c>
      <c r="CW44">
        <f>ROUND(Y44*Source!I248*DO44,7)</f>
        <v>0</v>
      </c>
      <c r="CX44">
        <f>ROUND(Y44*Source!I248,7)</f>
        <v>2.4436</v>
      </c>
      <c r="CY44">
        <f>AB44</f>
        <v>2.92</v>
      </c>
      <c r="CZ44">
        <f>AF44</f>
        <v>2.92</v>
      </c>
      <c r="DA44">
        <f>AJ44</f>
        <v>1</v>
      </c>
      <c r="DB44">
        <f t="shared" si="18"/>
        <v>9.58</v>
      </c>
      <c r="DC44">
        <f t="shared" si="19"/>
        <v>0</v>
      </c>
      <c r="DD44" t="s">
        <v>6</v>
      </c>
      <c r="DE44" t="s">
        <v>6</v>
      </c>
      <c r="DF44">
        <f t="shared" si="20"/>
        <v>0</v>
      </c>
      <c r="DG44">
        <f>ROUND(ROUND(AF44,2)*CX44,2)</f>
        <v>7.14</v>
      </c>
      <c r="DH44">
        <f t="shared" si="15"/>
        <v>0</v>
      </c>
      <c r="DI44">
        <f t="shared" si="16"/>
        <v>0</v>
      </c>
      <c r="DJ44">
        <f>DG44+DH44</f>
        <v>7.14</v>
      </c>
      <c r="DK44">
        <v>1</v>
      </c>
      <c r="DL44" t="s">
        <v>6</v>
      </c>
      <c r="DM44">
        <v>0</v>
      </c>
      <c r="DN44" t="s">
        <v>6</v>
      </c>
      <c r="DO44">
        <v>0</v>
      </c>
    </row>
    <row r="45" spans="1:119" x14ac:dyDescent="0.2">
      <c r="A45">
        <f>ROW(Source!A249)</f>
        <v>249</v>
      </c>
      <c r="B45">
        <v>74852007</v>
      </c>
      <c r="C45">
        <v>74852589</v>
      </c>
      <c r="D45">
        <v>72527760</v>
      </c>
      <c r="E45">
        <v>114</v>
      </c>
      <c r="F45">
        <v>1</v>
      </c>
      <c r="G45">
        <v>1</v>
      </c>
      <c r="H45">
        <v>1</v>
      </c>
      <c r="I45" t="s">
        <v>381</v>
      </c>
      <c r="J45" t="s">
        <v>6</v>
      </c>
      <c r="K45" t="s">
        <v>382</v>
      </c>
      <c r="L45">
        <v>1191</v>
      </c>
      <c r="N45">
        <v>1013</v>
      </c>
      <c r="O45" t="s">
        <v>383</v>
      </c>
      <c r="P45" t="s">
        <v>383</v>
      </c>
      <c r="Q45">
        <v>1</v>
      </c>
      <c r="W45">
        <v>0</v>
      </c>
      <c r="X45">
        <v>370475345</v>
      </c>
      <c r="Y45">
        <f t="shared" si="17"/>
        <v>22.82</v>
      </c>
      <c r="AA45">
        <v>0</v>
      </c>
      <c r="AB45">
        <v>0</v>
      </c>
      <c r="AC45">
        <v>0</v>
      </c>
      <c r="AD45">
        <v>272.43</v>
      </c>
      <c r="AE45">
        <v>0</v>
      </c>
      <c r="AF45">
        <v>0</v>
      </c>
      <c r="AG45">
        <v>0</v>
      </c>
      <c r="AH45">
        <v>272.43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6</v>
      </c>
      <c r="AT45">
        <v>22.82</v>
      </c>
      <c r="AU45" t="s">
        <v>6</v>
      </c>
      <c r="AV45">
        <v>1</v>
      </c>
      <c r="AW45">
        <v>2</v>
      </c>
      <c r="AX45">
        <v>74853137</v>
      </c>
      <c r="AY45">
        <v>1</v>
      </c>
      <c r="AZ45">
        <v>0</v>
      </c>
      <c r="BA45">
        <v>56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6216.8526000000002</v>
      </c>
      <c r="BN45">
        <v>22.82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6216.8526000000002</v>
      </c>
      <c r="BU45">
        <v>22.82</v>
      </c>
      <c r="BV45">
        <v>0</v>
      </c>
      <c r="BW45">
        <v>1</v>
      </c>
      <c r="CU45">
        <f>ROUND(AT45*Source!I249*AH45*AL45,2)</f>
        <v>3792.28</v>
      </c>
      <c r="CV45">
        <f>ROUND(Y45*Source!I249,7)</f>
        <v>13.920199999999999</v>
      </c>
      <c r="CW45">
        <v>0</v>
      </c>
      <c r="CX45">
        <f>ROUND(Y45*Source!I249,7)</f>
        <v>13.920199999999999</v>
      </c>
      <c r="CY45">
        <f>AD45</f>
        <v>272.43</v>
      </c>
      <c r="CZ45">
        <f>AH45</f>
        <v>272.43</v>
      </c>
      <c r="DA45">
        <f>AL45</f>
        <v>1</v>
      </c>
      <c r="DB45">
        <f t="shared" si="18"/>
        <v>6216.85</v>
      </c>
      <c r="DC45">
        <f t="shared" si="19"/>
        <v>0</v>
      </c>
      <c r="DD45" t="s">
        <v>6</v>
      </c>
      <c r="DE45" t="s">
        <v>6</v>
      </c>
      <c r="DF45">
        <f t="shared" si="20"/>
        <v>0</v>
      </c>
      <c r="DG45">
        <f>ROUND(ROUND(AF45,2)*CX45,2)</f>
        <v>0</v>
      </c>
      <c r="DH45">
        <f t="shared" si="15"/>
        <v>0</v>
      </c>
      <c r="DI45">
        <f t="shared" si="16"/>
        <v>3792.28</v>
      </c>
      <c r="DJ45">
        <f>DI45</f>
        <v>3792.28</v>
      </c>
      <c r="DK45">
        <v>1</v>
      </c>
      <c r="DL45" t="s">
        <v>6</v>
      </c>
      <c r="DM45">
        <v>0</v>
      </c>
      <c r="DN45" t="s">
        <v>6</v>
      </c>
      <c r="DO45">
        <v>0</v>
      </c>
    </row>
    <row r="46" spans="1:119" x14ac:dyDescent="0.2">
      <c r="A46">
        <f>ROW(Source!A250)</f>
        <v>250</v>
      </c>
      <c r="B46">
        <v>74852007</v>
      </c>
      <c r="C46">
        <v>74852594</v>
      </c>
      <c r="D46">
        <v>72527818</v>
      </c>
      <c r="E46">
        <v>114</v>
      </c>
      <c r="F46">
        <v>1</v>
      </c>
      <c r="G46">
        <v>1</v>
      </c>
      <c r="H46">
        <v>1</v>
      </c>
      <c r="I46" t="s">
        <v>440</v>
      </c>
      <c r="J46" t="s">
        <v>6</v>
      </c>
      <c r="K46" t="s">
        <v>441</v>
      </c>
      <c r="L46">
        <v>1191</v>
      </c>
      <c r="N46">
        <v>1013</v>
      </c>
      <c r="O46" t="s">
        <v>383</v>
      </c>
      <c r="P46" t="s">
        <v>383</v>
      </c>
      <c r="Q46">
        <v>1</v>
      </c>
      <c r="W46">
        <v>0</v>
      </c>
      <c r="X46">
        <v>44848675</v>
      </c>
      <c r="Y46">
        <f>(AT46*ROUND(1.15,7))</f>
        <v>85.1</v>
      </c>
      <c r="AA46">
        <v>0</v>
      </c>
      <c r="AB46">
        <v>0</v>
      </c>
      <c r="AC46">
        <v>0</v>
      </c>
      <c r="AD46">
        <v>327.42</v>
      </c>
      <c r="AE46">
        <v>0</v>
      </c>
      <c r="AF46">
        <v>0</v>
      </c>
      <c r="AG46">
        <v>0</v>
      </c>
      <c r="AH46">
        <v>327.42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0</v>
      </c>
      <c r="AQ46">
        <v>1</v>
      </c>
      <c r="AR46">
        <v>0</v>
      </c>
      <c r="AS46" t="s">
        <v>6</v>
      </c>
      <c r="AT46">
        <v>74</v>
      </c>
      <c r="AU46" t="s">
        <v>117</v>
      </c>
      <c r="AV46">
        <v>1</v>
      </c>
      <c r="AW46">
        <v>2</v>
      </c>
      <c r="AX46">
        <v>74852902</v>
      </c>
      <c r="AY46">
        <v>1</v>
      </c>
      <c r="AZ46">
        <v>0</v>
      </c>
      <c r="BA46">
        <v>58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24229.08</v>
      </c>
      <c r="BN46">
        <v>74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27863.441999999999</v>
      </c>
      <c r="BU46">
        <v>85.1</v>
      </c>
      <c r="BV46">
        <v>0</v>
      </c>
      <c r="BW46">
        <v>1</v>
      </c>
      <c r="CU46">
        <f>ROUND(AT46*Source!I250*AH46*AL46,2)</f>
        <v>14779.74</v>
      </c>
      <c r="CV46">
        <f>ROUND(Y46*Source!I250,7)</f>
        <v>51.911000000000001</v>
      </c>
      <c r="CW46">
        <v>0</v>
      </c>
      <c r="CX46">
        <f>ROUND(Y46*Source!I250,7)</f>
        <v>51.911000000000001</v>
      </c>
      <c r="CY46">
        <f>AD46</f>
        <v>327.42</v>
      </c>
      <c r="CZ46">
        <f>AH46</f>
        <v>327.42</v>
      </c>
      <c r="DA46">
        <f>AL46</f>
        <v>1</v>
      </c>
      <c r="DB46">
        <f>ROUND((ROUND(AT46*CZ46,2)*ROUND(1.15,7)),2)</f>
        <v>27863.439999999999</v>
      </c>
      <c r="DC46">
        <f>ROUND((ROUND(AT46*AG46,2)*ROUND(1.15,7)),2)</f>
        <v>0</v>
      </c>
      <c r="DD46" t="s">
        <v>6</v>
      </c>
      <c r="DE46" t="s">
        <v>6</v>
      </c>
      <c r="DF46">
        <f t="shared" si="20"/>
        <v>0</v>
      </c>
      <c r="DG46">
        <f>ROUND(ROUND(AF46,2)*CX46,2)</f>
        <v>0</v>
      </c>
      <c r="DH46">
        <f t="shared" si="15"/>
        <v>0</v>
      </c>
      <c r="DI46">
        <f t="shared" si="16"/>
        <v>16996.7</v>
      </c>
      <c r="DJ46">
        <f>DI46</f>
        <v>16996.7</v>
      </c>
      <c r="DK46">
        <v>1</v>
      </c>
      <c r="DL46" t="s">
        <v>6</v>
      </c>
      <c r="DM46">
        <v>0</v>
      </c>
      <c r="DN46" t="s">
        <v>6</v>
      </c>
      <c r="DO46">
        <v>0</v>
      </c>
    </row>
    <row r="47" spans="1:119" x14ac:dyDescent="0.2">
      <c r="A47">
        <f>ROW(Source!A250)</f>
        <v>250</v>
      </c>
      <c r="B47">
        <v>74852007</v>
      </c>
      <c r="C47">
        <v>74852594</v>
      </c>
      <c r="D47">
        <v>72527995</v>
      </c>
      <c r="E47">
        <v>114</v>
      </c>
      <c r="F47">
        <v>1</v>
      </c>
      <c r="G47">
        <v>1</v>
      </c>
      <c r="H47">
        <v>1</v>
      </c>
      <c r="I47" t="s">
        <v>384</v>
      </c>
      <c r="J47" t="s">
        <v>6</v>
      </c>
      <c r="K47" t="s">
        <v>385</v>
      </c>
      <c r="L47">
        <v>1191</v>
      </c>
      <c r="N47">
        <v>1013</v>
      </c>
      <c r="O47" t="s">
        <v>383</v>
      </c>
      <c r="P47" t="s">
        <v>383</v>
      </c>
      <c r="Q47">
        <v>1</v>
      </c>
      <c r="W47">
        <v>0</v>
      </c>
      <c r="X47">
        <v>-1417349443</v>
      </c>
      <c r="Y47">
        <f>(AT47*ROUND(1.25,7))</f>
        <v>6.9249999999999998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0</v>
      </c>
      <c r="AP47">
        <v>0</v>
      </c>
      <c r="AQ47">
        <v>1</v>
      </c>
      <c r="AR47">
        <v>0</v>
      </c>
      <c r="AS47" t="s">
        <v>6</v>
      </c>
      <c r="AT47">
        <v>5.54</v>
      </c>
      <c r="AU47" t="s">
        <v>116</v>
      </c>
      <c r="AV47">
        <v>2</v>
      </c>
      <c r="AW47">
        <v>2</v>
      </c>
      <c r="AX47">
        <v>74852903</v>
      </c>
      <c r="AY47">
        <v>1</v>
      </c>
      <c r="AZ47">
        <v>0</v>
      </c>
      <c r="BA47">
        <v>59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v>0</v>
      </c>
      <c r="CX47">
        <f>ROUND(Y47*Source!I250,7)</f>
        <v>4.2242499999999996</v>
      </c>
      <c r="CY47">
        <f>AD47</f>
        <v>0</v>
      </c>
      <c r="CZ47">
        <f>AH47</f>
        <v>0</v>
      </c>
      <c r="DA47">
        <f>AL47</f>
        <v>1</v>
      </c>
      <c r="DB47">
        <f>ROUND((ROUND(AT47*CZ47,2)*ROUND(1.25,7)),2)</f>
        <v>0</v>
      </c>
      <c r="DC47">
        <f>ROUND((ROUND(AT47*AG47,2)*ROUND(1.25,7)),2)</f>
        <v>0</v>
      </c>
      <c r="DD47" t="s">
        <v>6</v>
      </c>
      <c r="DE47" t="s">
        <v>6</v>
      </c>
      <c r="DF47">
        <f t="shared" si="20"/>
        <v>0</v>
      </c>
      <c r="DG47">
        <f>ROUND(ROUND(AF47,2)*CX47,2)</f>
        <v>0</v>
      </c>
      <c r="DH47">
        <f t="shared" si="15"/>
        <v>0</v>
      </c>
      <c r="DI47">
        <f t="shared" si="16"/>
        <v>0</v>
      </c>
      <c r="DJ47">
        <f>DI47</f>
        <v>0</v>
      </c>
      <c r="DK47">
        <v>0</v>
      </c>
      <c r="DL47" t="s">
        <v>6</v>
      </c>
      <c r="DM47">
        <v>0</v>
      </c>
      <c r="DN47" t="s">
        <v>6</v>
      </c>
      <c r="DO47">
        <v>0</v>
      </c>
    </row>
    <row r="48" spans="1:119" x14ac:dyDescent="0.2">
      <c r="A48">
        <f>ROW(Source!A250)</f>
        <v>250</v>
      </c>
      <c r="B48">
        <v>74852007</v>
      </c>
      <c r="C48">
        <v>74852594</v>
      </c>
      <c r="D48">
        <v>72652626</v>
      </c>
      <c r="E48">
        <v>1</v>
      </c>
      <c r="F48">
        <v>1</v>
      </c>
      <c r="G48">
        <v>1</v>
      </c>
      <c r="H48">
        <v>2</v>
      </c>
      <c r="I48" t="s">
        <v>386</v>
      </c>
      <c r="J48" t="s">
        <v>387</v>
      </c>
      <c r="K48" t="s">
        <v>388</v>
      </c>
      <c r="L48">
        <v>1368</v>
      </c>
      <c r="N48">
        <v>1011</v>
      </c>
      <c r="O48" t="s">
        <v>389</v>
      </c>
      <c r="P48" t="s">
        <v>389</v>
      </c>
      <c r="Q48">
        <v>1</v>
      </c>
      <c r="W48">
        <v>0</v>
      </c>
      <c r="X48">
        <v>-92307625</v>
      </c>
      <c r="Y48">
        <f>(AT48*ROUND(1.25,7))</f>
        <v>1.05</v>
      </c>
      <c r="AA48">
        <v>0</v>
      </c>
      <c r="AB48">
        <v>55.23</v>
      </c>
      <c r="AC48">
        <v>297.43</v>
      </c>
      <c r="AD48">
        <v>0</v>
      </c>
      <c r="AE48">
        <v>0</v>
      </c>
      <c r="AF48">
        <v>37.32</v>
      </c>
      <c r="AG48">
        <v>297.43</v>
      </c>
      <c r="AH48">
        <v>0</v>
      </c>
      <c r="AI48">
        <v>1</v>
      </c>
      <c r="AJ48">
        <v>1.48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0</v>
      </c>
      <c r="AQ48">
        <v>1</v>
      </c>
      <c r="AR48">
        <v>0</v>
      </c>
      <c r="AS48" t="s">
        <v>6</v>
      </c>
      <c r="AT48">
        <v>0.84</v>
      </c>
      <c r="AU48" t="s">
        <v>116</v>
      </c>
      <c r="AV48">
        <v>1</v>
      </c>
      <c r="AW48">
        <v>2</v>
      </c>
      <c r="AX48">
        <v>74852904</v>
      </c>
      <c r="AY48">
        <v>1</v>
      </c>
      <c r="AZ48">
        <v>0</v>
      </c>
      <c r="BA48">
        <v>60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31.348800000000001</v>
      </c>
      <c r="BL48">
        <v>249.84119999999999</v>
      </c>
      <c r="BM48">
        <v>0</v>
      </c>
      <c r="BN48">
        <v>0</v>
      </c>
      <c r="BO48">
        <v>0.84</v>
      </c>
      <c r="BP48">
        <v>1</v>
      </c>
      <c r="BQ48">
        <v>0</v>
      </c>
      <c r="BR48">
        <v>39.186</v>
      </c>
      <c r="BS48">
        <v>312.30150000000003</v>
      </c>
      <c r="BT48">
        <v>0</v>
      </c>
      <c r="BU48">
        <v>0</v>
      </c>
      <c r="BV48">
        <v>1.05</v>
      </c>
      <c r="BW48">
        <v>1</v>
      </c>
      <c r="CV48">
        <v>0</v>
      </c>
      <c r="CW48">
        <f>ROUND(Y48*Source!I250*DO48,7)</f>
        <v>0.64049999999999996</v>
      </c>
      <c r="CX48">
        <f>ROUND(Y48*Source!I250,7)</f>
        <v>0.64049999999999996</v>
      </c>
      <c r="CY48">
        <f>AB48</f>
        <v>55.23</v>
      </c>
      <c r="CZ48">
        <f>AF48</f>
        <v>37.32</v>
      </c>
      <c r="DA48">
        <f>AJ48</f>
        <v>1.48</v>
      </c>
      <c r="DB48">
        <f>ROUND((ROUND(AT48*CZ48,2)*ROUND(1.25,7)),2)</f>
        <v>39.19</v>
      </c>
      <c r="DC48">
        <f>ROUND((ROUND(AT48*AG48,2)*ROUND(1.25,7)),2)</f>
        <v>312.3</v>
      </c>
      <c r="DD48" t="s">
        <v>6</v>
      </c>
      <c r="DE48" t="s">
        <v>6</v>
      </c>
      <c r="DF48">
        <f t="shared" si="20"/>
        <v>0</v>
      </c>
      <c r="DG48">
        <f>ROUND(ROUND(AF48*AJ48,2)*CX48,2)</f>
        <v>35.369999999999997</v>
      </c>
      <c r="DH48">
        <f t="shared" si="15"/>
        <v>190.5</v>
      </c>
      <c r="DI48">
        <f t="shared" si="16"/>
        <v>0</v>
      </c>
      <c r="DJ48">
        <f>DG48+DH48</f>
        <v>225.87</v>
      </c>
      <c r="DK48">
        <v>0</v>
      </c>
      <c r="DL48" t="s">
        <v>390</v>
      </c>
      <c r="DM48">
        <v>3</v>
      </c>
      <c r="DN48" t="s">
        <v>383</v>
      </c>
      <c r="DO48">
        <v>1</v>
      </c>
    </row>
    <row r="49" spans="1:119" x14ac:dyDescent="0.2">
      <c r="A49">
        <f>ROW(Source!A250)</f>
        <v>250</v>
      </c>
      <c r="B49">
        <v>74852007</v>
      </c>
      <c r="C49">
        <v>74852594</v>
      </c>
      <c r="D49">
        <v>72652722</v>
      </c>
      <c r="E49">
        <v>1</v>
      </c>
      <c r="F49">
        <v>1</v>
      </c>
      <c r="G49">
        <v>1</v>
      </c>
      <c r="H49">
        <v>2</v>
      </c>
      <c r="I49" t="s">
        <v>442</v>
      </c>
      <c r="J49" t="s">
        <v>443</v>
      </c>
      <c r="K49" t="s">
        <v>444</v>
      </c>
      <c r="L49">
        <v>1368</v>
      </c>
      <c r="N49">
        <v>1011</v>
      </c>
      <c r="O49" t="s">
        <v>389</v>
      </c>
      <c r="P49" t="s">
        <v>389</v>
      </c>
      <c r="Q49">
        <v>1</v>
      </c>
      <c r="W49">
        <v>0</v>
      </c>
      <c r="X49">
        <v>-1374689200</v>
      </c>
      <c r="Y49">
        <f>(AT49*ROUND(1.25,7))</f>
        <v>5.875</v>
      </c>
      <c r="AA49">
        <v>0</v>
      </c>
      <c r="AB49">
        <v>16</v>
      </c>
      <c r="AC49">
        <v>297.43</v>
      </c>
      <c r="AD49">
        <v>0</v>
      </c>
      <c r="AE49">
        <v>0</v>
      </c>
      <c r="AF49">
        <v>10.81</v>
      </c>
      <c r="AG49">
        <v>297.43</v>
      </c>
      <c r="AH49">
        <v>0</v>
      </c>
      <c r="AI49">
        <v>1</v>
      </c>
      <c r="AJ49">
        <v>1.48</v>
      </c>
      <c r="AK49">
        <v>1</v>
      </c>
      <c r="AL49">
        <v>1</v>
      </c>
      <c r="AM49">
        <v>2</v>
      </c>
      <c r="AN49">
        <v>0</v>
      </c>
      <c r="AO49">
        <v>0</v>
      </c>
      <c r="AP49">
        <v>0</v>
      </c>
      <c r="AQ49">
        <v>1</v>
      </c>
      <c r="AR49">
        <v>0</v>
      </c>
      <c r="AS49" t="s">
        <v>6</v>
      </c>
      <c r="AT49">
        <v>4.7</v>
      </c>
      <c r="AU49" t="s">
        <v>116</v>
      </c>
      <c r="AV49">
        <v>1</v>
      </c>
      <c r="AW49">
        <v>2</v>
      </c>
      <c r="AX49">
        <v>74852905</v>
      </c>
      <c r="AY49">
        <v>1</v>
      </c>
      <c r="AZ49">
        <v>0</v>
      </c>
      <c r="BA49">
        <v>61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50.807000000000002</v>
      </c>
      <c r="BL49">
        <v>1397.921</v>
      </c>
      <c r="BM49">
        <v>0</v>
      </c>
      <c r="BN49">
        <v>0</v>
      </c>
      <c r="BO49">
        <v>4.7</v>
      </c>
      <c r="BP49">
        <v>1</v>
      </c>
      <c r="BQ49">
        <v>0</v>
      </c>
      <c r="BR49">
        <v>63.508750000000006</v>
      </c>
      <c r="BS49">
        <v>1747.4012500000001</v>
      </c>
      <c r="BT49">
        <v>0</v>
      </c>
      <c r="BU49">
        <v>0</v>
      </c>
      <c r="BV49">
        <v>5.875</v>
      </c>
      <c r="BW49">
        <v>1</v>
      </c>
      <c r="CV49">
        <v>0</v>
      </c>
      <c r="CW49">
        <f>ROUND(Y49*Source!I250*DO49,7)</f>
        <v>3.5837500000000002</v>
      </c>
      <c r="CX49">
        <f>ROUND(Y49*Source!I250,7)</f>
        <v>3.5837500000000002</v>
      </c>
      <c r="CY49">
        <f>AB49</f>
        <v>16</v>
      </c>
      <c r="CZ49">
        <f>AF49</f>
        <v>10.81</v>
      </c>
      <c r="DA49">
        <f>AJ49</f>
        <v>1.48</v>
      </c>
      <c r="DB49">
        <f>ROUND((ROUND(AT49*CZ49,2)*ROUND(1.25,7)),2)</f>
        <v>63.51</v>
      </c>
      <c r="DC49">
        <f>ROUND((ROUND(AT49*AG49,2)*ROUND(1.25,7)),2)</f>
        <v>1747.4</v>
      </c>
      <c r="DD49" t="s">
        <v>6</v>
      </c>
      <c r="DE49" t="s">
        <v>6</v>
      </c>
      <c r="DF49">
        <f t="shared" si="20"/>
        <v>0</v>
      </c>
      <c r="DG49">
        <f>ROUND(ROUND(AF49*AJ49,2)*CX49,2)</f>
        <v>57.34</v>
      </c>
      <c r="DH49">
        <f t="shared" si="15"/>
        <v>1065.9100000000001</v>
      </c>
      <c r="DI49">
        <f t="shared" si="16"/>
        <v>0</v>
      </c>
      <c r="DJ49">
        <f>DG49+DH49</f>
        <v>1123.25</v>
      </c>
      <c r="DK49">
        <v>0</v>
      </c>
      <c r="DL49" t="s">
        <v>390</v>
      </c>
      <c r="DM49">
        <v>3</v>
      </c>
      <c r="DN49" t="s">
        <v>383</v>
      </c>
      <c r="DO49">
        <v>1</v>
      </c>
    </row>
    <row r="50" spans="1:119" x14ac:dyDescent="0.2">
      <c r="A50">
        <f>ROW(Source!A250)</f>
        <v>250</v>
      </c>
      <c r="B50">
        <v>74852007</v>
      </c>
      <c r="C50">
        <v>74852594</v>
      </c>
      <c r="D50">
        <v>72601061</v>
      </c>
      <c r="E50">
        <v>1</v>
      </c>
      <c r="F50">
        <v>1</v>
      </c>
      <c r="G50">
        <v>1</v>
      </c>
      <c r="H50">
        <v>3</v>
      </c>
      <c r="I50" t="s">
        <v>445</v>
      </c>
      <c r="J50" t="s">
        <v>446</v>
      </c>
      <c r="K50" t="s">
        <v>447</v>
      </c>
      <c r="L50">
        <v>1348</v>
      </c>
      <c r="N50">
        <v>1009</v>
      </c>
      <c r="O50" t="s">
        <v>149</v>
      </c>
      <c r="P50" t="s">
        <v>149</v>
      </c>
      <c r="Q50">
        <v>1000</v>
      </c>
      <c r="W50">
        <v>0</v>
      </c>
      <c r="X50">
        <v>-1741890981</v>
      </c>
      <c r="Y50">
        <f>AT50</f>
        <v>1.2E-4</v>
      </c>
      <c r="AA50">
        <v>98086.91</v>
      </c>
      <c r="AB50">
        <v>0</v>
      </c>
      <c r="AC50">
        <v>0</v>
      </c>
      <c r="AD50">
        <v>0</v>
      </c>
      <c r="AE50">
        <v>76630.399999999994</v>
      </c>
      <c r="AF50">
        <v>0</v>
      </c>
      <c r="AG50">
        <v>0</v>
      </c>
      <c r="AH50">
        <v>0</v>
      </c>
      <c r="AI50">
        <v>1.28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0</v>
      </c>
      <c r="AQ50">
        <v>1</v>
      </c>
      <c r="AR50">
        <v>0</v>
      </c>
      <c r="AS50" t="s">
        <v>6</v>
      </c>
      <c r="AT50">
        <v>1.2E-4</v>
      </c>
      <c r="AU50" t="s">
        <v>6</v>
      </c>
      <c r="AV50">
        <v>0</v>
      </c>
      <c r="AW50">
        <v>2</v>
      </c>
      <c r="AX50">
        <v>74852906</v>
      </c>
      <c r="AY50">
        <v>1</v>
      </c>
      <c r="AZ50">
        <v>0</v>
      </c>
      <c r="BA50">
        <v>62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9.1956480000000003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9.1956480000000003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ROUND(Y50*Source!I250,7)</f>
        <v>7.3200000000000004E-5</v>
      </c>
      <c r="CY50">
        <f>AA50</f>
        <v>98086.91</v>
      </c>
      <c r="CZ50">
        <f>AE50</f>
        <v>76630.399999999994</v>
      </c>
      <c r="DA50">
        <f>AI50</f>
        <v>1.28</v>
      </c>
      <c r="DB50">
        <f>ROUND(ROUND(AT50*CZ50,2),2)</f>
        <v>9.1999999999999993</v>
      </c>
      <c r="DC50">
        <f>ROUND(ROUND(AT50*AG50,2),2)</f>
        <v>0</v>
      </c>
      <c r="DD50" t="s">
        <v>6</v>
      </c>
      <c r="DE50" t="s">
        <v>6</v>
      </c>
      <c r="DF50">
        <f>ROUND(ROUND(AE50*AI50,2)*CX50,2)</f>
        <v>7.18</v>
      </c>
      <c r="DG50">
        <f t="shared" ref="DG50:DG55" si="21">ROUND(ROUND(AF50,2)*CX50,2)</f>
        <v>0</v>
      </c>
      <c r="DH50">
        <f t="shared" si="15"/>
        <v>0</v>
      </c>
      <c r="DI50">
        <f t="shared" si="16"/>
        <v>0</v>
      </c>
      <c r="DJ50">
        <f>DF50</f>
        <v>7.18</v>
      </c>
      <c r="DK50">
        <v>0</v>
      </c>
      <c r="DL50" t="s">
        <v>6</v>
      </c>
      <c r="DM50">
        <v>0</v>
      </c>
      <c r="DN50" t="s">
        <v>6</v>
      </c>
      <c r="DO50">
        <v>0</v>
      </c>
    </row>
    <row r="51" spans="1:119" x14ac:dyDescent="0.2">
      <c r="A51">
        <f>ROW(Source!A250)</f>
        <v>250</v>
      </c>
      <c r="B51">
        <v>74852007</v>
      </c>
      <c r="C51">
        <v>74852594</v>
      </c>
      <c r="D51">
        <v>72602917</v>
      </c>
      <c r="E51">
        <v>1</v>
      </c>
      <c r="F51">
        <v>1</v>
      </c>
      <c r="G51">
        <v>1</v>
      </c>
      <c r="H51">
        <v>3</v>
      </c>
      <c r="I51" t="s">
        <v>448</v>
      </c>
      <c r="J51" t="s">
        <v>449</v>
      </c>
      <c r="K51" t="s">
        <v>450</v>
      </c>
      <c r="L51">
        <v>1348</v>
      </c>
      <c r="N51">
        <v>1009</v>
      </c>
      <c r="O51" t="s">
        <v>149</v>
      </c>
      <c r="P51" t="s">
        <v>149</v>
      </c>
      <c r="Q51">
        <v>1000</v>
      </c>
      <c r="W51">
        <v>0</v>
      </c>
      <c r="X51">
        <v>1721324063</v>
      </c>
      <c r="Y51">
        <f>AT51</f>
        <v>6.0000000000000001E-3</v>
      </c>
      <c r="AA51">
        <v>5943.43</v>
      </c>
      <c r="AB51">
        <v>0</v>
      </c>
      <c r="AC51">
        <v>0</v>
      </c>
      <c r="AD51">
        <v>0</v>
      </c>
      <c r="AE51">
        <v>4338.2700000000004</v>
      </c>
      <c r="AF51">
        <v>0</v>
      </c>
      <c r="AG51">
        <v>0</v>
      </c>
      <c r="AH51">
        <v>0</v>
      </c>
      <c r="AI51">
        <v>1.37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0</v>
      </c>
      <c r="AQ51">
        <v>1</v>
      </c>
      <c r="AR51">
        <v>0</v>
      </c>
      <c r="AS51" t="s">
        <v>6</v>
      </c>
      <c r="AT51">
        <v>6.0000000000000001E-3</v>
      </c>
      <c r="AU51" t="s">
        <v>6</v>
      </c>
      <c r="AV51">
        <v>0</v>
      </c>
      <c r="AW51">
        <v>2</v>
      </c>
      <c r="AX51">
        <v>74852907</v>
      </c>
      <c r="AY51">
        <v>1</v>
      </c>
      <c r="AZ51">
        <v>0</v>
      </c>
      <c r="BA51">
        <v>63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26.029620000000005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26.029620000000005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CV51">
        <v>0</v>
      </c>
      <c r="CW51">
        <v>0</v>
      </c>
      <c r="CX51">
        <f>ROUND(Y51*Source!I250,7)</f>
        <v>3.6600000000000001E-3</v>
      </c>
      <c r="CY51">
        <f>AA51</f>
        <v>5943.43</v>
      </c>
      <c r="CZ51">
        <f>AE51</f>
        <v>4338.2700000000004</v>
      </c>
      <c r="DA51">
        <f>AI51</f>
        <v>1.37</v>
      </c>
      <c r="DB51">
        <f>ROUND(ROUND(AT51*CZ51,2),2)</f>
        <v>26.03</v>
      </c>
      <c r="DC51">
        <f>ROUND(ROUND(AT51*AG51,2),2)</f>
        <v>0</v>
      </c>
      <c r="DD51" t="s">
        <v>6</v>
      </c>
      <c r="DE51" t="s">
        <v>6</v>
      </c>
      <c r="DF51">
        <f>ROUND(ROUND(AE51*AI51,2)*CX51,2)</f>
        <v>21.75</v>
      </c>
      <c r="DG51">
        <f t="shared" si="21"/>
        <v>0</v>
      </c>
      <c r="DH51">
        <f t="shared" si="15"/>
        <v>0</v>
      </c>
      <c r="DI51">
        <f t="shared" si="16"/>
        <v>0</v>
      </c>
      <c r="DJ51">
        <f>DF51</f>
        <v>21.75</v>
      </c>
      <c r="DK51">
        <v>0</v>
      </c>
      <c r="DL51" t="s">
        <v>6</v>
      </c>
      <c r="DM51">
        <v>0</v>
      </c>
      <c r="DN51" t="s">
        <v>6</v>
      </c>
      <c r="DO51">
        <v>0</v>
      </c>
    </row>
    <row r="52" spans="1:119" x14ac:dyDescent="0.2">
      <c r="A52">
        <f>ROW(Source!A250)</f>
        <v>250</v>
      </c>
      <c r="B52">
        <v>74852007</v>
      </c>
      <c r="C52">
        <v>74852594</v>
      </c>
      <c r="D52">
        <v>72603809</v>
      </c>
      <c r="E52">
        <v>1</v>
      </c>
      <c r="F52">
        <v>1</v>
      </c>
      <c r="G52">
        <v>1</v>
      </c>
      <c r="H52">
        <v>3</v>
      </c>
      <c r="I52" t="s">
        <v>451</v>
      </c>
      <c r="J52" t="s">
        <v>452</v>
      </c>
      <c r="K52" t="s">
        <v>453</v>
      </c>
      <c r="L52">
        <v>1339</v>
      </c>
      <c r="N52">
        <v>1007</v>
      </c>
      <c r="O52" t="s">
        <v>134</v>
      </c>
      <c r="P52" t="s">
        <v>134</v>
      </c>
      <c r="Q52">
        <v>1</v>
      </c>
      <c r="W52">
        <v>0</v>
      </c>
      <c r="X52">
        <v>535903359</v>
      </c>
      <c r="Y52">
        <f>AT52</f>
        <v>1.87</v>
      </c>
      <c r="AA52">
        <v>4138.68</v>
      </c>
      <c r="AB52">
        <v>0</v>
      </c>
      <c r="AC52">
        <v>0</v>
      </c>
      <c r="AD52">
        <v>0</v>
      </c>
      <c r="AE52">
        <v>3392.36</v>
      </c>
      <c r="AF52">
        <v>0</v>
      </c>
      <c r="AG52">
        <v>0</v>
      </c>
      <c r="AH52">
        <v>0</v>
      </c>
      <c r="AI52">
        <v>1.22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0</v>
      </c>
      <c r="AQ52">
        <v>1</v>
      </c>
      <c r="AR52">
        <v>0</v>
      </c>
      <c r="AS52" t="s">
        <v>6</v>
      </c>
      <c r="AT52">
        <v>1.87</v>
      </c>
      <c r="AU52" t="s">
        <v>6</v>
      </c>
      <c r="AV52">
        <v>0</v>
      </c>
      <c r="AW52">
        <v>2</v>
      </c>
      <c r="AX52">
        <v>74852908</v>
      </c>
      <c r="AY52">
        <v>1</v>
      </c>
      <c r="AZ52">
        <v>0</v>
      </c>
      <c r="BA52">
        <v>64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6343.7132000000011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6343.7132000000011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CV52">
        <v>0</v>
      </c>
      <c r="CW52">
        <v>0</v>
      </c>
      <c r="CX52">
        <f>ROUND(Y52*Source!I250,7)</f>
        <v>1.1407</v>
      </c>
      <c r="CY52">
        <f>AA52</f>
        <v>4138.68</v>
      </c>
      <c r="CZ52">
        <f>AE52</f>
        <v>3392.36</v>
      </c>
      <c r="DA52">
        <f>AI52</f>
        <v>1.22</v>
      </c>
      <c r="DB52">
        <f>ROUND(ROUND(AT52*CZ52,2),2)</f>
        <v>6343.71</v>
      </c>
      <c r="DC52">
        <f>ROUND(ROUND(AT52*AG52,2),2)</f>
        <v>0</v>
      </c>
      <c r="DD52" t="s">
        <v>6</v>
      </c>
      <c r="DE52" t="s">
        <v>6</v>
      </c>
      <c r="DF52">
        <f>ROUND(ROUND(AE52*AI52,2)*CX52,2)</f>
        <v>4720.99</v>
      </c>
      <c r="DG52">
        <f t="shared" si="21"/>
        <v>0</v>
      </c>
      <c r="DH52">
        <f t="shared" si="15"/>
        <v>0</v>
      </c>
      <c r="DI52">
        <f t="shared" si="16"/>
        <v>0</v>
      </c>
      <c r="DJ52">
        <f>DF52</f>
        <v>4720.99</v>
      </c>
      <c r="DK52">
        <v>0</v>
      </c>
      <c r="DL52" t="s">
        <v>6</v>
      </c>
      <c r="DM52">
        <v>0</v>
      </c>
      <c r="DN52" t="s">
        <v>6</v>
      </c>
      <c r="DO52">
        <v>0</v>
      </c>
    </row>
    <row r="53" spans="1:119" x14ac:dyDescent="0.2">
      <c r="A53">
        <f>ROW(Source!A250)</f>
        <v>250</v>
      </c>
      <c r="B53">
        <v>74852007</v>
      </c>
      <c r="C53">
        <v>74852594</v>
      </c>
      <c r="D53">
        <v>72607893</v>
      </c>
      <c r="E53">
        <v>1</v>
      </c>
      <c r="F53">
        <v>1</v>
      </c>
      <c r="G53">
        <v>1</v>
      </c>
      <c r="H53">
        <v>3</v>
      </c>
      <c r="I53" t="s">
        <v>454</v>
      </c>
      <c r="J53" t="s">
        <v>455</v>
      </c>
      <c r="K53" t="s">
        <v>456</v>
      </c>
      <c r="L53">
        <v>1327</v>
      </c>
      <c r="N53">
        <v>1005</v>
      </c>
      <c r="O53" t="s">
        <v>145</v>
      </c>
      <c r="P53" t="s">
        <v>145</v>
      </c>
      <c r="Q53">
        <v>1</v>
      </c>
      <c r="W53">
        <v>0</v>
      </c>
      <c r="X53">
        <v>1015602215</v>
      </c>
      <c r="Y53">
        <f>AT53</f>
        <v>5.54</v>
      </c>
      <c r="AA53">
        <v>406.65</v>
      </c>
      <c r="AB53">
        <v>0</v>
      </c>
      <c r="AC53">
        <v>0</v>
      </c>
      <c r="AD53">
        <v>0</v>
      </c>
      <c r="AE53">
        <v>353.61</v>
      </c>
      <c r="AF53">
        <v>0</v>
      </c>
      <c r="AG53">
        <v>0</v>
      </c>
      <c r="AH53">
        <v>0</v>
      </c>
      <c r="AI53">
        <v>1.1499999999999999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6</v>
      </c>
      <c r="AT53">
        <v>5.54</v>
      </c>
      <c r="AU53" t="s">
        <v>6</v>
      </c>
      <c r="AV53">
        <v>0</v>
      </c>
      <c r="AW53">
        <v>2</v>
      </c>
      <c r="AX53">
        <v>74852909</v>
      </c>
      <c r="AY53">
        <v>1</v>
      </c>
      <c r="AZ53">
        <v>0</v>
      </c>
      <c r="BA53">
        <v>65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1958.9994000000002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1958.9994000000002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ROUND(Y53*Source!I250,7)</f>
        <v>3.3794</v>
      </c>
      <c r="CY53">
        <f>AA53</f>
        <v>406.65</v>
      </c>
      <c r="CZ53">
        <f>AE53</f>
        <v>353.61</v>
      </c>
      <c r="DA53">
        <f>AI53</f>
        <v>1.1499999999999999</v>
      </c>
      <c r="DB53">
        <f>ROUND(ROUND(AT53*CZ53,2),2)</f>
        <v>1959</v>
      </c>
      <c r="DC53">
        <f>ROUND(ROUND(AT53*AG53,2),2)</f>
        <v>0</v>
      </c>
      <c r="DD53" t="s">
        <v>6</v>
      </c>
      <c r="DE53" t="s">
        <v>6</v>
      </c>
      <c r="DF53">
        <f>ROUND(ROUND(AE53*AI53,2)*CX53,2)</f>
        <v>1374.23</v>
      </c>
      <c r="DG53">
        <f t="shared" si="21"/>
        <v>0</v>
      </c>
      <c r="DH53">
        <f t="shared" si="15"/>
        <v>0</v>
      </c>
      <c r="DI53">
        <f t="shared" si="16"/>
        <v>0</v>
      </c>
      <c r="DJ53">
        <f>DF53</f>
        <v>1374.23</v>
      </c>
      <c r="DK53">
        <v>0</v>
      </c>
      <c r="DL53" t="s">
        <v>6</v>
      </c>
      <c r="DM53">
        <v>0</v>
      </c>
      <c r="DN53" t="s">
        <v>6</v>
      </c>
      <c r="DO53">
        <v>0</v>
      </c>
    </row>
    <row r="54" spans="1:119" x14ac:dyDescent="0.2">
      <c r="A54">
        <f>ROW(Source!A251)</f>
        <v>251</v>
      </c>
      <c r="B54">
        <v>74852007</v>
      </c>
      <c r="C54">
        <v>74852611</v>
      </c>
      <c r="D54">
        <v>72527808</v>
      </c>
      <c r="E54">
        <v>114</v>
      </c>
      <c r="F54">
        <v>1</v>
      </c>
      <c r="G54">
        <v>1</v>
      </c>
      <c r="H54">
        <v>1</v>
      </c>
      <c r="I54" t="s">
        <v>457</v>
      </c>
      <c r="J54" t="s">
        <v>6</v>
      </c>
      <c r="K54" t="s">
        <v>458</v>
      </c>
      <c r="L54">
        <v>1191</v>
      </c>
      <c r="N54">
        <v>1013</v>
      </c>
      <c r="O54" t="s">
        <v>383</v>
      </c>
      <c r="P54" t="s">
        <v>383</v>
      </c>
      <c r="Q54">
        <v>1</v>
      </c>
      <c r="W54">
        <v>0</v>
      </c>
      <c r="X54">
        <v>-1461236815</v>
      </c>
      <c r="Y54">
        <f>(AT54*ROUND(1.15,7))</f>
        <v>92.885499999999993</v>
      </c>
      <c r="AA54">
        <v>0</v>
      </c>
      <c r="AB54">
        <v>0</v>
      </c>
      <c r="AC54">
        <v>0</v>
      </c>
      <c r="AD54">
        <v>312.43</v>
      </c>
      <c r="AE54">
        <v>0</v>
      </c>
      <c r="AF54">
        <v>0</v>
      </c>
      <c r="AG54">
        <v>0</v>
      </c>
      <c r="AH54">
        <v>312.43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6</v>
      </c>
      <c r="AT54">
        <v>80.77</v>
      </c>
      <c r="AU54" t="s">
        <v>117</v>
      </c>
      <c r="AV54">
        <v>1</v>
      </c>
      <c r="AW54">
        <v>2</v>
      </c>
      <c r="AX54">
        <v>74853140</v>
      </c>
      <c r="AY54">
        <v>1</v>
      </c>
      <c r="AZ54">
        <v>0</v>
      </c>
      <c r="BA54">
        <v>66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25234.971099999999</v>
      </c>
      <c r="BN54">
        <v>80.77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29020.216764999997</v>
      </c>
      <c r="BU54">
        <v>92.885499999999993</v>
      </c>
      <c r="BV54">
        <v>0</v>
      </c>
      <c r="BW54">
        <v>1</v>
      </c>
      <c r="CU54">
        <f>ROUND(AT54*Source!I251*AH54*AL54,2)</f>
        <v>1261.75</v>
      </c>
      <c r="CV54">
        <f>ROUND(Y54*Source!I251,7)</f>
        <v>4.6442750000000004</v>
      </c>
      <c r="CW54">
        <v>0</v>
      </c>
      <c r="CX54">
        <f>ROUND(Y54*Source!I251,7)</f>
        <v>4.6442750000000004</v>
      </c>
      <c r="CY54">
        <f>AD54</f>
        <v>312.43</v>
      </c>
      <c r="CZ54">
        <f>AH54</f>
        <v>312.43</v>
      </c>
      <c r="DA54">
        <f>AL54</f>
        <v>1</v>
      </c>
      <c r="DB54">
        <f>ROUND((ROUND(AT54*CZ54,2)*ROUND(1.15,7)),2)</f>
        <v>29020.22</v>
      </c>
      <c r="DC54">
        <f>ROUND((ROUND(AT54*AG54,2)*ROUND(1.15,7)),2)</f>
        <v>0</v>
      </c>
      <c r="DD54" t="s">
        <v>6</v>
      </c>
      <c r="DE54" t="s">
        <v>6</v>
      </c>
      <c r="DF54">
        <f>ROUND(ROUND(AE54,2)*CX54,2)</f>
        <v>0</v>
      </c>
      <c r="DG54">
        <f t="shared" si="21"/>
        <v>0</v>
      </c>
      <c r="DH54">
        <f t="shared" si="15"/>
        <v>0</v>
      </c>
      <c r="DI54">
        <f t="shared" si="16"/>
        <v>1451.01</v>
      </c>
      <c r="DJ54">
        <f>DI54</f>
        <v>1451.01</v>
      </c>
      <c r="DK54">
        <v>1</v>
      </c>
      <c r="DL54" t="s">
        <v>6</v>
      </c>
      <c r="DM54">
        <v>0</v>
      </c>
      <c r="DN54" t="s">
        <v>6</v>
      </c>
      <c r="DO54">
        <v>0</v>
      </c>
    </row>
    <row r="55" spans="1:119" x14ac:dyDescent="0.2">
      <c r="A55">
        <f>ROW(Source!A251)</f>
        <v>251</v>
      </c>
      <c r="B55">
        <v>74852007</v>
      </c>
      <c r="C55">
        <v>74852611</v>
      </c>
      <c r="D55">
        <v>72527995</v>
      </c>
      <c r="E55">
        <v>114</v>
      </c>
      <c r="F55">
        <v>1</v>
      </c>
      <c r="G55">
        <v>1</v>
      </c>
      <c r="H55">
        <v>1</v>
      </c>
      <c r="I55" t="s">
        <v>384</v>
      </c>
      <c r="J55" t="s">
        <v>6</v>
      </c>
      <c r="K55" t="s">
        <v>385</v>
      </c>
      <c r="L55">
        <v>1191</v>
      </c>
      <c r="N55">
        <v>1013</v>
      </c>
      <c r="O55" t="s">
        <v>383</v>
      </c>
      <c r="P55" t="s">
        <v>383</v>
      </c>
      <c r="Q55">
        <v>1</v>
      </c>
      <c r="W55">
        <v>0</v>
      </c>
      <c r="X55">
        <v>-1417349443</v>
      </c>
      <c r="Y55">
        <f>(AT55*ROUND(1.25,7))</f>
        <v>0.17500000000000002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6</v>
      </c>
      <c r="AT55">
        <v>0.14000000000000001</v>
      </c>
      <c r="AU55" t="s">
        <v>116</v>
      </c>
      <c r="AV55">
        <v>2</v>
      </c>
      <c r="AW55">
        <v>2</v>
      </c>
      <c r="AX55">
        <v>74853141</v>
      </c>
      <c r="AY55">
        <v>1</v>
      </c>
      <c r="AZ55">
        <v>0</v>
      </c>
      <c r="BA55">
        <v>67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ROUND(Y55*Source!I251,7)</f>
        <v>8.7500000000000008E-3</v>
      </c>
      <c r="CY55">
        <f>AD55</f>
        <v>0</v>
      </c>
      <c r="CZ55">
        <f>AH55</f>
        <v>0</v>
      </c>
      <c r="DA55">
        <f>AL55</f>
        <v>1</v>
      </c>
      <c r="DB55">
        <f>ROUND((ROUND(AT55*CZ55,2)*ROUND(1.25,7)),2)</f>
        <v>0</v>
      </c>
      <c r="DC55">
        <f>ROUND((ROUND(AT55*AG55,2)*ROUND(1.25,7)),2)</f>
        <v>0</v>
      </c>
      <c r="DD55" t="s">
        <v>6</v>
      </c>
      <c r="DE55" t="s">
        <v>6</v>
      </c>
      <c r="DF55">
        <f>ROUND(ROUND(AE55,2)*CX55,2)</f>
        <v>0</v>
      </c>
      <c r="DG55">
        <f t="shared" si="21"/>
        <v>0</v>
      </c>
      <c r="DH55">
        <f t="shared" si="15"/>
        <v>0</v>
      </c>
      <c r="DI55">
        <f t="shared" si="16"/>
        <v>0</v>
      </c>
      <c r="DJ55">
        <f>DI55</f>
        <v>0</v>
      </c>
      <c r="DK55">
        <v>0</v>
      </c>
      <c r="DL55" t="s">
        <v>6</v>
      </c>
      <c r="DM55">
        <v>0</v>
      </c>
      <c r="DN55" t="s">
        <v>6</v>
      </c>
      <c r="DO55">
        <v>0</v>
      </c>
    </row>
    <row r="56" spans="1:119" x14ac:dyDescent="0.2">
      <c r="A56">
        <f>ROW(Source!A251)</f>
        <v>251</v>
      </c>
      <c r="B56">
        <v>74852007</v>
      </c>
      <c r="C56">
        <v>74852611</v>
      </c>
      <c r="D56">
        <v>72652623</v>
      </c>
      <c r="E56">
        <v>1</v>
      </c>
      <c r="F56">
        <v>1</v>
      </c>
      <c r="G56">
        <v>1</v>
      </c>
      <c r="H56">
        <v>2</v>
      </c>
      <c r="I56" t="s">
        <v>459</v>
      </c>
      <c r="J56" t="s">
        <v>460</v>
      </c>
      <c r="K56" t="s">
        <v>461</v>
      </c>
      <c r="L56">
        <v>1368</v>
      </c>
      <c r="N56">
        <v>1011</v>
      </c>
      <c r="O56" t="s">
        <v>389</v>
      </c>
      <c r="P56" t="s">
        <v>389</v>
      </c>
      <c r="Q56">
        <v>1</v>
      </c>
      <c r="W56">
        <v>0</v>
      </c>
      <c r="X56">
        <v>2123017823</v>
      </c>
      <c r="Y56">
        <f>(AT56*ROUND(1.25,7))</f>
        <v>0.17500000000000002</v>
      </c>
      <c r="AA56">
        <v>0</v>
      </c>
      <c r="AB56">
        <v>40.33</v>
      </c>
      <c r="AC56">
        <v>297.43</v>
      </c>
      <c r="AD56">
        <v>0</v>
      </c>
      <c r="AE56">
        <v>0</v>
      </c>
      <c r="AF56">
        <v>27.25</v>
      </c>
      <c r="AG56">
        <v>297.43</v>
      </c>
      <c r="AH56">
        <v>0</v>
      </c>
      <c r="AI56">
        <v>1</v>
      </c>
      <c r="AJ56">
        <v>1.48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6</v>
      </c>
      <c r="AT56">
        <v>0.14000000000000001</v>
      </c>
      <c r="AU56" t="s">
        <v>116</v>
      </c>
      <c r="AV56">
        <v>1</v>
      </c>
      <c r="AW56">
        <v>2</v>
      </c>
      <c r="AX56">
        <v>74853142</v>
      </c>
      <c r="AY56">
        <v>1</v>
      </c>
      <c r="AZ56">
        <v>0</v>
      </c>
      <c r="BA56">
        <v>68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3.8150000000000004</v>
      </c>
      <c r="BL56">
        <v>41.640200000000007</v>
      </c>
      <c r="BM56">
        <v>0</v>
      </c>
      <c r="BN56">
        <v>0</v>
      </c>
      <c r="BO56">
        <v>0.14000000000000001</v>
      </c>
      <c r="BP56">
        <v>1</v>
      </c>
      <c r="BQ56">
        <v>0</v>
      </c>
      <c r="BR56">
        <v>4.7687500000000007</v>
      </c>
      <c r="BS56">
        <v>52.050250000000005</v>
      </c>
      <c r="BT56">
        <v>0</v>
      </c>
      <c r="BU56">
        <v>0</v>
      </c>
      <c r="BV56">
        <v>0.17500000000000002</v>
      </c>
      <c r="BW56">
        <v>1</v>
      </c>
      <c r="CV56">
        <v>0</v>
      </c>
      <c r="CW56">
        <f>ROUND(Y56*Source!I251*DO56,7)</f>
        <v>8.7500000000000008E-3</v>
      </c>
      <c r="CX56">
        <f>ROUND(Y56*Source!I251,7)</f>
        <v>8.7500000000000008E-3</v>
      </c>
      <c r="CY56">
        <f>AB56</f>
        <v>40.33</v>
      </c>
      <c r="CZ56">
        <f>AF56</f>
        <v>27.25</v>
      </c>
      <c r="DA56">
        <f>AJ56</f>
        <v>1.48</v>
      </c>
      <c r="DB56">
        <f>ROUND((ROUND(AT56*CZ56,2)*ROUND(1.25,7)),2)</f>
        <v>4.78</v>
      </c>
      <c r="DC56">
        <f>ROUND((ROUND(AT56*AG56,2)*ROUND(1.25,7)),2)</f>
        <v>52.05</v>
      </c>
      <c r="DD56" t="s">
        <v>6</v>
      </c>
      <c r="DE56" t="s">
        <v>6</v>
      </c>
      <c r="DF56">
        <f>ROUND(ROUND(AE56,2)*CX56,2)</f>
        <v>0</v>
      </c>
      <c r="DG56">
        <f>ROUND(ROUND(AF56*AJ56,2)*CX56,2)</f>
        <v>0.35</v>
      </c>
      <c r="DH56">
        <f t="shared" si="15"/>
        <v>2.6</v>
      </c>
      <c r="DI56">
        <f t="shared" si="16"/>
        <v>0</v>
      </c>
      <c r="DJ56">
        <f>DG56+DH56</f>
        <v>2.95</v>
      </c>
      <c r="DK56">
        <v>0</v>
      </c>
      <c r="DL56" t="s">
        <v>390</v>
      </c>
      <c r="DM56">
        <v>3</v>
      </c>
      <c r="DN56" t="s">
        <v>383</v>
      </c>
      <c r="DO56">
        <v>1</v>
      </c>
    </row>
    <row r="57" spans="1:119" x14ac:dyDescent="0.2">
      <c r="A57">
        <f>ROW(Source!A251)</f>
        <v>251</v>
      </c>
      <c r="B57">
        <v>74852007</v>
      </c>
      <c r="C57">
        <v>74852611</v>
      </c>
      <c r="D57">
        <v>72599517</v>
      </c>
      <c r="E57">
        <v>1</v>
      </c>
      <c r="F57">
        <v>1</v>
      </c>
      <c r="G57">
        <v>1</v>
      </c>
      <c r="H57">
        <v>3</v>
      </c>
      <c r="I57" t="s">
        <v>404</v>
      </c>
      <c r="J57" t="s">
        <v>405</v>
      </c>
      <c r="K57" t="s">
        <v>406</v>
      </c>
      <c r="L57">
        <v>1339</v>
      </c>
      <c r="N57">
        <v>1007</v>
      </c>
      <c r="O57" t="s">
        <v>134</v>
      </c>
      <c r="P57" t="s">
        <v>134</v>
      </c>
      <c r="Q57">
        <v>1</v>
      </c>
      <c r="W57">
        <v>0</v>
      </c>
      <c r="X57">
        <v>-1879317523</v>
      </c>
      <c r="Y57">
        <f t="shared" ref="Y57:Y70" si="22">AT57</f>
        <v>3.5000000000000003E-2</v>
      </c>
      <c r="AA57">
        <v>20.71</v>
      </c>
      <c r="AB57">
        <v>0</v>
      </c>
      <c r="AC57">
        <v>0</v>
      </c>
      <c r="AD57">
        <v>0</v>
      </c>
      <c r="AE57">
        <v>35.71</v>
      </c>
      <c r="AF57">
        <v>0</v>
      </c>
      <c r="AG57">
        <v>0</v>
      </c>
      <c r="AH57">
        <v>0</v>
      </c>
      <c r="AI57">
        <v>0.57999999999999996</v>
      </c>
      <c r="AJ57">
        <v>1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6</v>
      </c>
      <c r="AT57">
        <v>3.5000000000000003E-2</v>
      </c>
      <c r="AU57" t="s">
        <v>6</v>
      </c>
      <c r="AV57">
        <v>0</v>
      </c>
      <c r="AW57">
        <v>2</v>
      </c>
      <c r="AX57">
        <v>74853144</v>
      </c>
      <c r="AY57">
        <v>1</v>
      </c>
      <c r="AZ57">
        <v>0</v>
      </c>
      <c r="BA57">
        <v>70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1.2498500000000001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1.2498500000000001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v>0</v>
      </c>
      <c r="CX57">
        <f>ROUND(Y57*Source!I251,7)</f>
        <v>1.75E-3</v>
      </c>
      <c r="CY57">
        <f t="shared" ref="CY57:CY70" si="23">AA57</f>
        <v>20.71</v>
      </c>
      <c r="CZ57">
        <f t="shared" ref="CZ57:CZ70" si="24">AE57</f>
        <v>35.71</v>
      </c>
      <c r="DA57">
        <f t="shared" ref="DA57:DA70" si="25">AI57</f>
        <v>0.57999999999999996</v>
      </c>
      <c r="DB57">
        <f t="shared" ref="DB57:DB70" si="26">ROUND(ROUND(AT57*CZ57,2),2)</f>
        <v>1.25</v>
      </c>
      <c r="DC57">
        <f t="shared" ref="DC57:DC70" si="27">ROUND(ROUND(AT57*AG57,2),2)</f>
        <v>0</v>
      </c>
      <c r="DD57" t="s">
        <v>6</v>
      </c>
      <c r="DE57" t="s">
        <v>6</v>
      </c>
      <c r="DF57">
        <f>ROUND(ROUND(AE57*AI57,2)*CX57,2)</f>
        <v>0.04</v>
      </c>
      <c r="DG57">
        <f t="shared" ref="DG57:DG72" si="28">ROUND(ROUND(AF57,2)*CX57,2)</f>
        <v>0</v>
      </c>
      <c r="DH57">
        <f t="shared" si="15"/>
        <v>0</v>
      </c>
      <c r="DI57">
        <f t="shared" si="16"/>
        <v>0</v>
      </c>
      <c r="DJ57">
        <f t="shared" ref="DJ57:DJ70" si="29">DF57</f>
        <v>0.04</v>
      </c>
      <c r="DK57">
        <v>0</v>
      </c>
      <c r="DL57" t="s">
        <v>6</v>
      </c>
      <c r="DM57">
        <v>0</v>
      </c>
      <c r="DN57" t="s">
        <v>6</v>
      </c>
      <c r="DO57">
        <v>0</v>
      </c>
    </row>
    <row r="58" spans="1:119" x14ac:dyDescent="0.2">
      <c r="A58">
        <f>ROW(Source!A251)</f>
        <v>251</v>
      </c>
      <c r="B58">
        <v>74852007</v>
      </c>
      <c r="C58">
        <v>74852611</v>
      </c>
      <c r="D58">
        <v>72599529</v>
      </c>
      <c r="E58">
        <v>1</v>
      </c>
      <c r="F58">
        <v>1</v>
      </c>
      <c r="G58">
        <v>1</v>
      </c>
      <c r="H58">
        <v>3</v>
      </c>
      <c r="I58" t="s">
        <v>418</v>
      </c>
      <c r="J58" t="s">
        <v>419</v>
      </c>
      <c r="K58" t="s">
        <v>420</v>
      </c>
      <c r="L58">
        <v>1383</v>
      </c>
      <c r="N58">
        <v>1013</v>
      </c>
      <c r="O58" t="s">
        <v>421</v>
      </c>
      <c r="P58" t="s">
        <v>421</v>
      </c>
      <c r="Q58">
        <v>1</v>
      </c>
      <c r="W58">
        <v>0</v>
      </c>
      <c r="X58">
        <v>-2119218604</v>
      </c>
      <c r="Y58">
        <f t="shared" si="22"/>
        <v>2.1132</v>
      </c>
      <c r="AA58">
        <v>7.94</v>
      </c>
      <c r="AB58">
        <v>0</v>
      </c>
      <c r="AC58">
        <v>0</v>
      </c>
      <c r="AD58">
        <v>0</v>
      </c>
      <c r="AE58">
        <v>7.94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6</v>
      </c>
      <c r="AT58">
        <v>2.1132</v>
      </c>
      <c r="AU58" t="s">
        <v>6</v>
      </c>
      <c r="AV58">
        <v>0</v>
      </c>
      <c r="AW58">
        <v>2</v>
      </c>
      <c r="AX58">
        <v>74853145</v>
      </c>
      <c r="AY58">
        <v>1</v>
      </c>
      <c r="AZ58">
        <v>0</v>
      </c>
      <c r="BA58">
        <v>71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16.778808000000001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16.778808000000001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ROUND(Y58*Source!I251,7)</f>
        <v>0.10566</v>
      </c>
      <c r="CY58">
        <f t="shared" si="23"/>
        <v>7.94</v>
      </c>
      <c r="CZ58">
        <f t="shared" si="24"/>
        <v>7.94</v>
      </c>
      <c r="DA58">
        <f t="shared" si="25"/>
        <v>1</v>
      </c>
      <c r="DB58">
        <f t="shared" si="26"/>
        <v>16.78</v>
      </c>
      <c r="DC58">
        <f t="shared" si="27"/>
        <v>0</v>
      </c>
      <c r="DD58" t="s">
        <v>6</v>
      </c>
      <c r="DE58" t="s">
        <v>6</v>
      </c>
      <c r="DF58">
        <f>ROUND(ROUND(AE58,2)*CX58,2)</f>
        <v>0.84</v>
      </c>
      <c r="DG58">
        <f t="shared" si="28"/>
        <v>0</v>
      </c>
      <c r="DH58">
        <f t="shared" si="15"/>
        <v>0</v>
      </c>
      <c r="DI58">
        <f t="shared" si="16"/>
        <v>0</v>
      </c>
      <c r="DJ58">
        <f t="shared" si="29"/>
        <v>0.84</v>
      </c>
      <c r="DK58">
        <v>1</v>
      </c>
      <c r="DL58" t="s">
        <v>6</v>
      </c>
      <c r="DM58">
        <v>0</v>
      </c>
      <c r="DN58" t="s">
        <v>6</v>
      </c>
      <c r="DO58">
        <v>0</v>
      </c>
    </row>
    <row r="59" spans="1:119" x14ac:dyDescent="0.2">
      <c r="A59">
        <f>ROW(Source!A251)</f>
        <v>251</v>
      </c>
      <c r="B59">
        <v>74852007</v>
      </c>
      <c r="C59">
        <v>74852611</v>
      </c>
      <c r="D59">
        <v>72599651</v>
      </c>
      <c r="E59">
        <v>1</v>
      </c>
      <c r="F59">
        <v>1</v>
      </c>
      <c r="G59">
        <v>1</v>
      </c>
      <c r="H59">
        <v>3</v>
      </c>
      <c r="I59" t="s">
        <v>462</v>
      </c>
      <c r="J59" t="s">
        <v>463</v>
      </c>
      <c r="K59" t="s">
        <v>464</v>
      </c>
      <c r="L59">
        <v>1301</v>
      </c>
      <c r="N59">
        <v>1003</v>
      </c>
      <c r="O59" t="s">
        <v>157</v>
      </c>
      <c r="P59" t="s">
        <v>157</v>
      </c>
      <c r="Q59">
        <v>1</v>
      </c>
      <c r="W59">
        <v>0</v>
      </c>
      <c r="X59">
        <v>715907245</v>
      </c>
      <c r="Y59">
        <f t="shared" si="22"/>
        <v>93.81</v>
      </c>
      <c r="AA59">
        <v>7.37</v>
      </c>
      <c r="AB59">
        <v>0</v>
      </c>
      <c r="AC59">
        <v>0</v>
      </c>
      <c r="AD59">
        <v>0</v>
      </c>
      <c r="AE59">
        <v>4.82</v>
      </c>
      <c r="AF59">
        <v>0</v>
      </c>
      <c r="AG59">
        <v>0</v>
      </c>
      <c r="AH59">
        <v>0</v>
      </c>
      <c r="AI59">
        <v>1.53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6</v>
      </c>
      <c r="AT59">
        <v>93.81</v>
      </c>
      <c r="AU59" t="s">
        <v>6</v>
      </c>
      <c r="AV59">
        <v>0</v>
      </c>
      <c r="AW59">
        <v>2</v>
      </c>
      <c r="AX59">
        <v>74853146</v>
      </c>
      <c r="AY59">
        <v>1</v>
      </c>
      <c r="AZ59">
        <v>0</v>
      </c>
      <c r="BA59">
        <v>72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452.16420000000005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452.16420000000005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ROUND(Y59*Source!I251,7)</f>
        <v>4.6905000000000001</v>
      </c>
      <c r="CY59">
        <f t="shared" si="23"/>
        <v>7.37</v>
      </c>
      <c r="CZ59">
        <f t="shared" si="24"/>
        <v>4.82</v>
      </c>
      <c r="DA59">
        <f t="shared" si="25"/>
        <v>1.53</v>
      </c>
      <c r="DB59">
        <f t="shared" si="26"/>
        <v>452.16</v>
      </c>
      <c r="DC59">
        <f t="shared" si="27"/>
        <v>0</v>
      </c>
      <c r="DD59" t="s">
        <v>6</v>
      </c>
      <c r="DE59" t="s">
        <v>6</v>
      </c>
      <c r="DF59">
        <f t="shared" ref="DF59:DF70" si="30">ROUND(ROUND(AE59*AI59,2)*CX59,2)</f>
        <v>34.57</v>
      </c>
      <c r="DG59">
        <f t="shared" si="28"/>
        <v>0</v>
      </c>
      <c r="DH59">
        <f t="shared" si="15"/>
        <v>0</v>
      </c>
      <c r="DI59">
        <f t="shared" si="16"/>
        <v>0</v>
      </c>
      <c r="DJ59">
        <f t="shared" si="29"/>
        <v>34.57</v>
      </c>
      <c r="DK59">
        <v>0</v>
      </c>
      <c r="DL59" t="s">
        <v>6</v>
      </c>
      <c r="DM59">
        <v>0</v>
      </c>
      <c r="DN59" t="s">
        <v>6</v>
      </c>
      <c r="DO59">
        <v>0</v>
      </c>
    </row>
    <row r="60" spans="1:119" x14ac:dyDescent="0.2">
      <c r="A60">
        <f>ROW(Source!A251)</f>
        <v>251</v>
      </c>
      <c r="B60">
        <v>74852007</v>
      </c>
      <c r="C60">
        <v>74852611</v>
      </c>
      <c r="D60">
        <v>72599677</v>
      </c>
      <c r="E60">
        <v>1</v>
      </c>
      <c r="F60">
        <v>1</v>
      </c>
      <c r="G60">
        <v>1</v>
      </c>
      <c r="H60">
        <v>3</v>
      </c>
      <c r="I60" t="s">
        <v>465</v>
      </c>
      <c r="J60" t="s">
        <v>466</v>
      </c>
      <c r="K60" t="s">
        <v>467</v>
      </c>
      <c r="L60">
        <v>1301</v>
      </c>
      <c r="N60">
        <v>1003</v>
      </c>
      <c r="O60" t="s">
        <v>157</v>
      </c>
      <c r="P60" t="s">
        <v>157</v>
      </c>
      <c r="Q60">
        <v>1</v>
      </c>
      <c r="W60">
        <v>0</v>
      </c>
      <c r="X60">
        <v>270384040</v>
      </c>
      <c r="Y60">
        <f t="shared" si="22"/>
        <v>130</v>
      </c>
      <c r="AA60">
        <v>2.52</v>
      </c>
      <c r="AB60">
        <v>0</v>
      </c>
      <c r="AC60">
        <v>0</v>
      </c>
      <c r="AD60">
        <v>0</v>
      </c>
      <c r="AE60">
        <v>2.6</v>
      </c>
      <c r="AF60">
        <v>0</v>
      </c>
      <c r="AG60">
        <v>0</v>
      </c>
      <c r="AH60">
        <v>0</v>
      </c>
      <c r="AI60">
        <v>0.97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6</v>
      </c>
      <c r="AT60">
        <v>130</v>
      </c>
      <c r="AU60" t="s">
        <v>6</v>
      </c>
      <c r="AV60">
        <v>0</v>
      </c>
      <c r="AW60">
        <v>2</v>
      </c>
      <c r="AX60">
        <v>74853147</v>
      </c>
      <c r="AY60">
        <v>1</v>
      </c>
      <c r="AZ60">
        <v>0</v>
      </c>
      <c r="BA60">
        <v>73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338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338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ROUND(Y60*Source!I251,7)</f>
        <v>6.5</v>
      </c>
      <c r="CY60">
        <f t="shared" si="23"/>
        <v>2.52</v>
      </c>
      <c r="CZ60">
        <f t="shared" si="24"/>
        <v>2.6</v>
      </c>
      <c r="DA60">
        <f t="shared" si="25"/>
        <v>0.97</v>
      </c>
      <c r="DB60">
        <f t="shared" si="26"/>
        <v>338</v>
      </c>
      <c r="DC60">
        <f t="shared" si="27"/>
        <v>0</v>
      </c>
      <c r="DD60" t="s">
        <v>6</v>
      </c>
      <c r="DE60" t="s">
        <v>6</v>
      </c>
      <c r="DF60">
        <f t="shared" si="30"/>
        <v>16.38</v>
      </c>
      <c r="DG60">
        <f t="shared" si="28"/>
        <v>0</v>
      </c>
      <c r="DH60">
        <f t="shared" si="15"/>
        <v>0</v>
      </c>
      <c r="DI60">
        <f t="shared" si="16"/>
        <v>0</v>
      </c>
      <c r="DJ60">
        <f t="shared" si="29"/>
        <v>16.38</v>
      </c>
      <c r="DK60">
        <v>0</v>
      </c>
      <c r="DL60" t="s">
        <v>6</v>
      </c>
      <c r="DM60">
        <v>0</v>
      </c>
      <c r="DN60" t="s">
        <v>6</v>
      </c>
      <c r="DO60">
        <v>0</v>
      </c>
    </row>
    <row r="61" spans="1:119" x14ac:dyDescent="0.2">
      <c r="A61">
        <f>ROW(Source!A251)</f>
        <v>251</v>
      </c>
      <c r="B61">
        <v>74852007</v>
      </c>
      <c r="C61">
        <v>74852611</v>
      </c>
      <c r="D61">
        <v>72599680</v>
      </c>
      <c r="E61">
        <v>1</v>
      </c>
      <c r="F61">
        <v>1</v>
      </c>
      <c r="G61">
        <v>1</v>
      </c>
      <c r="H61">
        <v>3</v>
      </c>
      <c r="I61" t="s">
        <v>468</v>
      </c>
      <c r="J61" t="s">
        <v>469</v>
      </c>
      <c r="K61" t="s">
        <v>470</v>
      </c>
      <c r="L61">
        <v>1308</v>
      </c>
      <c r="N61">
        <v>1003</v>
      </c>
      <c r="O61" t="s">
        <v>153</v>
      </c>
      <c r="P61" t="s">
        <v>153</v>
      </c>
      <c r="Q61">
        <v>100</v>
      </c>
      <c r="W61">
        <v>0</v>
      </c>
      <c r="X61">
        <v>-1134305288</v>
      </c>
      <c r="Y61">
        <f t="shared" si="22"/>
        <v>0.33329999999999999</v>
      </c>
      <c r="AA61">
        <v>2991.5</v>
      </c>
      <c r="AB61">
        <v>0</v>
      </c>
      <c r="AC61">
        <v>0</v>
      </c>
      <c r="AD61">
        <v>0</v>
      </c>
      <c r="AE61">
        <v>1955.23</v>
      </c>
      <c r="AF61">
        <v>0</v>
      </c>
      <c r="AG61">
        <v>0</v>
      </c>
      <c r="AH61">
        <v>0</v>
      </c>
      <c r="AI61">
        <v>1.53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6</v>
      </c>
      <c r="AT61">
        <v>0.33329999999999999</v>
      </c>
      <c r="AU61" t="s">
        <v>6</v>
      </c>
      <c r="AV61">
        <v>0</v>
      </c>
      <c r="AW61">
        <v>2</v>
      </c>
      <c r="AX61">
        <v>74853148</v>
      </c>
      <c r="AY61">
        <v>1</v>
      </c>
      <c r="AZ61">
        <v>0</v>
      </c>
      <c r="BA61">
        <v>74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651.67815899999994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651.67815899999994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ROUND(Y61*Source!I251,7)</f>
        <v>1.6664999999999999E-2</v>
      </c>
      <c r="CY61">
        <f t="shared" si="23"/>
        <v>2991.5</v>
      </c>
      <c r="CZ61">
        <f t="shared" si="24"/>
        <v>1955.23</v>
      </c>
      <c r="DA61">
        <f t="shared" si="25"/>
        <v>1.53</v>
      </c>
      <c r="DB61">
        <f t="shared" si="26"/>
        <v>651.67999999999995</v>
      </c>
      <c r="DC61">
        <f t="shared" si="27"/>
        <v>0</v>
      </c>
      <c r="DD61" t="s">
        <v>6</v>
      </c>
      <c r="DE61" t="s">
        <v>6</v>
      </c>
      <c r="DF61">
        <f t="shared" si="30"/>
        <v>49.85</v>
      </c>
      <c r="DG61">
        <f t="shared" si="28"/>
        <v>0</v>
      </c>
      <c r="DH61">
        <f t="shared" si="15"/>
        <v>0</v>
      </c>
      <c r="DI61">
        <f t="shared" si="16"/>
        <v>0</v>
      </c>
      <c r="DJ61">
        <f t="shared" si="29"/>
        <v>49.85</v>
      </c>
      <c r="DK61">
        <v>0</v>
      </c>
      <c r="DL61" t="s">
        <v>6</v>
      </c>
      <c r="DM61">
        <v>0</v>
      </c>
      <c r="DN61" t="s">
        <v>6</v>
      </c>
      <c r="DO61">
        <v>0</v>
      </c>
    </row>
    <row r="62" spans="1:119" x14ac:dyDescent="0.2">
      <c r="A62">
        <f>ROW(Source!A251)</f>
        <v>251</v>
      </c>
      <c r="B62">
        <v>74852007</v>
      </c>
      <c r="C62">
        <v>74852611</v>
      </c>
      <c r="D62">
        <v>72601113</v>
      </c>
      <c r="E62">
        <v>1</v>
      </c>
      <c r="F62">
        <v>1</v>
      </c>
      <c r="G62">
        <v>1</v>
      </c>
      <c r="H62">
        <v>3</v>
      </c>
      <c r="I62" t="s">
        <v>471</v>
      </c>
      <c r="J62" t="s">
        <v>472</v>
      </c>
      <c r="K62" t="s">
        <v>473</v>
      </c>
      <c r="L62">
        <v>1425</v>
      </c>
      <c r="N62">
        <v>1013</v>
      </c>
      <c r="O62" t="s">
        <v>222</v>
      </c>
      <c r="P62" t="s">
        <v>222</v>
      </c>
      <c r="Q62">
        <v>1</v>
      </c>
      <c r="W62">
        <v>0</v>
      </c>
      <c r="X62">
        <v>-1181128042</v>
      </c>
      <c r="Y62">
        <f t="shared" si="22"/>
        <v>3.53</v>
      </c>
      <c r="AA62">
        <v>69.61</v>
      </c>
      <c r="AB62">
        <v>0</v>
      </c>
      <c r="AC62">
        <v>0</v>
      </c>
      <c r="AD62">
        <v>0</v>
      </c>
      <c r="AE62">
        <v>52.34</v>
      </c>
      <c r="AF62">
        <v>0</v>
      </c>
      <c r="AG62">
        <v>0</v>
      </c>
      <c r="AH62">
        <v>0</v>
      </c>
      <c r="AI62">
        <v>1.33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6</v>
      </c>
      <c r="AT62">
        <v>3.53</v>
      </c>
      <c r="AU62" t="s">
        <v>6</v>
      </c>
      <c r="AV62">
        <v>0</v>
      </c>
      <c r="AW62">
        <v>2</v>
      </c>
      <c r="AX62">
        <v>74853149</v>
      </c>
      <c r="AY62">
        <v>1</v>
      </c>
      <c r="AZ62">
        <v>0</v>
      </c>
      <c r="BA62">
        <v>75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184.7602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184.7602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ROUND(Y62*Source!I251,7)</f>
        <v>0.17649999999999999</v>
      </c>
      <c r="CY62">
        <f t="shared" si="23"/>
        <v>69.61</v>
      </c>
      <c r="CZ62">
        <f t="shared" si="24"/>
        <v>52.34</v>
      </c>
      <c r="DA62">
        <f t="shared" si="25"/>
        <v>1.33</v>
      </c>
      <c r="DB62">
        <f t="shared" si="26"/>
        <v>184.76</v>
      </c>
      <c r="DC62">
        <f t="shared" si="27"/>
        <v>0</v>
      </c>
      <c r="DD62" t="s">
        <v>6</v>
      </c>
      <c r="DE62" t="s">
        <v>6</v>
      </c>
      <c r="DF62">
        <f t="shared" si="30"/>
        <v>12.29</v>
      </c>
      <c r="DG62">
        <f t="shared" si="28"/>
        <v>0</v>
      </c>
      <c r="DH62">
        <f t="shared" si="15"/>
        <v>0</v>
      </c>
      <c r="DI62">
        <f t="shared" si="16"/>
        <v>0</v>
      </c>
      <c r="DJ62">
        <f t="shared" si="29"/>
        <v>12.29</v>
      </c>
      <c r="DK62">
        <v>0</v>
      </c>
      <c r="DL62" t="s">
        <v>6</v>
      </c>
      <c r="DM62">
        <v>0</v>
      </c>
      <c r="DN62" t="s">
        <v>6</v>
      </c>
      <c r="DO62">
        <v>0</v>
      </c>
    </row>
    <row r="63" spans="1:119" x14ac:dyDescent="0.2">
      <c r="A63">
        <f>ROW(Source!A251)</f>
        <v>251</v>
      </c>
      <c r="B63">
        <v>74852007</v>
      </c>
      <c r="C63">
        <v>74852611</v>
      </c>
      <c r="D63">
        <v>72601325</v>
      </c>
      <c r="E63">
        <v>1</v>
      </c>
      <c r="F63">
        <v>1</v>
      </c>
      <c r="G63">
        <v>1</v>
      </c>
      <c r="H63">
        <v>3</v>
      </c>
      <c r="I63" t="s">
        <v>474</v>
      </c>
      <c r="J63" t="s">
        <v>475</v>
      </c>
      <c r="K63" t="s">
        <v>476</v>
      </c>
      <c r="L63">
        <v>1425</v>
      </c>
      <c r="N63">
        <v>1013</v>
      </c>
      <c r="O63" t="s">
        <v>222</v>
      </c>
      <c r="P63" t="s">
        <v>222</v>
      </c>
      <c r="Q63">
        <v>1</v>
      </c>
      <c r="W63">
        <v>0</v>
      </c>
      <c r="X63">
        <v>270912355</v>
      </c>
      <c r="Y63">
        <f t="shared" si="22"/>
        <v>4.29</v>
      </c>
      <c r="AA63">
        <v>29.35</v>
      </c>
      <c r="AB63">
        <v>0</v>
      </c>
      <c r="AC63">
        <v>0</v>
      </c>
      <c r="AD63">
        <v>0</v>
      </c>
      <c r="AE63">
        <v>22.93</v>
      </c>
      <c r="AF63">
        <v>0</v>
      </c>
      <c r="AG63">
        <v>0</v>
      </c>
      <c r="AH63">
        <v>0</v>
      </c>
      <c r="AI63">
        <v>1.28</v>
      </c>
      <c r="AJ63">
        <v>1</v>
      </c>
      <c r="AK63">
        <v>1</v>
      </c>
      <c r="AL63">
        <v>1</v>
      </c>
      <c r="AM63">
        <v>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6</v>
      </c>
      <c r="AT63">
        <v>4.29</v>
      </c>
      <c r="AU63" t="s">
        <v>6</v>
      </c>
      <c r="AV63">
        <v>0</v>
      </c>
      <c r="AW63">
        <v>2</v>
      </c>
      <c r="AX63">
        <v>74853150</v>
      </c>
      <c r="AY63">
        <v>1</v>
      </c>
      <c r="AZ63">
        <v>0</v>
      </c>
      <c r="BA63">
        <v>76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98.369699999999995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98.369699999999995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</v>
      </c>
      <c r="CV63">
        <v>0</v>
      </c>
      <c r="CW63">
        <v>0</v>
      </c>
      <c r="CX63">
        <f>ROUND(Y63*Source!I251,7)</f>
        <v>0.2145</v>
      </c>
      <c r="CY63">
        <f t="shared" si="23"/>
        <v>29.35</v>
      </c>
      <c r="CZ63">
        <f t="shared" si="24"/>
        <v>22.93</v>
      </c>
      <c r="DA63">
        <f t="shared" si="25"/>
        <v>1.28</v>
      </c>
      <c r="DB63">
        <f t="shared" si="26"/>
        <v>98.37</v>
      </c>
      <c r="DC63">
        <f t="shared" si="27"/>
        <v>0</v>
      </c>
      <c r="DD63" t="s">
        <v>6</v>
      </c>
      <c r="DE63" t="s">
        <v>6</v>
      </c>
      <c r="DF63">
        <f t="shared" si="30"/>
        <v>6.3</v>
      </c>
      <c r="DG63">
        <f t="shared" si="28"/>
        <v>0</v>
      </c>
      <c r="DH63">
        <f t="shared" si="15"/>
        <v>0</v>
      </c>
      <c r="DI63">
        <f t="shared" si="16"/>
        <v>0</v>
      </c>
      <c r="DJ63">
        <f t="shared" si="29"/>
        <v>6.3</v>
      </c>
      <c r="DK63">
        <v>0</v>
      </c>
      <c r="DL63" t="s">
        <v>6</v>
      </c>
      <c r="DM63">
        <v>0</v>
      </c>
      <c r="DN63" t="s">
        <v>6</v>
      </c>
      <c r="DO63">
        <v>0</v>
      </c>
    </row>
    <row r="64" spans="1:119" x14ac:dyDescent="0.2">
      <c r="A64">
        <f>ROW(Source!A251)</f>
        <v>251</v>
      </c>
      <c r="B64">
        <v>74852007</v>
      </c>
      <c r="C64">
        <v>74852611</v>
      </c>
      <c r="D64">
        <v>72601327</v>
      </c>
      <c r="E64">
        <v>1</v>
      </c>
      <c r="F64">
        <v>1</v>
      </c>
      <c r="G64">
        <v>1</v>
      </c>
      <c r="H64">
        <v>3</v>
      </c>
      <c r="I64" t="s">
        <v>477</v>
      </c>
      <c r="J64" t="s">
        <v>478</v>
      </c>
      <c r="K64" t="s">
        <v>479</v>
      </c>
      <c r="L64">
        <v>1425</v>
      </c>
      <c r="N64">
        <v>1013</v>
      </c>
      <c r="O64" t="s">
        <v>222</v>
      </c>
      <c r="P64" t="s">
        <v>222</v>
      </c>
      <c r="Q64">
        <v>1</v>
      </c>
      <c r="W64">
        <v>0</v>
      </c>
      <c r="X64">
        <v>1610961065</v>
      </c>
      <c r="Y64">
        <f t="shared" si="22"/>
        <v>16.670000000000002</v>
      </c>
      <c r="AA64">
        <v>29.24</v>
      </c>
      <c r="AB64">
        <v>0</v>
      </c>
      <c r="AC64">
        <v>0</v>
      </c>
      <c r="AD64">
        <v>0</v>
      </c>
      <c r="AE64">
        <v>22.84</v>
      </c>
      <c r="AF64">
        <v>0</v>
      </c>
      <c r="AG64">
        <v>0</v>
      </c>
      <c r="AH64">
        <v>0</v>
      </c>
      <c r="AI64">
        <v>1.28</v>
      </c>
      <c r="AJ64">
        <v>1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1</v>
      </c>
      <c r="AQ64">
        <v>1</v>
      </c>
      <c r="AR64">
        <v>0</v>
      </c>
      <c r="AS64" t="s">
        <v>6</v>
      </c>
      <c r="AT64">
        <v>16.670000000000002</v>
      </c>
      <c r="AU64" t="s">
        <v>6</v>
      </c>
      <c r="AV64">
        <v>0</v>
      </c>
      <c r="AW64">
        <v>2</v>
      </c>
      <c r="AX64">
        <v>74853151</v>
      </c>
      <c r="AY64">
        <v>1</v>
      </c>
      <c r="AZ64">
        <v>0</v>
      </c>
      <c r="BA64">
        <v>77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380.74280000000005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380.74280000000005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1</v>
      </c>
      <c r="CV64">
        <v>0</v>
      </c>
      <c r="CW64">
        <v>0</v>
      </c>
      <c r="CX64">
        <f>ROUND(Y64*Source!I251,7)</f>
        <v>0.83350000000000002</v>
      </c>
      <c r="CY64">
        <f t="shared" si="23"/>
        <v>29.24</v>
      </c>
      <c r="CZ64">
        <f t="shared" si="24"/>
        <v>22.84</v>
      </c>
      <c r="DA64">
        <f t="shared" si="25"/>
        <v>1.28</v>
      </c>
      <c r="DB64">
        <f t="shared" si="26"/>
        <v>380.74</v>
      </c>
      <c r="DC64">
        <f t="shared" si="27"/>
        <v>0</v>
      </c>
      <c r="DD64" t="s">
        <v>6</v>
      </c>
      <c r="DE64" t="s">
        <v>6</v>
      </c>
      <c r="DF64">
        <f t="shared" si="30"/>
        <v>24.37</v>
      </c>
      <c r="DG64">
        <f t="shared" si="28"/>
        <v>0</v>
      </c>
      <c r="DH64">
        <f t="shared" si="15"/>
        <v>0</v>
      </c>
      <c r="DI64">
        <f t="shared" si="16"/>
        <v>0</v>
      </c>
      <c r="DJ64">
        <f t="shared" si="29"/>
        <v>24.37</v>
      </c>
      <c r="DK64">
        <v>0</v>
      </c>
      <c r="DL64" t="s">
        <v>6</v>
      </c>
      <c r="DM64">
        <v>0</v>
      </c>
      <c r="DN64" t="s">
        <v>6</v>
      </c>
      <c r="DO64">
        <v>0</v>
      </c>
    </row>
    <row r="65" spans="1:119" x14ac:dyDescent="0.2">
      <c r="A65">
        <f>ROW(Source!A251)</f>
        <v>251</v>
      </c>
      <c r="B65">
        <v>74852007</v>
      </c>
      <c r="C65">
        <v>74852611</v>
      </c>
      <c r="D65">
        <v>72606355</v>
      </c>
      <c r="E65">
        <v>1</v>
      </c>
      <c r="F65">
        <v>1</v>
      </c>
      <c r="G65">
        <v>1</v>
      </c>
      <c r="H65">
        <v>3</v>
      </c>
      <c r="I65" t="s">
        <v>480</v>
      </c>
      <c r="J65" t="s">
        <v>481</v>
      </c>
      <c r="K65" t="s">
        <v>482</v>
      </c>
      <c r="L65">
        <v>1301</v>
      </c>
      <c r="N65">
        <v>1003</v>
      </c>
      <c r="O65" t="s">
        <v>157</v>
      </c>
      <c r="P65" t="s">
        <v>157</v>
      </c>
      <c r="Q65">
        <v>1</v>
      </c>
      <c r="W65">
        <v>0</v>
      </c>
      <c r="X65">
        <v>-637570048</v>
      </c>
      <c r="Y65">
        <f t="shared" si="22"/>
        <v>80.95</v>
      </c>
      <c r="AA65">
        <v>39.74</v>
      </c>
      <c r="AB65">
        <v>0</v>
      </c>
      <c r="AC65">
        <v>0</v>
      </c>
      <c r="AD65">
        <v>0</v>
      </c>
      <c r="AE65">
        <v>44.16</v>
      </c>
      <c r="AF65">
        <v>0</v>
      </c>
      <c r="AG65">
        <v>0</v>
      </c>
      <c r="AH65">
        <v>0</v>
      </c>
      <c r="AI65">
        <v>0.9</v>
      </c>
      <c r="AJ65">
        <v>1</v>
      </c>
      <c r="AK65">
        <v>1</v>
      </c>
      <c r="AL65">
        <v>1</v>
      </c>
      <c r="AM65">
        <v>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6</v>
      </c>
      <c r="AT65">
        <v>80.95</v>
      </c>
      <c r="AU65" t="s">
        <v>6</v>
      </c>
      <c r="AV65">
        <v>0</v>
      </c>
      <c r="AW65">
        <v>2</v>
      </c>
      <c r="AX65">
        <v>74853152</v>
      </c>
      <c r="AY65">
        <v>1</v>
      </c>
      <c r="AZ65">
        <v>0</v>
      </c>
      <c r="BA65">
        <v>78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3574.752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3574.752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CV65">
        <v>0</v>
      </c>
      <c r="CW65">
        <v>0</v>
      </c>
      <c r="CX65">
        <f>ROUND(Y65*Source!I251,7)</f>
        <v>4.0475000000000003</v>
      </c>
      <c r="CY65">
        <f t="shared" si="23"/>
        <v>39.74</v>
      </c>
      <c r="CZ65">
        <f t="shared" si="24"/>
        <v>44.16</v>
      </c>
      <c r="DA65">
        <f t="shared" si="25"/>
        <v>0.9</v>
      </c>
      <c r="DB65">
        <f t="shared" si="26"/>
        <v>3574.75</v>
      </c>
      <c r="DC65">
        <f t="shared" si="27"/>
        <v>0</v>
      </c>
      <c r="DD65" t="s">
        <v>6</v>
      </c>
      <c r="DE65" t="s">
        <v>6</v>
      </c>
      <c r="DF65">
        <f t="shared" si="30"/>
        <v>160.85</v>
      </c>
      <c r="DG65">
        <f t="shared" si="28"/>
        <v>0</v>
      </c>
      <c r="DH65">
        <f t="shared" ref="DH65:DH96" si="31">ROUND(ROUND(AG65,2)*CX65,2)</f>
        <v>0</v>
      </c>
      <c r="DI65">
        <f t="shared" ref="DI65:DI96" si="32">ROUND(ROUND(AH65,2)*CX65,2)</f>
        <v>0</v>
      </c>
      <c r="DJ65">
        <f t="shared" si="29"/>
        <v>160.85</v>
      </c>
      <c r="DK65">
        <v>0</v>
      </c>
      <c r="DL65" t="s">
        <v>6</v>
      </c>
      <c r="DM65">
        <v>0</v>
      </c>
      <c r="DN65" t="s">
        <v>6</v>
      </c>
      <c r="DO65">
        <v>0</v>
      </c>
    </row>
    <row r="66" spans="1:119" x14ac:dyDescent="0.2">
      <c r="A66">
        <f>ROW(Source!A251)</f>
        <v>251</v>
      </c>
      <c r="B66">
        <v>74852007</v>
      </c>
      <c r="C66">
        <v>74852611</v>
      </c>
      <c r="D66">
        <v>72606358</v>
      </c>
      <c r="E66">
        <v>1</v>
      </c>
      <c r="F66">
        <v>1</v>
      </c>
      <c r="G66">
        <v>1</v>
      </c>
      <c r="H66">
        <v>3</v>
      </c>
      <c r="I66" t="s">
        <v>483</v>
      </c>
      <c r="J66" t="s">
        <v>484</v>
      </c>
      <c r="K66" t="s">
        <v>485</v>
      </c>
      <c r="L66">
        <v>1301</v>
      </c>
      <c r="N66">
        <v>1003</v>
      </c>
      <c r="O66" t="s">
        <v>157</v>
      </c>
      <c r="P66" t="s">
        <v>157</v>
      </c>
      <c r="Q66">
        <v>1</v>
      </c>
      <c r="W66">
        <v>0</v>
      </c>
      <c r="X66">
        <v>-345631774</v>
      </c>
      <c r="Y66">
        <f t="shared" si="22"/>
        <v>171.83</v>
      </c>
      <c r="AA66">
        <v>58</v>
      </c>
      <c r="AB66">
        <v>0</v>
      </c>
      <c r="AC66">
        <v>0</v>
      </c>
      <c r="AD66">
        <v>0</v>
      </c>
      <c r="AE66">
        <v>64.44</v>
      </c>
      <c r="AF66">
        <v>0</v>
      </c>
      <c r="AG66">
        <v>0</v>
      </c>
      <c r="AH66">
        <v>0</v>
      </c>
      <c r="AI66">
        <v>0.9</v>
      </c>
      <c r="AJ66">
        <v>1</v>
      </c>
      <c r="AK66">
        <v>1</v>
      </c>
      <c r="AL66">
        <v>1</v>
      </c>
      <c r="AM66">
        <v>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6</v>
      </c>
      <c r="AT66">
        <v>171.83</v>
      </c>
      <c r="AU66" t="s">
        <v>6</v>
      </c>
      <c r="AV66">
        <v>0</v>
      </c>
      <c r="AW66">
        <v>2</v>
      </c>
      <c r="AX66">
        <v>74853153</v>
      </c>
      <c r="AY66">
        <v>1</v>
      </c>
      <c r="AZ66">
        <v>0</v>
      </c>
      <c r="BA66">
        <v>79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11072.725200000001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11072.725200000001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CV66">
        <v>0</v>
      </c>
      <c r="CW66">
        <v>0</v>
      </c>
      <c r="CX66">
        <f>ROUND(Y66*Source!I251,7)</f>
        <v>8.5914999999999999</v>
      </c>
      <c r="CY66">
        <f t="shared" si="23"/>
        <v>58</v>
      </c>
      <c r="CZ66">
        <f t="shared" si="24"/>
        <v>64.44</v>
      </c>
      <c r="DA66">
        <f t="shared" si="25"/>
        <v>0.9</v>
      </c>
      <c r="DB66">
        <f t="shared" si="26"/>
        <v>11072.73</v>
      </c>
      <c r="DC66">
        <f t="shared" si="27"/>
        <v>0</v>
      </c>
      <c r="DD66" t="s">
        <v>6</v>
      </c>
      <c r="DE66" t="s">
        <v>6</v>
      </c>
      <c r="DF66">
        <f t="shared" si="30"/>
        <v>498.31</v>
      </c>
      <c r="DG66">
        <f t="shared" si="28"/>
        <v>0</v>
      </c>
      <c r="DH66">
        <f t="shared" si="31"/>
        <v>0</v>
      </c>
      <c r="DI66">
        <f t="shared" si="32"/>
        <v>0</v>
      </c>
      <c r="DJ66">
        <f t="shared" si="29"/>
        <v>498.31</v>
      </c>
      <c r="DK66">
        <v>0</v>
      </c>
      <c r="DL66" t="s">
        <v>6</v>
      </c>
      <c r="DM66">
        <v>0</v>
      </c>
      <c r="DN66" t="s">
        <v>6</v>
      </c>
      <c r="DO66">
        <v>0</v>
      </c>
    </row>
    <row r="67" spans="1:119" x14ac:dyDescent="0.2">
      <c r="A67">
        <f>ROW(Source!A251)</f>
        <v>251</v>
      </c>
      <c r="B67">
        <v>74852007</v>
      </c>
      <c r="C67">
        <v>74852611</v>
      </c>
      <c r="D67">
        <v>72606502</v>
      </c>
      <c r="E67">
        <v>1</v>
      </c>
      <c r="F67">
        <v>1</v>
      </c>
      <c r="G67">
        <v>1</v>
      </c>
      <c r="H67">
        <v>3</v>
      </c>
      <c r="I67" t="s">
        <v>486</v>
      </c>
      <c r="J67" t="s">
        <v>487</v>
      </c>
      <c r="K67" t="s">
        <v>488</v>
      </c>
      <c r="L67">
        <v>1425</v>
      </c>
      <c r="N67">
        <v>1013</v>
      </c>
      <c r="O67" t="s">
        <v>222</v>
      </c>
      <c r="P67" t="s">
        <v>222</v>
      </c>
      <c r="Q67">
        <v>1</v>
      </c>
      <c r="W67">
        <v>0</v>
      </c>
      <c r="X67">
        <v>992874026</v>
      </c>
      <c r="Y67">
        <f t="shared" si="22"/>
        <v>2.14</v>
      </c>
      <c r="AA67">
        <v>1297.29</v>
      </c>
      <c r="AB67">
        <v>0</v>
      </c>
      <c r="AC67">
        <v>0</v>
      </c>
      <c r="AD67">
        <v>0</v>
      </c>
      <c r="AE67">
        <v>864.86</v>
      </c>
      <c r="AF67">
        <v>0</v>
      </c>
      <c r="AG67">
        <v>0</v>
      </c>
      <c r="AH67">
        <v>0</v>
      </c>
      <c r="AI67">
        <v>1.5</v>
      </c>
      <c r="AJ67">
        <v>1</v>
      </c>
      <c r="AK67">
        <v>1</v>
      </c>
      <c r="AL67">
        <v>1</v>
      </c>
      <c r="AM67">
        <v>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6</v>
      </c>
      <c r="AT67">
        <v>2.14</v>
      </c>
      <c r="AU67" t="s">
        <v>6</v>
      </c>
      <c r="AV67">
        <v>0</v>
      </c>
      <c r="AW67">
        <v>2</v>
      </c>
      <c r="AX67">
        <v>74853154</v>
      </c>
      <c r="AY67">
        <v>1</v>
      </c>
      <c r="AZ67">
        <v>0</v>
      </c>
      <c r="BA67">
        <v>80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1850.8004000000001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1850.8004000000001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CV67">
        <v>0</v>
      </c>
      <c r="CW67">
        <v>0</v>
      </c>
      <c r="CX67">
        <f>ROUND(Y67*Source!I251,7)</f>
        <v>0.107</v>
      </c>
      <c r="CY67">
        <f t="shared" si="23"/>
        <v>1297.29</v>
      </c>
      <c r="CZ67">
        <f t="shared" si="24"/>
        <v>864.86</v>
      </c>
      <c r="DA67">
        <f t="shared" si="25"/>
        <v>1.5</v>
      </c>
      <c r="DB67">
        <f t="shared" si="26"/>
        <v>1850.8</v>
      </c>
      <c r="DC67">
        <f t="shared" si="27"/>
        <v>0</v>
      </c>
      <c r="DD67" t="s">
        <v>6</v>
      </c>
      <c r="DE67" t="s">
        <v>6</v>
      </c>
      <c r="DF67">
        <f t="shared" si="30"/>
        <v>138.81</v>
      </c>
      <c r="DG67">
        <f t="shared" si="28"/>
        <v>0</v>
      </c>
      <c r="DH67">
        <f t="shared" si="31"/>
        <v>0</v>
      </c>
      <c r="DI67">
        <f t="shared" si="32"/>
        <v>0</v>
      </c>
      <c r="DJ67">
        <f t="shared" si="29"/>
        <v>138.81</v>
      </c>
      <c r="DK67">
        <v>0</v>
      </c>
      <c r="DL67" t="s">
        <v>6</v>
      </c>
      <c r="DM67">
        <v>0</v>
      </c>
      <c r="DN67" t="s">
        <v>6</v>
      </c>
      <c r="DO67">
        <v>0</v>
      </c>
    </row>
    <row r="68" spans="1:119" x14ac:dyDescent="0.2">
      <c r="A68">
        <f>ROW(Source!A251)</f>
        <v>251</v>
      </c>
      <c r="B68">
        <v>74852007</v>
      </c>
      <c r="C68">
        <v>74852611</v>
      </c>
      <c r="D68">
        <v>72606531</v>
      </c>
      <c r="E68">
        <v>1</v>
      </c>
      <c r="F68">
        <v>1</v>
      </c>
      <c r="G68">
        <v>1</v>
      </c>
      <c r="H68">
        <v>3</v>
      </c>
      <c r="I68" t="s">
        <v>489</v>
      </c>
      <c r="J68" t="s">
        <v>490</v>
      </c>
      <c r="K68" t="s">
        <v>491</v>
      </c>
      <c r="L68">
        <v>1425</v>
      </c>
      <c r="N68">
        <v>1013</v>
      </c>
      <c r="O68" t="s">
        <v>222</v>
      </c>
      <c r="P68" t="s">
        <v>222</v>
      </c>
      <c r="Q68">
        <v>1</v>
      </c>
      <c r="W68">
        <v>0</v>
      </c>
      <c r="X68">
        <v>117477116</v>
      </c>
      <c r="Y68">
        <f t="shared" si="22"/>
        <v>0.36</v>
      </c>
      <c r="AA68">
        <v>3020.21</v>
      </c>
      <c r="AB68">
        <v>0</v>
      </c>
      <c r="AC68">
        <v>0</v>
      </c>
      <c r="AD68">
        <v>0</v>
      </c>
      <c r="AE68">
        <v>2013.47</v>
      </c>
      <c r="AF68">
        <v>0</v>
      </c>
      <c r="AG68">
        <v>0</v>
      </c>
      <c r="AH68">
        <v>0</v>
      </c>
      <c r="AI68">
        <v>1.5</v>
      </c>
      <c r="AJ68">
        <v>1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6</v>
      </c>
      <c r="AT68">
        <v>0.36</v>
      </c>
      <c r="AU68" t="s">
        <v>6</v>
      </c>
      <c r="AV68">
        <v>0</v>
      </c>
      <c r="AW68">
        <v>2</v>
      </c>
      <c r="AX68">
        <v>74853155</v>
      </c>
      <c r="AY68">
        <v>1</v>
      </c>
      <c r="AZ68">
        <v>0</v>
      </c>
      <c r="BA68">
        <v>81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724.8492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724.8492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CV68">
        <v>0</v>
      </c>
      <c r="CW68">
        <v>0</v>
      </c>
      <c r="CX68">
        <f>ROUND(Y68*Source!I251,7)</f>
        <v>1.7999999999999999E-2</v>
      </c>
      <c r="CY68">
        <f t="shared" si="23"/>
        <v>3020.21</v>
      </c>
      <c r="CZ68">
        <f t="shared" si="24"/>
        <v>2013.47</v>
      </c>
      <c r="DA68">
        <f t="shared" si="25"/>
        <v>1.5</v>
      </c>
      <c r="DB68">
        <f t="shared" si="26"/>
        <v>724.85</v>
      </c>
      <c r="DC68">
        <f t="shared" si="27"/>
        <v>0</v>
      </c>
      <c r="DD68" t="s">
        <v>6</v>
      </c>
      <c r="DE68" t="s">
        <v>6</v>
      </c>
      <c r="DF68">
        <f t="shared" si="30"/>
        <v>54.36</v>
      </c>
      <c r="DG68">
        <f t="shared" si="28"/>
        <v>0</v>
      </c>
      <c r="DH68">
        <f t="shared" si="31"/>
        <v>0</v>
      </c>
      <c r="DI68">
        <f t="shared" si="32"/>
        <v>0</v>
      </c>
      <c r="DJ68">
        <f t="shared" si="29"/>
        <v>54.36</v>
      </c>
      <c r="DK68">
        <v>0</v>
      </c>
      <c r="DL68" t="s">
        <v>6</v>
      </c>
      <c r="DM68">
        <v>0</v>
      </c>
      <c r="DN68" t="s">
        <v>6</v>
      </c>
      <c r="DO68">
        <v>0</v>
      </c>
    </row>
    <row r="69" spans="1:119" x14ac:dyDescent="0.2">
      <c r="A69">
        <f>ROW(Source!A251)</f>
        <v>251</v>
      </c>
      <c r="B69">
        <v>74852007</v>
      </c>
      <c r="C69">
        <v>74852611</v>
      </c>
      <c r="D69">
        <v>72618588</v>
      </c>
      <c r="E69">
        <v>1</v>
      </c>
      <c r="F69">
        <v>1</v>
      </c>
      <c r="G69">
        <v>1</v>
      </c>
      <c r="H69">
        <v>3</v>
      </c>
      <c r="I69" t="s">
        <v>215</v>
      </c>
      <c r="J69" t="s">
        <v>218</v>
      </c>
      <c r="K69" t="s">
        <v>216</v>
      </c>
      <c r="L69">
        <v>1346</v>
      </c>
      <c r="N69">
        <v>1009</v>
      </c>
      <c r="O69" t="s">
        <v>217</v>
      </c>
      <c r="P69" t="s">
        <v>217</v>
      </c>
      <c r="Q69">
        <v>1</v>
      </c>
      <c r="W69">
        <v>0</v>
      </c>
      <c r="X69">
        <v>2030637064</v>
      </c>
      <c r="Y69">
        <f t="shared" si="22"/>
        <v>0.56999999999999995</v>
      </c>
      <c r="AA69">
        <v>105.85</v>
      </c>
      <c r="AB69">
        <v>0</v>
      </c>
      <c r="AC69">
        <v>0</v>
      </c>
      <c r="AD69">
        <v>0</v>
      </c>
      <c r="AE69">
        <v>68.290000000000006</v>
      </c>
      <c r="AF69">
        <v>0</v>
      </c>
      <c r="AG69">
        <v>0</v>
      </c>
      <c r="AH69">
        <v>0</v>
      </c>
      <c r="AI69">
        <v>1.55</v>
      </c>
      <c r="AJ69">
        <v>1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6</v>
      </c>
      <c r="AT69">
        <v>0.56999999999999995</v>
      </c>
      <c r="AU69" t="s">
        <v>6</v>
      </c>
      <c r="AV69">
        <v>0</v>
      </c>
      <c r="AW69">
        <v>2</v>
      </c>
      <c r="AX69">
        <v>74853156</v>
      </c>
      <c r="AY69">
        <v>1</v>
      </c>
      <c r="AZ69">
        <v>0</v>
      </c>
      <c r="BA69">
        <v>82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38.9253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38.9253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CV69">
        <v>0</v>
      </c>
      <c r="CW69">
        <v>0</v>
      </c>
      <c r="CX69">
        <f>ROUND(Y69*Source!I251,7)</f>
        <v>2.8500000000000001E-2</v>
      </c>
      <c r="CY69">
        <f t="shared" si="23"/>
        <v>105.85</v>
      </c>
      <c r="CZ69">
        <f t="shared" si="24"/>
        <v>68.290000000000006</v>
      </c>
      <c r="DA69">
        <f t="shared" si="25"/>
        <v>1.55</v>
      </c>
      <c r="DB69">
        <f t="shared" si="26"/>
        <v>38.93</v>
      </c>
      <c r="DC69">
        <f t="shared" si="27"/>
        <v>0</v>
      </c>
      <c r="DD69" t="s">
        <v>6</v>
      </c>
      <c r="DE69" t="s">
        <v>6</v>
      </c>
      <c r="DF69">
        <f t="shared" si="30"/>
        <v>3.02</v>
      </c>
      <c r="DG69">
        <f t="shared" si="28"/>
        <v>0</v>
      </c>
      <c r="DH69">
        <f t="shared" si="31"/>
        <v>0</v>
      </c>
      <c r="DI69">
        <f t="shared" si="32"/>
        <v>0</v>
      </c>
      <c r="DJ69">
        <f t="shared" si="29"/>
        <v>3.02</v>
      </c>
      <c r="DK69">
        <v>0</v>
      </c>
      <c r="DL69" t="s">
        <v>6</v>
      </c>
      <c r="DM69">
        <v>0</v>
      </c>
      <c r="DN69" t="s">
        <v>6</v>
      </c>
      <c r="DO69">
        <v>0</v>
      </c>
    </row>
    <row r="70" spans="1:119" x14ac:dyDescent="0.2">
      <c r="A70">
        <f>ROW(Source!A251)</f>
        <v>251</v>
      </c>
      <c r="B70">
        <v>74852007</v>
      </c>
      <c r="C70">
        <v>74852611</v>
      </c>
      <c r="D70">
        <v>72619131</v>
      </c>
      <c r="E70">
        <v>1</v>
      </c>
      <c r="F70">
        <v>1</v>
      </c>
      <c r="G70">
        <v>1</v>
      </c>
      <c r="H70">
        <v>3</v>
      </c>
      <c r="I70" t="s">
        <v>492</v>
      </c>
      <c r="J70" t="s">
        <v>493</v>
      </c>
      <c r="K70" t="s">
        <v>494</v>
      </c>
      <c r="L70">
        <v>1346</v>
      </c>
      <c r="N70">
        <v>1009</v>
      </c>
      <c r="O70" t="s">
        <v>217</v>
      </c>
      <c r="P70" t="s">
        <v>217</v>
      </c>
      <c r="Q70">
        <v>1</v>
      </c>
      <c r="W70">
        <v>0</v>
      </c>
      <c r="X70">
        <v>-1205680105</v>
      </c>
      <c r="Y70">
        <f t="shared" si="22"/>
        <v>41.4</v>
      </c>
      <c r="AA70">
        <v>23.93</v>
      </c>
      <c r="AB70">
        <v>0</v>
      </c>
      <c r="AC70">
        <v>0</v>
      </c>
      <c r="AD70">
        <v>0</v>
      </c>
      <c r="AE70">
        <v>17.34</v>
      </c>
      <c r="AF70">
        <v>0</v>
      </c>
      <c r="AG70">
        <v>0</v>
      </c>
      <c r="AH70">
        <v>0</v>
      </c>
      <c r="AI70">
        <v>1.38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6</v>
      </c>
      <c r="AT70">
        <v>41.4</v>
      </c>
      <c r="AU70" t="s">
        <v>6</v>
      </c>
      <c r="AV70">
        <v>0</v>
      </c>
      <c r="AW70">
        <v>2</v>
      </c>
      <c r="AX70">
        <v>74853157</v>
      </c>
      <c r="AY70">
        <v>1</v>
      </c>
      <c r="AZ70">
        <v>0</v>
      </c>
      <c r="BA70">
        <v>83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717.87599999999998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717.87599999999998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ROUND(Y70*Source!I251,7)</f>
        <v>2.0699999999999998</v>
      </c>
      <c r="CY70">
        <f t="shared" si="23"/>
        <v>23.93</v>
      </c>
      <c r="CZ70">
        <f t="shared" si="24"/>
        <v>17.34</v>
      </c>
      <c r="DA70">
        <f t="shared" si="25"/>
        <v>1.38</v>
      </c>
      <c r="DB70">
        <f t="shared" si="26"/>
        <v>717.88</v>
      </c>
      <c r="DC70">
        <f t="shared" si="27"/>
        <v>0</v>
      </c>
      <c r="DD70" t="s">
        <v>6</v>
      </c>
      <c r="DE70" t="s">
        <v>6</v>
      </c>
      <c r="DF70">
        <f t="shared" si="30"/>
        <v>49.54</v>
      </c>
      <c r="DG70">
        <f t="shared" si="28"/>
        <v>0</v>
      </c>
      <c r="DH70">
        <f t="shared" si="31"/>
        <v>0</v>
      </c>
      <c r="DI70">
        <f t="shared" si="32"/>
        <v>0</v>
      </c>
      <c r="DJ70">
        <f t="shared" si="29"/>
        <v>49.54</v>
      </c>
      <c r="DK70">
        <v>0</v>
      </c>
      <c r="DL70" t="s">
        <v>6</v>
      </c>
      <c r="DM70">
        <v>0</v>
      </c>
      <c r="DN70" t="s">
        <v>6</v>
      </c>
      <c r="DO70">
        <v>0</v>
      </c>
    </row>
    <row r="71" spans="1:119" x14ac:dyDescent="0.2">
      <c r="A71">
        <f>ROW(Source!A253)</f>
        <v>253</v>
      </c>
      <c r="B71">
        <v>74852007</v>
      </c>
      <c r="C71">
        <v>74852649</v>
      </c>
      <c r="D71">
        <v>72527804</v>
      </c>
      <c r="E71">
        <v>114</v>
      </c>
      <c r="F71">
        <v>1</v>
      </c>
      <c r="G71">
        <v>1</v>
      </c>
      <c r="H71">
        <v>1</v>
      </c>
      <c r="I71" t="s">
        <v>495</v>
      </c>
      <c r="J71" t="s">
        <v>6</v>
      </c>
      <c r="K71" t="s">
        <v>496</v>
      </c>
      <c r="L71">
        <v>1191</v>
      </c>
      <c r="N71">
        <v>1013</v>
      </c>
      <c r="O71" t="s">
        <v>383</v>
      </c>
      <c r="P71" t="s">
        <v>383</v>
      </c>
      <c r="Q71">
        <v>1</v>
      </c>
      <c r="W71">
        <v>0</v>
      </c>
      <c r="X71">
        <v>1958912953</v>
      </c>
      <c r="Y71">
        <f>(AT71*ROUND(1.15,7))</f>
        <v>50.094000000000001</v>
      </c>
      <c r="AA71">
        <v>0</v>
      </c>
      <c r="AB71">
        <v>0</v>
      </c>
      <c r="AC71">
        <v>0</v>
      </c>
      <c r="AD71">
        <v>304.93</v>
      </c>
      <c r="AE71">
        <v>0</v>
      </c>
      <c r="AF71">
        <v>0</v>
      </c>
      <c r="AG71">
        <v>0</v>
      </c>
      <c r="AH71">
        <v>304.93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6</v>
      </c>
      <c r="AT71">
        <v>43.56</v>
      </c>
      <c r="AU71" t="s">
        <v>117</v>
      </c>
      <c r="AV71">
        <v>1</v>
      </c>
      <c r="AW71">
        <v>2</v>
      </c>
      <c r="AX71">
        <v>74853159</v>
      </c>
      <c r="AY71">
        <v>1</v>
      </c>
      <c r="AZ71">
        <v>0</v>
      </c>
      <c r="BA71">
        <v>84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13282.750800000002</v>
      </c>
      <c r="BN71">
        <v>43.56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15275.163420000001</v>
      </c>
      <c r="BU71">
        <v>50.094000000000001</v>
      </c>
      <c r="BV71">
        <v>0</v>
      </c>
      <c r="BW71">
        <v>1</v>
      </c>
      <c r="CU71">
        <f>ROUND(AT71*Source!I253*AH71*AL71,2)</f>
        <v>19459.23</v>
      </c>
      <c r="CV71">
        <f>ROUND(Y71*Source!I253,7)</f>
        <v>73.387709999999998</v>
      </c>
      <c r="CW71">
        <v>0</v>
      </c>
      <c r="CX71">
        <f>ROUND(Y71*Source!I253,7)</f>
        <v>73.387709999999998</v>
      </c>
      <c r="CY71">
        <f>AD71</f>
        <v>304.93</v>
      </c>
      <c r="CZ71">
        <f>AH71</f>
        <v>304.93</v>
      </c>
      <c r="DA71">
        <f>AL71</f>
        <v>1</v>
      </c>
      <c r="DB71">
        <f>ROUND((ROUND(AT71*CZ71,2)*ROUND(1.15,7)),2)</f>
        <v>15275.16</v>
      </c>
      <c r="DC71">
        <f>ROUND((ROUND(AT71*AG71,2)*ROUND(1.15,7)),2)</f>
        <v>0</v>
      </c>
      <c r="DD71" t="s">
        <v>6</v>
      </c>
      <c r="DE71" t="s">
        <v>6</v>
      </c>
      <c r="DF71">
        <f>ROUND(ROUND(AE71,2)*CX71,2)</f>
        <v>0</v>
      </c>
      <c r="DG71">
        <f t="shared" si="28"/>
        <v>0</v>
      </c>
      <c r="DH71">
        <f t="shared" si="31"/>
        <v>0</v>
      </c>
      <c r="DI71">
        <f t="shared" si="32"/>
        <v>22378.11</v>
      </c>
      <c r="DJ71">
        <f>DI71</f>
        <v>22378.11</v>
      </c>
      <c r="DK71">
        <v>1</v>
      </c>
      <c r="DL71" t="s">
        <v>6</v>
      </c>
      <c r="DM71">
        <v>0</v>
      </c>
      <c r="DN71" t="s">
        <v>6</v>
      </c>
      <c r="DO71">
        <v>0</v>
      </c>
    </row>
    <row r="72" spans="1:119" x14ac:dyDescent="0.2">
      <c r="A72">
        <f>ROW(Source!A253)</f>
        <v>253</v>
      </c>
      <c r="B72">
        <v>74852007</v>
      </c>
      <c r="C72">
        <v>74852649</v>
      </c>
      <c r="D72">
        <v>72527995</v>
      </c>
      <c r="E72">
        <v>114</v>
      </c>
      <c r="F72">
        <v>1</v>
      </c>
      <c r="G72">
        <v>1</v>
      </c>
      <c r="H72">
        <v>1</v>
      </c>
      <c r="I72" t="s">
        <v>384</v>
      </c>
      <c r="J72" t="s">
        <v>6</v>
      </c>
      <c r="K72" t="s">
        <v>385</v>
      </c>
      <c r="L72">
        <v>1191</v>
      </c>
      <c r="N72">
        <v>1013</v>
      </c>
      <c r="O72" t="s">
        <v>383</v>
      </c>
      <c r="P72" t="s">
        <v>383</v>
      </c>
      <c r="Q72">
        <v>1</v>
      </c>
      <c r="W72">
        <v>0</v>
      </c>
      <c r="X72">
        <v>-1417349443</v>
      </c>
      <c r="Y72">
        <f>(AT72*ROUND(1.25,7))</f>
        <v>0.21250000000000002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6</v>
      </c>
      <c r="AT72">
        <v>0.17</v>
      </c>
      <c r="AU72" t="s">
        <v>116</v>
      </c>
      <c r="AV72">
        <v>2</v>
      </c>
      <c r="AW72">
        <v>2</v>
      </c>
      <c r="AX72">
        <v>74853160</v>
      </c>
      <c r="AY72">
        <v>1</v>
      </c>
      <c r="AZ72">
        <v>0</v>
      </c>
      <c r="BA72">
        <v>85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ROUND(Y72*Source!I253,7)</f>
        <v>0.31131249999999999</v>
      </c>
      <c r="CY72">
        <f>AD72</f>
        <v>0</v>
      </c>
      <c r="CZ72">
        <f>AH72</f>
        <v>0</v>
      </c>
      <c r="DA72">
        <f>AL72</f>
        <v>1</v>
      </c>
      <c r="DB72">
        <f>ROUND((ROUND(AT72*CZ72,2)*ROUND(1.25,7)),2)</f>
        <v>0</v>
      </c>
      <c r="DC72">
        <f>ROUND((ROUND(AT72*AG72,2)*ROUND(1.25,7)),2)</f>
        <v>0</v>
      </c>
      <c r="DD72" t="s">
        <v>6</v>
      </c>
      <c r="DE72" t="s">
        <v>6</v>
      </c>
      <c r="DF72">
        <f>ROUND(ROUND(AE72,2)*CX72,2)</f>
        <v>0</v>
      </c>
      <c r="DG72">
        <f t="shared" si="28"/>
        <v>0</v>
      </c>
      <c r="DH72">
        <f t="shared" si="31"/>
        <v>0</v>
      </c>
      <c r="DI72">
        <f t="shared" si="32"/>
        <v>0</v>
      </c>
      <c r="DJ72">
        <f>DI72</f>
        <v>0</v>
      </c>
      <c r="DK72">
        <v>0</v>
      </c>
      <c r="DL72" t="s">
        <v>6</v>
      </c>
      <c r="DM72">
        <v>0</v>
      </c>
      <c r="DN72" t="s">
        <v>6</v>
      </c>
      <c r="DO72">
        <v>0</v>
      </c>
    </row>
    <row r="73" spans="1:119" x14ac:dyDescent="0.2">
      <c r="A73">
        <f>ROW(Source!A253)</f>
        <v>253</v>
      </c>
      <c r="B73">
        <v>74852007</v>
      </c>
      <c r="C73">
        <v>74852649</v>
      </c>
      <c r="D73">
        <v>72652624</v>
      </c>
      <c r="E73">
        <v>1</v>
      </c>
      <c r="F73">
        <v>1</v>
      </c>
      <c r="G73">
        <v>1</v>
      </c>
      <c r="H73">
        <v>2</v>
      </c>
      <c r="I73" t="s">
        <v>497</v>
      </c>
      <c r="J73" t="s">
        <v>498</v>
      </c>
      <c r="K73" t="s">
        <v>499</v>
      </c>
      <c r="L73">
        <v>1368</v>
      </c>
      <c r="N73">
        <v>1011</v>
      </c>
      <c r="O73" t="s">
        <v>389</v>
      </c>
      <c r="P73" t="s">
        <v>389</v>
      </c>
      <c r="Q73">
        <v>1</v>
      </c>
      <c r="W73">
        <v>0</v>
      </c>
      <c r="X73">
        <v>-1850480532</v>
      </c>
      <c r="Y73">
        <f>(AT73*ROUND(1.25,7))</f>
        <v>2.5000000000000001E-2</v>
      </c>
      <c r="AA73">
        <v>0</v>
      </c>
      <c r="AB73">
        <v>45.3</v>
      </c>
      <c r="AC73">
        <v>297.43</v>
      </c>
      <c r="AD73">
        <v>0</v>
      </c>
      <c r="AE73">
        <v>0</v>
      </c>
      <c r="AF73">
        <v>30.61</v>
      </c>
      <c r="AG73">
        <v>297.43</v>
      </c>
      <c r="AH73">
        <v>0</v>
      </c>
      <c r="AI73">
        <v>1</v>
      </c>
      <c r="AJ73">
        <v>1.48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6</v>
      </c>
      <c r="AT73">
        <v>0.02</v>
      </c>
      <c r="AU73" t="s">
        <v>116</v>
      </c>
      <c r="AV73">
        <v>1</v>
      </c>
      <c r="AW73">
        <v>2</v>
      </c>
      <c r="AX73">
        <v>74853161</v>
      </c>
      <c r="AY73">
        <v>1</v>
      </c>
      <c r="AZ73">
        <v>0</v>
      </c>
      <c r="BA73">
        <v>86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0.61219999999999997</v>
      </c>
      <c r="BL73">
        <v>5.9485999999999999</v>
      </c>
      <c r="BM73">
        <v>0</v>
      </c>
      <c r="BN73">
        <v>0</v>
      </c>
      <c r="BO73">
        <v>0.02</v>
      </c>
      <c r="BP73">
        <v>1</v>
      </c>
      <c r="BQ73">
        <v>0</v>
      </c>
      <c r="BR73">
        <v>0.76524999999999999</v>
      </c>
      <c r="BS73">
        <v>7.4357500000000005</v>
      </c>
      <c r="BT73">
        <v>0</v>
      </c>
      <c r="BU73">
        <v>0</v>
      </c>
      <c r="BV73">
        <v>2.5000000000000001E-2</v>
      </c>
      <c r="BW73">
        <v>1</v>
      </c>
      <c r="CV73">
        <v>0</v>
      </c>
      <c r="CW73">
        <f>ROUND(Y73*Source!I253*DO73,7)</f>
        <v>3.6624999999999998E-2</v>
      </c>
      <c r="CX73">
        <f>ROUND(Y73*Source!I253,7)</f>
        <v>3.6624999999999998E-2</v>
      </c>
      <c r="CY73">
        <f>AB73</f>
        <v>45.3</v>
      </c>
      <c r="CZ73">
        <f>AF73</f>
        <v>30.61</v>
      </c>
      <c r="DA73">
        <f>AJ73</f>
        <v>1.48</v>
      </c>
      <c r="DB73">
        <f>ROUND((ROUND(AT73*CZ73,2)*ROUND(1.25,7)),2)</f>
        <v>0.76</v>
      </c>
      <c r="DC73">
        <f>ROUND((ROUND(AT73*AG73,2)*ROUND(1.25,7)),2)</f>
        <v>7.44</v>
      </c>
      <c r="DD73" t="s">
        <v>6</v>
      </c>
      <c r="DE73" t="s">
        <v>6</v>
      </c>
      <c r="DF73">
        <f>ROUND(ROUND(AE73,2)*CX73,2)</f>
        <v>0</v>
      </c>
      <c r="DG73">
        <f>ROUND(ROUND(AF73*AJ73,2)*CX73,2)</f>
        <v>1.66</v>
      </c>
      <c r="DH73">
        <f t="shared" si="31"/>
        <v>10.89</v>
      </c>
      <c r="DI73">
        <f t="shared" si="32"/>
        <v>0</v>
      </c>
      <c r="DJ73">
        <f>DG73+DH73</f>
        <v>12.55</v>
      </c>
      <c r="DK73">
        <v>0</v>
      </c>
      <c r="DL73" t="s">
        <v>390</v>
      </c>
      <c r="DM73">
        <v>3</v>
      </c>
      <c r="DN73" t="s">
        <v>383</v>
      </c>
      <c r="DO73">
        <v>1</v>
      </c>
    </row>
    <row r="74" spans="1:119" x14ac:dyDescent="0.2">
      <c r="A74">
        <f>ROW(Source!A253)</f>
        <v>253</v>
      </c>
      <c r="B74">
        <v>74852007</v>
      </c>
      <c r="C74">
        <v>74852649</v>
      </c>
      <c r="D74">
        <v>72653331</v>
      </c>
      <c r="E74">
        <v>1</v>
      </c>
      <c r="F74">
        <v>1</v>
      </c>
      <c r="G74">
        <v>1</v>
      </c>
      <c r="H74">
        <v>2</v>
      </c>
      <c r="I74" t="s">
        <v>409</v>
      </c>
      <c r="J74" t="s">
        <v>410</v>
      </c>
      <c r="K74" t="s">
        <v>411</v>
      </c>
      <c r="L74">
        <v>1368</v>
      </c>
      <c r="N74">
        <v>1011</v>
      </c>
      <c r="O74" t="s">
        <v>389</v>
      </c>
      <c r="P74" t="s">
        <v>389</v>
      </c>
      <c r="Q74">
        <v>1</v>
      </c>
      <c r="W74">
        <v>0</v>
      </c>
      <c r="X74">
        <v>-1152394969</v>
      </c>
      <c r="Y74">
        <f>(AT74*ROUND(1.25,7))</f>
        <v>0.1875</v>
      </c>
      <c r="AA74">
        <v>0</v>
      </c>
      <c r="AB74">
        <v>611</v>
      </c>
      <c r="AC74">
        <v>334.92</v>
      </c>
      <c r="AD74">
        <v>0</v>
      </c>
      <c r="AE74">
        <v>0</v>
      </c>
      <c r="AF74">
        <v>611</v>
      </c>
      <c r="AG74">
        <v>334.92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1</v>
      </c>
      <c r="AQ74">
        <v>1</v>
      </c>
      <c r="AR74">
        <v>0</v>
      </c>
      <c r="AS74" t="s">
        <v>6</v>
      </c>
      <c r="AT74">
        <v>0.15</v>
      </c>
      <c r="AU74" t="s">
        <v>116</v>
      </c>
      <c r="AV74">
        <v>1</v>
      </c>
      <c r="AW74">
        <v>2</v>
      </c>
      <c r="AX74">
        <v>74853162</v>
      </c>
      <c r="AY74">
        <v>1</v>
      </c>
      <c r="AZ74">
        <v>0</v>
      </c>
      <c r="BA74">
        <v>87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91.649999999999991</v>
      </c>
      <c r="BL74">
        <v>50.238</v>
      </c>
      <c r="BM74">
        <v>0</v>
      </c>
      <c r="BN74">
        <v>0</v>
      </c>
      <c r="BO74">
        <v>0.15</v>
      </c>
      <c r="BP74">
        <v>1</v>
      </c>
      <c r="BQ74">
        <v>0</v>
      </c>
      <c r="BR74">
        <v>114.5625</v>
      </c>
      <c r="BS74">
        <v>62.797499999999999</v>
      </c>
      <c r="BT74">
        <v>0</v>
      </c>
      <c r="BU74">
        <v>0</v>
      </c>
      <c r="BV74">
        <v>0.1875</v>
      </c>
      <c r="BW74">
        <v>1</v>
      </c>
      <c r="CV74">
        <v>0</v>
      </c>
      <c r="CW74">
        <f>ROUND(Y74*Source!I253*DO74,7)</f>
        <v>0.27468749999999997</v>
      </c>
      <c r="CX74">
        <f>ROUND(Y74*Source!I253,7)</f>
        <v>0.27468749999999997</v>
      </c>
      <c r="CY74">
        <f>AB74</f>
        <v>611</v>
      </c>
      <c r="CZ74">
        <f>AF74</f>
        <v>611</v>
      </c>
      <c r="DA74">
        <f>AJ74</f>
        <v>1</v>
      </c>
      <c r="DB74">
        <f>ROUND((ROUND(AT74*CZ74,2)*ROUND(1.25,7)),2)</f>
        <v>114.56</v>
      </c>
      <c r="DC74">
        <f>ROUND((ROUND(AT74*AG74,2)*ROUND(1.25,7)),2)</f>
        <v>62.8</v>
      </c>
      <c r="DD74" t="s">
        <v>6</v>
      </c>
      <c r="DE74" t="s">
        <v>6</v>
      </c>
      <c r="DF74">
        <f>ROUND(ROUND(AE74,2)*CX74,2)</f>
        <v>0</v>
      </c>
      <c r="DG74">
        <f t="shared" ref="DG74:DG79" si="33">ROUND(ROUND(AF74,2)*CX74,2)</f>
        <v>167.83</v>
      </c>
      <c r="DH74">
        <f t="shared" si="31"/>
        <v>92</v>
      </c>
      <c r="DI74">
        <f t="shared" si="32"/>
        <v>0</v>
      </c>
      <c r="DJ74">
        <f>DG74+DH74</f>
        <v>259.83000000000004</v>
      </c>
      <c r="DK74">
        <v>1</v>
      </c>
      <c r="DL74" t="s">
        <v>412</v>
      </c>
      <c r="DM74">
        <v>4</v>
      </c>
      <c r="DN74" t="s">
        <v>383</v>
      </c>
      <c r="DO74">
        <v>1</v>
      </c>
    </row>
    <row r="75" spans="1:119" x14ac:dyDescent="0.2">
      <c r="A75">
        <f>ROW(Source!A253)</f>
        <v>253</v>
      </c>
      <c r="B75">
        <v>74852007</v>
      </c>
      <c r="C75">
        <v>74852649</v>
      </c>
      <c r="D75">
        <v>72601793</v>
      </c>
      <c r="E75">
        <v>1</v>
      </c>
      <c r="F75">
        <v>1</v>
      </c>
      <c r="G75">
        <v>1</v>
      </c>
      <c r="H75">
        <v>3</v>
      </c>
      <c r="I75" t="s">
        <v>500</v>
      </c>
      <c r="J75" t="s">
        <v>501</v>
      </c>
      <c r="K75" t="s">
        <v>502</v>
      </c>
      <c r="L75">
        <v>1327</v>
      </c>
      <c r="N75">
        <v>1005</v>
      </c>
      <c r="O75" t="s">
        <v>145</v>
      </c>
      <c r="P75" t="s">
        <v>145</v>
      </c>
      <c r="Q75">
        <v>1</v>
      </c>
      <c r="W75">
        <v>0</v>
      </c>
      <c r="X75">
        <v>-327118913</v>
      </c>
      <c r="Y75">
        <f>AT75</f>
        <v>0.84</v>
      </c>
      <c r="AA75">
        <v>653.66999999999996</v>
      </c>
      <c r="AB75">
        <v>0</v>
      </c>
      <c r="AC75">
        <v>0</v>
      </c>
      <c r="AD75">
        <v>0</v>
      </c>
      <c r="AE75">
        <v>531.44000000000005</v>
      </c>
      <c r="AF75">
        <v>0</v>
      </c>
      <c r="AG75">
        <v>0</v>
      </c>
      <c r="AH75">
        <v>0</v>
      </c>
      <c r="AI75">
        <v>1.23</v>
      </c>
      <c r="AJ75">
        <v>1</v>
      </c>
      <c r="AK75">
        <v>1</v>
      </c>
      <c r="AL75">
        <v>1</v>
      </c>
      <c r="AM75">
        <v>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6</v>
      </c>
      <c r="AT75">
        <v>0.84</v>
      </c>
      <c r="AU75" t="s">
        <v>6</v>
      </c>
      <c r="AV75">
        <v>0</v>
      </c>
      <c r="AW75">
        <v>2</v>
      </c>
      <c r="AX75">
        <v>74853163</v>
      </c>
      <c r="AY75">
        <v>1</v>
      </c>
      <c r="AZ75">
        <v>0</v>
      </c>
      <c r="BA75">
        <v>88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446.40960000000001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446.40960000000001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CV75">
        <v>0</v>
      </c>
      <c r="CW75">
        <v>0</v>
      </c>
      <c r="CX75">
        <f>ROUND(Y75*Source!I253,7)</f>
        <v>1.2305999999999999</v>
      </c>
      <c r="CY75">
        <f>AA75</f>
        <v>653.66999999999996</v>
      </c>
      <c r="CZ75">
        <f>AE75</f>
        <v>531.44000000000005</v>
      </c>
      <c r="DA75">
        <f>AI75</f>
        <v>1.23</v>
      </c>
      <c r="DB75">
        <f>ROUND(ROUND(AT75*CZ75,2),2)</f>
        <v>446.41</v>
      </c>
      <c r="DC75">
        <f>ROUND(ROUND(AT75*AG75,2),2)</f>
        <v>0</v>
      </c>
      <c r="DD75" t="s">
        <v>6</v>
      </c>
      <c r="DE75" t="s">
        <v>6</v>
      </c>
      <c r="DF75">
        <f>ROUND(ROUND(AE75*AI75,2)*CX75,2)</f>
        <v>804.41</v>
      </c>
      <c r="DG75">
        <f t="shared" si="33"/>
        <v>0</v>
      </c>
      <c r="DH75">
        <f t="shared" si="31"/>
        <v>0</v>
      </c>
      <c r="DI75">
        <f t="shared" si="32"/>
        <v>0</v>
      </c>
      <c r="DJ75">
        <f>DF75</f>
        <v>804.41</v>
      </c>
      <c r="DK75">
        <v>0</v>
      </c>
      <c r="DL75" t="s">
        <v>6</v>
      </c>
      <c r="DM75">
        <v>0</v>
      </c>
      <c r="DN75" t="s">
        <v>6</v>
      </c>
      <c r="DO75">
        <v>0</v>
      </c>
    </row>
    <row r="76" spans="1:119" x14ac:dyDescent="0.2">
      <c r="A76">
        <f>ROW(Source!A253)</f>
        <v>253</v>
      </c>
      <c r="B76">
        <v>74852007</v>
      </c>
      <c r="C76">
        <v>74852649</v>
      </c>
      <c r="D76">
        <v>72602142</v>
      </c>
      <c r="E76">
        <v>1</v>
      </c>
      <c r="F76">
        <v>1</v>
      </c>
      <c r="G76">
        <v>1</v>
      </c>
      <c r="H76">
        <v>3</v>
      </c>
      <c r="I76" t="s">
        <v>413</v>
      </c>
      <c r="J76" t="s">
        <v>414</v>
      </c>
      <c r="K76" t="s">
        <v>415</v>
      </c>
      <c r="L76">
        <v>1346</v>
      </c>
      <c r="N76">
        <v>1009</v>
      </c>
      <c r="O76" t="s">
        <v>217</v>
      </c>
      <c r="P76" t="s">
        <v>217</v>
      </c>
      <c r="Q76">
        <v>1</v>
      </c>
      <c r="W76">
        <v>0</v>
      </c>
      <c r="X76">
        <v>-130701290</v>
      </c>
      <c r="Y76">
        <f>AT76</f>
        <v>0.31</v>
      </c>
      <c r="AA76">
        <v>83.6</v>
      </c>
      <c r="AB76">
        <v>0</v>
      </c>
      <c r="AC76">
        <v>0</v>
      </c>
      <c r="AD76">
        <v>0</v>
      </c>
      <c r="AE76">
        <v>56.11</v>
      </c>
      <c r="AF76">
        <v>0</v>
      </c>
      <c r="AG76">
        <v>0</v>
      </c>
      <c r="AH76">
        <v>0</v>
      </c>
      <c r="AI76">
        <v>1.49</v>
      </c>
      <c r="AJ76">
        <v>1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6</v>
      </c>
      <c r="AT76">
        <v>0.31</v>
      </c>
      <c r="AU76" t="s">
        <v>6</v>
      </c>
      <c r="AV76">
        <v>0</v>
      </c>
      <c r="AW76">
        <v>2</v>
      </c>
      <c r="AX76">
        <v>74853164</v>
      </c>
      <c r="AY76">
        <v>1</v>
      </c>
      <c r="AZ76">
        <v>0</v>
      </c>
      <c r="BA76">
        <v>89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17.394099999999998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17.394099999999998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V76">
        <v>0</v>
      </c>
      <c r="CW76">
        <v>0</v>
      </c>
      <c r="CX76">
        <f>ROUND(Y76*Source!I253,7)</f>
        <v>0.45415</v>
      </c>
      <c r="CY76">
        <f>AA76</f>
        <v>83.6</v>
      </c>
      <c r="CZ76">
        <f>AE76</f>
        <v>56.11</v>
      </c>
      <c r="DA76">
        <f>AI76</f>
        <v>1.49</v>
      </c>
      <c r="DB76">
        <f>ROUND(ROUND(AT76*CZ76,2),2)</f>
        <v>17.39</v>
      </c>
      <c r="DC76">
        <f>ROUND(ROUND(AT76*AG76,2),2)</f>
        <v>0</v>
      </c>
      <c r="DD76" t="s">
        <v>6</v>
      </c>
      <c r="DE76" t="s">
        <v>6</v>
      </c>
      <c r="DF76">
        <f>ROUND(ROUND(AE76*AI76,2)*CX76,2)</f>
        <v>37.97</v>
      </c>
      <c r="DG76">
        <f t="shared" si="33"/>
        <v>0</v>
      </c>
      <c r="DH76">
        <f t="shared" si="31"/>
        <v>0</v>
      </c>
      <c r="DI76">
        <f t="shared" si="32"/>
        <v>0</v>
      </c>
      <c r="DJ76">
        <f>DF76</f>
        <v>37.97</v>
      </c>
      <c r="DK76">
        <v>0</v>
      </c>
      <c r="DL76" t="s">
        <v>6</v>
      </c>
      <c r="DM76">
        <v>0</v>
      </c>
      <c r="DN76" t="s">
        <v>6</v>
      </c>
      <c r="DO76">
        <v>0</v>
      </c>
    </row>
    <row r="77" spans="1:119" x14ac:dyDescent="0.2">
      <c r="A77">
        <f>ROW(Source!A253)</f>
        <v>253</v>
      </c>
      <c r="B77">
        <v>74852007</v>
      </c>
      <c r="C77">
        <v>74852649</v>
      </c>
      <c r="D77">
        <v>72619126</v>
      </c>
      <c r="E77">
        <v>1</v>
      </c>
      <c r="F77">
        <v>1</v>
      </c>
      <c r="G77">
        <v>1</v>
      </c>
      <c r="H77">
        <v>3</v>
      </c>
      <c r="I77" t="s">
        <v>503</v>
      </c>
      <c r="J77" t="s">
        <v>504</v>
      </c>
      <c r="K77" t="s">
        <v>505</v>
      </c>
      <c r="L77">
        <v>1348</v>
      </c>
      <c r="N77">
        <v>1009</v>
      </c>
      <c r="O77" t="s">
        <v>149</v>
      </c>
      <c r="P77" t="s">
        <v>149</v>
      </c>
      <c r="Q77">
        <v>1000</v>
      </c>
      <c r="W77">
        <v>0</v>
      </c>
      <c r="X77">
        <v>1165994073</v>
      </c>
      <c r="Y77">
        <f>AT77</f>
        <v>5.0999999999999997E-2</v>
      </c>
      <c r="AA77">
        <v>78657.59</v>
      </c>
      <c r="AB77">
        <v>0</v>
      </c>
      <c r="AC77">
        <v>0</v>
      </c>
      <c r="AD77">
        <v>0</v>
      </c>
      <c r="AE77">
        <v>52790.33</v>
      </c>
      <c r="AF77">
        <v>0</v>
      </c>
      <c r="AG77">
        <v>0</v>
      </c>
      <c r="AH77">
        <v>0</v>
      </c>
      <c r="AI77">
        <v>1.49</v>
      </c>
      <c r="AJ77">
        <v>1</v>
      </c>
      <c r="AK77">
        <v>1</v>
      </c>
      <c r="AL77">
        <v>1</v>
      </c>
      <c r="AM77">
        <v>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6</v>
      </c>
      <c r="AT77">
        <v>5.0999999999999997E-2</v>
      </c>
      <c r="AU77" t="s">
        <v>6</v>
      </c>
      <c r="AV77">
        <v>0</v>
      </c>
      <c r="AW77">
        <v>2</v>
      </c>
      <c r="AX77">
        <v>74853167</v>
      </c>
      <c r="AY77">
        <v>1</v>
      </c>
      <c r="AZ77">
        <v>0</v>
      </c>
      <c r="BA77">
        <v>92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2692.30683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2692.30683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</v>
      </c>
      <c r="CV77">
        <v>0</v>
      </c>
      <c r="CW77">
        <v>0</v>
      </c>
      <c r="CX77">
        <f>ROUND(Y77*Source!I253,7)</f>
        <v>7.4715000000000004E-2</v>
      </c>
      <c r="CY77">
        <f>AA77</f>
        <v>78657.59</v>
      </c>
      <c r="CZ77">
        <f>AE77</f>
        <v>52790.33</v>
      </c>
      <c r="DA77">
        <f>AI77</f>
        <v>1.49</v>
      </c>
      <c r="DB77">
        <f>ROUND(ROUND(AT77*CZ77,2),2)</f>
        <v>2692.31</v>
      </c>
      <c r="DC77">
        <f>ROUND(ROUND(AT77*AG77,2),2)</f>
        <v>0</v>
      </c>
      <c r="DD77" t="s">
        <v>6</v>
      </c>
      <c r="DE77" t="s">
        <v>6</v>
      </c>
      <c r="DF77">
        <f>ROUND(ROUND(AE77*AI77,2)*CX77,2)</f>
        <v>5876.9</v>
      </c>
      <c r="DG77">
        <f t="shared" si="33"/>
        <v>0</v>
      </c>
      <c r="DH77">
        <f t="shared" si="31"/>
        <v>0</v>
      </c>
      <c r="DI77">
        <f t="shared" si="32"/>
        <v>0</v>
      </c>
      <c r="DJ77">
        <f>DF77</f>
        <v>5876.9</v>
      </c>
      <c r="DK77">
        <v>0</v>
      </c>
      <c r="DL77" t="s">
        <v>6</v>
      </c>
      <c r="DM77">
        <v>0</v>
      </c>
      <c r="DN77" t="s">
        <v>6</v>
      </c>
      <c r="DO77">
        <v>0</v>
      </c>
    </row>
    <row r="78" spans="1:119" x14ac:dyDescent="0.2">
      <c r="A78">
        <f>ROW(Source!A256)</f>
        <v>256</v>
      </c>
      <c r="B78">
        <v>74852007</v>
      </c>
      <c r="C78">
        <v>74852670</v>
      </c>
      <c r="D78">
        <v>72527800</v>
      </c>
      <c r="E78">
        <v>114</v>
      </c>
      <c r="F78">
        <v>1</v>
      </c>
      <c r="G78">
        <v>1</v>
      </c>
      <c r="H78">
        <v>1</v>
      </c>
      <c r="I78" t="s">
        <v>391</v>
      </c>
      <c r="J78" t="s">
        <v>6</v>
      </c>
      <c r="K78" t="s">
        <v>392</v>
      </c>
      <c r="L78">
        <v>1191</v>
      </c>
      <c r="N78">
        <v>1013</v>
      </c>
      <c r="O78" t="s">
        <v>383</v>
      </c>
      <c r="P78" t="s">
        <v>383</v>
      </c>
      <c r="Q78">
        <v>1</v>
      </c>
      <c r="W78">
        <v>0</v>
      </c>
      <c r="X78">
        <v>-1833565283</v>
      </c>
      <c r="Y78">
        <f>(AT78*ROUND(1.15,7))</f>
        <v>28.52</v>
      </c>
      <c r="AA78">
        <v>0</v>
      </c>
      <c r="AB78">
        <v>0</v>
      </c>
      <c r="AC78">
        <v>0</v>
      </c>
      <c r="AD78">
        <v>297.43</v>
      </c>
      <c r="AE78">
        <v>0</v>
      </c>
      <c r="AF78">
        <v>0</v>
      </c>
      <c r="AG78">
        <v>0</v>
      </c>
      <c r="AH78">
        <v>297.43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6</v>
      </c>
      <c r="AT78">
        <v>24.8</v>
      </c>
      <c r="AU78" t="s">
        <v>117</v>
      </c>
      <c r="AV78">
        <v>1</v>
      </c>
      <c r="AW78">
        <v>2</v>
      </c>
      <c r="AX78">
        <v>74853170</v>
      </c>
      <c r="AY78">
        <v>1</v>
      </c>
      <c r="AZ78">
        <v>0</v>
      </c>
      <c r="BA78">
        <v>93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7376.2640000000001</v>
      </c>
      <c r="BN78">
        <v>24.8</v>
      </c>
      <c r="BO78">
        <v>0</v>
      </c>
      <c r="BP78">
        <v>1</v>
      </c>
      <c r="BQ78">
        <v>0</v>
      </c>
      <c r="BR78">
        <v>0</v>
      </c>
      <c r="BS78">
        <v>0</v>
      </c>
      <c r="BT78">
        <v>8482.7036000000007</v>
      </c>
      <c r="BU78">
        <v>28.52</v>
      </c>
      <c r="BV78">
        <v>0</v>
      </c>
      <c r="BW78">
        <v>1</v>
      </c>
      <c r="CU78">
        <f>ROUND(AT78*Source!I256*AH78*AL78,2)</f>
        <v>295.05</v>
      </c>
      <c r="CV78">
        <f>ROUND(Y78*Source!I256,7)</f>
        <v>1.1408</v>
      </c>
      <c r="CW78">
        <v>0</v>
      </c>
      <c r="CX78">
        <f>ROUND(Y78*Source!I256,7)</f>
        <v>1.1408</v>
      </c>
      <c r="CY78">
        <f>AD78</f>
        <v>297.43</v>
      </c>
      <c r="CZ78">
        <f>AH78</f>
        <v>297.43</v>
      </c>
      <c r="DA78">
        <f>AL78</f>
        <v>1</v>
      </c>
      <c r="DB78">
        <f>ROUND((ROUND(AT78*CZ78,2)*ROUND(1.15,7)),2)</f>
        <v>8482.7000000000007</v>
      </c>
      <c r="DC78">
        <f>ROUND((ROUND(AT78*AG78,2)*ROUND(1.15,7)),2)</f>
        <v>0</v>
      </c>
      <c r="DD78" t="s">
        <v>6</v>
      </c>
      <c r="DE78" t="s">
        <v>6</v>
      </c>
      <c r="DF78">
        <f>ROUND(ROUND(AE78,2)*CX78,2)</f>
        <v>0</v>
      </c>
      <c r="DG78">
        <f t="shared" si="33"/>
        <v>0</v>
      </c>
      <c r="DH78">
        <f t="shared" si="31"/>
        <v>0</v>
      </c>
      <c r="DI78">
        <f t="shared" si="32"/>
        <v>339.31</v>
      </c>
      <c r="DJ78">
        <f>DI78</f>
        <v>339.31</v>
      </c>
      <c r="DK78">
        <v>1</v>
      </c>
      <c r="DL78" t="s">
        <v>6</v>
      </c>
      <c r="DM78">
        <v>0</v>
      </c>
      <c r="DN78" t="s">
        <v>6</v>
      </c>
      <c r="DO78">
        <v>0</v>
      </c>
    </row>
    <row r="79" spans="1:119" x14ac:dyDescent="0.2">
      <c r="A79">
        <f>ROW(Source!A256)</f>
        <v>256</v>
      </c>
      <c r="B79">
        <v>74852007</v>
      </c>
      <c r="C79">
        <v>74852670</v>
      </c>
      <c r="D79">
        <v>72527995</v>
      </c>
      <c r="E79">
        <v>114</v>
      </c>
      <c r="F79">
        <v>1</v>
      </c>
      <c r="G79">
        <v>1</v>
      </c>
      <c r="H79">
        <v>1</v>
      </c>
      <c r="I79" t="s">
        <v>384</v>
      </c>
      <c r="J79" t="s">
        <v>6</v>
      </c>
      <c r="K79" t="s">
        <v>385</v>
      </c>
      <c r="L79">
        <v>1191</v>
      </c>
      <c r="N79">
        <v>1013</v>
      </c>
      <c r="O79" t="s">
        <v>383</v>
      </c>
      <c r="P79" t="s">
        <v>383</v>
      </c>
      <c r="Q79">
        <v>1</v>
      </c>
      <c r="W79">
        <v>0</v>
      </c>
      <c r="X79">
        <v>-1417349443</v>
      </c>
      <c r="Y79">
        <f>(AT79*ROUND(1.25,7))</f>
        <v>2.5000000000000001E-2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6</v>
      </c>
      <c r="AT79">
        <v>0.02</v>
      </c>
      <c r="AU79" t="s">
        <v>116</v>
      </c>
      <c r="AV79">
        <v>2</v>
      </c>
      <c r="AW79">
        <v>2</v>
      </c>
      <c r="AX79">
        <v>74853171</v>
      </c>
      <c r="AY79">
        <v>1</v>
      </c>
      <c r="AZ79">
        <v>0</v>
      </c>
      <c r="BA79">
        <v>94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V79">
        <v>0</v>
      </c>
      <c r="CW79">
        <v>0</v>
      </c>
      <c r="CX79">
        <f>ROUND(Y79*Source!I256,7)</f>
        <v>1E-3</v>
      </c>
      <c r="CY79">
        <f>AD79</f>
        <v>0</v>
      </c>
      <c r="CZ79">
        <f>AH79</f>
        <v>0</v>
      </c>
      <c r="DA79">
        <f>AL79</f>
        <v>1</v>
      </c>
      <c r="DB79">
        <f>ROUND((ROUND(AT79*CZ79,2)*ROUND(1.25,7)),2)</f>
        <v>0</v>
      </c>
      <c r="DC79">
        <f>ROUND((ROUND(AT79*AG79,2)*ROUND(1.25,7)),2)</f>
        <v>0</v>
      </c>
      <c r="DD79" t="s">
        <v>6</v>
      </c>
      <c r="DE79" t="s">
        <v>6</v>
      </c>
      <c r="DF79">
        <f>ROUND(ROUND(AE79,2)*CX79,2)</f>
        <v>0</v>
      </c>
      <c r="DG79">
        <f t="shared" si="33"/>
        <v>0</v>
      </c>
      <c r="DH79">
        <f t="shared" si="31"/>
        <v>0</v>
      </c>
      <c r="DI79">
        <f t="shared" si="32"/>
        <v>0</v>
      </c>
      <c r="DJ79">
        <f>DI79</f>
        <v>0</v>
      </c>
      <c r="DK79">
        <v>0</v>
      </c>
      <c r="DL79" t="s">
        <v>6</v>
      </c>
      <c r="DM79">
        <v>0</v>
      </c>
      <c r="DN79" t="s">
        <v>6</v>
      </c>
      <c r="DO79">
        <v>0</v>
      </c>
    </row>
    <row r="80" spans="1:119" x14ac:dyDescent="0.2">
      <c r="A80">
        <f>ROW(Source!A256)</f>
        <v>256</v>
      </c>
      <c r="B80">
        <v>74852007</v>
      </c>
      <c r="C80">
        <v>74852670</v>
      </c>
      <c r="D80">
        <v>72652626</v>
      </c>
      <c r="E80">
        <v>1</v>
      </c>
      <c r="F80">
        <v>1</v>
      </c>
      <c r="G80">
        <v>1</v>
      </c>
      <c r="H80">
        <v>2</v>
      </c>
      <c r="I80" t="s">
        <v>386</v>
      </c>
      <c r="J80" t="s">
        <v>387</v>
      </c>
      <c r="K80" t="s">
        <v>388</v>
      </c>
      <c r="L80">
        <v>1368</v>
      </c>
      <c r="N80">
        <v>1011</v>
      </c>
      <c r="O80" t="s">
        <v>389</v>
      </c>
      <c r="P80" t="s">
        <v>389</v>
      </c>
      <c r="Q80">
        <v>1</v>
      </c>
      <c r="W80">
        <v>0</v>
      </c>
      <c r="X80">
        <v>-92307625</v>
      </c>
      <c r="Y80">
        <f>(AT80*ROUND(1.25,7))</f>
        <v>3.7499999999999999E-3</v>
      </c>
      <c r="AA80">
        <v>0</v>
      </c>
      <c r="AB80">
        <v>55.23</v>
      </c>
      <c r="AC80">
        <v>297.43</v>
      </c>
      <c r="AD80">
        <v>0</v>
      </c>
      <c r="AE80">
        <v>0</v>
      </c>
      <c r="AF80">
        <v>37.32</v>
      </c>
      <c r="AG80">
        <v>297.43</v>
      </c>
      <c r="AH80">
        <v>0</v>
      </c>
      <c r="AI80">
        <v>1</v>
      </c>
      <c r="AJ80">
        <v>1.48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6</v>
      </c>
      <c r="AT80">
        <v>3.0000000000000001E-3</v>
      </c>
      <c r="AU80" t="s">
        <v>116</v>
      </c>
      <c r="AV80">
        <v>1</v>
      </c>
      <c r="AW80">
        <v>2</v>
      </c>
      <c r="AX80">
        <v>74853172</v>
      </c>
      <c r="AY80">
        <v>1</v>
      </c>
      <c r="AZ80">
        <v>0</v>
      </c>
      <c r="BA80">
        <v>95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0.11196</v>
      </c>
      <c r="BL80">
        <v>0.89229000000000003</v>
      </c>
      <c r="BM80">
        <v>0</v>
      </c>
      <c r="BN80">
        <v>0</v>
      </c>
      <c r="BO80">
        <v>3.0000000000000001E-3</v>
      </c>
      <c r="BP80">
        <v>1</v>
      </c>
      <c r="BQ80">
        <v>0</v>
      </c>
      <c r="BR80">
        <v>0.13994999999999999</v>
      </c>
      <c r="BS80">
        <v>1.1153625</v>
      </c>
      <c r="BT80">
        <v>0</v>
      </c>
      <c r="BU80">
        <v>0</v>
      </c>
      <c r="BV80">
        <v>3.7499999999999999E-3</v>
      </c>
      <c r="BW80">
        <v>1</v>
      </c>
      <c r="CV80">
        <v>0</v>
      </c>
      <c r="CW80">
        <f>ROUND(Y80*Source!I256*DO80,7)</f>
        <v>1.4999999999999999E-4</v>
      </c>
      <c r="CX80">
        <f>ROUND(Y80*Source!I256,7)</f>
        <v>1.4999999999999999E-4</v>
      </c>
      <c r="CY80">
        <f>AB80</f>
        <v>55.23</v>
      </c>
      <c r="CZ80">
        <f>AF80</f>
        <v>37.32</v>
      </c>
      <c r="DA80">
        <f>AJ80</f>
        <v>1.48</v>
      </c>
      <c r="DB80">
        <f>ROUND((ROUND(AT80*CZ80,2)*ROUND(1.25,7)),2)</f>
        <v>0.14000000000000001</v>
      </c>
      <c r="DC80">
        <f>ROUND((ROUND(AT80*AG80,2)*ROUND(1.25,7)),2)</f>
        <v>1.1100000000000001</v>
      </c>
      <c r="DD80" t="s">
        <v>6</v>
      </c>
      <c r="DE80" t="s">
        <v>6</v>
      </c>
      <c r="DF80">
        <f>ROUND(ROUND(AE80,2)*CX80,2)</f>
        <v>0</v>
      </c>
      <c r="DG80">
        <f>ROUND(ROUND(AF80*AJ80,2)*CX80,2)</f>
        <v>0.01</v>
      </c>
      <c r="DH80">
        <f t="shared" si="31"/>
        <v>0.04</v>
      </c>
      <c r="DI80">
        <f t="shared" si="32"/>
        <v>0</v>
      </c>
      <c r="DJ80">
        <f>DG80+DH80</f>
        <v>0.05</v>
      </c>
      <c r="DK80">
        <v>0</v>
      </c>
      <c r="DL80" t="s">
        <v>390</v>
      </c>
      <c r="DM80">
        <v>3</v>
      </c>
      <c r="DN80" t="s">
        <v>383</v>
      </c>
      <c r="DO80">
        <v>1</v>
      </c>
    </row>
    <row r="81" spans="1:119" x14ac:dyDescent="0.2">
      <c r="A81">
        <f>ROW(Source!A256)</f>
        <v>256</v>
      </c>
      <c r="B81">
        <v>74852007</v>
      </c>
      <c r="C81">
        <v>74852670</v>
      </c>
      <c r="D81">
        <v>72653331</v>
      </c>
      <c r="E81">
        <v>1</v>
      </c>
      <c r="F81">
        <v>1</v>
      </c>
      <c r="G81">
        <v>1</v>
      </c>
      <c r="H81">
        <v>2</v>
      </c>
      <c r="I81" t="s">
        <v>409</v>
      </c>
      <c r="J81" t="s">
        <v>410</v>
      </c>
      <c r="K81" t="s">
        <v>411</v>
      </c>
      <c r="L81">
        <v>1368</v>
      </c>
      <c r="N81">
        <v>1011</v>
      </c>
      <c r="O81" t="s">
        <v>389</v>
      </c>
      <c r="P81" t="s">
        <v>389</v>
      </c>
      <c r="Q81">
        <v>1</v>
      </c>
      <c r="W81">
        <v>0</v>
      </c>
      <c r="X81">
        <v>-1152394969</v>
      </c>
      <c r="Y81">
        <f>(AT81*ROUND(1.25,7))</f>
        <v>2.5000000000000001E-2</v>
      </c>
      <c r="AA81">
        <v>0</v>
      </c>
      <c r="AB81">
        <v>611</v>
      </c>
      <c r="AC81">
        <v>334.92</v>
      </c>
      <c r="AD81">
        <v>0</v>
      </c>
      <c r="AE81">
        <v>0</v>
      </c>
      <c r="AF81">
        <v>611</v>
      </c>
      <c r="AG81">
        <v>334.92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6</v>
      </c>
      <c r="AT81">
        <v>0.02</v>
      </c>
      <c r="AU81" t="s">
        <v>116</v>
      </c>
      <c r="AV81">
        <v>1</v>
      </c>
      <c r="AW81">
        <v>2</v>
      </c>
      <c r="AX81">
        <v>74853173</v>
      </c>
      <c r="AY81">
        <v>1</v>
      </c>
      <c r="AZ81">
        <v>0</v>
      </c>
      <c r="BA81">
        <v>96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12.22</v>
      </c>
      <c r="BL81">
        <v>6.6984000000000004</v>
      </c>
      <c r="BM81">
        <v>0</v>
      </c>
      <c r="BN81">
        <v>0</v>
      </c>
      <c r="BO81">
        <v>0.02</v>
      </c>
      <c r="BP81">
        <v>1</v>
      </c>
      <c r="BQ81">
        <v>0</v>
      </c>
      <c r="BR81">
        <v>15.275</v>
      </c>
      <c r="BS81">
        <v>8.3730000000000011</v>
      </c>
      <c r="BT81">
        <v>0</v>
      </c>
      <c r="BU81">
        <v>0</v>
      </c>
      <c r="BV81">
        <v>2.5000000000000001E-2</v>
      </c>
      <c r="BW81">
        <v>1</v>
      </c>
      <c r="CV81">
        <v>0</v>
      </c>
      <c r="CW81">
        <f>ROUND(Y81*Source!I256*DO81,7)</f>
        <v>1E-3</v>
      </c>
      <c r="CX81">
        <f>ROUND(Y81*Source!I256,7)</f>
        <v>1E-3</v>
      </c>
      <c r="CY81">
        <f>AB81</f>
        <v>611</v>
      </c>
      <c r="CZ81">
        <f>AF81</f>
        <v>611</v>
      </c>
      <c r="DA81">
        <f>AJ81</f>
        <v>1</v>
      </c>
      <c r="DB81">
        <f>ROUND((ROUND(AT81*CZ81,2)*ROUND(1.25,7)),2)</f>
        <v>15.28</v>
      </c>
      <c r="DC81">
        <f>ROUND((ROUND(AT81*AG81,2)*ROUND(1.25,7)),2)</f>
        <v>8.3800000000000008</v>
      </c>
      <c r="DD81" t="s">
        <v>6</v>
      </c>
      <c r="DE81" t="s">
        <v>6</v>
      </c>
      <c r="DF81">
        <f>ROUND(ROUND(AE81,2)*CX81,2)</f>
        <v>0</v>
      </c>
      <c r="DG81">
        <f t="shared" ref="DG81:DG95" si="34">ROUND(ROUND(AF81,2)*CX81,2)</f>
        <v>0.61</v>
      </c>
      <c r="DH81">
        <f t="shared" si="31"/>
        <v>0.33</v>
      </c>
      <c r="DI81">
        <f t="shared" si="32"/>
        <v>0</v>
      </c>
      <c r="DJ81">
        <f>DG81+DH81</f>
        <v>0.94</v>
      </c>
      <c r="DK81">
        <v>1</v>
      </c>
      <c r="DL81" t="s">
        <v>412</v>
      </c>
      <c r="DM81">
        <v>4</v>
      </c>
      <c r="DN81" t="s">
        <v>383</v>
      </c>
      <c r="DO81">
        <v>1</v>
      </c>
    </row>
    <row r="82" spans="1:119" x14ac:dyDescent="0.2">
      <c r="A82">
        <f>ROW(Source!A256)</f>
        <v>256</v>
      </c>
      <c r="B82">
        <v>74852007</v>
      </c>
      <c r="C82">
        <v>74852670</v>
      </c>
      <c r="D82">
        <v>72601113</v>
      </c>
      <c r="E82">
        <v>1</v>
      </c>
      <c r="F82">
        <v>1</v>
      </c>
      <c r="G82">
        <v>1</v>
      </c>
      <c r="H82">
        <v>3</v>
      </c>
      <c r="I82" t="s">
        <v>471</v>
      </c>
      <c r="J82" t="s">
        <v>472</v>
      </c>
      <c r="K82" t="s">
        <v>473</v>
      </c>
      <c r="L82">
        <v>1425</v>
      </c>
      <c r="N82">
        <v>1013</v>
      </c>
      <c r="O82" t="s">
        <v>222</v>
      </c>
      <c r="P82" t="s">
        <v>222</v>
      </c>
      <c r="Q82">
        <v>1</v>
      </c>
      <c r="W82">
        <v>0</v>
      </c>
      <c r="X82">
        <v>-1181128042</v>
      </c>
      <c r="Y82">
        <f t="shared" ref="Y82:Y93" si="35">AT82</f>
        <v>4.04</v>
      </c>
      <c r="AA82">
        <v>69.61</v>
      </c>
      <c r="AB82">
        <v>0</v>
      </c>
      <c r="AC82">
        <v>0</v>
      </c>
      <c r="AD82">
        <v>0</v>
      </c>
      <c r="AE82">
        <v>52.34</v>
      </c>
      <c r="AF82">
        <v>0</v>
      </c>
      <c r="AG82">
        <v>0</v>
      </c>
      <c r="AH82">
        <v>0</v>
      </c>
      <c r="AI82">
        <v>1.33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6</v>
      </c>
      <c r="AT82">
        <v>4.04</v>
      </c>
      <c r="AU82" t="s">
        <v>6</v>
      </c>
      <c r="AV82">
        <v>0</v>
      </c>
      <c r="AW82">
        <v>2</v>
      </c>
      <c r="AX82">
        <v>74853174</v>
      </c>
      <c r="AY82">
        <v>1</v>
      </c>
      <c r="AZ82">
        <v>0</v>
      </c>
      <c r="BA82">
        <v>97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211.45360000000002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211.45360000000002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V82">
        <v>0</v>
      </c>
      <c r="CW82">
        <v>0</v>
      </c>
      <c r="CX82">
        <f>ROUND(Y82*Source!I256,7)</f>
        <v>0.16159999999999999</v>
      </c>
      <c r="CY82">
        <f>AA82</f>
        <v>69.61</v>
      </c>
      <c r="CZ82">
        <f>AE82</f>
        <v>52.34</v>
      </c>
      <c r="DA82">
        <f>AI82</f>
        <v>1.33</v>
      </c>
      <c r="DB82">
        <f t="shared" ref="DB82:DB93" si="36">ROUND(ROUND(AT82*CZ82,2),2)</f>
        <v>211.45</v>
      </c>
      <c r="DC82">
        <f t="shared" ref="DC82:DC93" si="37">ROUND(ROUND(AT82*AG82,2),2)</f>
        <v>0</v>
      </c>
      <c r="DD82" t="s">
        <v>6</v>
      </c>
      <c r="DE82" t="s">
        <v>6</v>
      </c>
      <c r="DF82">
        <f>ROUND(ROUND(AE82*AI82,2)*CX82,2)</f>
        <v>11.25</v>
      </c>
      <c r="DG82">
        <f t="shared" si="34"/>
        <v>0</v>
      </c>
      <c r="DH82">
        <f t="shared" si="31"/>
        <v>0</v>
      </c>
      <c r="DI82">
        <f t="shared" si="32"/>
        <v>0</v>
      </c>
      <c r="DJ82">
        <f>DF82</f>
        <v>11.25</v>
      </c>
      <c r="DK82">
        <v>0</v>
      </c>
      <c r="DL82" t="s">
        <v>6</v>
      </c>
      <c r="DM82">
        <v>0</v>
      </c>
      <c r="DN82" t="s">
        <v>6</v>
      </c>
      <c r="DO82">
        <v>0</v>
      </c>
    </row>
    <row r="83" spans="1:119" x14ac:dyDescent="0.2">
      <c r="A83">
        <f>ROW(Source!A256)</f>
        <v>256</v>
      </c>
      <c r="B83">
        <v>74852007</v>
      </c>
      <c r="C83">
        <v>74852670</v>
      </c>
      <c r="D83">
        <v>72618894</v>
      </c>
      <c r="E83">
        <v>1</v>
      </c>
      <c r="F83">
        <v>1</v>
      </c>
      <c r="G83">
        <v>1</v>
      </c>
      <c r="H83">
        <v>3</v>
      </c>
      <c r="I83" t="s">
        <v>506</v>
      </c>
      <c r="J83" t="s">
        <v>507</v>
      </c>
      <c r="K83" t="s">
        <v>508</v>
      </c>
      <c r="L83">
        <v>1296</v>
      </c>
      <c r="N83">
        <v>1002</v>
      </c>
      <c r="O83" t="s">
        <v>509</v>
      </c>
      <c r="P83" t="s">
        <v>509</v>
      </c>
      <c r="Q83">
        <v>1</v>
      </c>
      <c r="W83">
        <v>0</v>
      </c>
      <c r="X83">
        <v>1454905584</v>
      </c>
      <c r="Y83">
        <f t="shared" si="35"/>
        <v>2.1267</v>
      </c>
      <c r="AA83">
        <v>853.07</v>
      </c>
      <c r="AB83">
        <v>0</v>
      </c>
      <c r="AC83">
        <v>0</v>
      </c>
      <c r="AD83">
        <v>0</v>
      </c>
      <c r="AE83">
        <v>768.53</v>
      </c>
      <c r="AF83">
        <v>0</v>
      </c>
      <c r="AG83">
        <v>0</v>
      </c>
      <c r="AH83">
        <v>0</v>
      </c>
      <c r="AI83">
        <v>1.1100000000000001</v>
      </c>
      <c r="AJ83">
        <v>1</v>
      </c>
      <c r="AK83">
        <v>1</v>
      </c>
      <c r="AL83">
        <v>1</v>
      </c>
      <c r="AM83">
        <v>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6</v>
      </c>
      <c r="AT83">
        <v>2.1267</v>
      </c>
      <c r="AU83" t="s">
        <v>6</v>
      </c>
      <c r="AV83">
        <v>0</v>
      </c>
      <c r="AW83">
        <v>2</v>
      </c>
      <c r="AX83">
        <v>74853176</v>
      </c>
      <c r="AY83">
        <v>1</v>
      </c>
      <c r="AZ83">
        <v>0</v>
      </c>
      <c r="BA83">
        <v>99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1634.4327510000001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1634.4327510000001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CV83">
        <v>0</v>
      </c>
      <c r="CW83">
        <v>0</v>
      </c>
      <c r="CX83">
        <f>ROUND(Y83*Source!I256,7)</f>
        <v>8.5068000000000005E-2</v>
      </c>
      <c r="CY83">
        <f>AA83</f>
        <v>853.07</v>
      </c>
      <c r="CZ83">
        <f>AE83</f>
        <v>768.53</v>
      </c>
      <c r="DA83">
        <f>AI83</f>
        <v>1.1100000000000001</v>
      </c>
      <c r="DB83">
        <f t="shared" si="36"/>
        <v>1634.43</v>
      </c>
      <c r="DC83">
        <f t="shared" si="37"/>
        <v>0</v>
      </c>
      <c r="DD83" t="s">
        <v>6</v>
      </c>
      <c r="DE83" t="s">
        <v>6</v>
      </c>
      <c r="DF83">
        <f>ROUND(ROUND(AE83*AI83,2)*CX83,2)</f>
        <v>72.569999999999993</v>
      </c>
      <c r="DG83">
        <f t="shared" si="34"/>
        <v>0</v>
      </c>
      <c r="DH83">
        <f t="shared" si="31"/>
        <v>0</v>
      </c>
      <c r="DI83">
        <f t="shared" si="32"/>
        <v>0</v>
      </c>
      <c r="DJ83">
        <f>DF83</f>
        <v>72.569999999999993</v>
      </c>
      <c r="DK83">
        <v>0</v>
      </c>
      <c r="DL83" t="s">
        <v>6</v>
      </c>
      <c r="DM83">
        <v>0</v>
      </c>
      <c r="DN83" t="s">
        <v>6</v>
      </c>
      <c r="DO83">
        <v>0</v>
      </c>
    </row>
    <row r="84" spans="1:119" x14ac:dyDescent="0.2">
      <c r="A84">
        <f>ROW(Source!A258)</f>
        <v>258</v>
      </c>
      <c r="B84">
        <v>74852007</v>
      </c>
      <c r="C84">
        <v>74852688</v>
      </c>
      <c r="D84">
        <v>72527778</v>
      </c>
      <c r="E84">
        <v>114</v>
      </c>
      <c r="F84">
        <v>1</v>
      </c>
      <c r="G84">
        <v>1</v>
      </c>
      <c r="H84">
        <v>1</v>
      </c>
      <c r="I84" t="s">
        <v>510</v>
      </c>
      <c r="J84" t="s">
        <v>6</v>
      </c>
      <c r="K84" t="s">
        <v>511</v>
      </c>
      <c r="L84">
        <v>1191</v>
      </c>
      <c r="N84">
        <v>1013</v>
      </c>
      <c r="O84" t="s">
        <v>383</v>
      </c>
      <c r="P84" t="s">
        <v>383</v>
      </c>
      <c r="Q84">
        <v>1</v>
      </c>
      <c r="W84">
        <v>0</v>
      </c>
      <c r="X84">
        <v>-1483035894</v>
      </c>
      <c r="Y84">
        <f t="shared" si="35"/>
        <v>74.099999999999994</v>
      </c>
      <c r="AA84">
        <v>0</v>
      </c>
      <c r="AB84">
        <v>0</v>
      </c>
      <c r="AC84">
        <v>0</v>
      </c>
      <c r="AD84">
        <v>282.43</v>
      </c>
      <c r="AE84">
        <v>0</v>
      </c>
      <c r="AF84">
        <v>0</v>
      </c>
      <c r="AG84">
        <v>0</v>
      </c>
      <c r="AH84">
        <v>282.43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6</v>
      </c>
      <c r="AT84">
        <v>74.099999999999994</v>
      </c>
      <c r="AU84" t="s">
        <v>6</v>
      </c>
      <c r="AV84">
        <v>1</v>
      </c>
      <c r="AW84">
        <v>2</v>
      </c>
      <c r="AX84">
        <v>74853180</v>
      </c>
      <c r="AY84">
        <v>1</v>
      </c>
      <c r="AZ84">
        <v>0</v>
      </c>
      <c r="BA84">
        <v>101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20928.062999999998</v>
      </c>
      <c r="BN84">
        <v>74.099999999999994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20928.062999999998</v>
      </c>
      <c r="BU84">
        <v>74.099999999999994</v>
      </c>
      <c r="BV84">
        <v>0</v>
      </c>
      <c r="BW84">
        <v>1</v>
      </c>
      <c r="CU84">
        <f>ROUND(AT84*Source!I258*AH84*AL84,2)</f>
        <v>301.36</v>
      </c>
      <c r="CV84">
        <f>ROUND(Y84*Source!I258,7)</f>
        <v>1.06704</v>
      </c>
      <c r="CW84">
        <v>0</v>
      </c>
      <c r="CX84">
        <f>ROUND(Y84*Source!I258,7)</f>
        <v>1.06704</v>
      </c>
      <c r="CY84">
        <f>AD84</f>
        <v>282.43</v>
      </c>
      <c r="CZ84">
        <f>AH84</f>
        <v>282.43</v>
      </c>
      <c r="DA84">
        <f>AL84</f>
        <v>1</v>
      </c>
      <c r="DB84">
        <f t="shared" si="36"/>
        <v>20928.060000000001</v>
      </c>
      <c r="DC84">
        <f t="shared" si="37"/>
        <v>0</v>
      </c>
      <c r="DD84" t="s">
        <v>6</v>
      </c>
      <c r="DE84" t="s">
        <v>6</v>
      </c>
      <c r="DF84">
        <f>ROUND(ROUND(AE84,2)*CX84,2)</f>
        <v>0</v>
      </c>
      <c r="DG84">
        <f t="shared" si="34"/>
        <v>0</v>
      </c>
      <c r="DH84">
        <f t="shared" si="31"/>
        <v>0</v>
      </c>
      <c r="DI84">
        <f t="shared" si="32"/>
        <v>301.36</v>
      </c>
      <c r="DJ84">
        <f>DI84</f>
        <v>301.36</v>
      </c>
      <c r="DK84">
        <v>1</v>
      </c>
      <c r="DL84" t="s">
        <v>6</v>
      </c>
      <c r="DM84">
        <v>0</v>
      </c>
      <c r="DN84" t="s">
        <v>6</v>
      </c>
      <c r="DO84">
        <v>0</v>
      </c>
    </row>
    <row r="85" spans="1:119" x14ac:dyDescent="0.2">
      <c r="A85">
        <f>ROW(Source!A258)</f>
        <v>258</v>
      </c>
      <c r="B85">
        <v>74852007</v>
      </c>
      <c r="C85">
        <v>74852688</v>
      </c>
      <c r="D85">
        <v>72527995</v>
      </c>
      <c r="E85">
        <v>114</v>
      </c>
      <c r="F85">
        <v>1</v>
      </c>
      <c r="G85">
        <v>1</v>
      </c>
      <c r="H85">
        <v>1</v>
      </c>
      <c r="I85" t="s">
        <v>384</v>
      </c>
      <c r="J85" t="s">
        <v>6</v>
      </c>
      <c r="K85" t="s">
        <v>385</v>
      </c>
      <c r="L85">
        <v>1191</v>
      </c>
      <c r="N85">
        <v>1013</v>
      </c>
      <c r="O85" t="s">
        <v>383</v>
      </c>
      <c r="P85" t="s">
        <v>383</v>
      </c>
      <c r="Q85">
        <v>1</v>
      </c>
      <c r="W85">
        <v>0</v>
      </c>
      <c r="X85">
        <v>-1417349443</v>
      </c>
      <c r="Y85">
        <f t="shared" si="35"/>
        <v>0.01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-2</v>
      </c>
      <c r="AN85">
        <v>0</v>
      </c>
      <c r="AO85">
        <v>0</v>
      </c>
      <c r="AP85">
        <v>1</v>
      </c>
      <c r="AQ85">
        <v>1</v>
      </c>
      <c r="AR85">
        <v>0</v>
      </c>
      <c r="AS85" t="s">
        <v>6</v>
      </c>
      <c r="AT85">
        <v>0.01</v>
      </c>
      <c r="AU85" t="s">
        <v>6</v>
      </c>
      <c r="AV85">
        <v>2</v>
      </c>
      <c r="AW85">
        <v>2</v>
      </c>
      <c r="AX85">
        <v>74853181</v>
      </c>
      <c r="AY85">
        <v>1</v>
      </c>
      <c r="AZ85">
        <v>0</v>
      </c>
      <c r="BA85">
        <v>102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ROUND(Y85*Source!I258,7)</f>
        <v>1.44E-4</v>
      </c>
      <c r="CY85">
        <f>AD85</f>
        <v>0</v>
      </c>
      <c r="CZ85">
        <f>AH85</f>
        <v>0</v>
      </c>
      <c r="DA85">
        <f>AL85</f>
        <v>1</v>
      </c>
      <c r="DB85">
        <f t="shared" si="36"/>
        <v>0</v>
      </c>
      <c r="DC85">
        <f t="shared" si="37"/>
        <v>0</v>
      </c>
      <c r="DD85" t="s">
        <v>6</v>
      </c>
      <c r="DE85" t="s">
        <v>6</v>
      </c>
      <c r="DF85">
        <f>ROUND(ROUND(AE85,2)*CX85,2)</f>
        <v>0</v>
      </c>
      <c r="DG85">
        <f t="shared" si="34"/>
        <v>0</v>
      </c>
      <c r="DH85">
        <f t="shared" si="31"/>
        <v>0</v>
      </c>
      <c r="DI85">
        <f t="shared" si="32"/>
        <v>0</v>
      </c>
      <c r="DJ85">
        <f>DI85</f>
        <v>0</v>
      </c>
      <c r="DK85">
        <v>0</v>
      </c>
      <c r="DL85" t="s">
        <v>6</v>
      </c>
      <c r="DM85">
        <v>0</v>
      </c>
      <c r="DN85" t="s">
        <v>6</v>
      </c>
      <c r="DO85">
        <v>0</v>
      </c>
    </row>
    <row r="86" spans="1:119" x14ac:dyDescent="0.2">
      <c r="A86">
        <f>ROW(Source!A258)</f>
        <v>258</v>
      </c>
      <c r="B86">
        <v>74852007</v>
      </c>
      <c r="C86">
        <v>74852688</v>
      </c>
      <c r="D86">
        <v>72653331</v>
      </c>
      <c r="E86">
        <v>1</v>
      </c>
      <c r="F86">
        <v>1</v>
      </c>
      <c r="G86">
        <v>1</v>
      </c>
      <c r="H86">
        <v>2</v>
      </c>
      <c r="I86" t="s">
        <v>409</v>
      </c>
      <c r="J86" t="s">
        <v>410</v>
      </c>
      <c r="K86" t="s">
        <v>411</v>
      </c>
      <c r="L86">
        <v>1368</v>
      </c>
      <c r="N86">
        <v>1011</v>
      </c>
      <c r="O86" t="s">
        <v>389</v>
      </c>
      <c r="P86" t="s">
        <v>389</v>
      </c>
      <c r="Q86">
        <v>1</v>
      </c>
      <c r="W86">
        <v>0</v>
      </c>
      <c r="X86">
        <v>-1152394969</v>
      </c>
      <c r="Y86">
        <f t="shared" si="35"/>
        <v>0.01</v>
      </c>
      <c r="AA86">
        <v>0</v>
      </c>
      <c r="AB86">
        <v>611</v>
      </c>
      <c r="AC86">
        <v>334.92</v>
      </c>
      <c r="AD86">
        <v>0</v>
      </c>
      <c r="AE86">
        <v>0</v>
      </c>
      <c r="AF86">
        <v>611</v>
      </c>
      <c r="AG86">
        <v>334.92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6</v>
      </c>
      <c r="AT86">
        <v>0.01</v>
      </c>
      <c r="AU86" t="s">
        <v>6</v>
      </c>
      <c r="AV86">
        <v>1</v>
      </c>
      <c r="AW86">
        <v>2</v>
      </c>
      <c r="AX86">
        <v>74853182</v>
      </c>
      <c r="AY86">
        <v>1</v>
      </c>
      <c r="AZ86">
        <v>0</v>
      </c>
      <c r="BA86">
        <v>103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6.11</v>
      </c>
      <c r="BL86">
        <v>3.3492000000000002</v>
      </c>
      <c r="BM86">
        <v>0</v>
      </c>
      <c r="BN86">
        <v>0</v>
      </c>
      <c r="BO86">
        <v>0.01</v>
      </c>
      <c r="BP86">
        <v>1</v>
      </c>
      <c r="BQ86">
        <v>0</v>
      </c>
      <c r="BR86">
        <v>6.11</v>
      </c>
      <c r="BS86">
        <v>3.3492000000000002</v>
      </c>
      <c r="BT86">
        <v>0</v>
      </c>
      <c r="BU86">
        <v>0</v>
      </c>
      <c r="BV86">
        <v>0.01</v>
      </c>
      <c r="BW86">
        <v>1</v>
      </c>
      <c r="CV86">
        <v>0</v>
      </c>
      <c r="CW86">
        <f>ROUND(Y86*Source!I258*DO86,7)</f>
        <v>1.44E-4</v>
      </c>
      <c r="CX86">
        <f>ROUND(Y86*Source!I258,7)</f>
        <v>1.44E-4</v>
      </c>
      <c r="CY86">
        <f>AB86</f>
        <v>611</v>
      </c>
      <c r="CZ86">
        <f>AF86</f>
        <v>611</v>
      </c>
      <c r="DA86">
        <f>AJ86</f>
        <v>1</v>
      </c>
      <c r="DB86">
        <f t="shared" si="36"/>
        <v>6.11</v>
      </c>
      <c r="DC86">
        <f t="shared" si="37"/>
        <v>3.35</v>
      </c>
      <c r="DD86" t="s">
        <v>6</v>
      </c>
      <c r="DE86" t="s">
        <v>6</v>
      </c>
      <c r="DF86">
        <f>ROUND(ROUND(AE86,2)*CX86,2)</f>
        <v>0</v>
      </c>
      <c r="DG86">
        <f t="shared" si="34"/>
        <v>0.09</v>
      </c>
      <c r="DH86">
        <f t="shared" si="31"/>
        <v>0.05</v>
      </c>
      <c r="DI86">
        <f t="shared" si="32"/>
        <v>0</v>
      </c>
      <c r="DJ86">
        <f>DG86+DH86</f>
        <v>0.14000000000000001</v>
      </c>
      <c r="DK86">
        <v>1</v>
      </c>
      <c r="DL86" t="s">
        <v>412</v>
      </c>
      <c r="DM86">
        <v>4</v>
      </c>
      <c r="DN86" t="s">
        <v>383</v>
      </c>
      <c r="DO86">
        <v>1</v>
      </c>
    </row>
    <row r="87" spans="1:119" x14ac:dyDescent="0.2">
      <c r="A87">
        <f>ROW(Source!A258)</f>
        <v>258</v>
      </c>
      <c r="B87">
        <v>74852007</v>
      </c>
      <c r="C87">
        <v>74852688</v>
      </c>
      <c r="D87">
        <v>72602142</v>
      </c>
      <c r="E87">
        <v>1</v>
      </c>
      <c r="F87">
        <v>1</v>
      </c>
      <c r="G87">
        <v>1</v>
      </c>
      <c r="H87">
        <v>3</v>
      </c>
      <c r="I87" t="s">
        <v>413</v>
      </c>
      <c r="J87" t="s">
        <v>414</v>
      </c>
      <c r="K87" t="s">
        <v>415</v>
      </c>
      <c r="L87">
        <v>1346</v>
      </c>
      <c r="N87">
        <v>1009</v>
      </c>
      <c r="O87" t="s">
        <v>217</v>
      </c>
      <c r="P87" t="s">
        <v>217</v>
      </c>
      <c r="Q87">
        <v>1</v>
      </c>
      <c r="W87">
        <v>0</v>
      </c>
      <c r="X87">
        <v>-130701290</v>
      </c>
      <c r="Y87">
        <f t="shared" si="35"/>
        <v>0.1</v>
      </c>
      <c r="AA87">
        <v>83.6</v>
      </c>
      <c r="AB87">
        <v>0</v>
      </c>
      <c r="AC87">
        <v>0</v>
      </c>
      <c r="AD87">
        <v>0</v>
      </c>
      <c r="AE87">
        <v>56.11</v>
      </c>
      <c r="AF87">
        <v>0</v>
      </c>
      <c r="AG87">
        <v>0</v>
      </c>
      <c r="AH87">
        <v>0</v>
      </c>
      <c r="AI87">
        <v>1.49</v>
      </c>
      <c r="AJ87">
        <v>1</v>
      </c>
      <c r="AK87">
        <v>1</v>
      </c>
      <c r="AL87">
        <v>1</v>
      </c>
      <c r="AM87">
        <v>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6</v>
      </c>
      <c r="AT87">
        <v>0.1</v>
      </c>
      <c r="AU87" t="s">
        <v>6</v>
      </c>
      <c r="AV87">
        <v>0</v>
      </c>
      <c r="AW87">
        <v>2</v>
      </c>
      <c r="AX87">
        <v>74853183</v>
      </c>
      <c r="AY87">
        <v>1</v>
      </c>
      <c r="AZ87">
        <v>0</v>
      </c>
      <c r="BA87">
        <v>104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5.6110000000000007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</v>
      </c>
      <c r="BQ87">
        <v>5.6110000000000007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</v>
      </c>
      <c r="CV87">
        <v>0</v>
      </c>
      <c r="CW87">
        <v>0</v>
      </c>
      <c r="CX87">
        <f>ROUND(Y87*Source!I258,7)</f>
        <v>1.4400000000000001E-3</v>
      </c>
      <c r="CY87">
        <f>AA87</f>
        <v>83.6</v>
      </c>
      <c r="CZ87">
        <f>AE87</f>
        <v>56.11</v>
      </c>
      <c r="DA87">
        <f>AI87</f>
        <v>1.49</v>
      </c>
      <c r="DB87">
        <f t="shared" si="36"/>
        <v>5.61</v>
      </c>
      <c r="DC87">
        <f t="shared" si="37"/>
        <v>0</v>
      </c>
      <c r="DD87" t="s">
        <v>6</v>
      </c>
      <c r="DE87" t="s">
        <v>6</v>
      </c>
      <c r="DF87">
        <f>ROUND(ROUND(AE87*AI87,2)*CX87,2)</f>
        <v>0.12</v>
      </c>
      <c r="DG87">
        <f t="shared" si="34"/>
        <v>0</v>
      </c>
      <c r="DH87">
        <f t="shared" si="31"/>
        <v>0</v>
      </c>
      <c r="DI87">
        <f t="shared" si="32"/>
        <v>0</v>
      </c>
      <c r="DJ87">
        <f>DF87</f>
        <v>0.12</v>
      </c>
      <c r="DK87">
        <v>0</v>
      </c>
      <c r="DL87" t="s">
        <v>6</v>
      </c>
      <c r="DM87">
        <v>0</v>
      </c>
      <c r="DN87" t="s">
        <v>6</v>
      </c>
      <c r="DO87">
        <v>0</v>
      </c>
    </row>
    <row r="88" spans="1:119" x14ac:dyDescent="0.2">
      <c r="A88">
        <f>ROW(Source!A258)</f>
        <v>258</v>
      </c>
      <c r="B88">
        <v>74852007</v>
      </c>
      <c r="C88">
        <v>74852688</v>
      </c>
      <c r="D88">
        <v>72618971</v>
      </c>
      <c r="E88">
        <v>1</v>
      </c>
      <c r="F88">
        <v>1</v>
      </c>
      <c r="G88">
        <v>1</v>
      </c>
      <c r="H88">
        <v>3</v>
      </c>
      <c r="I88" t="s">
        <v>512</v>
      </c>
      <c r="J88" t="s">
        <v>513</v>
      </c>
      <c r="K88" t="s">
        <v>514</v>
      </c>
      <c r="L88">
        <v>1348</v>
      </c>
      <c r="N88">
        <v>1009</v>
      </c>
      <c r="O88" t="s">
        <v>149</v>
      </c>
      <c r="P88" t="s">
        <v>149</v>
      </c>
      <c r="Q88">
        <v>1000</v>
      </c>
      <c r="W88">
        <v>0</v>
      </c>
      <c r="X88">
        <v>-638797071</v>
      </c>
      <c r="Y88">
        <f t="shared" si="35"/>
        <v>8.8999999999999999E-3</v>
      </c>
      <c r="AA88">
        <v>75871.509999999995</v>
      </c>
      <c r="AB88">
        <v>0</v>
      </c>
      <c r="AC88">
        <v>0</v>
      </c>
      <c r="AD88">
        <v>0</v>
      </c>
      <c r="AE88">
        <v>60697.21</v>
      </c>
      <c r="AF88">
        <v>0</v>
      </c>
      <c r="AG88">
        <v>0</v>
      </c>
      <c r="AH88">
        <v>0</v>
      </c>
      <c r="AI88">
        <v>1.25</v>
      </c>
      <c r="AJ88">
        <v>1</v>
      </c>
      <c r="AK88">
        <v>1</v>
      </c>
      <c r="AL88">
        <v>1</v>
      </c>
      <c r="AM88">
        <v>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6</v>
      </c>
      <c r="AT88">
        <v>8.8999999999999999E-3</v>
      </c>
      <c r="AU88" t="s">
        <v>6</v>
      </c>
      <c r="AV88">
        <v>0</v>
      </c>
      <c r="AW88">
        <v>2</v>
      </c>
      <c r="AX88">
        <v>74853185</v>
      </c>
      <c r="AY88">
        <v>1</v>
      </c>
      <c r="AZ88">
        <v>0</v>
      </c>
      <c r="BA88">
        <v>106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540.20516899999996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540.20516899999996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CV88">
        <v>0</v>
      </c>
      <c r="CW88">
        <v>0</v>
      </c>
      <c r="CX88">
        <f>ROUND(Y88*Source!I258,7)</f>
        <v>1.282E-4</v>
      </c>
      <c r="CY88">
        <f>AA88</f>
        <v>75871.509999999995</v>
      </c>
      <c r="CZ88">
        <f>AE88</f>
        <v>60697.21</v>
      </c>
      <c r="DA88">
        <f>AI88</f>
        <v>1.25</v>
      </c>
      <c r="DB88">
        <f t="shared" si="36"/>
        <v>540.21</v>
      </c>
      <c r="DC88">
        <f t="shared" si="37"/>
        <v>0</v>
      </c>
      <c r="DD88" t="s">
        <v>6</v>
      </c>
      <c r="DE88" t="s">
        <v>6</v>
      </c>
      <c r="DF88">
        <f>ROUND(ROUND(AE88*AI88,2)*CX88,2)</f>
        <v>9.73</v>
      </c>
      <c r="DG88">
        <f t="shared" si="34"/>
        <v>0</v>
      </c>
      <c r="DH88">
        <f t="shared" si="31"/>
        <v>0</v>
      </c>
      <c r="DI88">
        <f t="shared" si="32"/>
        <v>0</v>
      </c>
      <c r="DJ88">
        <f>DF88</f>
        <v>9.73</v>
      </c>
      <c r="DK88">
        <v>0</v>
      </c>
      <c r="DL88" t="s">
        <v>6</v>
      </c>
      <c r="DM88">
        <v>0</v>
      </c>
      <c r="DN88" t="s">
        <v>6</v>
      </c>
      <c r="DO88">
        <v>0</v>
      </c>
    </row>
    <row r="89" spans="1:119" x14ac:dyDescent="0.2">
      <c r="A89">
        <f>ROW(Source!A260)</f>
        <v>260</v>
      </c>
      <c r="B89">
        <v>74852007</v>
      </c>
      <c r="C89">
        <v>74852702</v>
      </c>
      <c r="D89">
        <v>72527804</v>
      </c>
      <c r="E89">
        <v>114</v>
      </c>
      <c r="F89">
        <v>1</v>
      </c>
      <c r="G89">
        <v>1</v>
      </c>
      <c r="H89">
        <v>1</v>
      </c>
      <c r="I89" t="s">
        <v>495</v>
      </c>
      <c r="J89" t="s">
        <v>6</v>
      </c>
      <c r="K89" t="s">
        <v>496</v>
      </c>
      <c r="L89">
        <v>1191</v>
      </c>
      <c r="N89">
        <v>1013</v>
      </c>
      <c r="O89" t="s">
        <v>383</v>
      </c>
      <c r="P89" t="s">
        <v>383</v>
      </c>
      <c r="Q89">
        <v>1</v>
      </c>
      <c r="W89">
        <v>0</v>
      </c>
      <c r="X89">
        <v>1958912953</v>
      </c>
      <c r="Y89">
        <f t="shared" si="35"/>
        <v>63.4</v>
      </c>
      <c r="AA89">
        <v>0</v>
      </c>
      <c r="AB89">
        <v>0</v>
      </c>
      <c r="AC89">
        <v>0</v>
      </c>
      <c r="AD89">
        <v>304.93</v>
      </c>
      <c r="AE89">
        <v>0</v>
      </c>
      <c r="AF89">
        <v>0</v>
      </c>
      <c r="AG89">
        <v>0</v>
      </c>
      <c r="AH89">
        <v>304.93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6</v>
      </c>
      <c r="AT89">
        <v>63.4</v>
      </c>
      <c r="AU89" t="s">
        <v>6</v>
      </c>
      <c r="AV89">
        <v>1</v>
      </c>
      <c r="AW89">
        <v>2</v>
      </c>
      <c r="AX89">
        <v>74853187</v>
      </c>
      <c r="AY89">
        <v>1</v>
      </c>
      <c r="AZ89">
        <v>0</v>
      </c>
      <c r="BA89">
        <v>107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19332.562000000002</v>
      </c>
      <c r="BN89">
        <v>63.4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19332.562000000002</v>
      </c>
      <c r="BU89">
        <v>63.4</v>
      </c>
      <c r="BV89">
        <v>0</v>
      </c>
      <c r="BW89">
        <v>1</v>
      </c>
      <c r="CU89">
        <f>ROUND(AT89*Source!I260*AH89*AL89,2)</f>
        <v>386.65</v>
      </c>
      <c r="CV89">
        <f>ROUND(Y89*Source!I260,7)</f>
        <v>1.268</v>
      </c>
      <c r="CW89">
        <v>0</v>
      </c>
      <c r="CX89">
        <f>ROUND(Y89*Source!I260,7)</f>
        <v>1.268</v>
      </c>
      <c r="CY89">
        <f>AD89</f>
        <v>304.93</v>
      </c>
      <c r="CZ89">
        <f>AH89</f>
        <v>304.93</v>
      </c>
      <c r="DA89">
        <f>AL89</f>
        <v>1</v>
      </c>
      <c r="DB89">
        <f t="shared" si="36"/>
        <v>19332.560000000001</v>
      </c>
      <c r="DC89">
        <f t="shared" si="37"/>
        <v>0</v>
      </c>
      <c r="DD89" t="s">
        <v>6</v>
      </c>
      <c r="DE89" t="s">
        <v>6</v>
      </c>
      <c r="DF89">
        <f>ROUND(ROUND(AE89,2)*CX89,2)</f>
        <v>0</v>
      </c>
      <c r="DG89">
        <f t="shared" si="34"/>
        <v>0</v>
      </c>
      <c r="DH89">
        <f t="shared" si="31"/>
        <v>0</v>
      </c>
      <c r="DI89">
        <f t="shared" si="32"/>
        <v>386.65</v>
      </c>
      <c r="DJ89">
        <f>DI89</f>
        <v>386.65</v>
      </c>
      <c r="DK89">
        <v>1</v>
      </c>
      <c r="DL89" t="s">
        <v>6</v>
      </c>
      <c r="DM89">
        <v>0</v>
      </c>
      <c r="DN89" t="s">
        <v>6</v>
      </c>
      <c r="DO89">
        <v>0</v>
      </c>
    </row>
    <row r="90" spans="1:119" x14ac:dyDescent="0.2">
      <c r="A90">
        <f>ROW(Source!A260)</f>
        <v>260</v>
      </c>
      <c r="B90">
        <v>74852007</v>
      </c>
      <c r="C90">
        <v>74852702</v>
      </c>
      <c r="D90">
        <v>72527995</v>
      </c>
      <c r="E90">
        <v>114</v>
      </c>
      <c r="F90">
        <v>1</v>
      </c>
      <c r="G90">
        <v>1</v>
      </c>
      <c r="H90">
        <v>1</v>
      </c>
      <c r="I90" t="s">
        <v>384</v>
      </c>
      <c r="J90" t="s">
        <v>6</v>
      </c>
      <c r="K90" t="s">
        <v>385</v>
      </c>
      <c r="L90">
        <v>1191</v>
      </c>
      <c r="N90">
        <v>1013</v>
      </c>
      <c r="O90" t="s">
        <v>383</v>
      </c>
      <c r="P90" t="s">
        <v>383</v>
      </c>
      <c r="Q90">
        <v>1</v>
      </c>
      <c r="W90">
        <v>0</v>
      </c>
      <c r="X90">
        <v>-1417349443</v>
      </c>
      <c r="Y90">
        <f t="shared" si="35"/>
        <v>0.01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6</v>
      </c>
      <c r="AT90">
        <v>0.01</v>
      </c>
      <c r="AU90" t="s">
        <v>6</v>
      </c>
      <c r="AV90">
        <v>2</v>
      </c>
      <c r="AW90">
        <v>2</v>
      </c>
      <c r="AX90">
        <v>74853188</v>
      </c>
      <c r="AY90">
        <v>1</v>
      </c>
      <c r="AZ90">
        <v>0</v>
      </c>
      <c r="BA90">
        <v>108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V90">
        <v>0</v>
      </c>
      <c r="CW90">
        <v>0</v>
      </c>
      <c r="CX90">
        <f>ROUND(Y90*Source!I260,7)</f>
        <v>2.0000000000000001E-4</v>
      </c>
      <c r="CY90">
        <f>AD90</f>
        <v>0</v>
      </c>
      <c r="CZ90">
        <f>AH90</f>
        <v>0</v>
      </c>
      <c r="DA90">
        <f>AL90</f>
        <v>1</v>
      </c>
      <c r="DB90">
        <f t="shared" si="36"/>
        <v>0</v>
      </c>
      <c r="DC90">
        <f t="shared" si="37"/>
        <v>0</v>
      </c>
      <c r="DD90" t="s">
        <v>6</v>
      </c>
      <c r="DE90" t="s">
        <v>6</v>
      </c>
      <c r="DF90">
        <f>ROUND(ROUND(AE90,2)*CX90,2)</f>
        <v>0</v>
      </c>
      <c r="DG90">
        <f t="shared" si="34"/>
        <v>0</v>
      </c>
      <c r="DH90">
        <f t="shared" si="31"/>
        <v>0</v>
      </c>
      <c r="DI90">
        <f t="shared" si="32"/>
        <v>0</v>
      </c>
      <c r="DJ90">
        <f>DI90</f>
        <v>0</v>
      </c>
      <c r="DK90">
        <v>0</v>
      </c>
      <c r="DL90" t="s">
        <v>6</v>
      </c>
      <c r="DM90">
        <v>0</v>
      </c>
      <c r="DN90" t="s">
        <v>6</v>
      </c>
      <c r="DO90">
        <v>0</v>
      </c>
    </row>
    <row r="91" spans="1:119" x14ac:dyDescent="0.2">
      <c r="A91">
        <f>ROW(Source!A260)</f>
        <v>260</v>
      </c>
      <c r="B91">
        <v>74852007</v>
      </c>
      <c r="C91">
        <v>74852702</v>
      </c>
      <c r="D91">
        <v>72653331</v>
      </c>
      <c r="E91">
        <v>1</v>
      </c>
      <c r="F91">
        <v>1</v>
      </c>
      <c r="G91">
        <v>1</v>
      </c>
      <c r="H91">
        <v>2</v>
      </c>
      <c r="I91" t="s">
        <v>409</v>
      </c>
      <c r="J91" t="s">
        <v>410</v>
      </c>
      <c r="K91" t="s">
        <v>411</v>
      </c>
      <c r="L91">
        <v>1368</v>
      </c>
      <c r="N91">
        <v>1011</v>
      </c>
      <c r="O91" t="s">
        <v>389</v>
      </c>
      <c r="P91" t="s">
        <v>389</v>
      </c>
      <c r="Q91">
        <v>1</v>
      </c>
      <c r="W91">
        <v>0</v>
      </c>
      <c r="X91">
        <v>-1152394969</v>
      </c>
      <c r="Y91">
        <f t="shared" si="35"/>
        <v>0.01</v>
      </c>
      <c r="AA91">
        <v>0</v>
      </c>
      <c r="AB91">
        <v>611</v>
      </c>
      <c r="AC91">
        <v>334.92</v>
      </c>
      <c r="AD91">
        <v>0</v>
      </c>
      <c r="AE91">
        <v>0</v>
      </c>
      <c r="AF91">
        <v>611</v>
      </c>
      <c r="AG91">
        <v>334.92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6</v>
      </c>
      <c r="AT91">
        <v>0.01</v>
      </c>
      <c r="AU91" t="s">
        <v>6</v>
      </c>
      <c r="AV91">
        <v>1</v>
      </c>
      <c r="AW91">
        <v>2</v>
      </c>
      <c r="AX91">
        <v>74853189</v>
      </c>
      <c r="AY91">
        <v>1</v>
      </c>
      <c r="AZ91">
        <v>0</v>
      </c>
      <c r="BA91">
        <v>109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6.11</v>
      </c>
      <c r="BL91">
        <v>3.3492000000000002</v>
      </c>
      <c r="BM91">
        <v>0</v>
      </c>
      <c r="BN91">
        <v>0</v>
      </c>
      <c r="BO91">
        <v>0.01</v>
      </c>
      <c r="BP91">
        <v>1</v>
      </c>
      <c r="BQ91">
        <v>0</v>
      </c>
      <c r="BR91">
        <v>6.11</v>
      </c>
      <c r="BS91">
        <v>3.3492000000000002</v>
      </c>
      <c r="BT91">
        <v>0</v>
      </c>
      <c r="BU91">
        <v>0</v>
      </c>
      <c r="BV91">
        <v>0.01</v>
      </c>
      <c r="BW91">
        <v>1</v>
      </c>
      <c r="CV91">
        <v>0</v>
      </c>
      <c r="CW91">
        <f>ROUND(Y91*Source!I260*DO91,7)</f>
        <v>2.0000000000000001E-4</v>
      </c>
      <c r="CX91">
        <f>ROUND(Y91*Source!I260,7)</f>
        <v>2.0000000000000001E-4</v>
      </c>
      <c r="CY91">
        <f>AB91</f>
        <v>611</v>
      </c>
      <c r="CZ91">
        <f>AF91</f>
        <v>611</v>
      </c>
      <c r="DA91">
        <f>AJ91</f>
        <v>1</v>
      </c>
      <c r="DB91">
        <f t="shared" si="36"/>
        <v>6.11</v>
      </c>
      <c r="DC91">
        <f t="shared" si="37"/>
        <v>3.35</v>
      </c>
      <c r="DD91" t="s">
        <v>6</v>
      </c>
      <c r="DE91" t="s">
        <v>6</v>
      </c>
      <c r="DF91">
        <f>ROUND(ROUND(AE91,2)*CX91,2)</f>
        <v>0</v>
      </c>
      <c r="DG91">
        <f t="shared" si="34"/>
        <v>0.12</v>
      </c>
      <c r="DH91">
        <f t="shared" si="31"/>
        <v>7.0000000000000007E-2</v>
      </c>
      <c r="DI91">
        <f t="shared" si="32"/>
        <v>0</v>
      </c>
      <c r="DJ91">
        <f>DG91+DH91</f>
        <v>0.19</v>
      </c>
      <c r="DK91">
        <v>1</v>
      </c>
      <c r="DL91" t="s">
        <v>412</v>
      </c>
      <c r="DM91">
        <v>4</v>
      </c>
      <c r="DN91" t="s">
        <v>383</v>
      </c>
      <c r="DO91">
        <v>1</v>
      </c>
    </row>
    <row r="92" spans="1:119" x14ac:dyDescent="0.2">
      <c r="A92">
        <f>ROW(Source!A260)</f>
        <v>260</v>
      </c>
      <c r="B92">
        <v>74852007</v>
      </c>
      <c r="C92">
        <v>74852702</v>
      </c>
      <c r="D92">
        <v>72602142</v>
      </c>
      <c r="E92">
        <v>1</v>
      </c>
      <c r="F92">
        <v>1</v>
      </c>
      <c r="G92">
        <v>1</v>
      </c>
      <c r="H92">
        <v>3</v>
      </c>
      <c r="I92" t="s">
        <v>413</v>
      </c>
      <c r="J92" t="s">
        <v>414</v>
      </c>
      <c r="K92" t="s">
        <v>415</v>
      </c>
      <c r="L92">
        <v>1346</v>
      </c>
      <c r="N92">
        <v>1009</v>
      </c>
      <c r="O92" t="s">
        <v>217</v>
      </c>
      <c r="P92" t="s">
        <v>217</v>
      </c>
      <c r="Q92">
        <v>1</v>
      </c>
      <c r="W92">
        <v>0</v>
      </c>
      <c r="X92">
        <v>-130701290</v>
      </c>
      <c r="Y92">
        <f t="shared" si="35"/>
        <v>0.1</v>
      </c>
      <c r="AA92">
        <v>83.6</v>
      </c>
      <c r="AB92">
        <v>0</v>
      </c>
      <c r="AC92">
        <v>0</v>
      </c>
      <c r="AD92">
        <v>0</v>
      </c>
      <c r="AE92">
        <v>56.11</v>
      </c>
      <c r="AF92">
        <v>0</v>
      </c>
      <c r="AG92">
        <v>0</v>
      </c>
      <c r="AH92">
        <v>0</v>
      </c>
      <c r="AI92">
        <v>1.49</v>
      </c>
      <c r="AJ92">
        <v>1</v>
      </c>
      <c r="AK92">
        <v>1</v>
      </c>
      <c r="AL92">
        <v>1</v>
      </c>
      <c r="AM92">
        <v>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6</v>
      </c>
      <c r="AT92">
        <v>0.1</v>
      </c>
      <c r="AU92" t="s">
        <v>6</v>
      </c>
      <c r="AV92">
        <v>0</v>
      </c>
      <c r="AW92">
        <v>2</v>
      </c>
      <c r="AX92">
        <v>74853190</v>
      </c>
      <c r="AY92">
        <v>1</v>
      </c>
      <c r="AZ92">
        <v>0</v>
      </c>
      <c r="BA92">
        <v>110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5.6110000000000007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5.6110000000000007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1</v>
      </c>
      <c r="CV92">
        <v>0</v>
      </c>
      <c r="CW92">
        <v>0</v>
      </c>
      <c r="CX92">
        <f>ROUND(Y92*Source!I260,7)</f>
        <v>2E-3</v>
      </c>
      <c r="CY92">
        <f>AA92</f>
        <v>83.6</v>
      </c>
      <c r="CZ92">
        <f>AE92</f>
        <v>56.11</v>
      </c>
      <c r="DA92">
        <f>AI92</f>
        <v>1.49</v>
      </c>
      <c r="DB92">
        <f t="shared" si="36"/>
        <v>5.61</v>
      </c>
      <c r="DC92">
        <f t="shared" si="37"/>
        <v>0</v>
      </c>
      <c r="DD92" t="s">
        <v>6</v>
      </c>
      <c r="DE92" t="s">
        <v>6</v>
      </c>
      <c r="DF92">
        <f>ROUND(ROUND(AE92*AI92,2)*CX92,2)</f>
        <v>0.17</v>
      </c>
      <c r="DG92">
        <f t="shared" si="34"/>
        <v>0</v>
      </c>
      <c r="DH92">
        <f t="shared" si="31"/>
        <v>0</v>
      </c>
      <c r="DI92">
        <f t="shared" si="32"/>
        <v>0</v>
      </c>
      <c r="DJ92">
        <f>DF92</f>
        <v>0.17</v>
      </c>
      <c r="DK92">
        <v>0</v>
      </c>
      <c r="DL92" t="s">
        <v>6</v>
      </c>
      <c r="DM92">
        <v>0</v>
      </c>
      <c r="DN92" t="s">
        <v>6</v>
      </c>
      <c r="DO92">
        <v>0</v>
      </c>
    </row>
    <row r="93" spans="1:119" x14ac:dyDescent="0.2">
      <c r="A93">
        <f>ROW(Source!A260)</f>
        <v>260</v>
      </c>
      <c r="B93">
        <v>74852007</v>
      </c>
      <c r="C93">
        <v>74852702</v>
      </c>
      <c r="D93">
        <v>72618971</v>
      </c>
      <c r="E93">
        <v>1</v>
      </c>
      <c r="F93">
        <v>1</v>
      </c>
      <c r="G93">
        <v>1</v>
      </c>
      <c r="H93">
        <v>3</v>
      </c>
      <c r="I93" t="s">
        <v>512</v>
      </c>
      <c r="J93" t="s">
        <v>513</v>
      </c>
      <c r="K93" t="s">
        <v>514</v>
      </c>
      <c r="L93">
        <v>1348</v>
      </c>
      <c r="N93">
        <v>1009</v>
      </c>
      <c r="O93" t="s">
        <v>149</v>
      </c>
      <c r="P93" t="s">
        <v>149</v>
      </c>
      <c r="Q93">
        <v>1000</v>
      </c>
      <c r="W93">
        <v>0</v>
      </c>
      <c r="X93">
        <v>-638797071</v>
      </c>
      <c r="Y93">
        <f t="shared" si="35"/>
        <v>8.6E-3</v>
      </c>
      <c r="AA93">
        <v>75871.509999999995</v>
      </c>
      <c r="AB93">
        <v>0</v>
      </c>
      <c r="AC93">
        <v>0</v>
      </c>
      <c r="AD93">
        <v>0</v>
      </c>
      <c r="AE93">
        <v>60697.21</v>
      </c>
      <c r="AF93">
        <v>0</v>
      </c>
      <c r="AG93">
        <v>0</v>
      </c>
      <c r="AH93">
        <v>0</v>
      </c>
      <c r="AI93">
        <v>1.25</v>
      </c>
      <c r="AJ93">
        <v>1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6</v>
      </c>
      <c r="AT93">
        <v>8.6E-3</v>
      </c>
      <c r="AU93" t="s">
        <v>6</v>
      </c>
      <c r="AV93">
        <v>0</v>
      </c>
      <c r="AW93">
        <v>2</v>
      </c>
      <c r="AX93">
        <v>74853192</v>
      </c>
      <c r="AY93">
        <v>1</v>
      </c>
      <c r="AZ93">
        <v>0</v>
      </c>
      <c r="BA93">
        <v>112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521.99600599999997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521.99600599999997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ROUND(Y93*Source!I260,7)</f>
        <v>1.7200000000000001E-4</v>
      </c>
      <c r="CY93">
        <f>AA93</f>
        <v>75871.509999999995</v>
      </c>
      <c r="CZ93">
        <f>AE93</f>
        <v>60697.21</v>
      </c>
      <c r="DA93">
        <f>AI93</f>
        <v>1.25</v>
      </c>
      <c r="DB93">
        <f t="shared" si="36"/>
        <v>522</v>
      </c>
      <c r="DC93">
        <f t="shared" si="37"/>
        <v>0</v>
      </c>
      <c r="DD93" t="s">
        <v>6</v>
      </c>
      <c r="DE93" t="s">
        <v>6</v>
      </c>
      <c r="DF93">
        <f>ROUND(ROUND(AE93*AI93,2)*CX93,2)</f>
        <v>13.05</v>
      </c>
      <c r="DG93">
        <f t="shared" si="34"/>
        <v>0</v>
      </c>
      <c r="DH93">
        <f t="shared" si="31"/>
        <v>0</v>
      </c>
      <c r="DI93">
        <f t="shared" si="32"/>
        <v>0</v>
      </c>
      <c r="DJ93">
        <f>DF93</f>
        <v>13.05</v>
      </c>
      <c r="DK93">
        <v>0</v>
      </c>
      <c r="DL93" t="s">
        <v>6</v>
      </c>
      <c r="DM93">
        <v>0</v>
      </c>
      <c r="DN93" t="s">
        <v>6</v>
      </c>
      <c r="DO93">
        <v>0</v>
      </c>
    </row>
    <row r="94" spans="1:119" x14ac:dyDescent="0.2">
      <c r="A94">
        <f>ROW(Source!A263)</f>
        <v>263</v>
      </c>
      <c r="B94">
        <v>74852007</v>
      </c>
      <c r="C94">
        <v>74852717</v>
      </c>
      <c r="D94">
        <v>72527818</v>
      </c>
      <c r="E94">
        <v>114</v>
      </c>
      <c r="F94">
        <v>1</v>
      </c>
      <c r="G94">
        <v>1</v>
      </c>
      <c r="H94">
        <v>1</v>
      </c>
      <c r="I94" t="s">
        <v>440</v>
      </c>
      <c r="J94" t="s">
        <v>6</v>
      </c>
      <c r="K94" t="s">
        <v>441</v>
      </c>
      <c r="L94">
        <v>1191</v>
      </c>
      <c r="N94">
        <v>1013</v>
      </c>
      <c r="O94" t="s">
        <v>383</v>
      </c>
      <c r="P94" t="s">
        <v>383</v>
      </c>
      <c r="Q94">
        <v>1</v>
      </c>
      <c r="W94">
        <v>0</v>
      </c>
      <c r="X94">
        <v>44848675</v>
      </c>
      <c r="Y94">
        <f>(AT94*ROUND(1.15,7))</f>
        <v>117.82899999999998</v>
      </c>
      <c r="AA94">
        <v>0</v>
      </c>
      <c r="AB94">
        <v>0</v>
      </c>
      <c r="AC94">
        <v>0</v>
      </c>
      <c r="AD94">
        <v>327.42</v>
      </c>
      <c r="AE94">
        <v>0</v>
      </c>
      <c r="AF94">
        <v>0</v>
      </c>
      <c r="AG94">
        <v>0</v>
      </c>
      <c r="AH94">
        <v>327.42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6</v>
      </c>
      <c r="AT94">
        <v>102.46</v>
      </c>
      <c r="AU94" t="s">
        <v>117</v>
      </c>
      <c r="AV94">
        <v>1</v>
      </c>
      <c r="AW94">
        <v>2</v>
      </c>
      <c r="AX94">
        <v>74852971</v>
      </c>
      <c r="AY94">
        <v>1</v>
      </c>
      <c r="AZ94">
        <v>0</v>
      </c>
      <c r="BA94">
        <v>113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33547.453199999996</v>
      </c>
      <c r="BN94">
        <v>102.46</v>
      </c>
      <c r="BO94">
        <v>0</v>
      </c>
      <c r="BP94">
        <v>1</v>
      </c>
      <c r="BQ94">
        <v>0</v>
      </c>
      <c r="BR94">
        <v>0</v>
      </c>
      <c r="BS94">
        <v>0</v>
      </c>
      <c r="BT94">
        <v>38579.571179999992</v>
      </c>
      <c r="BU94">
        <v>117.82899999999998</v>
      </c>
      <c r="BV94">
        <v>0</v>
      </c>
      <c r="BW94">
        <v>1</v>
      </c>
      <c r="CU94">
        <f>ROUND(AT94*Source!I263*AH94*AL94,2)</f>
        <v>10399.709999999999</v>
      </c>
      <c r="CV94">
        <f>ROUND(Y94*Source!I263,7)</f>
        <v>36.526989999999998</v>
      </c>
      <c r="CW94">
        <v>0</v>
      </c>
      <c r="CX94">
        <f>ROUND(Y94*Source!I263,7)</f>
        <v>36.526989999999998</v>
      </c>
      <c r="CY94">
        <f>AD94</f>
        <v>327.42</v>
      </c>
      <c r="CZ94">
        <f>AH94</f>
        <v>327.42</v>
      </c>
      <c r="DA94">
        <f>AL94</f>
        <v>1</v>
      </c>
      <c r="DB94">
        <f>ROUND((ROUND(AT94*CZ94,2)*ROUND(1.15,7)),2)</f>
        <v>38579.57</v>
      </c>
      <c r="DC94">
        <f>ROUND((ROUND(AT94*AG94,2)*ROUND(1.15,7)),2)</f>
        <v>0</v>
      </c>
      <c r="DD94" t="s">
        <v>6</v>
      </c>
      <c r="DE94" t="s">
        <v>6</v>
      </c>
      <c r="DF94">
        <f t="shared" ref="DF94:DF105" si="38">ROUND(ROUND(AE94,2)*CX94,2)</f>
        <v>0</v>
      </c>
      <c r="DG94">
        <f t="shared" si="34"/>
        <v>0</v>
      </c>
      <c r="DH94">
        <f t="shared" si="31"/>
        <v>0</v>
      </c>
      <c r="DI94">
        <f t="shared" si="32"/>
        <v>11959.67</v>
      </c>
      <c r="DJ94">
        <f>DI94</f>
        <v>11959.67</v>
      </c>
      <c r="DK94">
        <v>1</v>
      </c>
      <c r="DL94" t="s">
        <v>6</v>
      </c>
      <c r="DM94">
        <v>0</v>
      </c>
      <c r="DN94" t="s">
        <v>6</v>
      </c>
      <c r="DO94">
        <v>0</v>
      </c>
    </row>
    <row r="95" spans="1:119" x14ac:dyDescent="0.2">
      <c r="A95">
        <f>ROW(Source!A263)</f>
        <v>263</v>
      </c>
      <c r="B95">
        <v>74852007</v>
      </c>
      <c r="C95">
        <v>74852717</v>
      </c>
      <c r="D95">
        <v>72527995</v>
      </c>
      <c r="E95">
        <v>114</v>
      </c>
      <c r="F95">
        <v>1</v>
      </c>
      <c r="G95">
        <v>1</v>
      </c>
      <c r="H95">
        <v>1</v>
      </c>
      <c r="I95" t="s">
        <v>384</v>
      </c>
      <c r="J95" t="s">
        <v>6</v>
      </c>
      <c r="K95" t="s">
        <v>385</v>
      </c>
      <c r="L95">
        <v>1191</v>
      </c>
      <c r="N95">
        <v>1013</v>
      </c>
      <c r="O95" t="s">
        <v>383</v>
      </c>
      <c r="P95" t="s">
        <v>383</v>
      </c>
      <c r="Q95">
        <v>1</v>
      </c>
      <c r="W95">
        <v>0</v>
      </c>
      <c r="X95">
        <v>-1417349443</v>
      </c>
      <c r="Y95">
        <f>(AT95*ROUND(1.25,7))</f>
        <v>6.6749999999999998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6</v>
      </c>
      <c r="AT95">
        <v>5.34</v>
      </c>
      <c r="AU95" t="s">
        <v>116</v>
      </c>
      <c r="AV95">
        <v>2</v>
      </c>
      <c r="AW95">
        <v>2</v>
      </c>
      <c r="AX95">
        <v>74852972</v>
      </c>
      <c r="AY95">
        <v>1</v>
      </c>
      <c r="AZ95">
        <v>0</v>
      </c>
      <c r="BA95">
        <v>114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V95">
        <v>0</v>
      </c>
      <c r="CW95">
        <v>0</v>
      </c>
      <c r="CX95">
        <f>ROUND(Y95*Source!I263,7)</f>
        <v>2.0692499999999998</v>
      </c>
      <c r="CY95">
        <f>AD95</f>
        <v>0</v>
      </c>
      <c r="CZ95">
        <f>AH95</f>
        <v>0</v>
      </c>
      <c r="DA95">
        <f>AL95</f>
        <v>1</v>
      </c>
      <c r="DB95">
        <f>ROUND((ROUND(AT95*CZ95,2)*ROUND(1.25,7)),2)</f>
        <v>0</v>
      </c>
      <c r="DC95">
        <f>ROUND((ROUND(AT95*AG95,2)*ROUND(1.25,7)),2)</f>
        <v>0</v>
      </c>
      <c r="DD95" t="s">
        <v>6</v>
      </c>
      <c r="DE95" t="s">
        <v>6</v>
      </c>
      <c r="DF95">
        <f t="shared" si="38"/>
        <v>0</v>
      </c>
      <c r="DG95">
        <f t="shared" si="34"/>
        <v>0</v>
      </c>
      <c r="DH95">
        <f t="shared" si="31"/>
        <v>0</v>
      </c>
      <c r="DI95">
        <f t="shared" si="32"/>
        <v>0</v>
      </c>
      <c r="DJ95">
        <f>DI95</f>
        <v>0</v>
      </c>
      <c r="DK95">
        <v>0</v>
      </c>
      <c r="DL95" t="s">
        <v>6</v>
      </c>
      <c r="DM95">
        <v>0</v>
      </c>
      <c r="DN95" t="s">
        <v>6</v>
      </c>
      <c r="DO95">
        <v>0</v>
      </c>
    </row>
    <row r="96" spans="1:119" x14ac:dyDescent="0.2">
      <c r="A96">
        <f>ROW(Source!A263)</f>
        <v>263</v>
      </c>
      <c r="B96">
        <v>74852007</v>
      </c>
      <c r="C96">
        <v>74852717</v>
      </c>
      <c r="D96">
        <v>72652626</v>
      </c>
      <c r="E96">
        <v>1</v>
      </c>
      <c r="F96">
        <v>1</v>
      </c>
      <c r="G96">
        <v>1</v>
      </c>
      <c r="H96">
        <v>2</v>
      </c>
      <c r="I96" t="s">
        <v>386</v>
      </c>
      <c r="J96" t="s">
        <v>387</v>
      </c>
      <c r="K96" t="s">
        <v>388</v>
      </c>
      <c r="L96">
        <v>1368</v>
      </c>
      <c r="N96">
        <v>1011</v>
      </c>
      <c r="O96" t="s">
        <v>389</v>
      </c>
      <c r="P96" t="s">
        <v>389</v>
      </c>
      <c r="Q96">
        <v>1</v>
      </c>
      <c r="W96">
        <v>0</v>
      </c>
      <c r="X96">
        <v>-92307625</v>
      </c>
      <c r="Y96">
        <f>(AT96*ROUND(1.25,7))</f>
        <v>0.95</v>
      </c>
      <c r="AA96">
        <v>0</v>
      </c>
      <c r="AB96">
        <v>55.23</v>
      </c>
      <c r="AC96">
        <v>297.43</v>
      </c>
      <c r="AD96">
        <v>0</v>
      </c>
      <c r="AE96">
        <v>0</v>
      </c>
      <c r="AF96">
        <v>37.32</v>
      </c>
      <c r="AG96">
        <v>297.43</v>
      </c>
      <c r="AH96">
        <v>0</v>
      </c>
      <c r="AI96">
        <v>1</v>
      </c>
      <c r="AJ96">
        <v>1.48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6</v>
      </c>
      <c r="AT96">
        <v>0.76</v>
      </c>
      <c r="AU96" t="s">
        <v>116</v>
      </c>
      <c r="AV96">
        <v>1</v>
      </c>
      <c r="AW96">
        <v>2</v>
      </c>
      <c r="AX96">
        <v>74852973</v>
      </c>
      <c r="AY96">
        <v>1</v>
      </c>
      <c r="AZ96">
        <v>0</v>
      </c>
      <c r="BA96">
        <v>115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28.363199999999999</v>
      </c>
      <c r="BL96">
        <v>226.04680000000002</v>
      </c>
      <c r="BM96">
        <v>0</v>
      </c>
      <c r="BN96">
        <v>0</v>
      </c>
      <c r="BO96">
        <v>0.76</v>
      </c>
      <c r="BP96">
        <v>1</v>
      </c>
      <c r="BQ96">
        <v>0</v>
      </c>
      <c r="BR96">
        <v>35.454000000000001</v>
      </c>
      <c r="BS96">
        <v>282.55849999999998</v>
      </c>
      <c r="BT96">
        <v>0</v>
      </c>
      <c r="BU96">
        <v>0</v>
      </c>
      <c r="BV96">
        <v>0.95</v>
      </c>
      <c r="BW96">
        <v>1</v>
      </c>
      <c r="CV96">
        <v>0</v>
      </c>
      <c r="CW96">
        <f>ROUND(Y96*Source!I263*DO96,7)</f>
        <v>0.29449999999999998</v>
      </c>
      <c r="CX96">
        <f>ROUND(Y96*Source!I263,7)</f>
        <v>0.29449999999999998</v>
      </c>
      <c r="CY96">
        <f>AB96</f>
        <v>55.23</v>
      </c>
      <c r="CZ96">
        <f>AF96</f>
        <v>37.32</v>
      </c>
      <c r="DA96">
        <f>AJ96</f>
        <v>1.48</v>
      </c>
      <c r="DB96">
        <f>ROUND((ROUND(AT96*CZ96,2)*ROUND(1.25,7)),2)</f>
        <v>35.450000000000003</v>
      </c>
      <c r="DC96">
        <f>ROUND((ROUND(AT96*AG96,2)*ROUND(1.25,7)),2)</f>
        <v>282.56</v>
      </c>
      <c r="DD96" t="s">
        <v>6</v>
      </c>
      <c r="DE96" t="s">
        <v>6</v>
      </c>
      <c r="DF96">
        <f t="shared" si="38"/>
        <v>0</v>
      </c>
      <c r="DG96">
        <f>ROUND(ROUND(AF96*AJ96,2)*CX96,2)</f>
        <v>16.27</v>
      </c>
      <c r="DH96">
        <f t="shared" si="31"/>
        <v>87.59</v>
      </c>
      <c r="DI96">
        <f t="shared" si="32"/>
        <v>0</v>
      </c>
      <c r="DJ96">
        <f>DG96+DH96</f>
        <v>103.86</v>
      </c>
      <c r="DK96">
        <v>0</v>
      </c>
      <c r="DL96" t="s">
        <v>390</v>
      </c>
      <c r="DM96">
        <v>3</v>
      </c>
      <c r="DN96" t="s">
        <v>383</v>
      </c>
      <c r="DO96">
        <v>1</v>
      </c>
    </row>
    <row r="97" spans="1:119" x14ac:dyDescent="0.2">
      <c r="A97">
        <f>ROW(Source!A263)</f>
        <v>263</v>
      </c>
      <c r="B97">
        <v>74852007</v>
      </c>
      <c r="C97">
        <v>74852717</v>
      </c>
      <c r="D97">
        <v>72653331</v>
      </c>
      <c r="E97">
        <v>1</v>
      </c>
      <c r="F97">
        <v>1</v>
      </c>
      <c r="G97">
        <v>1</v>
      </c>
      <c r="H97">
        <v>2</v>
      </c>
      <c r="I97" t="s">
        <v>409</v>
      </c>
      <c r="J97" t="s">
        <v>410</v>
      </c>
      <c r="K97" t="s">
        <v>411</v>
      </c>
      <c r="L97">
        <v>1368</v>
      </c>
      <c r="N97">
        <v>1011</v>
      </c>
      <c r="O97" t="s">
        <v>389</v>
      </c>
      <c r="P97" t="s">
        <v>389</v>
      </c>
      <c r="Q97">
        <v>1</v>
      </c>
      <c r="W97">
        <v>0</v>
      </c>
      <c r="X97">
        <v>-1152394969</v>
      </c>
      <c r="Y97">
        <f>(AT97*ROUND(1.25,7))</f>
        <v>5.7249999999999996</v>
      </c>
      <c r="AA97">
        <v>0</v>
      </c>
      <c r="AB97">
        <v>611</v>
      </c>
      <c r="AC97">
        <v>334.92</v>
      </c>
      <c r="AD97">
        <v>0</v>
      </c>
      <c r="AE97">
        <v>0</v>
      </c>
      <c r="AF97">
        <v>611</v>
      </c>
      <c r="AG97">
        <v>334.92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6</v>
      </c>
      <c r="AT97">
        <v>4.58</v>
      </c>
      <c r="AU97" t="s">
        <v>116</v>
      </c>
      <c r="AV97">
        <v>1</v>
      </c>
      <c r="AW97">
        <v>2</v>
      </c>
      <c r="AX97">
        <v>74852974</v>
      </c>
      <c r="AY97">
        <v>1</v>
      </c>
      <c r="AZ97">
        <v>0</v>
      </c>
      <c r="BA97">
        <v>116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2798.38</v>
      </c>
      <c r="BL97">
        <v>1533.9336000000001</v>
      </c>
      <c r="BM97">
        <v>0</v>
      </c>
      <c r="BN97">
        <v>0</v>
      </c>
      <c r="BO97">
        <v>4.58</v>
      </c>
      <c r="BP97">
        <v>1</v>
      </c>
      <c r="BQ97">
        <v>0</v>
      </c>
      <c r="BR97">
        <v>3497.9749999999999</v>
      </c>
      <c r="BS97">
        <v>1917.4169999999999</v>
      </c>
      <c r="BT97">
        <v>0</v>
      </c>
      <c r="BU97">
        <v>0</v>
      </c>
      <c r="BV97">
        <v>5.7249999999999996</v>
      </c>
      <c r="BW97">
        <v>1</v>
      </c>
      <c r="CV97">
        <v>0</v>
      </c>
      <c r="CW97">
        <f>ROUND(Y97*Source!I263*DO97,7)</f>
        <v>1.77475</v>
      </c>
      <c r="CX97">
        <f>ROUND(Y97*Source!I263,7)</f>
        <v>1.77475</v>
      </c>
      <c r="CY97">
        <f>AB97</f>
        <v>611</v>
      </c>
      <c r="CZ97">
        <f>AF97</f>
        <v>611</v>
      </c>
      <c r="DA97">
        <f>AJ97</f>
        <v>1</v>
      </c>
      <c r="DB97">
        <f>ROUND((ROUND(AT97*CZ97,2)*ROUND(1.25,7)),2)</f>
        <v>3497.98</v>
      </c>
      <c r="DC97">
        <f>ROUND((ROUND(AT97*AG97,2)*ROUND(1.25,7)),2)</f>
        <v>1917.41</v>
      </c>
      <c r="DD97" t="s">
        <v>6</v>
      </c>
      <c r="DE97" t="s">
        <v>6</v>
      </c>
      <c r="DF97">
        <f t="shared" si="38"/>
        <v>0</v>
      </c>
      <c r="DG97">
        <f>ROUND(ROUND(AF97,2)*CX97,2)</f>
        <v>1084.3699999999999</v>
      </c>
      <c r="DH97">
        <f t="shared" ref="DH97:DH107" si="39">ROUND(ROUND(AG97,2)*CX97,2)</f>
        <v>594.4</v>
      </c>
      <c r="DI97">
        <f t="shared" ref="DI97:DI107" si="40">ROUND(ROUND(AH97,2)*CX97,2)</f>
        <v>0</v>
      </c>
      <c r="DJ97">
        <f>DG97+DH97</f>
        <v>1678.77</v>
      </c>
      <c r="DK97">
        <v>1</v>
      </c>
      <c r="DL97" t="s">
        <v>412</v>
      </c>
      <c r="DM97">
        <v>4</v>
      </c>
      <c r="DN97" t="s">
        <v>383</v>
      </c>
      <c r="DO97">
        <v>1</v>
      </c>
    </row>
    <row r="98" spans="1:119" x14ac:dyDescent="0.2">
      <c r="A98">
        <f>ROW(Source!A263)</f>
        <v>263</v>
      </c>
      <c r="B98">
        <v>74852007</v>
      </c>
      <c r="C98">
        <v>74852717</v>
      </c>
      <c r="D98">
        <v>72599529</v>
      </c>
      <c r="E98">
        <v>1</v>
      </c>
      <c r="F98">
        <v>1</v>
      </c>
      <c r="G98">
        <v>1</v>
      </c>
      <c r="H98">
        <v>3</v>
      </c>
      <c r="I98" t="s">
        <v>418</v>
      </c>
      <c r="J98" t="s">
        <v>419</v>
      </c>
      <c r="K98" t="s">
        <v>420</v>
      </c>
      <c r="L98">
        <v>1383</v>
      </c>
      <c r="N98">
        <v>1013</v>
      </c>
      <c r="O98" t="s">
        <v>421</v>
      </c>
      <c r="P98" t="s">
        <v>421</v>
      </c>
      <c r="Q98">
        <v>1</v>
      </c>
      <c r="W98">
        <v>0</v>
      </c>
      <c r="X98">
        <v>-2119218604</v>
      </c>
      <c r="Y98">
        <f>AT98</f>
        <v>2.782</v>
      </c>
      <c r="AA98">
        <v>7.94</v>
      </c>
      <c r="AB98">
        <v>0</v>
      </c>
      <c r="AC98">
        <v>0</v>
      </c>
      <c r="AD98">
        <v>0</v>
      </c>
      <c r="AE98">
        <v>7.94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6</v>
      </c>
      <c r="AT98">
        <v>2.782</v>
      </c>
      <c r="AU98" t="s">
        <v>6</v>
      </c>
      <c r="AV98">
        <v>0</v>
      </c>
      <c r="AW98">
        <v>2</v>
      </c>
      <c r="AX98">
        <v>74852976</v>
      </c>
      <c r="AY98">
        <v>1</v>
      </c>
      <c r="AZ98">
        <v>0</v>
      </c>
      <c r="BA98">
        <v>118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22.089080000000003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22.089080000000003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1</v>
      </c>
      <c r="CV98">
        <v>0</v>
      </c>
      <c r="CW98">
        <v>0</v>
      </c>
      <c r="CX98">
        <f>ROUND(Y98*Source!I263,7)</f>
        <v>0.86241999999999996</v>
      </c>
      <c r="CY98">
        <f>AA98</f>
        <v>7.94</v>
      </c>
      <c r="CZ98">
        <f>AE98</f>
        <v>7.94</v>
      </c>
      <c r="DA98">
        <f>AI98</f>
        <v>1</v>
      </c>
      <c r="DB98">
        <f>ROUND(ROUND(AT98*CZ98,2),2)</f>
        <v>22.09</v>
      </c>
      <c r="DC98">
        <f>ROUND(ROUND(AT98*AG98,2),2)</f>
        <v>0</v>
      </c>
      <c r="DD98" t="s">
        <v>6</v>
      </c>
      <c r="DE98" t="s">
        <v>6</v>
      </c>
      <c r="DF98">
        <f t="shared" si="38"/>
        <v>6.85</v>
      </c>
      <c r="DG98">
        <f>ROUND(ROUND(AF98,2)*CX98,2)</f>
        <v>0</v>
      </c>
      <c r="DH98">
        <f t="shared" si="39"/>
        <v>0</v>
      </c>
      <c r="DI98">
        <f t="shared" si="40"/>
        <v>0</v>
      </c>
      <c r="DJ98">
        <f>DF98</f>
        <v>6.85</v>
      </c>
      <c r="DK98">
        <v>1</v>
      </c>
      <c r="DL98" t="s">
        <v>6</v>
      </c>
      <c r="DM98">
        <v>0</v>
      </c>
      <c r="DN98" t="s">
        <v>6</v>
      </c>
      <c r="DO98">
        <v>0</v>
      </c>
    </row>
    <row r="99" spans="1:119" x14ac:dyDescent="0.2">
      <c r="A99">
        <f>ROW(Source!A266)</f>
        <v>266</v>
      </c>
      <c r="B99">
        <v>74852007</v>
      </c>
      <c r="C99">
        <v>74852731</v>
      </c>
      <c r="D99">
        <v>72527778</v>
      </c>
      <c r="E99">
        <v>114</v>
      </c>
      <c r="F99">
        <v>1</v>
      </c>
      <c r="G99">
        <v>1</v>
      </c>
      <c r="H99">
        <v>1</v>
      </c>
      <c r="I99" t="s">
        <v>510</v>
      </c>
      <c r="J99" t="s">
        <v>6</v>
      </c>
      <c r="K99" t="s">
        <v>511</v>
      </c>
      <c r="L99">
        <v>1191</v>
      </c>
      <c r="N99">
        <v>1013</v>
      </c>
      <c r="O99" t="s">
        <v>383</v>
      </c>
      <c r="P99" t="s">
        <v>383</v>
      </c>
      <c r="Q99">
        <v>1</v>
      </c>
      <c r="W99">
        <v>0</v>
      </c>
      <c r="X99">
        <v>-1483035894</v>
      </c>
      <c r="Y99">
        <f>AT99</f>
        <v>91.15</v>
      </c>
      <c r="AA99">
        <v>0</v>
      </c>
      <c r="AB99">
        <v>0</v>
      </c>
      <c r="AC99">
        <v>0</v>
      </c>
      <c r="AD99">
        <v>282.43</v>
      </c>
      <c r="AE99">
        <v>0</v>
      </c>
      <c r="AF99">
        <v>0</v>
      </c>
      <c r="AG99">
        <v>0</v>
      </c>
      <c r="AH99">
        <v>282.43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0</v>
      </c>
      <c r="AQ99">
        <v>1</v>
      </c>
      <c r="AR99">
        <v>0</v>
      </c>
      <c r="AS99" t="s">
        <v>6</v>
      </c>
      <c r="AT99">
        <v>91.15</v>
      </c>
      <c r="AU99" t="s">
        <v>6</v>
      </c>
      <c r="AV99">
        <v>1</v>
      </c>
      <c r="AW99">
        <v>2</v>
      </c>
      <c r="AX99">
        <v>74852977</v>
      </c>
      <c r="AY99">
        <v>1</v>
      </c>
      <c r="AZ99">
        <v>0</v>
      </c>
      <c r="BA99">
        <v>119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25743.494500000001</v>
      </c>
      <c r="BN99">
        <v>91.15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25743.494500000001</v>
      </c>
      <c r="BU99">
        <v>91.15</v>
      </c>
      <c r="BV99">
        <v>0</v>
      </c>
      <c r="BW99">
        <v>1</v>
      </c>
      <c r="CU99">
        <f>ROUND(AT99*Source!I266*AH99*AL99,2)</f>
        <v>1459.66</v>
      </c>
      <c r="CV99">
        <f>ROUND(Y99*Source!I266,7)</f>
        <v>5.1682050000000004</v>
      </c>
      <c r="CW99">
        <v>0</v>
      </c>
      <c r="CX99">
        <f>ROUND(Y99*Source!I266,7)</f>
        <v>5.1682050000000004</v>
      </c>
      <c r="CY99">
        <f>AD99</f>
        <v>282.43</v>
      </c>
      <c r="CZ99">
        <f>AH99</f>
        <v>282.43</v>
      </c>
      <c r="DA99">
        <f>AL99</f>
        <v>1</v>
      </c>
      <c r="DB99">
        <f>ROUND(ROUND(AT99*CZ99,2),2)</f>
        <v>25743.49</v>
      </c>
      <c r="DC99">
        <f>ROUND(ROUND(AT99*AG99,2),2)</f>
        <v>0</v>
      </c>
      <c r="DD99" t="s">
        <v>6</v>
      </c>
      <c r="DE99" t="s">
        <v>6</v>
      </c>
      <c r="DF99">
        <f t="shared" si="38"/>
        <v>0</v>
      </c>
      <c r="DG99">
        <f>ROUND(ROUND(AF99,2)*CX99,2)</f>
        <v>0</v>
      </c>
      <c r="DH99">
        <f t="shared" si="39"/>
        <v>0</v>
      </c>
      <c r="DI99">
        <f t="shared" si="40"/>
        <v>1459.66</v>
      </c>
      <c r="DJ99">
        <f>DI99</f>
        <v>1459.66</v>
      </c>
      <c r="DK99">
        <v>1</v>
      </c>
      <c r="DL99" t="s">
        <v>6</v>
      </c>
      <c r="DM99">
        <v>0</v>
      </c>
      <c r="DN99" t="s">
        <v>6</v>
      </c>
      <c r="DO99">
        <v>0</v>
      </c>
    </row>
    <row r="100" spans="1:119" x14ac:dyDescent="0.2">
      <c r="A100">
        <f>ROW(Source!A266)</f>
        <v>266</v>
      </c>
      <c r="B100">
        <v>74852007</v>
      </c>
      <c r="C100">
        <v>74852731</v>
      </c>
      <c r="D100">
        <v>72527995</v>
      </c>
      <c r="E100">
        <v>114</v>
      </c>
      <c r="F100">
        <v>1</v>
      </c>
      <c r="G100">
        <v>1</v>
      </c>
      <c r="H100">
        <v>1</v>
      </c>
      <c r="I100" t="s">
        <v>384</v>
      </c>
      <c r="J100" t="s">
        <v>6</v>
      </c>
      <c r="K100" t="s">
        <v>385</v>
      </c>
      <c r="L100">
        <v>1191</v>
      </c>
      <c r="N100">
        <v>1013</v>
      </c>
      <c r="O100" t="s">
        <v>383</v>
      </c>
      <c r="P100" t="s">
        <v>383</v>
      </c>
      <c r="Q100">
        <v>1</v>
      </c>
      <c r="W100">
        <v>0</v>
      </c>
      <c r="X100">
        <v>-1417349443</v>
      </c>
      <c r="Y100">
        <f>AT100</f>
        <v>7.74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-2</v>
      </c>
      <c r="AN100">
        <v>0</v>
      </c>
      <c r="AO100">
        <v>0</v>
      </c>
      <c r="AP100">
        <v>0</v>
      </c>
      <c r="AQ100">
        <v>1</v>
      </c>
      <c r="AR100">
        <v>0</v>
      </c>
      <c r="AS100" t="s">
        <v>6</v>
      </c>
      <c r="AT100">
        <v>7.74</v>
      </c>
      <c r="AU100" t="s">
        <v>6</v>
      </c>
      <c r="AV100">
        <v>2</v>
      </c>
      <c r="AW100">
        <v>2</v>
      </c>
      <c r="AX100">
        <v>74852978</v>
      </c>
      <c r="AY100">
        <v>1</v>
      </c>
      <c r="AZ100">
        <v>0</v>
      </c>
      <c r="BA100">
        <v>120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V100">
        <v>0</v>
      </c>
      <c r="CW100">
        <v>0</v>
      </c>
      <c r="CX100">
        <f>ROUND(Y100*Source!I266,7)</f>
        <v>0.43885800000000003</v>
      </c>
      <c r="CY100">
        <f>AD100</f>
        <v>0</v>
      </c>
      <c r="CZ100">
        <f>AH100</f>
        <v>0</v>
      </c>
      <c r="DA100">
        <f>AL100</f>
        <v>1</v>
      </c>
      <c r="DB100">
        <f>ROUND(ROUND(AT100*CZ100,2),2)</f>
        <v>0</v>
      </c>
      <c r="DC100">
        <f>ROUND(ROUND(AT100*AG100,2),2)</f>
        <v>0</v>
      </c>
      <c r="DD100" t="s">
        <v>6</v>
      </c>
      <c r="DE100" t="s">
        <v>6</v>
      </c>
      <c r="DF100">
        <f t="shared" si="38"/>
        <v>0</v>
      </c>
      <c r="DG100">
        <f>ROUND(ROUND(AF100,2)*CX100,2)</f>
        <v>0</v>
      </c>
      <c r="DH100">
        <f t="shared" si="39"/>
        <v>0</v>
      </c>
      <c r="DI100">
        <f t="shared" si="40"/>
        <v>0</v>
      </c>
      <c r="DJ100">
        <f>DI100</f>
        <v>0</v>
      </c>
      <c r="DK100">
        <v>0</v>
      </c>
      <c r="DL100" t="s">
        <v>6</v>
      </c>
      <c r="DM100">
        <v>0</v>
      </c>
      <c r="DN100" t="s">
        <v>6</v>
      </c>
      <c r="DO100">
        <v>0</v>
      </c>
    </row>
    <row r="101" spans="1:119" x14ac:dyDescent="0.2">
      <c r="A101">
        <f>ROW(Source!A266)</f>
        <v>266</v>
      </c>
      <c r="B101">
        <v>74852007</v>
      </c>
      <c r="C101">
        <v>74852731</v>
      </c>
      <c r="D101">
        <v>72652626</v>
      </c>
      <c r="E101">
        <v>1</v>
      </c>
      <c r="F101">
        <v>1</v>
      </c>
      <c r="G101">
        <v>1</v>
      </c>
      <c r="H101">
        <v>2</v>
      </c>
      <c r="I101" t="s">
        <v>386</v>
      </c>
      <c r="J101" t="s">
        <v>387</v>
      </c>
      <c r="K101" t="s">
        <v>388</v>
      </c>
      <c r="L101">
        <v>1368</v>
      </c>
      <c r="N101">
        <v>1011</v>
      </c>
      <c r="O101" t="s">
        <v>389</v>
      </c>
      <c r="P101" t="s">
        <v>389</v>
      </c>
      <c r="Q101">
        <v>1</v>
      </c>
      <c r="W101">
        <v>0</v>
      </c>
      <c r="X101">
        <v>-92307625</v>
      </c>
      <c r="Y101">
        <f>AT101</f>
        <v>7.74</v>
      </c>
      <c r="AA101">
        <v>0</v>
      </c>
      <c r="AB101">
        <v>55.23</v>
      </c>
      <c r="AC101">
        <v>297.43</v>
      </c>
      <c r="AD101">
        <v>0</v>
      </c>
      <c r="AE101">
        <v>0</v>
      </c>
      <c r="AF101">
        <v>37.32</v>
      </c>
      <c r="AG101">
        <v>297.43</v>
      </c>
      <c r="AH101">
        <v>0</v>
      </c>
      <c r="AI101">
        <v>1</v>
      </c>
      <c r="AJ101">
        <v>1.48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0</v>
      </c>
      <c r="AQ101">
        <v>1</v>
      </c>
      <c r="AR101">
        <v>0</v>
      </c>
      <c r="AS101" t="s">
        <v>6</v>
      </c>
      <c r="AT101">
        <v>7.74</v>
      </c>
      <c r="AU101" t="s">
        <v>6</v>
      </c>
      <c r="AV101">
        <v>1</v>
      </c>
      <c r="AW101">
        <v>2</v>
      </c>
      <c r="AX101">
        <v>74852979</v>
      </c>
      <c r="AY101">
        <v>1</v>
      </c>
      <c r="AZ101">
        <v>0</v>
      </c>
      <c r="BA101">
        <v>121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288.85680000000002</v>
      </c>
      <c r="BL101">
        <v>2302.1082000000001</v>
      </c>
      <c r="BM101">
        <v>0</v>
      </c>
      <c r="BN101">
        <v>0</v>
      </c>
      <c r="BO101">
        <v>7.74</v>
      </c>
      <c r="BP101">
        <v>1</v>
      </c>
      <c r="BQ101">
        <v>0</v>
      </c>
      <c r="BR101">
        <v>288.85680000000002</v>
      </c>
      <c r="BS101">
        <v>2302.1082000000001</v>
      </c>
      <c r="BT101">
        <v>0</v>
      </c>
      <c r="BU101">
        <v>0</v>
      </c>
      <c r="BV101">
        <v>7.74</v>
      </c>
      <c r="BW101">
        <v>1</v>
      </c>
      <c r="CV101">
        <v>0</v>
      </c>
      <c r="CW101">
        <f>ROUND(Y101*Source!I266*DO101,7)</f>
        <v>0.43885800000000003</v>
      </c>
      <c r="CX101">
        <f>ROUND(Y101*Source!I266,7)</f>
        <v>0.43885800000000003</v>
      </c>
      <c r="CY101">
        <f>AB101</f>
        <v>55.23</v>
      </c>
      <c r="CZ101">
        <f>AF101</f>
        <v>37.32</v>
      </c>
      <c r="DA101">
        <f>AJ101</f>
        <v>1.48</v>
      </c>
      <c r="DB101">
        <f>ROUND(ROUND(AT101*CZ101,2),2)</f>
        <v>288.86</v>
      </c>
      <c r="DC101">
        <f>ROUND(ROUND(AT101*AG101,2),2)</f>
        <v>2302.11</v>
      </c>
      <c r="DD101" t="s">
        <v>6</v>
      </c>
      <c r="DE101" t="s">
        <v>6</v>
      </c>
      <c r="DF101">
        <f t="shared" si="38"/>
        <v>0</v>
      </c>
      <c r="DG101">
        <f>ROUND(ROUND(AF101*AJ101,2)*CX101,2)</f>
        <v>24.24</v>
      </c>
      <c r="DH101">
        <f t="shared" si="39"/>
        <v>130.53</v>
      </c>
      <c r="DI101">
        <f t="shared" si="40"/>
        <v>0</v>
      </c>
      <c r="DJ101">
        <f>DG101+DH101</f>
        <v>154.77000000000001</v>
      </c>
      <c r="DK101">
        <v>0</v>
      </c>
      <c r="DL101" t="s">
        <v>390</v>
      </c>
      <c r="DM101">
        <v>3</v>
      </c>
      <c r="DN101" t="s">
        <v>383</v>
      </c>
      <c r="DO101">
        <v>1</v>
      </c>
    </row>
    <row r="102" spans="1:119" x14ac:dyDescent="0.2">
      <c r="A102">
        <f>ROW(Source!A267)</f>
        <v>267</v>
      </c>
      <c r="B102">
        <v>74852007</v>
      </c>
      <c r="C102">
        <v>74852738</v>
      </c>
      <c r="D102">
        <v>72527808</v>
      </c>
      <c r="E102">
        <v>114</v>
      </c>
      <c r="F102">
        <v>1</v>
      </c>
      <c r="G102">
        <v>1</v>
      </c>
      <c r="H102">
        <v>1</v>
      </c>
      <c r="I102" t="s">
        <v>457</v>
      </c>
      <c r="J102" t="s">
        <v>6</v>
      </c>
      <c r="K102" t="s">
        <v>458</v>
      </c>
      <c r="L102">
        <v>1191</v>
      </c>
      <c r="N102">
        <v>1013</v>
      </c>
      <c r="O102" t="s">
        <v>383</v>
      </c>
      <c r="P102" t="s">
        <v>383</v>
      </c>
      <c r="Q102">
        <v>1</v>
      </c>
      <c r="W102">
        <v>0</v>
      </c>
      <c r="X102">
        <v>-1461236815</v>
      </c>
      <c r="Y102">
        <f>(AT102*ROUND(1.15,7))</f>
        <v>132.25</v>
      </c>
      <c r="AA102">
        <v>0</v>
      </c>
      <c r="AB102">
        <v>0</v>
      </c>
      <c r="AC102">
        <v>0</v>
      </c>
      <c r="AD102">
        <v>312.43</v>
      </c>
      <c r="AE102">
        <v>0</v>
      </c>
      <c r="AF102">
        <v>0</v>
      </c>
      <c r="AG102">
        <v>0</v>
      </c>
      <c r="AH102">
        <v>312.43</v>
      </c>
      <c r="AI102">
        <v>1</v>
      </c>
      <c r="AJ102">
        <v>1</v>
      </c>
      <c r="AK102">
        <v>1</v>
      </c>
      <c r="AL102">
        <v>1</v>
      </c>
      <c r="AM102">
        <v>-2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6</v>
      </c>
      <c r="AT102">
        <v>115</v>
      </c>
      <c r="AU102" t="s">
        <v>117</v>
      </c>
      <c r="AV102">
        <v>1</v>
      </c>
      <c r="AW102">
        <v>2</v>
      </c>
      <c r="AX102">
        <v>74853018</v>
      </c>
      <c r="AY102">
        <v>1</v>
      </c>
      <c r="AZ102">
        <v>0</v>
      </c>
      <c r="BA102">
        <v>122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35929.450000000004</v>
      </c>
      <c r="BN102">
        <v>115</v>
      </c>
      <c r="BO102">
        <v>0</v>
      </c>
      <c r="BP102">
        <v>1</v>
      </c>
      <c r="BQ102">
        <v>0</v>
      </c>
      <c r="BR102">
        <v>0</v>
      </c>
      <c r="BS102">
        <v>0</v>
      </c>
      <c r="BT102">
        <v>41318.8675</v>
      </c>
      <c r="BU102">
        <v>132.25</v>
      </c>
      <c r="BV102">
        <v>0</v>
      </c>
      <c r="BW102">
        <v>1</v>
      </c>
      <c r="CU102">
        <f>ROUND(AT102*Source!I267*AH102*AL102,2)</f>
        <v>2037.2</v>
      </c>
      <c r="CV102">
        <f>ROUND(Y102*Source!I267,7)</f>
        <v>7.4985749999999998</v>
      </c>
      <c r="CW102">
        <v>0</v>
      </c>
      <c r="CX102">
        <f>ROUND(Y102*Source!I267,7)</f>
        <v>7.4985749999999998</v>
      </c>
      <c r="CY102">
        <f>AD102</f>
        <v>312.43</v>
      </c>
      <c r="CZ102">
        <f>AH102</f>
        <v>312.43</v>
      </c>
      <c r="DA102">
        <f>AL102</f>
        <v>1</v>
      </c>
      <c r="DB102">
        <f>ROUND((ROUND(AT102*CZ102,2)*ROUND(1.15,7)),2)</f>
        <v>41318.870000000003</v>
      </c>
      <c r="DC102">
        <f>ROUND((ROUND(AT102*AG102,2)*ROUND(1.15,7)),2)</f>
        <v>0</v>
      </c>
      <c r="DD102" t="s">
        <v>6</v>
      </c>
      <c r="DE102" t="s">
        <v>6</v>
      </c>
      <c r="DF102">
        <f t="shared" si="38"/>
        <v>0</v>
      </c>
      <c r="DG102">
        <f>ROUND(ROUND(AF102,2)*CX102,2)</f>
        <v>0</v>
      </c>
      <c r="DH102">
        <f t="shared" si="39"/>
        <v>0</v>
      </c>
      <c r="DI102">
        <f t="shared" si="40"/>
        <v>2342.7800000000002</v>
      </c>
      <c r="DJ102">
        <f>DI102</f>
        <v>2342.7800000000002</v>
      </c>
      <c r="DK102">
        <v>1</v>
      </c>
      <c r="DL102" t="s">
        <v>6</v>
      </c>
      <c r="DM102">
        <v>0</v>
      </c>
      <c r="DN102" t="s">
        <v>6</v>
      </c>
      <c r="DO102">
        <v>0</v>
      </c>
    </row>
    <row r="103" spans="1:119" x14ac:dyDescent="0.2">
      <c r="A103">
        <f>ROW(Source!A267)</f>
        <v>267</v>
      </c>
      <c r="B103">
        <v>74852007</v>
      </c>
      <c r="C103">
        <v>74852738</v>
      </c>
      <c r="D103">
        <v>72527995</v>
      </c>
      <c r="E103">
        <v>114</v>
      </c>
      <c r="F103">
        <v>1</v>
      </c>
      <c r="G103">
        <v>1</v>
      </c>
      <c r="H103">
        <v>1</v>
      </c>
      <c r="I103" t="s">
        <v>384</v>
      </c>
      <c r="J103" t="s">
        <v>6</v>
      </c>
      <c r="K103" t="s">
        <v>385</v>
      </c>
      <c r="L103">
        <v>1191</v>
      </c>
      <c r="N103">
        <v>1013</v>
      </c>
      <c r="O103" t="s">
        <v>383</v>
      </c>
      <c r="P103" t="s">
        <v>383</v>
      </c>
      <c r="Q103">
        <v>1</v>
      </c>
      <c r="W103">
        <v>0</v>
      </c>
      <c r="X103">
        <v>-1417349443</v>
      </c>
      <c r="Y103">
        <f>(AT103*ROUND(1.25,7))</f>
        <v>5.0875000000000004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M103">
        <v>-2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6</v>
      </c>
      <c r="AT103">
        <v>4.07</v>
      </c>
      <c r="AU103" t="s">
        <v>116</v>
      </c>
      <c r="AV103">
        <v>2</v>
      </c>
      <c r="AW103">
        <v>2</v>
      </c>
      <c r="AX103">
        <v>74853019</v>
      </c>
      <c r="AY103">
        <v>1</v>
      </c>
      <c r="AZ103">
        <v>0</v>
      </c>
      <c r="BA103">
        <v>123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V103">
        <v>0</v>
      </c>
      <c r="CW103">
        <v>0</v>
      </c>
      <c r="CX103">
        <f>ROUND(Y103*Source!I267,7)</f>
        <v>0.28846129999999998</v>
      </c>
      <c r="CY103">
        <f>AD103</f>
        <v>0</v>
      </c>
      <c r="CZ103">
        <f>AH103</f>
        <v>0</v>
      </c>
      <c r="DA103">
        <f>AL103</f>
        <v>1</v>
      </c>
      <c r="DB103">
        <f>ROUND((ROUND(AT103*CZ103,2)*ROUND(1.25,7)),2)</f>
        <v>0</v>
      </c>
      <c r="DC103">
        <f>ROUND((ROUND(AT103*AG103,2)*ROUND(1.25,7)),2)</f>
        <v>0</v>
      </c>
      <c r="DD103" t="s">
        <v>6</v>
      </c>
      <c r="DE103" t="s">
        <v>6</v>
      </c>
      <c r="DF103">
        <f t="shared" si="38"/>
        <v>0</v>
      </c>
      <c r="DG103">
        <f>ROUND(ROUND(AF103,2)*CX103,2)</f>
        <v>0</v>
      </c>
      <c r="DH103">
        <f t="shared" si="39"/>
        <v>0</v>
      </c>
      <c r="DI103">
        <f t="shared" si="40"/>
        <v>0</v>
      </c>
      <c r="DJ103">
        <f>DI103</f>
        <v>0</v>
      </c>
      <c r="DK103">
        <v>0</v>
      </c>
      <c r="DL103" t="s">
        <v>6</v>
      </c>
      <c r="DM103">
        <v>0</v>
      </c>
      <c r="DN103" t="s">
        <v>6</v>
      </c>
      <c r="DO103">
        <v>0</v>
      </c>
    </row>
    <row r="104" spans="1:119" x14ac:dyDescent="0.2">
      <c r="A104">
        <f>ROW(Source!A267)</f>
        <v>267</v>
      </c>
      <c r="B104">
        <v>74852007</v>
      </c>
      <c r="C104">
        <v>74852738</v>
      </c>
      <c r="D104">
        <v>72652626</v>
      </c>
      <c r="E104">
        <v>1</v>
      </c>
      <c r="F104">
        <v>1</v>
      </c>
      <c r="G104">
        <v>1</v>
      </c>
      <c r="H104">
        <v>2</v>
      </c>
      <c r="I104" t="s">
        <v>386</v>
      </c>
      <c r="J104" t="s">
        <v>387</v>
      </c>
      <c r="K104" t="s">
        <v>388</v>
      </c>
      <c r="L104">
        <v>1368</v>
      </c>
      <c r="N104">
        <v>1011</v>
      </c>
      <c r="O104" t="s">
        <v>389</v>
      </c>
      <c r="P104" t="s">
        <v>389</v>
      </c>
      <c r="Q104">
        <v>1</v>
      </c>
      <c r="W104">
        <v>0</v>
      </c>
      <c r="X104">
        <v>-92307625</v>
      </c>
      <c r="Y104">
        <f>(AT104*ROUND(1.25,7))</f>
        <v>0.61250000000000004</v>
      </c>
      <c r="AA104">
        <v>0</v>
      </c>
      <c r="AB104">
        <v>55.23</v>
      </c>
      <c r="AC104">
        <v>297.43</v>
      </c>
      <c r="AD104">
        <v>0</v>
      </c>
      <c r="AE104">
        <v>0</v>
      </c>
      <c r="AF104">
        <v>37.32</v>
      </c>
      <c r="AG104">
        <v>297.43</v>
      </c>
      <c r="AH104">
        <v>0</v>
      </c>
      <c r="AI104">
        <v>1</v>
      </c>
      <c r="AJ104">
        <v>1.48</v>
      </c>
      <c r="AK104">
        <v>1</v>
      </c>
      <c r="AL104">
        <v>1</v>
      </c>
      <c r="AM104">
        <v>2</v>
      </c>
      <c r="AN104">
        <v>0</v>
      </c>
      <c r="AO104">
        <v>0</v>
      </c>
      <c r="AP104">
        <v>1</v>
      </c>
      <c r="AQ104">
        <v>1</v>
      </c>
      <c r="AR104">
        <v>0</v>
      </c>
      <c r="AS104" t="s">
        <v>6</v>
      </c>
      <c r="AT104">
        <v>0.49</v>
      </c>
      <c r="AU104" t="s">
        <v>116</v>
      </c>
      <c r="AV104">
        <v>1</v>
      </c>
      <c r="AW104">
        <v>2</v>
      </c>
      <c r="AX104">
        <v>74853020</v>
      </c>
      <c r="AY104">
        <v>1</v>
      </c>
      <c r="AZ104">
        <v>0</v>
      </c>
      <c r="BA104">
        <v>124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18.286799999999999</v>
      </c>
      <c r="BL104">
        <v>145.7407</v>
      </c>
      <c r="BM104">
        <v>0</v>
      </c>
      <c r="BN104">
        <v>0</v>
      </c>
      <c r="BO104">
        <v>0.49</v>
      </c>
      <c r="BP104">
        <v>1</v>
      </c>
      <c r="BQ104">
        <v>0</v>
      </c>
      <c r="BR104">
        <v>22.858500000000003</v>
      </c>
      <c r="BS104">
        <v>182.17587500000002</v>
      </c>
      <c r="BT104">
        <v>0</v>
      </c>
      <c r="BU104">
        <v>0</v>
      </c>
      <c r="BV104">
        <v>0.61250000000000004</v>
      </c>
      <c r="BW104">
        <v>1</v>
      </c>
      <c r="CV104">
        <v>0</v>
      </c>
      <c r="CW104">
        <f>ROUND(Y104*Source!I267*DO104,7)</f>
        <v>3.4728799999999997E-2</v>
      </c>
      <c r="CX104">
        <f>ROUND(Y104*Source!I267,7)</f>
        <v>3.4728799999999997E-2</v>
      </c>
      <c r="CY104">
        <f>AB104</f>
        <v>55.23</v>
      </c>
      <c r="CZ104">
        <f>AF104</f>
        <v>37.32</v>
      </c>
      <c r="DA104">
        <f>AJ104</f>
        <v>1.48</v>
      </c>
      <c r="DB104">
        <f>ROUND((ROUND(AT104*CZ104,2)*ROUND(1.25,7)),2)</f>
        <v>22.86</v>
      </c>
      <c r="DC104">
        <f>ROUND((ROUND(AT104*AG104,2)*ROUND(1.25,7)),2)</f>
        <v>182.18</v>
      </c>
      <c r="DD104" t="s">
        <v>6</v>
      </c>
      <c r="DE104" t="s">
        <v>6</v>
      </c>
      <c r="DF104">
        <f t="shared" si="38"/>
        <v>0</v>
      </c>
      <c r="DG104">
        <f>ROUND(ROUND(AF104*AJ104,2)*CX104,2)</f>
        <v>1.92</v>
      </c>
      <c r="DH104">
        <f t="shared" si="39"/>
        <v>10.33</v>
      </c>
      <c r="DI104">
        <f t="shared" si="40"/>
        <v>0</v>
      </c>
      <c r="DJ104">
        <f>DG104+DH104</f>
        <v>12.25</v>
      </c>
      <c r="DK104">
        <v>0</v>
      </c>
      <c r="DL104" t="s">
        <v>390</v>
      </c>
      <c r="DM104">
        <v>3</v>
      </c>
      <c r="DN104" t="s">
        <v>383</v>
      </c>
      <c r="DO104">
        <v>1</v>
      </c>
    </row>
    <row r="105" spans="1:119" x14ac:dyDescent="0.2">
      <c r="A105">
        <f>ROW(Source!A267)</f>
        <v>267</v>
      </c>
      <c r="B105">
        <v>74852007</v>
      </c>
      <c r="C105">
        <v>74852738</v>
      </c>
      <c r="D105">
        <v>72653331</v>
      </c>
      <c r="E105">
        <v>1</v>
      </c>
      <c r="F105">
        <v>1</v>
      </c>
      <c r="G105">
        <v>1</v>
      </c>
      <c r="H105">
        <v>2</v>
      </c>
      <c r="I105" t="s">
        <v>409</v>
      </c>
      <c r="J105" t="s">
        <v>410</v>
      </c>
      <c r="K105" t="s">
        <v>411</v>
      </c>
      <c r="L105">
        <v>1368</v>
      </c>
      <c r="N105">
        <v>1011</v>
      </c>
      <c r="O105" t="s">
        <v>389</v>
      </c>
      <c r="P105" t="s">
        <v>389</v>
      </c>
      <c r="Q105">
        <v>1</v>
      </c>
      <c r="W105">
        <v>0</v>
      </c>
      <c r="X105">
        <v>-1152394969</v>
      </c>
      <c r="Y105">
        <f>(AT105*ROUND(1.25,7))</f>
        <v>4.4749999999999996</v>
      </c>
      <c r="AA105">
        <v>0</v>
      </c>
      <c r="AB105">
        <v>611</v>
      </c>
      <c r="AC105">
        <v>334.92</v>
      </c>
      <c r="AD105">
        <v>0</v>
      </c>
      <c r="AE105">
        <v>0</v>
      </c>
      <c r="AF105">
        <v>611</v>
      </c>
      <c r="AG105">
        <v>334.92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0</v>
      </c>
      <c r="AP105">
        <v>1</v>
      </c>
      <c r="AQ105">
        <v>1</v>
      </c>
      <c r="AR105">
        <v>0</v>
      </c>
      <c r="AS105" t="s">
        <v>6</v>
      </c>
      <c r="AT105">
        <v>3.58</v>
      </c>
      <c r="AU105" t="s">
        <v>116</v>
      </c>
      <c r="AV105">
        <v>1</v>
      </c>
      <c r="AW105">
        <v>2</v>
      </c>
      <c r="AX105">
        <v>74853021</v>
      </c>
      <c r="AY105">
        <v>1</v>
      </c>
      <c r="AZ105">
        <v>0</v>
      </c>
      <c r="BA105">
        <v>125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2187.38</v>
      </c>
      <c r="BL105">
        <v>1199.0136</v>
      </c>
      <c r="BM105">
        <v>0</v>
      </c>
      <c r="BN105">
        <v>0</v>
      </c>
      <c r="BO105">
        <v>3.58</v>
      </c>
      <c r="BP105">
        <v>1</v>
      </c>
      <c r="BQ105">
        <v>0</v>
      </c>
      <c r="BR105">
        <v>2734.2249999999999</v>
      </c>
      <c r="BS105">
        <v>1498.7670000000001</v>
      </c>
      <c r="BT105">
        <v>0</v>
      </c>
      <c r="BU105">
        <v>0</v>
      </c>
      <c r="BV105">
        <v>4.4749999999999996</v>
      </c>
      <c r="BW105">
        <v>1</v>
      </c>
      <c r="CV105">
        <v>0</v>
      </c>
      <c r="CW105">
        <f>ROUND(Y105*Source!I267*DO105,7)</f>
        <v>0.25373250000000003</v>
      </c>
      <c r="CX105">
        <f>ROUND(Y105*Source!I267,7)</f>
        <v>0.25373250000000003</v>
      </c>
      <c r="CY105">
        <f>AB105</f>
        <v>611</v>
      </c>
      <c r="CZ105">
        <f>AF105</f>
        <v>611</v>
      </c>
      <c r="DA105">
        <f>AJ105</f>
        <v>1</v>
      </c>
      <c r="DB105">
        <f>ROUND((ROUND(AT105*CZ105,2)*ROUND(1.25,7)),2)</f>
        <v>2734.23</v>
      </c>
      <c r="DC105">
        <f>ROUND((ROUND(AT105*AG105,2)*ROUND(1.25,7)),2)</f>
        <v>1498.76</v>
      </c>
      <c r="DD105" t="s">
        <v>6</v>
      </c>
      <c r="DE105" t="s">
        <v>6</v>
      </c>
      <c r="DF105">
        <f t="shared" si="38"/>
        <v>0</v>
      </c>
      <c r="DG105">
        <f>ROUND(ROUND(AF105,2)*CX105,2)</f>
        <v>155.03</v>
      </c>
      <c r="DH105">
        <f t="shared" si="39"/>
        <v>84.98</v>
      </c>
      <c r="DI105">
        <f t="shared" si="40"/>
        <v>0</v>
      </c>
      <c r="DJ105">
        <f>DG105+DH105</f>
        <v>240.01</v>
      </c>
      <c r="DK105">
        <v>1</v>
      </c>
      <c r="DL105" t="s">
        <v>412</v>
      </c>
      <c r="DM105">
        <v>4</v>
      </c>
      <c r="DN105" t="s">
        <v>383</v>
      </c>
      <c r="DO105">
        <v>1</v>
      </c>
    </row>
    <row r="106" spans="1:119" x14ac:dyDescent="0.2">
      <c r="A106">
        <f>ROW(Source!A267)</f>
        <v>267</v>
      </c>
      <c r="B106">
        <v>74852007</v>
      </c>
      <c r="C106">
        <v>74852738</v>
      </c>
      <c r="D106">
        <v>72601060</v>
      </c>
      <c r="E106">
        <v>1</v>
      </c>
      <c r="F106">
        <v>1</v>
      </c>
      <c r="G106">
        <v>1</v>
      </c>
      <c r="H106">
        <v>3</v>
      </c>
      <c r="I106" t="s">
        <v>515</v>
      </c>
      <c r="J106" t="s">
        <v>516</v>
      </c>
      <c r="K106" t="s">
        <v>517</v>
      </c>
      <c r="L106">
        <v>1348</v>
      </c>
      <c r="N106">
        <v>1009</v>
      </c>
      <c r="O106" t="s">
        <v>149</v>
      </c>
      <c r="P106" t="s">
        <v>149</v>
      </c>
      <c r="Q106">
        <v>1000</v>
      </c>
      <c r="W106">
        <v>0</v>
      </c>
      <c r="X106">
        <v>748819973</v>
      </c>
      <c r="Y106">
        <f>AT106</f>
        <v>1.01E-2</v>
      </c>
      <c r="AA106">
        <v>89979.14</v>
      </c>
      <c r="AB106">
        <v>0</v>
      </c>
      <c r="AC106">
        <v>0</v>
      </c>
      <c r="AD106">
        <v>0</v>
      </c>
      <c r="AE106">
        <v>70296.2</v>
      </c>
      <c r="AF106">
        <v>0</v>
      </c>
      <c r="AG106">
        <v>0</v>
      </c>
      <c r="AH106">
        <v>0</v>
      </c>
      <c r="AI106">
        <v>1.28</v>
      </c>
      <c r="AJ106">
        <v>1</v>
      </c>
      <c r="AK106">
        <v>1</v>
      </c>
      <c r="AL106">
        <v>1</v>
      </c>
      <c r="AM106">
        <v>2</v>
      </c>
      <c r="AN106">
        <v>0</v>
      </c>
      <c r="AO106">
        <v>0</v>
      </c>
      <c r="AP106">
        <v>1</v>
      </c>
      <c r="AQ106">
        <v>1</v>
      </c>
      <c r="AR106">
        <v>0</v>
      </c>
      <c r="AS106" t="s">
        <v>6</v>
      </c>
      <c r="AT106">
        <v>1.01E-2</v>
      </c>
      <c r="AU106" t="s">
        <v>6</v>
      </c>
      <c r="AV106">
        <v>0</v>
      </c>
      <c r="AW106">
        <v>2</v>
      </c>
      <c r="AX106">
        <v>74853024</v>
      </c>
      <c r="AY106">
        <v>1</v>
      </c>
      <c r="AZ106">
        <v>0</v>
      </c>
      <c r="BA106">
        <v>128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709.9916199999999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</v>
      </c>
      <c r="BQ106">
        <v>709.9916199999999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</v>
      </c>
      <c r="CV106">
        <v>0</v>
      </c>
      <c r="CW106">
        <v>0</v>
      </c>
      <c r="CX106">
        <f>ROUND(Y106*Source!I267,7)</f>
        <v>5.7269999999999999E-4</v>
      </c>
      <c r="CY106">
        <f>AA106</f>
        <v>89979.14</v>
      </c>
      <c r="CZ106">
        <f>AE106</f>
        <v>70296.2</v>
      </c>
      <c r="DA106">
        <f>AI106</f>
        <v>1.28</v>
      </c>
      <c r="DB106">
        <f>ROUND(ROUND(AT106*CZ106,2),2)</f>
        <v>709.99</v>
      </c>
      <c r="DC106">
        <f>ROUND(ROUND(AT106*AG106,2),2)</f>
        <v>0</v>
      </c>
      <c r="DD106" t="s">
        <v>6</v>
      </c>
      <c r="DE106" t="s">
        <v>6</v>
      </c>
      <c r="DF106">
        <f>ROUND(ROUND(AE106*AI106,2)*CX106,2)</f>
        <v>51.53</v>
      </c>
      <c r="DG106">
        <f>ROUND(ROUND(AF106,2)*CX106,2)</f>
        <v>0</v>
      </c>
      <c r="DH106">
        <f t="shared" si="39"/>
        <v>0</v>
      </c>
      <c r="DI106">
        <f t="shared" si="40"/>
        <v>0</v>
      </c>
      <c r="DJ106">
        <f>DF106</f>
        <v>51.53</v>
      </c>
      <c r="DK106">
        <v>0</v>
      </c>
      <c r="DL106" t="s">
        <v>6</v>
      </c>
      <c r="DM106">
        <v>0</v>
      </c>
      <c r="DN106" t="s">
        <v>6</v>
      </c>
      <c r="DO106">
        <v>0</v>
      </c>
    </row>
    <row r="107" spans="1:119" x14ac:dyDescent="0.2">
      <c r="A107">
        <f>ROW(Source!A267)</f>
        <v>267</v>
      </c>
      <c r="B107">
        <v>74852007</v>
      </c>
      <c r="C107">
        <v>74852738</v>
      </c>
      <c r="D107">
        <v>72610898</v>
      </c>
      <c r="E107">
        <v>1</v>
      </c>
      <c r="F107">
        <v>1</v>
      </c>
      <c r="G107">
        <v>1</v>
      </c>
      <c r="H107">
        <v>3</v>
      </c>
      <c r="I107" t="s">
        <v>518</v>
      </c>
      <c r="J107" t="s">
        <v>519</v>
      </c>
      <c r="K107" t="s">
        <v>520</v>
      </c>
      <c r="L107">
        <v>1339</v>
      </c>
      <c r="N107">
        <v>1007</v>
      </c>
      <c r="O107" t="s">
        <v>134</v>
      </c>
      <c r="P107" t="s">
        <v>134</v>
      </c>
      <c r="Q107">
        <v>1</v>
      </c>
      <c r="W107">
        <v>0</v>
      </c>
      <c r="X107">
        <v>-845314982</v>
      </c>
      <c r="Y107">
        <f>AT107</f>
        <v>0.08</v>
      </c>
      <c r="AA107">
        <v>11240.62</v>
      </c>
      <c r="AB107">
        <v>0</v>
      </c>
      <c r="AC107">
        <v>0</v>
      </c>
      <c r="AD107">
        <v>0</v>
      </c>
      <c r="AE107">
        <v>5764.42</v>
      </c>
      <c r="AF107">
        <v>0</v>
      </c>
      <c r="AG107">
        <v>0</v>
      </c>
      <c r="AH107">
        <v>0</v>
      </c>
      <c r="AI107">
        <v>1.95</v>
      </c>
      <c r="AJ107">
        <v>1</v>
      </c>
      <c r="AK107">
        <v>1</v>
      </c>
      <c r="AL107">
        <v>1</v>
      </c>
      <c r="AM107">
        <v>2</v>
      </c>
      <c r="AN107">
        <v>0</v>
      </c>
      <c r="AO107">
        <v>0</v>
      </c>
      <c r="AP107">
        <v>1</v>
      </c>
      <c r="AQ107">
        <v>1</v>
      </c>
      <c r="AR107">
        <v>0</v>
      </c>
      <c r="AS107" t="s">
        <v>6</v>
      </c>
      <c r="AT107">
        <v>0.08</v>
      </c>
      <c r="AU107" t="s">
        <v>6</v>
      </c>
      <c r="AV107">
        <v>0</v>
      </c>
      <c r="AW107">
        <v>2</v>
      </c>
      <c r="AX107">
        <v>74853026</v>
      </c>
      <c r="AY107">
        <v>1</v>
      </c>
      <c r="AZ107">
        <v>0</v>
      </c>
      <c r="BA107">
        <v>130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461.15360000000004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461.15360000000004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1</v>
      </c>
      <c r="CV107">
        <v>0</v>
      </c>
      <c r="CW107">
        <v>0</v>
      </c>
      <c r="CX107">
        <f>ROUND(Y107*Source!I267,7)</f>
        <v>4.5360000000000001E-3</v>
      </c>
      <c r="CY107">
        <f>AA107</f>
        <v>11240.62</v>
      </c>
      <c r="CZ107">
        <f>AE107</f>
        <v>5764.42</v>
      </c>
      <c r="DA107">
        <f>AI107</f>
        <v>1.95</v>
      </c>
      <c r="DB107">
        <f>ROUND(ROUND(AT107*CZ107,2),2)</f>
        <v>461.15</v>
      </c>
      <c r="DC107">
        <f>ROUND(ROUND(AT107*AG107,2),2)</f>
        <v>0</v>
      </c>
      <c r="DD107" t="s">
        <v>6</v>
      </c>
      <c r="DE107" t="s">
        <v>6</v>
      </c>
      <c r="DF107">
        <f>ROUND(ROUND(AE107*AI107,2)*CX107,2)</f>
        <v>50.99</v>
      </c>
      <c r="DG107">
        <f>ROUND(ROUND(AF107,2)*CX107,2)</f>
        <v>0</v>
      </c>
      <c r="DH107">
        <f t="shared" si="39"/>
        <v>0</v>
      </c>
      <c r="DI107">
        <f t="shared" si="40"/>
        <v>0</v>
      </c>
      <c r="DJ107">
        <f>DF107</f>
        <v>50.99</v>
      </c>
      <c r="DK107">
        <v>0</v>
      </c>
      <c r="DL107" t="s">
        <v>6</v>
      </c>
      <c r="DM107">
        <v>0</v>
      </c>
      <c r="DN107" t="s">
        <v>6</v>
      </c>
      <c r="DO107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ROW(Source!A233)</f>
        <v>233</v>
      </c>
      <c r="B1">
        <v>74852827</v>
      </c>
      <c r="C1">
        <v>74852466</v>
      </c>
      <c r="D1">
        <v>72527760</v>
      </c>
      <c r="E1">
        <v>114</v>
      </c>
      <c r="F1">
        <v>1</v>
      </c>
      <c r="G1">
        <v>1</v>
      </c>
      <c r="H1">
        <v>1</v>
      </c>
      <c r="I1" t="s">
        <v>381</v>
      </c>
      <c r="J1" t="s">
        <v>6</v>
      </c>
      <c r="K1" t="s">
        <v>382</v>
      </c>
      <c r="L1">
        <v>1191</v>
      </c>
      <c r="N1">
        <v>1013</v>
      </c>
      <c r="O1" t="s">
        <v>383</v>
      </c>
      <c r="P1" t="s">
        <v>383</v>
      </c>
      <c r="Q1">
        <v>1</v>
      </c>
      <c r="X1">
        <v>11.39</v>
      </c>
      <c r="Y1">
        <v>0</v>
      </c>
      <c r="Z1">
        <v>0</v>
      </c>
      <c r="AA1">
        <v>0</v>
      </c>
      <c r="AB1">
        <v>272.43</v>
      </c>
      <c r="AC1">
        <v>0</v>
      </c>
      <c r="AD1">
        <v>1</v>
      </c>
      <c r="AE1">
        <v>1</v>
      </c>
      <c r="AF1" t="s">
        <v>6</v>
      </c>
      <c r="AG1">
        <v>11.39</v>
      </c>
      <c r="AH1">
        <v>2</v>
      </c>
      <c r="AI1">
        <v>74852467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ROW(Source!A233)</f>
        <v>233</v>
      </c>
      <c r="B2">
        <v>74852828</v>
      </c>
      <c r="C2">
        <v>74852466</v>
      </c>
      <c r="D2">
        <v>72527995</v>
      </c>
      <c r="E2">
        <v>114</v>
      </c>
      <c r="F2">
        <v>1</v>
      </c>
      <c r="G2">
        <v>1</v>
      </c>
      <c r="H2">
        <v>1</v>
      </c>
      <c r="I2" t="s">
        <v>384</v>
      </c>
      <c r="J2" t="s">
        <v>6</v>
      </c>
      <c r="K2" t="s">
        <v>385</v>
      </c>
      <c r="L2">
        <v>1191</v>
      </c>
      <c r="N2">
        <v>1013</v>
      </c>
      <c r="O2" t="s">
        <v>383</v>
      </c>
      <c r="P2" t="s">
        <v>383</v>
      </c>
      <c r="Q2">
        <v>1</v>
      </c>
      <c r="X2">
        <v>0.13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6</v>
      </c>
      <c r="AG2">
        <v>0.13</v>
      </c>
      <c r="AH2">
        <v>2</v>
      </c>
      <c r="AI2">
        <v>74852468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ROW(Source!A233)</f>
        <v>233</v>
      </c>
      <c r="B3">
        <v>74852829</v>
      </c>
      <c r="C3">
        <v>74852466</v>
      </c>
      <c r="D3">
        <v>72652626</v>
      </c>
      <c r="E3">
        <v>1</v>
      </c>
      <c r="F3">
        <v>1</v>
      </c>
      <c r="G3">
        <v>1</v>
      </c>
      <c r="H3">
        <v>2</v>
      </c>
      <c r="I3" t="s">
        <v>386</v>
      </c>
      <c r="J3" t="s">
        <v>387</v>
      </c>
      <c r="K3" t="s">
        <v>388</v>
      </c>
      <c r="L3">
        <v>1368</v>
      </c>
      <c r="N3">
        <v>1011</v>
      </c>
      <c r="O3" t="s">
        <v>389</v>
      </c>
      <c r="P3" t="s">
        <v>389</v>
      </c>
      <c r="Q3">
        <v>1</v>
      </c>
      <c r="X3">
        <v>0.13</v>
      </c>
      <c r="Y3">
        <v>0</v>
      </c>
      <c r="Z3">
        <v>37.32</v>
      </c>
      <c r="AA3">
        <v>297.43</v>
      </c>
      <c r="AB3">
        <v>0</v>
      </c>
      <c r="AC3">
        <v>0</v>
      </c>
      <c r="AD3">
        <v>1</v>
      </c>
      <c r="AE3">
        <v>0</v>
      </c>
      <c r="AF3" t="s">
        <v>6</v>
      </c>
      <c r="AG3">
        <v>0.13</v>
      </c>
      <c r="AH3">
        <v>2</v>
      </c>
      <c r="AI3">
        <v>74852469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ROW(Source!A233)</f>
        <v>233</v>
      </c>
      <c r="B4">
        <v>74852830</v>
      </c>
      <c r="C4">
        <v>74852466</v>
      </c>
      <c r="D4">
        <v>72533691</v>
      </c>
      <c r="E4">
        <v>114</v>
      </c>
      <c r="F4">
        <v>1</v>
      </c>
      <c r="G4">
        <v>1</v>
      </c>
      <c r="H4">
        <v>3</v>
      </c>
      <c r="I4" t="s">
        <v>521</v>
      </c>
      <c r="J4" t="s">
        <v>6</v>
      </c>
      <c r="K4" t="s">
        <v>522</v>
      </c>
      <c r="L4">
        <v>1348</v>
      </c>
      <c r="N4">
        <v>1009</v>
      </c>
      <c r="O4" t="s">
        <v>149</v>
      </c>
      <c r="P4" t="s">
        <v>149</v>
      </c>
      <c r="Q4">
        <v>1000</v>
      </c>
      <c r="X4">
        <v>0.47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6</v>
      </c>
      <c r="AG4">
        <v>0.47</v>
      </c>
      <c r="AH4">
        <v>3</v>
      </c>
      <c r="AI4">
        <v>-1</v>
      </c>
      <c r="AJ4" t="s">
        <v>6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ROW(Source!A234)</f>
        <v>234</v>
      </c>
      <c r="B5">
        <v>74853068</v>
      </c>
      <c r="C5">
        <v>74852474</v>
      </c>
      <c r="D5">
        <v>72527800</v>
      </c>
      <c r="E5">
        <v>114</v>
      </c>
      <c r="F5">
        <v>1</v>
      </c>
      <c r="G5">
        <v>1</v>
      </c>
      <c r="H5">
        <v>1</v>
      </c>
      <c r="I5" t="s">
        <v>391</v>
      </c>
      <c r="J5" t="s">
        <v>6</v>
      </c>
      <c r="K5" t="s">
        <v>392</v>
      </c>
      <c r="L5">
        <v>1191</v>
      </c>
      <c r="N5">
        <v>1013</v>
      </c>
      <c r="O5" t="s">
        <v>383</v>
      </c>
      <c r="P5" t="s">
        <v>383</v>
      </c>
      <c r="Q5">
        <v>1</v>
      </c>
      <c r="X5">
        <v>69.87</v>
      </c>
      <c r="Y5">
        <v>0</v>
      </c>
      <c r="Z5">
        <v>0</v>
      </c>
      <c r="AA5">
        <v>0</v>
      </c>
      <c r="AB5">
        <v>297.43</v>
      </c>
      <c r="AC5">
        <v>0</v>
      </c>
      <c r="AD5">
        <v>1</v>
      </c>
      <c r="AE5">
        <v>1</v>
      </c>
      <c r="AF5" t="s">
        <v>6</v>
      </c>
      <c r="AG5">
        <v>69.87</v>
      </c>
      <c r="AH5">
        <v>2</v>
      </c>
      <c r="AI5">
        <v>74853068</v>
      </c>
      <c r="AJ5">
        <v>4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ROW(Source!A234)</f>
        <v>234</v>
      </c>
      <c r="B6">
        <v>74853069</v>
      </c>
      <c r="C6">
        <v>74852474</v>
      </c>
      <c r="D6">
        <v>72527995</v>
      </c>
      <c r="E6">
        <v>114</v>
      </c>
      <c r="F6">
        <v>1</v>
      </c>
      <c r="G6">
        <v>1</v>
      </c>
      <c r="H6">
        <v>1</v>
      </c>
      <c r="I6" t="s">
        <v>384</v>
      </c>
      <c r="J6" t="s">
        <v>6</v>
      </c>
      <c r="K6" t="s">
        <v>385</v>
      </c>
      <c r="L6">
        <v>1191</v>
      </c>
      <c r="N6">
        <v>1013</v>
      </c>
      <c r="O6" t="s">
        <v>383</v>
      </c>
      <c r="P6" t="s">
        <v>383</v>
      </c>
      <c r="Q6">
        <v>1</v>
      </c>
      <c r="X6">
        <v>1.44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6</v>
      </c>
      <c r="AG6">
        <v>1.44</v>
      </c>
      <c r="AH6">
        <v>2</v>
      </c>
      <c r="AI6">
        <v>74853069</v>
      </c>
      <c r="AJ6">
        <v>5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ROW(Source!A234)</f>
        <v>234</v>
      </c>
      <c r="B7">
        <v>74853070</v>
      </c>
      <c r="C7">
        <v>74852474</v>
      </c>
      <c r="D7">
        <v>72652626</v>
      </c>
      <c r="E7">
        <v>1</v>
      </c>
      <c r="F7">
        <v>1</v>
      </c>
      <c r="G7">
        <v>1</v>
      </c>
      <c r="H7">
        <v>2</v>
      </c>
      <c r="I7" t="s">
        <v>386</v>
      </c>
      <c r="J7" t="s">
        <v>387</v>
      </c>
      <c r="K7" t="s">
        <v>388</v>
      </c>
      <c r="L7">
        <v>1368</v>
      </c>
      <c r="N7">
        <v>1011</v>
      </c>
      <c r="O7" t="s">
        <v>389</v>
      </c>
      <c r="P7" t="s">
        <v>389</v>
      </c>
      <c r="Q7">
        <v>1</v>
      </c>
      <c r="X7">
        <v>1.44</v>
      </c>
      <c r="Y7">
        <v>0</v>
      </c>
      <c r="Z7">
        <v>37.32</v>
      </c>
      <c r="AA7">
        <v>297.43</v>
      </c>
      <c r="AB7">
        <v>0</v>
      </c>
      <c r="AC7">
        <v>0</v>
      </c>
      <c r="AD7">
        <v>1</v>
      </c>
      <c r="AE7">
        <v>0</v>
      </c>
      <c r="AF7" t="s">
        <v>6</v>
      </c>
      <c r="AG7">
        <v>1.44</v>
      </c>
      <c r="AH7">
        <v>2</v>
      </c>
      <c r="AI7">
        <v>74853070</v>
      </c>
      <c r="AJ7">
        <v>6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ROW(Source!A234)</f>
        <v>234</v>
      </c>
      <c r="B8">
        <v>74853071</v>
      </c>
      <c r="C8">
        <v>74852474</v>
      </c>
      <c r="D8">
        <v>72533691</v>
      </c>
      <c r="E8">
        <v>114</v>
      </c>
      <c r="F8">
        <v>1</v>
      </c>
      <c r="G8">
        <v>1</v>
      </c>
      <c r="H8">
        <v>3</v>
      </c>
      <c r="I8" t="s">
        <v>521</v>
      </c>
      <c r="J8" t="s">
        <v>6</v>
      </c>
      <c r="K8" t="s">
        <v>522</v>
      </c>
      <c r="L8">
        <v>1348</v>
      </c>
      <c r="N8">
        <v>1009</v>
      </c>
      <c r="O8" t="s">
        <v>149</v>
      </c>
      <c r="P8" t="s">
        <v>149</v>
      </c>
      <c r="Q8">
        <v>1000</v>
      </c>
      <c r="X8">
        <v>5.2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</v>
      </c>
      <c r="AG8">
        <v>5.2</v>
      </c>
      <c r="AH8">
        <v>3</v>
      </c>
      <c r="AI8">
        <v>-1</v>
      </c>
      <c r="AJ8" t="s">
        <v>6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ROW(Source!A235)</f>
        <v>235</v>
      </c>
      <c r="B9">
        <v>74852837</v>
      </c>
      <c r="C9">
        <v>74852483</v>
      </c>
      <c r="D9">
        <v>72527768</v>
      </c>
      <c r="E9">
        <v>114</v>
      </c>
      <c r="F9">
        <v>1</v>
      </c>
      <c r="G9">
        <v>1</v>
      </c>
      <c r="H9">
        <v>1</v>
      </c>
      <c r="I9" t="s">
        <v>393</v>
      </c>
      <c r="J9" t="s">
        <v>6</v>
      </c>
      <c r="K9" t="s">
        <v>394</v>
      </c>
      <c r="L9">
        <v>1191</v>
      </c>
      <c r="N9">
        <v>1013</v>
      </c>
      <c r="O9" t="s">
        <v>383</v>
      </c>
      <c r="P9" t="s">
        <v>383</v>
      </c>
      <c r="Q9">
        <v>1</v>
      </c>
      <c r="X9">
        <v>14.23</v>
      </c>
      <c r="Y9">
        <v>0</v>
      </c>
      <c r="Z9">
        <v>0</v>
      </c>
      <c r="AA9">
        <v>0</v>
      </c>
      <c r="AB9">
        <v>277.43</v>
      </c>
      <c r="AC9">
        <v>0</v>
      </c>
      <c r="AD9">
        <v>1</v>
      </c>
      <c r="AE9">
        <v>1</v>
      </c>
      <c r="AF9" t="s">
        <v>6</v>
      </c>
      <c r="AG9">
        <v>14.23</v>
      </c>
      <c r="AH9">
        <v>2</v>
      </c>
      <c r="AI9">
        <v>74852484</v>
      </c>
      <c r="AJ9">
        <v>7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ROW(Source!A235)</f>
        <v>235</v>
      </c>
      <c r="B10">
        <v>74852838</v>
      </c>
      <c r="C10">
        <v>74852483</v>
      </c>
      <c r="D10">
        <v>72653546</v>
      </c>
      <c r="E10">
        <v>1</v>
      </c>
      <c r="F10">
        <v>1</v>
      </c>
      <c r="G10">
        <v>1</v>
      </c>
      <c r="H10">
        <v>2</v>
      </c>
      <c r="I10" t="s">
        <v>395</v>
      </c>
      <c r="J10" t="s">
        <v>396</v>
      </c>
      <c r="K10" t="s">
        <v>397</v>
      </c>
      <c r="L10">
        <v>1368</v>
      </c>
      <c r="N10">
        <v>1011</v>
      </c>
      <c r="O10" t="s">
        <v>389</v>
      </c>
      <c r="P10" t="s">
        <v>389</v>
      </c>
      <c r="Q10">
        <v>1</v>
      </c>
      <c r="X10">
        <v>8</v>
      </c>
      <c r="Y10">
        <v>0</v>
      </c>
      <c r="Z10">
        <v>115.43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6</v>
      </c>
      <c r="AG10">
        <v>8</v>
      </c>
      <c r="AH10">
        <v>2</v>
      </c>
      <c r="AI10">
        <v>74852485</v>
      </c>
      <c r="AJ10">
        <v>8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ROW(Source!A235)</f>
        <v>235</v>
      </c>
      <c r="B11">
        <v>74852839</v>
      </c>
      <c r="C11">
        <v>74852483</v>
      </c>
      <c r="D11">
        <v>72653934</v>
      </c>
      <c r="E11">
        <v>1</v>
      </c>
      <c r="F11">
        <v>1</v>
      </c>
      <c r="G11">
        <v>1</v>
      </c>
      <c r="H11">
        <v>2</v>
      </c>
      <c r="I11" t="s">
        <v>398</v>
      </c>
      <c r="J11" t="s">
        <v>399</v>
      </c>
      <c r="K11" t="s">
        <v>400</v>
      </c>
      <c r="L11">
        <v>1368</v>
      </c>
      <c r="N11">
        <v>1011</v>
      </c>
      <c r="O11" t="s">
        <v>389</v>
      </c>
      <c r="P11" t="s">
        <v>389</v>
      </c>
      <c r="Q11">
        <v>1</v>
      </c>
      <c r="X11">
        <v>8</v>
      </c>
      <c r="Y11">
        <v>0</v>
      </c>
      <c r="Z11">
        <v>2.92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6</v>
      </c>
      <c r="AG11">
        <v>8</v>
      </c>
      <c r="AH11">
        <v>2</v>
      </c>
      <c r="AI11">
        <v>74852486</v>
      </c>
      <c r="AJ11">
        <v>9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ROW(Source!A235)</f>
        <v>235</v>
      </c>
      <c r="B12">
        <v>74852840</v>
      </c>
      <c r="C12">
        <v>74852483</v>
      </c>
      <c r="D12">
        <v>72533691</v>
      </c>
      <c r="E12">
        <v>114</v>
      </c>
      <c r="F12">
        <v>1</v>
      </c>
      <c r="G12">
        <v>1</v>
      </c>
      <c r="H12">
        <v>3</v>
      </c>
      <c r="I12" t="s">
        <v>521</v>
      </c>
      <c r="J12" t="s">
        <v>6</v>
      </c>
      <c r="K12" t="s">
        <v>522</v>
      </c>
      <c r="L12">
        <v>1348</v>
      </c>
      <c r="N12">
        <v>1009</v>
      </c>
      <c r="O12" t="s">
        <v>149</v>
      </c>
      <c r="P12" t="s">
        <v>149</v>
      </c>
      <c r="Q12">
        <v>1000</v>
      </c>
      <c r="X12">
        <v>3.2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</v>
      </c>
      <c r="AG12">
        <v>3.2</v>
      </c>
      <c r="AH12">
        <v>3</v>
      </c>
      <c r="AI12">
        <v>-1</v>
      </c>
      <c r="AJ12" t="s">
        <v>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ROW(Source!A236)</f>
        <v>236</v>
      </c>
      <c r="B13">
        <v>74852841</v>
      </c>
      <c r="C13">
        <v>74852491</v>
      </c>
      <c r="D13">
        <v>72527768</v>
      </c>
      <c r="E13">
        <v>114</v>
      </c>
      <c r="F13">
        <v>1</v>
      </c>
      <c r="G13">
        <v>1</v>
      </c>
      <c r="H13">
        <v>1</v>
      </c>
      <c r="I13" t="s">
        <v>393</v>
      </c>
      <c r="J13" t="s">
        <v>6</v>
      </c>
      <c r="K13" t="s">
        <v>394</v>
      </c>
      <c r="L13">
        <v>1191</v>
      </c>
      <c r="N13">
        <v>1013</v>
      </c>
      <c r="O13" t="s">
        <v>383</v>
      </c>
      <c r="P13" t="s">
        <v>383</v>
      </c>
      <c r="Q13">
        <v>1</v>
      </c>
      <c r="X13">
        <v>3.56</v>
      </c>
      <c r="Y13">
        <v>0</v>
      </c>
      <c r="Z13">
        <v>0</v>
      </c>
      <c r="AA13">
        <v>0</v>
      </c>
      <c r="AB13">
        <v>277.43</v>
      </c>
      <c r="AC13">
        <v>0</v>
      </c>
      <c r="AD13">
        <v>1</v>
      </c>
      <c r="AE13">
        <v>1</v>
      </c>
      <c r="AF13" t="s">
        <v>109</v>
      </c>
      <c r="AG13">
        <v>7.12</v>
      </c>
      <c r="AH13">
        <v>2</v>
      </c>
      <c r="AI13">
        <v>74852492</v>
      </c>
      <c r="AJ13">
        <v>10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ROW(Source!A236)</f>
        <v>236</v>
      </c>
      <c r="B14">
        <v>74852842</v>
      </c>
      <c r="C14">
        <v>74852491</v>
      </c>
      <c r="D14">
        <v>72653546</v>
      </c>
      <c r="E14">
        <v>1</v>
      </c>
      <c r="F14">
        <v>1</v>
      </c>
      <c r="G14">
        <v>1</v>
      </c>
      <c r="H14">
        <v>2</v>
      </c>
      <c r="I14" t="s">
        <v>395</v>
      </c>
      <c r="J14" t="s">
        <v>396</v>
      </c>
      <c r="K14" t="s">
        <v>397</v>
      </c>
      <c r="L14">
        <v>1368</v>
      </c>
      <c r="N14">
        <v>1011</v>
      </c>
      <c r="O14" t="s">
        <v>389</v>
      </c>
      <c r="P14" t="s">
        <v>389</v>
      </c>
      <c r="Q14">
        <v>1</v>
      </c>
      <c r="X14">
        <v>2</v>
      </c>
      <c r="Y14">
        <v>0</v>
      </c>
      <c r="Z14">
        <v>115.43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109</v>
      </c>
      <c r="AG14">
        <v>4</v>
      </c>
      <c r="AH14">
        <v>2</v>
      </c>
      <c r="AI14">
        <v>74852493</v>
      </c>
      <c r="AJ14">
        <v>11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ROW(Source!A236)</f>
        <v>236</v>
      </c>
      <c r="B15">
        <v>74852843</v>
      </c>
      <c r="C15">
        <v>74852491</v>
      </c>
      <c r="D15">
        <v>72653934</v>
      </c>
      <c r="E15">
        <v>1</v>
      </c>
      <c r="F15">
        <v>1</v>
      </c>
      <c r="G15">
        <v>1</v>
      </c>
      <c r="H15">
        <v>2</v>
      </c>
      <c r="I15" t="s">
        <v>398</v>
      </c>
      <c r="J15" t="s">
        <v>399</v>
      </c>
      <c r="K15" t="s">
        <v>400</v>
      </c>
      <c r="L15">
        <v>1368</v>
      </c>
      <c r="N15">
        <v>1011</v>
      </c>
      <c r="O15" t="s">
        <v>389</v>
      </c>
      <c r="P15" t="s">
        <v>389</v>
      </c>
      <c r="Q15">
        <v>1</v>
      </c>
      <c r="X15">
        <v>2</v>
      </c>
      <c r="Y15">
        <v>0</v>
      </c>
      <c r="Z15">
        <v>2.92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109</v>
      </c>
      <c r="AG15">
        <v>4</v>
      </c>
      <c r="AH15">
        <v>2</v>
      </c>
      <c r="AI15">
        <v>74852494</v>
      </c>
      <c r="AJ15">
        <v>12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ROW(Source!A236)</f>
        <v>236</v>
      </c>
      <c r="B16">
        <v>74852844</v>
      </c>
      <c r="C16">
        <v>74852491</v>
      </c>
      <c r="D16">
        <v>72533691</v>
      </c>
      <c r="E16">
        <v>114</v>
      </c>
      <c r="F16">
        <v>1</v>
      </c>
      <c r="G16">
        <v>1</v>
      </c>
      <c r="H16">
        <v>3</v>
      </c>
      <c r="I16" t="s">
        <v>521</v>
      </c>
      <c r="J16" t="s">
        <v>6</v>
      </c>
      <c r="K16" t="s">
        <v>522</v>
      </c>
      <c r="L16">
        <v>1348</v>
      </c>
      <c r="N16">
        <v>1009</v>
      </c>
      <c r="O16" t="s">
        <v>149</v>
      </c>
      <c r="P16" t="s">
        <v>149</v>
      </c>
      <c r="Q16">
        <v>1000</v>
      </c>
      <c r="X16">
        <v>0.8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109</v>
      </c>
      <c r="AG16">
        <v>1.6</v>
      </c>
      <c r="AH16">
        <v>3</v>
      </c>
      <c r="AI16">
        <v>-1</v>
      </c>
      <c r="AJ16" t="s">
        <v>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ROW(Source!A237)</f>
        <v>237</v>
      </c>
      <c r="B17">
        <v>74853073</v>
      </c>
      <c r="C17">
        <v>74852499</v>
      </c>
      <c r="D17">
        <v>72527768</v>
      </c>
      <c r="E17">
        <v>114</v>
      </c>
      <c r="F17">
        <v>1</v>
      </c>
      <c r="G17">
        <v>1</v>
      </c>
      <c r="H17">
        <v>1</v>
      </c>
      <c r="I17" t="s">
        <v>393</v>
      </c>
      <c r="J17" t="s">
        <v>6</v>
      </c>
      <c r="K17" t="s">
        <v>394</v>
      </c>
      <c r="L17">
        <v>1191</v>
      </c>
      <c r="N17">
        <v>1013</v>
      </c>
      <c r="O17" t="s">
        <v>383</v>
      </c>
      <c r="P17" t="s">
        <v>383</v>
      </c>
      <c r="Q17">
        <v>1</v>
      </c>
      <c r="X17">
        <v>35.6</v>
      </c>
      <c r="Y17">
        <v>0</v>
      </c>
      <c r="Z17">
        <v>0</v>
      </c>
      <c r="AA17">
        <v>0</v>
      </c>
      <c r="AB17">
        <v>277.43</v>
      </c>
      <c r="AC17">
        <v>0</v>
      </c>
      <c r="AD17">
        <v>1</v>
      </c>
      <c r="AE17">
        <v>1</v>
      </c>
      <c r="AF17" t="s">
        <v>117</v>
      </c>
      <c r="AG17">
        <v>40.94</v>
      </c>
      <c r="AH17">
        <v>2</v>
      </c>
      <c r="AI17">
        <v>74853073</v>
      </c>
      <c r="AJ17">
        <v>13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ROW(Source!A237)</f>
        <v>237</v>
      </c>
      <c r="B18">
        <v>74853074</v>
      </c>
      <c r="C18">
        <v>74852499</v>
      </c>
      <c r="D18">
        <v>72527995</v>
      </c>
      <c r="E18">
        <v>114</v>
      </c>
      <c r="F18">
        <v>1</v>
      </c>
      <c r="G18">
        <v>1</v>
      </c>
      <c r="H18">
        <v>1</v>
      </c>
      <c r="I18" t="s">
        <v>384</v>
      </c>
      <c r="J18" t="s">
        <v>6</v>
      </c>
      <c r="K18" t="s">
        <v>385</v>
      </c>
      <c r="L18">
        <v>1191</v>
      </c>
      <c r="N18">
        <v>1013</v>
      </c>
      <c r="O18" t="s">
        <v>383</v>
      </c>
      <c r="P18" t="s">
        <v>383</v>
      </c>
      <c r="Q18">
        <v>1</v>
      </c>
      <c r="X18">
        <v>1.27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2</v>
      </c>
      <c r="AF18" t="s">
        <v>116</v>
      </c>
      <c r="AG18">
        <v>1.5874999999999999</v>
      </c>
      <c r="AH18">
        <v>2</v>
      </c>
      <c r="AI18">
        <v>74853074</v>
      </c>
      <c r="AJ18">
        <v>14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ROW(Source!A237)</f>
        <v>237</v>
      </c>
      <c r="B19">
        <v>74853075</v>
      </c>
      <c r="C19">
        <v>74852499</v>
      </c>
      <c r="D19">
        <v>72652626</v>
      </c>
      <c r="E19">
        <v>1</v>
      </c>
      <c r="F19">
        <v>1</v>
      </c>
      <c r="G19">
        <v>1</v>
      </c>
      <c r="H19">
        <v>2</v>
      </c>
      <c r="I19" t="s">
        <v>386</v>
      </c>
      <c r="J19" t="s">
        <v>387</v>
      </c>
      <c r="K19" t="s">
        <v>388</v>
      </c>
      <c r="L19">
        <v>1368</v>
      </c>
      <c r="N19">
        <v>1011</v>
      </c>
      <c r="O19" t="s">
        <v>389</v>
      </c>
      <c r="P19" t="s">
        <v>389</v>
      </c>
      <c r="Q19">
        <v>1</v>
      </c>
      <c r="X19">
        <v>1.27</v>
      </c>
      <c r="Y19">
        <v>0</v>
      </c>
      <c r="Z19">
        <v>37.32</v>
      </c>
      <c r="AA19">
        <v>297.43</v>
      </c>
      <c r="AB19">
        <v>0</v>
      </c>
      <c r="AC19">
        <v>0</v>
      </c>
      <c r="AD19">
        <v>1</v>
      </c>
      <c r="AE19">
        <v>0</v>
      </c>
      <c r="AF19" t="s">
        <v>116</v>
      </c>
      <c r="AG19">
        <v>1.5874999999999999</v>
      </c>
      <c r="AH19">
        <v>2</v>
      </c>
      <c r="AI19">
        <v>74853075</v>
      </c>
      <c r="AJ19">
        <v>15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ROW(Source!A237)</f>
        <v>237</v>
      </c>
      <c r="B20">
        <v>74853076</v>
      </c>
      <c r="C20">
        <v>74852499</v>
      </c>
      <c r="D20">
        <v>72652696</v>
      </c>
      <c r="E20">
        <v>1</v>
      </c>
      <c r="F20">
        <v>1</v>
      </c>
      <c r="G20">
        <v>1</v>
      </c>
      <c r="H20">
        <v>2</v>
      </c>
      <c r="I20" t="s">
        <v>401</v>
      </c>
      <c r="J20" t="s">
        <v>402</v>
      </c>
      <c r="K20" t="s">
        <v>403</v>
      </c>
      <c r="L20">
        <v>1368</v>
      </c>
      <c r="N20">
        <v>1011</v>
      </c>
      <c r="O20" t="s">
        <v>389</v>
      </c>
      <c r="P20" t="s">
        <v>389</v>
      </c>
      <c r="Q20">
        <v>1</v>
      </c>
      <c r="X20">
        <v>7.82</v>
      </c>
      <c r="Y20">
        <v>0</v>
      </c>
      <c r="Z20">
        <v>8.5399999999999991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116</v>
      </c>
      <c r="AG20">
        <v>9.7750000000000004</v>
      </c>
      <c r="AH20">
        <v>2</v>
      </c>
      <c r="AI20">
        <v>74853076</v>
      </c>
      <c r="AJ20">
        <v>16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ROW(Source!A237)</f>
        <v>237</v>
      </c>
      <c r="B21">
        <v>74853077</v>
      </c>
      <c r="C21">
        <v>74852499</v>
      </c>
      <c r="D21">
        <v>72599517</v>
      </c>
      <c r="E21">
        <v>1</v>
      </c>
      <c r="F21">
        <v>1</v>
      </c>
      <c r="G21">
        <v>1</v>
      </c>
      <c r="H21">
        <v>3</v>
      </c>
      <c r="I21" t="s">
        <v>404</v>
      </c>
      <c r="J21" t="s">
        <v>405</v>
      </c>
      <c r="K21" t="s">
        <v>406</v>
      </c>
      <c r="L21">
        <v>1339</v>
      </c>
      <c r="N21">
        <v>1007</v>
      </c>
      <c r="O21" t="s">
        <v>134</v>
      </c>
      <c r="P21" t="s">
        <v>134</v>
      </c>
      <c r="Q21">
        <v>1</v>
      </c>
      <c r="X21">
        <v>3.5</v>
      </c>
      <c r="Y21">
        <v>35.71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6</v>
      </c>
      <c r="AG21">
        <v>3.5</v>
      </c>
      <c r="AH21">
        <v>2</v>
      </c>
      <c r="AI21">
        <v>74853077</v>
      </c>
      <c r="AJ21">
        <v>17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ROW(Source!A237)</f>
        <v>237</v>
      </c>
      <c r="B22">
        <v>74853078</v>
      </c>
      <c r="C22">
        <v>74852499</v>
      </c>
      <c r="D22">
        <v>72529159</v>
      </c>
      <c r="E22">
        <v>114</v>
      </c>
      <c r="F22">
        <v>1</v>
      </c>
      <c r="G22">
        <v>1</v>
      </c>
      <c r="H22">
        <v>3</v>
      </c>
      <c r="I22" t="s">
        <v>523</v>
      </c>
      <c r="J22" t="s">
        <v>6</v>
      </c>
      <c r="K22" t="s">
        <v>524</v>
      </c>
      <c r="L22">
        <v>1339</v>
      </c>
      <c r="N22">
        <v>1007</v>
      </c>
      <c r="O22" t="s">
        <v>134</v>
      </c>
      <c r="P22" t="s">
        <v>134</v>
      </c>
      <c r="Q22">
        <v>1</v>
      </c>
      <c r="X22">
        <v>2.04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s">
        <v>6</v>
      </c>
      <c r="AG22">
        <v>2.04</v>
      </c>
      <c r="AH22">
        <v>3</v>
      </c>
      <c r="AI22">
        <v>-1</v>
      </c>
      <c r="AJ22" t="s">
        <v>6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ROW(Source!A238)</f>
        <v>238</v>
      </c>
      <c r="B23">
        <v>74853098</v>
      </c>
      <c r="C23">
        <v>74852512</v>
      </c>
      <c r="D23">
        <v>72527768</v>
      </c>
      <c r="E23">
        <v>114</v>
      </c>
      <c r="F23">
        <v>1</v>
      </c>
      <c r="G23">
        <v>1</v>
      </c>
      <c r="H23">
        <v>1</v>
      </c>
      <c r="I23" t="s">
        <v>393</v>
      </c>
      <c r="J23" t="s">
        <v>6</v>
      </c>
      <c r="K23" t="s">
        <v>394</v>
      </c>
      <c r="L23">
        <v>1191</v>
      </c>
      <c r="N23">
        <v>1013</v>
      </c>
      <c r="O23" t="s">
        <v>383</v>
      </c>
      <c r="P23" t="s">
        <v>383</v>
      </c>
      <c r="Q23">
        <v>1</v>
      </c>
      <c r="X23">
        <v>0.44</v>
      </c>
      <c r="Y23">
        <v>0</v>
      </c>
      <c r="Z23">
        <v>0</v>
      </c>
      <c r="AA23">
        <v>0</v>
      </c>
      <c r="AB23">
        <v>277.43</v>
      </c>
      <c r="AC23">
        <v>0</v>
      </c>
      <c r="AD23">
        <v>1</v>
      </c>
      <c r="AE23">
        <v>1</v>
      </c>
      <c r="AF23" t="s">
        <v>130</v>
      </c>
      <c r="AG23">
        <v>1.012</v>
      </c>
      <c r="AH23">
        <v>2</v>
      </c>
      <c r="AI23">
        <v>74853098</v>
      </c>
      <c r="AJ23">
        <v>18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ROW(Source!A238)</f>
        <v>238</v>
      </c>
      <c r="B24">
        <v>74853099</v>
      </c>
      <c r="C24">
        <v>74852512</v>
      </c>
      <c r="D24">
        <v>72527995</v>
      </c>
      <c r="E24">
        <v>114</v>
      </c>
      <c r="F24">
        <v>1</v>
      </c>
      <c r="G24">
        <v>1</v>
      </c>
      <c r="H24">
        <v>1</v>
      </c>
      <c r="I24" t="s">
        <v>384</v>
      </c>
      <c r="J24" t="s">
        <v>6</v>
      </c>
      <c r="K24" t="s">
        <v>385</v>
      </c>
      <c r="L24">
        <v>1191</v>
      </c>
      <c r="N24">
        <v>1013</v>
      </c>
      <c r="O24" t="s">
        <v>383</v>
      </c>
      <c r="P24" t="s">
        <v>383</v>
      </c>
      <c r="Q24">
        <v>1</v>
      </c>
      <c r="X24">
        <v>0.21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2</v>
      </c>
      <c r="AF24" t="s">
        <v>129</v>
      </c>
      <c r="AG24">
        <v>0.52500000000000002</v>
      </c>
      <c r="AH24">
        <v>2</v>
      </c>
      <c r="AI24">
        <v>74853099</v>
      </c>
      <c r="AJ24">
        <v>19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ROW(Source!A238)</f>
        <v>238</v>
      </c>
      <c r="B25">
        <v>74853100</v>
      </c>
      <c r="C25">
        <v>74852512</v>
      </c>
      <c r="D25">
        <v>72652626</v>
      </c>
      <c r="E25">
        <v>1</v>
      </c>
      <c r="F25">
        <v>1</v>
      </c>
      <c r="G25">
        <v>1</v>
      </c>
      <c r="H25">
        <v>2</v>
      </c>
      <c r="I25" t="s">
        <v>386</v>
      </c>
      <c r="J25" t="s">
        <v>387</v>
      </c>
      <c r="K25" t="s">
        <v>388</v>
      </c>
      <c r="L25">
        <v>1368</v>
      </c>
      <c r="N25">
        <v>1011</v>
      </c>
      <c r="O25" t="s">
        <v>389</v>
      </c>
      <c r="P25" t="s">
        <v>389</v>
      </c>
      <c r="Q25">
        <v>1</v>
      </c>
      <c r="X25">
        <v>0.21</v>
      </c>
      <c r="Y25">
        <v>0</v>
      </c>
      <c r="Z25">
        <v>37.32</v>
      </c>
      <c r="AA25">
        <v>297.43</v>
      </c>
      <c r="AB25">
        <v>0</v>
      </c>
      <c r="AC25">
        <v>0</v>
      </c>
      <c r="AD25">
        <v>1</v>
      </c>
      <c r="AE25">
        <v>0</v>
      </c>
      <c r="AF25" t="s">
        <v>129</v>
      </c>
      <c r="AG25">
        <v>0.52500000000000002</v>
      </c>
      <c r="AH25">
        <v>2</v>
      </c>
      <c r="AI25">
        <v>74853100</v>
      </c>
      <c r="AJ25">
        <v>20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ROW(Source!A238)</f>
        <v>238</v>
      </c>
      <c r="B26">
        <v>74853101</v>
      </c>
      <c r="C26">
        <v>74852512</v>
      </c>
      <c r="D26">
        <v>72652696</v>
      </c>
      <c r="E26">
        <v>1</v>
      </c>
      <c r="F26">
        <v>1</v>
      </c>
      <c r="G26">
        <v>1</v>
      </c>
      <c r="H26">
        <v>2</v>
      </c>
      <c r="I26" t="s">
        <v>401</v>
      </c>
      <c r="J26" t="s">
        <v>402</v>
      </c>
      <c r="K26" t="s">
        <v>403</v>
      </c>
      <c r="L26">
        <v>1368</v>
      </c>
      <c r="N26">
        <v>1011</v>
      </c>
      <c r="O26" t="s">
        <v>389</v>
      </c>
      <c r="P26" t="s">
        <v>389</v>
      </c>
      <c r="Q26">
        <v>1</v>
      </c>
      <c r="X26">
        <v>2</v>
      </c>
      <c r="Y26">
        <v>0</v>
      </c>
      <c r="Z26">
        <v>8.5399999999999991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129</v>
      </c>
      <c r="AG26">
        <v>5</v>
      </c>
      <c r="AH26">
        <v>2</v>
      </c>
      <c r="AI26">
        <v>74853101</v>
      </c>
      <c r="AJ26">
        <v>21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ROW(Source!A238)</f>
        <v>238</v>
      </c>
      <c r="B27">
        <v>74853102</v>
      </c>
      <c r="C27">
        <v>74852512</v>
      </c>
      <c r="D27">
        <v>72529159</v>
      </c>
      <c r="E27">
        <v>114</v>
      </c>
      <c r="F27">
        <v>1</v>
      </c>
      <c r="G27">
        <v>1</v>
      </c>
      <c r="H27">
        <v>3</v>
      </c>
      <c r="I27" t="s">
        <v>523</v>
      </c>
      <c r="J27" t="s">
        <v>6</v>
      </c>
      <c r="K27" t="s">
        <v>524</v>
      </c>
      <c r="L27">
        <v>1339</v>
      </c>
      <c r="N27">
        <v>1007</v>
      </c>
      <c r="O27" t="s">
        <v>134</v>
      </c>
      <c r="P27" t="s">
        <v>134</v>
      </c>
      <c r="Q27">
        <v>1</v>
      </c>
      <c r="X27">
        <v>0.51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109</v>
      </c>
      <c r="AG27">
        <v>1.02</v>
      </c>
      <c r="AH27">
        <v>3</v>
      </c>
      <c r="AI27">
        <v>-1</v>
      </c>
      <c r="AJ27" t="s">
        <v>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ROW(Source!A240)</f>
        <v>240</v>
      </c>
      <c r="B28">
        <v>74853104</v>
      </c>
      <c r="C28">
        <v>74852524</v>
      </c>
      <c r="D28">
        <v>72527790</v>
      </c>
      <c r="E28">
        <v>114</v>
      </c>
      <c r="F28">
        <v>1</v>
      </c>
      <c r="G28">
        <v>1</v>
      </c>
      <c r="H28">
        <v>1</v>
      </c>
      <c r="I28" t="s">
        <v>407</v>
      </c>
      <c r="J28" t="s">
        <v>6</v>
      </c>
      <c r="K28" t="s">
        <v>408</v>
      </c>
      <c r="L28">
        <v>1191</v>
      </c>
      <c r="N28">
        <v>1013</v>
      </c>
      <c r="O28" t="s">
        <v>383</v>
      </c>
      <c r="P28" t="s">
        <v>383</v>
      </c>
      <c r="Q28">
        <v>1</v>
      </c>
      <c r="X28">
        <v>38.200000000000003</v>
      </c>
      <c r="Y28">
        <v>0</v>
      </c>
      <c r="Z28">
        <v>0</v>
      </c>
      <c r="AA28">
        <v>0</v>
      </c>
      <c r="AB28">
        <v>289.93</v>
      </c>
      <c r="AC28">
        <v>0</v>
      </c>
      <c r="AD28">
        <v>1</v>
      </c>
      <c r="AE28">
        <v>1</v>
      </c>
      <c r="AF28" t="s">
        <v>117</v>
      </c>
      <c r="AG28">
        <v>43.93</v>
      </c>
      <c r="AH28">
        <v>2</v>
      </c>
      <c r="AI28">
        <v>74853104</v>
      </c>
      <c r="AJ28">
        <v>22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ROW(Source!A240)</f>
        <v>240</v>
      </c>
      <c r="B29">
        <v>74853105</v>
      </c>
      <c r="C29">
        <v>74852524</v>
      </c>
      <c r="D29">
        <v>72527995</v>
      </c>
      <c r="E29">
        <v>114</v>
      </c>
      <c r="F29">
        <v>1</v>
      </c>
      <c r="G29">
        <v>1</v>
      </c>
      <c r="H29">
        <v>1</v>
      </c>
      <c r="I29" t="s">
        <v>384</v>
      </c>
      <c r="J29" t="s">
        <v>6</v>
      </c>
      <c r="K29" t="s">
        <v>385</v>
      </c>
      <c r="L29">
        <v>1191</v>
      </c>
      <c r="N29">
        <v>1013</v>
      </c>
      <c r="O29" t="s">
        <v>383</v>
      </c>
      <c r="P29" t="s">
        <v>383</v>
      </c>
      <c r="Q29">
        <v>1</v>
      </c>
      <c r="X29">
        <v>0.85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2</v>
      </c>
      <c r="AF29" t="s">
        <v>116</v>
      </c>
      <c r="AG29">
        <v>1.0625</v>
      </c>
      <c r="AH29">
        <v>2</v>
      </c>
      <c r="AI29">
        <v>74853105</v>
      </c>
      <c r="AJ29">
        <v>23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ROW(Source!A240)</f>
        <v>240</v>
      </c>
      <c r="B30">
        <v>74853106</v>
      </c>
      <c r="C30">
        <v>74852524</v>
      </c>
      <c r="D30">
        <v>72652626</v>
      </c>
      <c r="E30">
        <v>1</v>
      </c>
      <c r="F30">
        <v>1</v>
      </c>
      <c r="G30">
        <v>1</v>
      </c>
      <c r="H30">
        <v>2</v>
      </c>
      <c r="I30" t="s">
        <v>386</v>
      </c>
      <c r="J30" t="s">
        <v>387</v>
      </c>
      <c r="K30" t="s">
        <v>388</v>
      </c>
      <c r="L30">
        <v>1368</v>
      </c>
      <c r="N30">
        <v>1011</v>
      </c>
      <c r="O30" t="s">
        <v>389</v>
      </c>
      <c r="P30" t="s">
        <v>389</v>
      </c>
      <c r="Q30">
        <v>1</v>
      </c>
      <c r="X30">
        <v>0.35</v>
      </c>
      <c r="Y30">
        <v>0</v>
      </c>
      <c r="Z30">
        <v>37.32</v>
      </c>
      <c r="AA30">
        <v>297.43</v>
      </c>
      <c r="AB30">
        <v>0</v>
      </c>
      <c r="AC30">
        <v>0</v>
      </c>
      <c r="AD30">
        <v>1</v>
      </c>
      <c r="AE30">
        <v>0</v>
      </c>
      <c r="AF30" t="s">
        <v>116</v>
      </c>
      <c r="AG30">
        <v>0.4375</v>
      </c>
      <c r="AH30">
        <v>2</v>
      </c>
      <c r="AI30">
        <v>74853106</v>
      </c>
      <c r="AJ30">
        <v>24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ROW(Source!A240)</f>
        <v>240</v>
      </c>
      <c r="B31">
        <v>74853107</v>
      </c>
      <c r="C31">
        <v>74852524</v>
      </c>
      <c r="D31">
        <v>72653331</v>
      </c>
      <c r="E31">
        <v>1</v>
      </c>
      <c r="F31">
        <v>1</v>
      </c>
      <c r="G31">
        <v>1</v>
      </c>
      <c r="H31">
        <v>2</v>
      </c>
      <c r="I31" t="s">
        <v>409</v>
      </c>
      <c r="J31" t="s">
        <v>410</v>
      </c>
      <c r="K31" t="s">
        <v>411</v>
      </c>
      <c r="L31">
        <v>1368</v>
      </c>
      <c r="N31">
        <v>1011</v>
      </c>
      <c r="O31" t="s">
        <v>389</v>
      </c>
      <c r="P31" t="s">
        <v>389</v>
      </c>
      <c r="Q31">
        <v>1</v>
      </c>
      <c r="X31">
        <v>0.5</v>
      </c>
      <c r="Y31">
        <v>0</v>
      </c>
      <c r="Z31">
        <v>611</v>
      </c>
      <c r="AA31">
        <v>334.92</v>
      </c>
      <c r="AB31">
        <v>0</v>
      </c>
      <c r="AC31">
        <v>0</v>
      </c>
      <c r="AD31">
        <v>1</v>
      </c>
      <c r="AE31">
        <v>0</v>
      </c>
      <c r="AF31" t="s">
        <v>116</v>
      </c>
      <c r="AG31">
        <v>0.625</v>
      </c>
      <c r="AH31">
        <v>2</v>
      </c>
      <c r="AI31">
        <v>74853107</v>
      </c>
      <c r="AJ31">
        <v>25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ROW(Source!A240)</f>
        <v>240</v>
      </c>
      <c r="B32">
        <v>74853108</v>
      </c>
      <c r="C32">
        <v>74852524</v>
      </c>
      <c r="D32">
        <v>72528296</v>
      </c>
      <c r="E32">
        <v>114</v>
      </c>
      <c r="F32">
        <v>1</v>
      </c>
      <c r="G32">
        <v>1</v>
      </c>
      <c r="H32">
        <v>3</v>
      </c>
      <c r="I32" t="s">
        <v>525</v>
      </c>
      <c r="J32" t="s">
        <v>6</v>
      </c>
      <c r="K32" t="s">
        <v>526</v>
      </c>
      <c r="L32">
        <v>1327</v>
      </c>
      <c r="N32">
        <v>1005</v>
      </c>
      <c r="O32" t="s">
        <v>145</v>
      </c>
      <c r="P32" t="s">
        <v>145</v>
      </c>
      <c r="Q32">
        <v>1</v>
      </c>
      <c r="X32">
        <v>102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 t="s">
        <v>6</v>
      </c>
      <c r="AG32">
        <v>102</v>
      </c>
      <c r="AH32">
        <v>3</v>
      </c>
      <c r="AI32">
        <v>-1</v>
      </c>
      <c r="AJ32" t="s">
        <v>6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ROW(Source!A240)</f>
        <v>240</v>
      </c>
      <c r="B33">
        <v>74853109</v>
      </c>
      <c r="C33">
        <v>74852524</v>
      </c>
      <c r="D33">
        <v>72602142</v>
      </c>
      <c r="E33">
        <v>1</v>
      </c>
      <c r="F33">
        <v>1</v>
      </c>
      <c r="G33">
        <v>1</v>
      </c>
      <c r="H33">
        <v>3</v>
      </c>
      <c r="I33" t="s">
        <v>413</v>
      </c>
      <c r="J33" t="s">
        <v>414</v>
      </c>
      <c r="K33" t="s">
        <v>415</v>
      </c>
      <c r="L33">
        <v>1346</v>
      </c>
      <c r="N33">
        <v>1009</v>
      </c>
      <c r="O33" t="s">
        <v>217</v>
      </c>
      <c r="P33" t="s">
        <v>217</v>
      </c>
      <c r="Q33">
        <v>1</v>
      </c>
      <c r="X33">
        <v>0.5</v>
      </c>
      <c r="Y33">
        <v>56.11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6</v>
      </c>
      <c r="AG33">
        <v>0.5</v>
      </c>
      <c r="AH33">
        <v>2</v>
      </c>
      <c r="AI33">
        <v>74853109</v>
      </c>
      <c r="AJ33">
        <v>26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ROW(Source!A240)</f>
        <v>240</v>
      </c>
      <c r="B34">
        <v>74853110</v>
      </c>
      <c r="C34">
        <v>74852524</v>
      </c>
      <c r="D34">
        <v>72531465</v>
      </c>
      <c r="E34">
        <v>114</v>
      </c>
      <c r="F34">
        <v>1</v>
      </c>
      <c r="G34">
        <v>1</v>
      </c>
      <c r="H34">
        <v>3</v>
      </c>
      <c r="I34" t="s">
        <v>527</v>
      </c>
      <c r="J34" t="s">
        <v>6</v>
      </c>
      <c r="K34" t="s">
        <v>528</v>
      </c>
      <c r="L34">
        <v>1346</v>
      </c>
      <c r="N34">
        <v>1009</v>
      </c>
      <c r="O34" t="s">
        <v>217</v>
      </c>
      <c r="P34" t="s">
        <v>217</v>
      </c>
      <c r="Q34">
        <v>1</v>
      </c>
      <c r="X34">
        <v>50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 t="s">
        <v>6</v>
      </c>
      <c r="AG34">
        <v>50</v>
      </c>
      <c r="AH34">
        <v>3</v>
      </c>
      <c r="AI34">
        <v>-1</v>
      </c>
      <c r="AJ34" t="s">
        <v>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ROW(Source!A243)</f>
        <v>243</v>
      </c>
      <c r="B35">
        <v>74853113</v>
      </c>
      <c r="C35">
        <v>74852541</v>
      </c>
      <c r="D35">
        <v>72527812</v>
      </c>
      <c r="E35">
        <v>114</v>
      </c>
      <c r="F35">
        <v>1</v>
      </c>
      <c r="G35">
        <v>1</v>
      </c>
      <c r="H35">
        <v>1</v>
      </c>
      <c r="I35" t="s">
        <v>416</v>
      </c>
      <c r="J35" t="s">
        <v>6</v>
      </c>
      <c r="K35" t="s">
        <v>417</v>
      </c>
      <c r="L35">
        <v>1191</v>
      </c>
      <c r="N35">
        <v>1013</v>
      </c>
      <c r="O35" t="s">
        <v>383</v>
      </c>
      <c r="P35" t="s">
        <v>383</v>
      </c>
      <c r="Q35">
        <v>1</v>
      </c>
      <c r="X35">
        <v>6.68</v>
      </c>
      <c r="Y35">
        <v>0</v>
      </c>
      <c r="Z35">
        <v>0</v>
      </c>
      <c r="AA35">
        <v>0</v>
      </c>
      <c r="AB35">
        <v>319.92</v>
      </c>
      <c r="AC35">
        <v>0</v>
      </c>
      <c r="AD35">
        <v>1</v>
      </c>
      <c r="AE35">
        <v>1</v>
      </c>
      <c r="AF35" t="s">
        <v>117</v>
      </c>
      <c r="AG35">
        <v>7.6819999999999995</v>
      </c>
      <c r="AH35">
        <v>2</v>
      </c>
      <c r="AI35">
        <v>74853113</v>
      </c>
      <c r="AJ35">
        <v>27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ROW(Source!A243)</f>
        <v>243</v>
      </c>
      <c r="B36">
        <v>74853114</v>
      </c>
      <c r="C36">
        <v>74852541</v>
      </c>
      <c r="D36">
        <v>72527995</v>
      </c>
      <c r="E36">
        <v>114</v>
      </c>
      <c r="F36">
        <v>1</v>
      </c>
      <c r="G36">
        <v>1</v>
      </c>
      <c r="H36">
        <v>1</v>
      </c>
      <c r="I36" t="s">
        <v>384</v>
      </c>
      <c r="J36" t="s">
        <v>6</v>
      </c>
      <c r="K36" t="s">
        <v>385</v>
      </c>
      <c r="L36">
        <v>1191</v>
      </c>
      <c r="N36">
        <v>1013</v>
      </c>
      <c r="O36" t="s">
        <v>383</v>
      </c>
      <c r="P36" t="s">
        <v>383</v>
      </c>
      <c r="Q36">
        <v>1</v>
      </c>
      <c r="X36">
        <v>0.04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2</v>
      </c>
      <c r="AF36" t="s">
        <v>116</v>
      </c>
      <c r="AG36">
        <v>0.05</v>
      </c>
      <c r="AH36">
        <v>2</v>
      </c>
      <c r="AI36">
        <v>74853114</v>
      </c>
      <c r="AJ36">
        <v>28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ROW(Source!A243)</f>
        <v>243</v>
      </c>
      <c r="B37">
        <v>74853115</v>
      </c>
      <c r="C37">
        <v>74852541</v>
      </c>
      <c r="D37">
        <v>72652626</v>
      </c>
      <c r="E37">
        <v>1</v>
      </c>
      <c r="F37">
        <v>1</v>
      </c>
      <c r="G37">
        <v>1</v>
      </c>
      <c r="H37">
        <v>2</v>
      </c>
      <c r="I37" t="s">
        <v>386</v>
      </c>
      <c r="J37" t="s">
        <v>387</v>
      </c>
      <c r="K37" t="s">
        <v>388</v>
      </c>
      <c r="L37">
        <v>1368</v>
      </c>
      <c r="N37">
        <v>1011</v>
      </c>
      <c r="O37" t="s">
        <v>389</v>
      </c>
      <c r="P37" t="s">
        <v>389</v>
      </c>
      <c r="Q37">
        <v>1</v>
      </c>
      <c r="X37">
        <v>5.0000000000000001E-3</v>
      </c>
      <c r="Y37">
        <v>0</v>
      </c>
      <c r="Z37">
        <v>37.32</v>
      </c>
      <c r="AA37">
        <v>297.43</v>
      </c>
      <c r="AB37">
        <v>0</v>
      </c>
      <c r="AC37">
        <v>0</v>
      </c>
      <c r="AD37">
        <v>1</v>
      </c>
      <c r="AE37">
        <v>0</v>
      </c>
      <c r="AF37" t="s">
        <v>116</v>
      </c>
      <c r="AG37">
        <v>6.2500000000000003E-3</v>
      </c>
      <c r="AH37">
        <v>2</v>
      </c>
      <c r="AI37">
        <v>74853115</v>
      </c>
      <c r="AJ37">
        <v>29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ROW(Source!A243)</f>
        <v>243</v>
      </c>
      <c r="B38">
        <v>74853116</v>
      </c>
      <c r="C38">
        <v>74852541</v>
      </c>
      <c r="D38">
        <v>72653331</v>
      </c>
      <c r="E38">
        <v>1</v>
      </c>
      <c r="F38">
        <v>1</v>
      </c>
      <c r="G38">
        <v>1</v>
      </c>
      <c r="H38">
        <v>2</v>
      </c>
      <c r="I38" t="s">
        <v>409</v>
      </c>
      <c r="J38" t="s">
        <v>410</v>
      </c>
      <c r="K38" t="s">
        <v>411</v>
      </c>
      <c r="L38">
        <v>1368</v>
      </c>
      <c r="N38">
        <v>1011</v>
      </c>
      <c r="O38" t="s">
        <v>389</v>
      </c>
      <c r="P38" t="s">
        <v>389</v>
      </c>
      <c r="Q38">
        <v>1</v>
      </c>
      <c r="X38">
        <v>0.03</v>
      </c>
      <c r="Y38">
        <v>0</v>
      </c>
      <c r="Z38">
        <v>611</v>
      </c>
      <c r="AA38">
        <v>334.92</v>
      </c>
      <c r="AB38">
        <v>0</v>
      </c>
      <c r="AC38">
        <v>0</v>
      </c>
      <c r="AD38">
        <v>1</v>
      </c>
      <c r="AE38">
        <v>0</v>
      </c>
      <c r="AF38" t="s">
        <v>116</v>
      </c>
      <c r="AG38">
        <v>3.7499999999999999E-2</v>
      </c>
      <c r="AH38">
        <v>2</v>
      </c>
      <c r="AI38">
        <v>74853116</v>
      </c>
      <c r="AJ38">
        <v>30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ROW(Source!A243)</f>
        <v>243</v>
      </c>
      <c r="B39">
        <v>74853117</v>
      </c>
      <c r="C39">
        <v>74852541</v>
      </c>
      <c r="D39">
        <v>72599529</v>
      </c>
      <c r="E39">
        <v>1</v>
      </c>
      <c r="F39">
        <v>1</v>
      </c>
      <c r="G39">
        <v>1</v>
      </c>
      <c r="H39">
        <v>3</v>
      </c>
      <c r="I39" t="s">
        <v>418</v>
      </c>
      <c r="J39" t="s">
        <v>419</v>
      </c>
      <c r="K39" t="s">
        <v>420</v>
      </c>
      <c r="L39">
        <v>1383</v>
      </c>
      <c r="N39">
        <v>1013</v>
      </c>
      <c r="O39" t="s">
        <v>421</v>
      </c>
      <c r="P39" t="s">
        <v>421</v>
      </c>
      <c r="Q39">
        <v>1</v>
      </c>
      <c r="X39">
        <v>2.5407999999999999</v>
      </c>
      <c r="Y39">
        <v>7.94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6</v>
      </c>
      <c r="AG39">
        <v>2.5407999999999999</v>
      </c>
      <c r="AH39">
        <v>2</v>
      </c>
      <c r="AI39">
        <v>74853117</v>
      </c>
      <c r="AJ39">
        <v>31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ROW(Source!A243)</f>
        <v>243</v>
      </c>
      <c r="B40">
        <v>74853118</v>
      </c>
      <c r="C40">
        <v>74852541</v>
      </c>
      <c r="D40">
        <v>72601076</v>
      </c>
      <c r="E40">
        <v>1</v>
      </c>
      <c r="F40">
        <v>1</v>
      </c>
      <c r="G40">
        <v>1</v>
      </c>
      <c r="H40">
        <v>3</v>
      </c>
      <c r="I40" t="s">
        <v>422</v>
      </c>
      <c r="J40" t="s">
        <v>423</v>
      </c>
      <c r="K40" t="s">
        <v>424</v>
      </c>
      <c r="L40">
        <v>1407</v>
      </c>
      <c r="N40">
        <v>1013</v>
      </c>
      <c r="O40" t="s">
        <v>425</v>
      </c>
      <c r="P40" t="s">
        <v>425</v>
      </c>
      <c r="Q40">
        <v>1</v>
      </c>
      <c r="X40">
        <v>0.26300000000000001</v>
      </c>
      <c r="Y40">
        <v>174.13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6</v>
      </c>
      <c r="AG40">
        <v>0.26300000000000001</v>
      </c>
      <c r="AH40">
        <v>2</v>
      </c>
      <c r="AI40">
        <v>74853118</v>
      </c>
      <c r="AJ40">
        <v>32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ROW(Source!A243)</f>
        <v>243</v>
      </c>
      <c r="B41">
        <v>74853119</v>
      </c>
      <c r="C41">
        <v>74852541</v>
      </c>
      <c r="D41">
        <v>72601377</v>
      </c>
      <c r="E41">
        <v>1</v>
      </c>
      <c r="F41">
        <v>1</v>
      </c>
      <c r="G41">
        <v>1</v>
      </c>
      <c r="H41">
        <v>3</v>
      </c>
      <c r="I41" t="s">
        <v>426</v>
      </c>
      <c r="J41" t="s">
        <v>427</v>
      </c>
      <c r="K41" t="s">
        <v>428</v>
      </c>
      <c r="L41">
        <v>1425</v>
      </c>
      <c r="N41">
        <v>1013</v>
      </c>
      <c r="O41" t="s">
        <v>222</v>
      </c>
      <c r="P41" t="s">
        <v>222</v>
      </c>
      <c r="Q41">
        <v>1</v>
      </c>
      <c r="X41">
        <v>2.63</v>
      </c>
      <c r="Y41">
        <v>88.86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6</v>
      </c>
      <c r="AG41">
        <v>2.63</v>
      </c>
      <c r="AH41">
        <v>2</v>
      </c>
      <c r="AI41">
        <v>74853119</v>
      </c>
      <c r="AJ41">
        <v>33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ROW(Source!A243)</f>
        <v>243</v>
      </c>
      <c r="B42">
        <v>74853120</v>
      </c>
      <c r="C42">
        <v>74852541</v>
      </c>
      <c r="D42">
        <v>72531075</v>
      </c>
      <c r="E42">
        <v>114</v>
      </c>
      <c r="F42">
        <v>1</v>
      </c>
      <c r="G42">
        <v>1</v>
      </c>
      <c r="H42">
        <v>3</v>
      </c>
      <c r="I42" t="s">
        <v>529</v>
      </c>
      <c r="J42" t="s">
        <v>6</v>
      </c>
      <c r="K42" t="s">
        <v>530</v>
      </c>
      <c r="L42">
        <v>1301</v>
      </c>
      <c r="N42">
        <v>1003</v>
      </c>
      <c r="O42" t="s">
        <v>157</v>
      </c>
      <c r="P42" t="s">
        <v>157</v>
      </c>
      <c r="Q42">
        <v>1</v>
      </c>
      <c r="X42">
        <v>101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t="s">
        <v>6</v>
      </c>
      <c r="AG42">
        <v>101</v>
      </c>
      <c r="AH42">
        <v>3</v>
      </c>
      <c r="AI42">
        <v>-1</v>
      </c>
      <c r="AJ42" t="s">
        <v>6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ROW(Source!A243)</f>
        <v>243</v>
      </c>
      <c r="B43">
        <v>74853121</v>
      </c>
      <c r="C43">
        <v>74852541</v>
      </c>
      <c r="D43">
        <v>72611754</v>
      </c>
      <c r="E43">
        <v>1</v>
      </c>
      <c r="F43">
        <v>1</v>
      </c>
      <c r="G43">
        <v>1</v>
      </c>
      <c r="H43">
        <v>3</v>
      </c>
      <c r="I43" t="s">
        <v>429</v>
      </c>
      <c r="J43" t="s">
        <v>430</v>
      </c>
      <c r="K43" t="s">
        <v>431</v>
      </c>
      <c r="L43">
        <v>1425</v>
      </c>
      <c r="N43">
        <v>1013</v>
      </c>
      <c r="O43" t="s">
        <v>222</v>
      </c>
      <c r="P43" t="s">
        <v>222</v>
      </c>
      <c r="Q43">
        <v>1</v>
      </c>
      <c r="X43">
        <v>0.16</v>
      </c>
      <c r="Y43">
        <v>1815.16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6</v>
      </c>
      <c r="AG43">
        <v>0.16</v>
      </c>
      <c r="AH43">
        <v>2</v>
      </c>
      <c r="AI43">
        <v>74853121</v>
      </c>
      <c r="AJ43">
        <v>34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ROW(Source!A243)</f>
        <v>243</v>
      </c>
      <c r="B44">
        <v>74853122</v>
      </c>
      <c r="C44">
        <v>74852541</v>
      </c>
      <c r="D44">
        <v>72611755</v>
      </c>
      <c r="E44">
        <v>1</v>
      </c>
      <c r="F44">
        <v>1</v>
      </c>
      <c r="G44">
        <v>1</v>
      </c>
      <c r="H44">
        <v>3</v>
      </c>
      <c r="I44" t="s">
        <v>432</v>
      </c>
      <c r="J44" t="s">
        <v>433</v>
      </c>
      <c r="K44" t="s">
        <v>434</v>
      </c>
      <c r="L44">
        <v>1425</v>
      </c>
      <c r="N44">
        <v>1013</v>
      </c>
      <c r="O44" t="s">
        <v>222</v>
      </c>
      <c r="P44" t="s">
        <v>222</v>
      </c>
      <c r="Q44">
        <v>1</v>
      </c>
      <c r="X44">
        <v>0.4</v>
      </c>
      <c r="Y44">
        <v>1448.4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6</v>
      </c>
      <c r="AG44">
        <v>0.4</v>
      </c>
      <c r="AH44">
        <v>2</v>
      </c>
      <c r="AI44">
        <v>74853122</v>
      </c>
      <c r="AJ44">
        <v>35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ROW(Source!A243)</f>
        <v>243</v>
      </c>
      <c r="B45">
        <v>74853123</v>
      </c>
      <c r="C45">
        <v>74852541</v>
      </c>
      <c r="D45">
        <v>72611756</v>
      </c>
      <c r="E45">
        <v>1</v>
      </c>
      <c r="F45">
        <v>1</v>
      </c>
      <c r="G45">
        <v>1</v>
      </c>
      <c r="H45">
        <v>3</v>
      </c>
      <c r="I45" t="s">
        <v>435</v>
      </c>
      <c r="J45" t="s">
        <v>436</v>
      </c>
      <c r="K45" t="s">
        <v>437</v>
      </c>
      <c r="L45">
        <v>1425</v>
      </c>
      <c r="N45">
        <v>1013</v>
      </c>
      <c r="O45" t="s">
        <v>222</v>
      </c>
      <c r="P45" t="s">
        <v>222</v>
      </c>
      <c r="Q45">
        <v>1</v>
      </c>
      <c r="X45">
        <v>0.14000000000000001</v>
      </c>
      <c r="Y45">
        <v>1275.1199999999999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6</v>
      </c>
      <c r="AG45">
        <v>0.14000000000000001</v>
      </c>
      <c r="AH45">
        <v>2</v>
      </c>
      <c r="AI45">
        <v>74853123</v>
      </c>
      <c r="AJ45">
        <v>36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ROW(Source!A245)</f>
        <v>245</v>
      </c>
      <c r="B46">
        <v>74853125</v>
      </c>
      <c r="C46">
        <v>74852565</v>
      </c>
      <c r="D46">
        <v>72527800</v>
      </c>
      <c r="E46">
        <v>114</v>
      </c>
      <c r="F46">
        <v>1</v>
      </c>
      <c r="G46">
        <v>1</v>
      </c>
      <c r="H46">
        <v>1</v>
      </c>
      <c r="I46" t="s">
        <v>391</v>
      </c>
      <c r="J46" t="s">
        <v>6</v>
      </c>
      <c r="K46" t="s">
        <v>392</v>
      </c>
      <c r="L46">
        <v>1191</v>
      </c>
      <c r="N46">
        <v>1013</v>
      </c>
      <c r="O46" t="s">
        <v>383</v>
      </c>
      <c r="P46" t="s">
        <v>383</v>
      </c>
      <c r="Q46">
        <v>1</v>
      </c>
      <c r="X46">
        <v>16.64</v>
      </c>
      <c r="Y46">
        <v>0</v>
      </c>
      <c r="Z46">
        <v>0</v>
      </c>
      <c r="AA46">
        <v>0</v>
      </c>
      <c r="AB46">
        <v>297.43</v>
      </c>
      <c r="AC46">
        <v>0</v>
      </c>
      <c r="AD46">
        <v>1</v>
      </c>
      <c r="AE46">
        <v>1</v>
      </c>
      <c r="AF46" t="s">
        <v>117</v>
      </c>
      <c r="AG46">
        <v>19.135999999999999</v>
      </c>
      <c r="AH46">
        <v>2</v>
      </c>
      <c r="AI46">
        <v>74853125</v>
      </c>
      <c r="AJ46">
        <v>37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ROW(Source!A245)</f>
        <v>245</v>
      </c>
      <c r="B47">
        <v>74853126</v>
      </c>
      <c r="C47">
        <v>74852565</v>
      </c>
      <c r="D47">
        <v>72599529</v>
      </c>
      <c r="E47">
        <v>1</v>
      </c>
      <c r="F47">
        <v>1</v>
      </c>
      <c r="G47">
        <v>1</v>
      </c>
      <c r="H47">
        <v>3</v>
      </c>
      <c r="I47" t="s">
        <v>418</v>
      </c>
      <c r="J47" t="s">
        <v>419</v>
      </c>
      <c r="K47" t="s">
        <v>420</v>
      </c>
      <c r="L47">
        <v>1383</v>
      </c>
      <c r="N47">
        <v>1013</v>
      </c>
      <c r="O47" t="s">
        <v>421</v>
      </c>
      <c r="P47" t="s">
        <v>421</v>
      </c>
      <c r="Q47">
        <v>1</v>
      </c>
      <c r="X47">
        <v>6.8760000000000003</v>
      </c>
      <c r="Y47">
        <v>7.94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6</v>
      </c>
      <c r="AG47">
        <v>6.8760000000000003</v>
      </c>
      <c r="AH47">
        <v>2</v>
      </c>
      <c r="AI47">
        <v>74853126</v>
      </c>
      <c r="AJ47">
        <v>38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ROW(Source!A245)</f>
        <v>245</v>
      </c>
      <c r="B48">
        <v>74853127</v>
      </c>
      <c r="C48">
        <v>74852565</v>
      </c>
      <c r="D48">
        <v>72601377</v>
      </c>
      <c r="E48">
        <v>1</v>
      </c>
      <c r="F48">
        <v>1</v>
      </c>
      <c r="G48">
        <v>1</v>
      </c>
      <c r="H48">
        <v>3</v>
      </c>
      <c r="I48" t="s">
        <v>426</v>
      </c>
      <c r="J48" t="s">
        <v>427</v>
      </c>
      <c r="K48" t="s">
        <v>428</v>
      </c>
      <c r="L48">
        <v>1425</v>
      </c>
      <c r="N48">
        <v>1013</v>
      </c>
      <c r="O48" t="s">
        <v>222</v>
      </c>
      <c r="P48" t="s">
        <v>222</v>
      </c>
      <c r="Q48">
        <v>1</v>
      </c>
      <c r="X48">
        <v>6.7</v>
      </c>
      <c r="Y48">
        <v>88.86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6</v>
      </c>
      <c r="AG48">
        <v>6.7</v>
      </c>
      <c r="AH48">
        <v>2</v>
      </c>
      <c r="AI48">
        <v>74853127</v>
      </c>
      <c r="AJ48">
        <v>39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ROW(Source!A245)</f>
        <v>245</v>
      </c>
      <c r="B49">
        <v>74853128</v>
      </c>
      <c r="C49">
        <v>74852565</v>
      </c>
      <c r="D49">
        <v>72530694</v>
      </c>
      <c r="E49">
        <v>114</v>
      </c>
      <c r="F49">
        <v>1</v>
      </c>
      <c r="G49">
        <v>1</v>
      </c>
      <c r="H49">
        <v>3</v>
      </c>
      <c r="I49" t="s">
        <v>531</v>
      </c>
      <c r="J49" t="s">
        <v>6</v>
      </c>
      <c r="K49" t="s">
        <v>532</v>
      </c>
      <c r="L49">
        <v>1301</v>
      </c>
      <c r="N49">
        <v>1003</v>
      </c>
      <c r="O49" t="s">
        <v>157</v>
      </c>
      <c r="P49" t="s">
        <v>157</v>
      </c>
      <c r="Q49">
        <v>1</v>
      </c>
      <c r="X49">
        <v>105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s">
        <v>6</v>
      </c>
      <c r="AG49">
        <v>105</v>
      </c>
      <c r="AH49">
        <v>3</v>
      </c>
      <c r="AI49">
        <v>-1</v>
      </c>
      <c r="AJ49" t="s">
        <v>6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ROW(Source!A248)</f>
        <v>248</v>
      </c>
      <c r="B50">
        <v>74853130</v>
      </c>
      <c r="C50">
        <v>74852576</v>
      </c>
      <c r="D50">
        <v>72527766</v>
      </c>
      <c r="E50">
        <v>114</v>
      </c>
      <c r="F50">
        <v>1</v>
      </c>
      <c r="G50">
        <v>1</v>
      </c>
      <c r="H50">
        <v>1</v>
      </c>
      <c r="I50" t="s">
        <v>438</v>
      </c>
      <c r="J50" t="s">
        <v>6</v>
      </c>
      <c r="K50" t="s">
        <v>439</v>
      </c>
      <c r="L50">
        <v>1191</v>
      </c>
      <c r="N50">
        <v>1013</v>
      </c>
      <c r="O50" t="s">
        <v>383</v>
      </c>
      <c r="P50" t="s">
        <v>383</v>
      </c>
      <c r="Q50">
        <v>1</v>
      </c>
      <c r="X50">
        <v>74.3</v>
      </c>
      <c r="Y50">
        <v>0</v>
      </c>
      <c r="Z50">
        <v>0</v>
      </c>
      <c r="AA50">
        <v>0</v>
      </c>
      <c r="AB50">
        <v>274.93</v>
      </c>
      <c r="AC50">
        <v>0</v>
      </c>
      <c r="AD50">
        <v>1</v>
      </c>
      <c r="AE50">
        <v>1</v>
      </c>
      <c r="AF50" t="s">
        <v>6</v>
      </c>
      <c r="AG50">
        <v>74.3</v>
      </c>
      <c r="AH50">
        <v>2</v>
      </c>
      <c r="AI50">
        <v>74853130</v>
      </c>
      <c r="AJ50">
        <v>40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ROW(Source!A248)</f>
        <v>248</v>
      </c>
      <c r="B51">
        <v>74853131</v>
      </c>
      <c r="C51">
        <v>74852576</v>
      </c>
      <c r="D51">
        <v>72527995</v>
      </c>
      <c r="E51">
        <v>114</v>
      </c>
      <c r="F51">
        <v>1</v>
      </c>
      <c r="G51">
        <v>1</v>
      </c>
      <c r="H51">
        <v>1</v>
      </c>
      <c r="I51" t="s">
        <v>384</v>
      </c>
      <c r="J51" t="s">
        <v>6</v>
      </c>
      <c r="K51" t="s">
        <v>385</v>
      </c>
      <c r="L51">
        <v>1191</v>
      </c>
      <c r="N51">
        <v>1013</v>
      </c>
      <c r="O51" t="s">
        <v>383</v>
      </c>
      <c r="P51" t="s">
        <v>383</v>
      </c>
      <c r="Q51">
        <v>1</v>
      </c>
      <c r="X51">
        <v>0.35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2</v>
      </c>
      <c r="AF51" t="s">
        <v>6</v>
      </c>
      <c r="AG51">
        <v>0.35</v>
      </c>
      <c r="AH51">
        <v>2</v>
      </c>
      <c r="AI51">
        <v>74853131</v>
      </c>
      <c r="AJ51">
        <v>41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ROW(Source!A248)</f>
        <v>248</v>
      </c>
      <c r="B52">
        <v>74853132</v>
      </c>
      <c r="C52">
        <v>74852576</v>
      </c>
      <c r="D52">
        <v>72652626</v>
      </c>
      <c r="E52">
        <v>1</v>
      </c>
      <c r="F52">
        <v>1</v>
      </c>
      <c r="G52">
        <v>1</v>
      </c>
      <c r="H52">
        <v>2</v>
      </c>
      <c r="I52" t="s">
        <v>386</v>
      </c>
      <c r="J52" t="s">
        <v>387</v>
      </c>
      <c r="K52" t="s">
        <v>388</v>
      </c>
      <c r="L52">
        <v>1368</v>
      </c>
      <c r="N52">
        <v>1011</v>
      </c>
      <c r="O52" t="s">
        <v>389</v>
      </c>
      <c r="P52" t="s">
        <v>389</v>
      </c>
      <c r="Q52">
        <v>1</v>
      </c>
      <c r="X52">
        <v>0.35</v>
      </c>
      <c r="Y52">
        <v>0</v>
      </c>
      <c r="Z52">
        <v>37.32</v>
      </c>
      <c r="AA52">
        <v>297.43</v>
      </c>
      <c r="AB52">
        <v>0</v>
      </c>
      <c r="AC52">
        <v>0</v>
      </c>
      <c r="AD52">
        <v>1</v>
      </c>
      <c r="AE52">
        <v>0</v>
      </c>
      <c r="AF52" t="s">
        <v>6</v>
      </c>
      <c r="AG52">
        <v>0.35</v>
      </c>
      <c r="AH52">
        <v>2</v>
      </c>
      <c r="AI52">
        <v>74853132</v>
      </c>
      <c r="AJ52">
        <v>42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ROW(Source!A248)</f>
        <v>248</v>
      </c>
      <c r="B53">
        <v>74853133</v>
      </c>
      <c r="C53">
        <v>74852576</v>
      </c>
      <c r="D53">
        <v>72653546</v>
      </c>
      <c r="E53">
        <v>1</v>
      </c>
      <c r="F53">
        <v>1</v>
      </c>
      <c r="G53">
        <v>1</v>
      </c>
      <c r="H53">
        <v>2</v>
      </c>
      <c r="I53" t="s">
        <v>395</v>
      </c>
      <c r="J53" t="s">
        <v>396</v>
      </c>
      <c r="K53" t="s">
        <v>397</v>
      </c>
      <c r="L53">
        <v>1368</v>
      </c>
      <c r="N53">
        <v>1011</v>
      </c>
      <c r="O53" t="s">
        <v>389</v>
      </c>
      <c r="P53" t="s">
        <v>389</v>
      </c>
      <c r="Q53">
        <v>1</v>
      </c>
      <c r="X53">
        <v>1.64</v>
      </c>
      <c r="Y53">
        <v>0</v>
      </c>
      <c r="Z53">
        <v>115.43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6</v>
      </c>
      <c r="AG53">
        <v>1.64</v>
      </c>
      <c r="AH53">
        <v>2</v>
      </c>
      <c r="AI53">
        <v>74853133</v>
      </c>
      <c r="AJ53">
        <v>43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ROW(Source!A248)</f>
        <v>248</v>
      </c>
      <c r="B54">
        <v>74853134</v>
      </c>
      <c r="C54">
        <v>74852576</v>
      </c>
      <c r="D54">
        <v>72653934</v>
      </c>
      <c r="E54">
        <v>1</v>
      </c>
      <c r="F54">
        <v>1</v>
      </c>
      <c r="G54">
        <v>1</v>
      </c>
      <c r="H54">
        <v>2</v>
      </c>
      <c r="I54" t="s">
        <v>398</v>
      </c>
      <c r="J54" t="s">
        <v>399</v>
      </c>
      <c r="K54" t="s">
        <v>400</v>
      </c>
      <c r="L54">
        <v>1368</v>
      </c>
      <c r="N54">
        <v>1011</v>
      </c>
      <c r="O54" t="s">
        <v>389</v>
      </c>
      <c r="P54" t="s">
        <v>389</v>
      </c>
      <c r="Q54">
        <v>1</v>
      </c>
      <c r="X54">
        <v>3.28</v>
      </c>
      <c r="Y54">
        <v>0</v>
      </c>
      <c r="Z54">
        <v>2.92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6</v>
      </c>
      <c r="AG54">
        <v>3.28</v>
      </c>
      <c r="AH54">
        <v>2</v>
      </c>
      <c r="AI54">
        <v>74853134</v>
      </c>
      <c r="AJ54">
        <v>44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ROW(Source!A248)</f>
        <v>248</v>
      </c>
      <c r="B55">
        <v>74853135</v>
      </c>
      <c r="C55">
        <v>74852576</v>
      </c>
      <c r="D55">
        <v>72533691</v>
      </c>
      <c r="E55">
        <v>114</v>
      </c>
      <c r="F55">
        <v>1</v>
      </c>
      <c r="G55">
        <v>1</v>
      </c>
      <c r="H55">
        <v>3</v>
      </c>
      <c r="I55" t="s">
        <v>521</v>
      </c>
      <c r="J55" t="s">
        <v>6</v>
      </c>
      <c r="K55" t="s">
        <v>522</v>
      </c>
      <c r="L55">
        <v>1348</v>
      </c>
      <c r="N55">
        <v>1009</v>
      </c>
      <c r="O55" t="s">
        <v>149</v>
      </c>
      <c r="P55" t="s">
        <v>149</v>
      </c>
      <c r="Q55">
        <v>1000</v>
      </c>
      <c r="X55">
        <v>4.41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t="s">
        <v>6</v>
      </c>
      <c r="AG55">
        <v>4.41</v>
      </c>
      <c r="AH55">
        <v>3</v>
      </c>
      <c r="AI55">
        <v>-1</v>
      </c>
      <c r="AJ55" t="s">
        <v>6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ROW(Source!A249)</f>
        <v>249</v>
      </c>
      <c r="B56">
        <v>74853137</v>
      </c>
      <c r="C56">
        <v>74852589</v>
      </c>
      <c r="D56">
        <v>72527760</v>
      </c>
      <c r="E56">
        <v>114</v>
      </c>
      <c r="F56">
        <v>1</v>
      </c>
      <c r="G56">
        <v>1</v>
      </c>
      <c r="H56">
        <v>1</v>
      </c>
      <c r="I56" t="s">
        <v>381</v>
      </c>
      <c r="J56" t="s">
        <v>6</v>
      </c>
      <c r="K56" t="s">
        <v>382</v>
      </c>
      <c r="L56">
        <v>1191</v>
      </c>
      <c r="N56">
        <v>1013</v>
      </c>
      <c r="O56" t="s">
        <v>383</v>
      </c>
      <c r="P56" t="s">
        <v>383</v>
      </c>
      <c r="Q56">
        <v>1</v>
      </c>
      <c r="X56">
        <v>22.82</v>
      </c>
      <c r="Y56">
        <v>0</v>
      </c>
      <c r="Z56">
        <v>0</v>
      </c>
      <c r="AA56">
        <v>0</v>
      </c>
      <c r="AB56">
        <v>272.43</v>
      </c>
      <c r="AC56">
        <v>0</v>
      </c>
      <c r="AD56">
        <v>1</v>
      </c>
      <c r="AE56">
        <v>1</v>
      </c>
      <c r="AF56" t="s">
        <v>6</v>
      </c>
      <c r="AG56">
        <v>22.82</v>
      </c>
      <c r="AH56">
        <v>2</v>
      </c>
      <c r="AI56">
        <v>74853137</v>
      </c>
      <c r="AJ56">
        <v>45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ROW(Source!A249)</f>
        <v>249</v>
      </c>
      <c r="B57">
        <v>74853138</v>
      </c>
      <c r="C57">
        <v>74852589</v>
      </c>
      <c r="D57">
        <v>72533691</v>
      </c>
      <c r="E57">
        <v>114</v>
      </c>
      <c r="F57">
        <v>1</v>
      </c>
      <c r="G57">
        <v>1</v>
      </c>
      <c r="H57">
        <v>3</v>
      </c>
      <c r="I57" t="s">
        <v>521</v>
      </c>
      <c r="J57" t="s">
        <v>6</v>
      </c>
      <c r="K57" t="s">
        <v>522</v>
      </c>
      <c r="L57">
        <v>1348</v>
      </c>
      <c r="N57">
        <v>1009</v>
      </c>
      <c r="O57" t="s">
        <v>149</v>
      </c>
      <c r="P57" t="s">
        <v>149</v>
      </c>
      <c r="Q57">
        <v>1000</v>
      </c>
      <c r="X57">
        <v>4.5999999999999996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 t="s">
        <v>6</v>
      </c>
      <c r="AG57">
        <v>4.5999999999999996</v>
      </c>
      <c r="AH57">
        <v>3</v>
      </c>
      <c r="AI57">
        <v>-1</v>
      </c>
      <c r="AJ57" t="s">
        <v>6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ROW(Source!A250)</f>
        <v>250</v>
      </c>
      <c r="B58">
        <v>74852902</v>
      </c>
      <c r="C58">
        <v>74852594</v>
      </c>
      <c r="D58">
        <v>72527818</v>
      </c>
      <c r="E58">
        <v>114</v>
      </c>
      <c r="F58">
        <v>1</v>
      </c>
      <c r="G58">
        <v>1</v>
      </c>
      <c r="H58">
        <v>1</v>
      </c>
      <c r="I58" t="s">
        <v>440</v>
      </c>
      <c r="J58" t="s">
        <v>6</v>
      </c>
      <c r="K58" t="s">
        <v>441</v>
      </c>
      <c r="L58">
        <v>1191</v>
      </c>
      <c r="N58">
        <v>1013</v>
      </c>
      <c r="O58" t="s">
        <v>383</v>
      </c>
      <c r="P58" t="s">
        <v>383</v>
      </c>
      <c r="Q58">
        <v>1</v>
      </c>
      <c r="X58">
        <v>74</v>
      </c>
      <c r="Y58">
        <v>0</v>
      </c>
      <c r="Z58">
        <v>0</v>
      </c>
      <c r="AA58">
        <v>0</v>
      </c>
      <c r="AB58">
        <v>327.42</v>
      </c>
      <c r="AC58">
        <v>0</v>
      </c>
      <c r="AD58">
        <v>1</v>
      </c>
      <c r="AE58">
        <v>1</v>
      </c>
      <c r="AF58" t="s">
        <v>117</v>
      </c>
      <c r="AG58">
        <v>85.1</v>
      </c>
      <c r="AH58">
        <v>2</v>
      </c>
      <c r="AI58">
        <v>74852902</v>
      </c>
      <c r="AJ58">
        <v>46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ROW(Source!A250)</f>
        <v>250</v>
      </c>
      <c r="B59">
        <v>74852903</v>
      </c>
      <c r="C59">
        <v>74852594</v>
      </c>
      <c r="D59">
        <v>72527995</v>
      </c>
      <c r="E59">
        <v>114</v>
      </c>
      <c r="F59">
        <v>1</v>
      </c>
      <c r="G59">
        <v>1</v>
      </c>
      <c r="H59">
        <v>1</v>
      </c>
      <c r="I59" t="s">
        <v>384</v>
      </c>
      <c r="J59" t="s">
        <v>6</v>
      </c>
      <c r="K59" t="s">
        <v>385</v>
      </c>
      <c r="L59">
        <v>1191</v>
      </c>
      <c r="N59">
        <v>1013</v>
      </c>
      <c r="O59" t="s">
        <v>383</v>
      </c>
      <c r="P59" t="s">
        <v>383</v>
      </c>
      <c r="Q59">
        <v>1</v>
      </c>
      <c r="X59">
        <v>5.54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2</v>
      </c>
      <c r="AF59" t="s">
        <v>116</v>
      </c>
      <c r="AG59">
        <v>6.9249999999999998</v>
      </c>
      <c r="AH59">
        <v>2</v>
      </c>
      <c r="AI59">
        <v>74852903</v>
      </c>
      <c r="AJ59">
        <v>47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ROW(Source!A250)</f>
        <v>250</v>
      </c>
      <c r="B60">
        <v>74852904</v>
      </c>
      <c r="C60">
        <v>74852594</v>
      </c>
      <c r="D60">
        <v>72652626</v>
      </c>
      <c r="E60">
        <v>1</v>
      </c>
      <c r="F60">
        <v>1</v>
      </c>
      <c r="G60">
        <v>1</v>
      </c>
      <c r="H60">
        <v>2</v>
      </c>
      <c r="I60" t="s">
        <v>386</v>
      </c>
      <c r="J60" t="s">
        <v>387</v>
      </c>
      <c r="K60" t="s">
        <v>388</v>
      </c>
      <c r="L60">
        <v>1368</v>
      </c>
      <c r="N60">
        <v>1011</v>
      </c>
      <c r="O60" t="s">
        <v>389</v>
      </c>
      <c r="P60" t="s">
        <v>389</v>
      </c>
      <c r="Q60">
        <v>1</v>
      </c>
      <c r="X60">
        <v>0.84</v>
      </c>
      <c r="Y60">
        <v>0</v>
      </c>
      <c r="Z60">
        <v>37.32</v>
      </c>
      <c r="AA60">
        <v>297.43</v>
      </c>
      <c r="AB60">
        <v>0</v>
      </c>
      <c r="AC60">
        <v>0</v>
      </c>
      <c r="AD60">
        <v>1</v>
      </c>
      <c r="AE60">
        <v>0</v>
      </c>
      <c r="AF60" t="s">
        <v>116</v>
      </c>
      <c r="AG60">
        <v>1.05</v>
      </c>
      <c r="AH60">
        <v>2</v>
      </c>
      <c r="AI60">
        <v>74852904</v>
      </c>
      <c r="AJ60">
        <v>48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ROW(Source!A250)</f>
        <v>250</v>
      </c>
      <c r="B61">
        <v>74852905</v>
      </c>
      <c r="C61">
        <v>74852594</v>
      </c>
      <c r="D61">
        <v>72652722</v>
      </c>
      <c r="E61">
        <v>1</v>
      </c>
      <c r="F61">
        <v>1</v>
      </c>
      <c r="G61">
        <v>1</v>
      </c>
      <c r="H61">
        <v>2</v>
      </c>
      <c r="I61" t="s">
        <v>442</v>
      </c>
      <c r="J61" t="s">
        <v>443</v>
      </c>
      <c r="K61" t="s">
        <v>444</v>
      </c>
      <c r="L61">
        <v>1368</v>
      </c>
      <c r="N61">
        <v>1011</v>
      </c>
      <c r="O61" t="s">
        <v>389</v>
      </c>
      <c r="P61" t="s">
        <v>389</v>
      </c>
      <c r="Q61">
        <v>1</v>
      </c>
      <c r="X61">
        <v>4.7</v>
      </c>
      <c r="Y61">
        <v>0</v>
      </c>
      <c r="Z61">
        <v>10.81</v>
      </c>
      <c r="AA61">
        <v>297.43</v>
      </c>
      <c r="AB61">
        <v>0</v>
      </c>
      <c r="AC61">
        <v>0</v>
      </c>
      <c r="AD61">
        <v>1</v>
      </c>
      <c r="AE61">
        <v>0</v>
      </c>
      <c r="AF61" t="s">
        <v>116</v>
      </c>
      <c r="AG61">
        <v>5.875</v>
      </c>
      <c r="AH61">
        <v>2</v>
      </c>
      <c r="AI61">
        <v>74852905</v>
      </c>
      <c r="AJ61">
        <v>49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ROW(Source!A250)</f>
        <v>250</v>
      </c>
      <c r="B62">
        <v>74852906</v>
      </c>
      <c r="C62">
        <v>74852594</v>
      </c>
      <c r="D62">
        <v>72601061</v>
      </c>
      <c r="E62">
        <v>1</v>
      </c>
      <c r="F62">
        <v>1</v>
      </c>
      <c r="G62">
        <v>1</v>
      </c>
      <c r="H62">
        <v>3</v>
      </c>
      <c r="I62" t="s">
        <v>445</v>
      </c>
      <c r="J62" t="s">
        <v>446</v>
      </c>
      <c r="K62" t="s">
        <v>447</v>
      </c>
      <c r="L62">
        <v>1348</v>
      </c>
      <c r="N62">
        <v>1009</v>
      </c>
      <c r="O62" t="s">
        <v>149</v>
      </c>
      <c r="P62" t="s">
        <v>149</v>
      </c>
      <c r="Q62">
        <v>1000</v>
      </c>
      <c r="X62">
        <v>1.2E-4</v>
      </c>
      <c r="Y62">
        <v>76630.399999999994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6</v>
      </c>
      <c r="AG62">
        <v>1.2E-4</v>
      </c>
      <c r="AH62">
        <v>2</v>
      </c>
      <c r="AI62">
        <v>74852906</v>
      </c>
      <c r="AJ62">
        <v>50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ROW(Source!A250)</f>
        <v>250</v>
      </c>
      <c r="B63">
        <v>74852907</v>
      </c>
      <c r="C63">
        <v>74852594</v>
      </c>
      <c r="D63">
        <v>72602917</v>
      </c>
      <c r="E63">
        <v>1</v>
      </c>
      <c r="F63">
        <v>1</v>
      </c>
      <c r="G63">
        <v>1</v>
      </c>
      <c r="H63">
        <v>3</v>
      </c>
      <c r="I63" t="s">
        <v>448</v>
      </c>
      <c r="J63" t="s">
        <v>449</v>
      </c>
      <c r="K63" t="s">
        <v>450</v>
      </c>
      <c r="L63">
        <v>1348</v>
      </c>
      <c r="N63">
        <v>1009</v>
      </c>
      <c r="O63" t="s">
        <v>149</v>
      </c>
      <c r="P63" t="s">
        <v>149</v>
      </c>
      <c r="Q63">
        <v>1000</v>
      </c>
      <c r="X63">
        <v>6.0000000000000001E-3</v>
      </c>
      <c r="Y63">
        <v>4338.2700000000004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6</v>
      </c>
      <c r="AG63">
        <v>6.0000000000000001E-3</v>
      </c>
      <c r="AH63">
        <v>2</v>
      </c>
      <c r="AI63">
        <v>74852907</v>
      </c>
      <c r="AJ63">
        <v>51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ROW(Source!A250)</f>
        <v>250</v>
      </c>
      <c r="B64">
        <v>74852908</v>
      </c>
      <c r="C64">
        <v>74852594</v>
      </c>
      <c r="D64">
        <v>72603809</v>
      </c>
      <c r="E64">
        <v>1</v>
      </c>
      <c r="F64">
        <v>1</v>
      </c>
      <c r="G64">
        <v>1</v>
      </c>
      <c r="H64">
        <v>3</v>
      </c>
      <c r="I64" t="s">
        <v>451</v>
      </c>
      <c r="J64" t="s">
        <v>452</v>
      </c>
      <c r="K64" t="s">
        <v>453</v>
      </c>
      <c r="L64">
        <v>1339</v>
      </c>
      <c r="N64">
        <v>1007</v>
      </c>
      <c r="O64" t="s">
        <v>134</v>
      </c>
      <c r="P64" t="s">
        <v>134</v>
      </c>
      <c r="Q64">
        <v>1</v>
      </c>
      <c r="X64">
        <v>1.87</v>
      </c>
      <c r="Y64">
        <v>3392.36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6</v>
      </c>
      <c r="AG64">
        <v>1.87</v>
      </c>
      <c r="AH64">
        <v>2</v>
      </c>
      <c r="AI64">
        <v>74852908</v>
      </c>
      <c r="AJ64">
        <v>52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ROW(Source!A250)</f>
        <v>250</v>
      </c>
      <c r="B65">
        <v>74852909</v>
      </c>
      <c r="C65">
        <v>74852594</v>
      </c>
      <c r="D65">
        <v>72607893</v>
      </c>
      <c r="E65">
        <v>1</v>
      </c>
      <c r="F65">
        <v>1</v>
      </c>
      <c r="G65">
        <v>1</v>
      </c>
      <c r="H65">
        <v>3</v>
      </c>
      <c r="I65" t="s">
        <v>454</v>
      </c>
      <c r="J65" t="s">
        <v>455</v>
      </c>
      <c r="K65" t="s">
        <v>456</v>
      </c>
      <c r="L65">
        <v>1327</v>
      </c>
      <c r="N65">
        <v>1005</v>
      </c>
      <c r="O65" t="s">
        <v>145</v>
      </c>
      <c r="P65" t="s">
        <v>145</v>
      </c>
      <c r="Q65">
        <v>1</v>
      </c>
      <c r="X65">
        <v>5.54</v>
      </c>
      <c r="Y65">
        <v>353.61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6</v>
      </c>
      <c r="AG65">
        <v>5.54</v>
      </c>
      <c r="AH65">
        <v>2</v>
      </c>
      <c r="AI65">
        <v>74852909</v>
      </c>
      <c r="AJ65">
        <v>53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ROW(Source!A251)</f>
        <v>251</v>
      </c>
      <c r="B66">
        <v>74853140</v>
      </c>
      <c r="C66">
        <v>74852611</v>
      </c>
      <c r="D66">
        <v>72527808</v>
      </c>
      <c r="E66">
        <v>114</v>
      </c>
      <c r="F66">
        <v>1</v>
      </c>
      <c r="G66">
        <v>1</v>
      </c>
      <c r="H66">
        <v>1</v>
      </c>
      <c r="I66" t="s">
        <v>457</v>
      </c>
      <c r="J66" t="s">
        <v>6</v>
      </c>
      <c r="K66" t="s">
        <v>458</v>
      </c>
      <c r="L66">
        <v>1191</v>
      </c>
      <c r="N66">
        <v>1013</v>
      </c>
      <c r="O66" t="s">
        <v>383</v>
      </c>
      <c r="P66" t="s">
        <v>383</v>
      </c>
      <c r="Q66">
        <v>1</v>
      </c>
      <c r="X66">
        <v>80.77</v>
      </c>
      <c r="Y66">
        <v>0</v>
      </c>
      <c r="Z66">
        <v>0</v>
      </c>
      <c r="AA66">
        <v>0</v>
      </c>
      <c r="AB66">
        <v>312.43</v>
      </c>
      <c r="AC66">
        <v>0</v>
      </c>
      <c r="AD66">
        <v>1</v>
      </c>
      <c r="AE66">
        <v>1</v>
      </c>
      <c r="AF66" t="s">
        <v>117</v>
      </c>
      <c r="AG66">
        <v>92.885499999999993</v>
      </c>
      <c r="AH66">
        <v>2</v>
      </c>
      <c r="AI66">
        <v>74853140</v>
      </c>
      <c r="AJ66">
        <v>54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ROW(Source!A251)</f>
        <v>251</v>
      </c>
      <c r="B67">
        <v>74853141</v>
      </c>
      <c r="C67">
        <v>74852611</v>
      </c>
      <c r="D67">
        <v>72527995</v>
      </c>
      <c r="E67">
        <v>114</v>
      </c>
      <c r="F67">
        <v>1</v>
      </c>
      <c r="G67">
        <v>1</v>
      </c>
      <c r="H67">
        <v>1</v>
      </c>
      <c r="I67" t="s">
        <v>384</v>
      </c>
      <c r="J67" t="s">
        <v>6</v>
      </c>
      <c r="K67" t="s">
        <v>385</v>
      </c>
      <c r="L67">
        <v>1191</v>
      </c>
      <c r="N67">
        <v>1013</v>
      </c>
      <c r="O67" t="s">
        <v>383</v>
      </c>
      <c r="P67" t="s">
        <v>383</v>
      </c>
      <c r="Q67">
        <v>1</v>
      </c>
      <c r="X67">
        <v>0.14000000000000001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2</v>
      </c>
      <c r="AF67" t="s">
        <v>116</v>
      </c>
      <c r="AG67">
        <v>0.17500000000000002</v>
      </c>
      <c r="AH67">
        <v>2</v>
      </c>
      <c r="AI67">
        <v>74853141</v>
      </c>
      <c r="AJ67">
        <v>55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ROW(Source!A251)</f>
        <v>251</v>
      </c>
      <c r="B68">
        <v>74853142</v>
      </c>
      <c r="C68">
        <v>74852611</v>
      </c>
      <c r="D68">
        <v>72652623</v>
      </c>
      <c r="E68">
        <v>1</v>
      </c>
      <c r="F68">
        <v>1</v>
      </c>
      <c r="G68">
        <v>1</v>
      </c>
      <c r="H68">
        <v>2</v>
      </c>
      <c r="I68" t="s">
        <v>459</v>
      </c>
      <c r="J68" t="s">
        <v>460</v>
      </c>
      <c r="K68" t="s">
        <v>461</v>
      </c>
      <c r="L68">
        <v>1368</v>
      </c>
      <c r="N68">
        <v>1011</v>
      </c>
      <c r="O68" t="s">
        <v>389</v>
      </c>
      <c r="P68" t="s">
        <v>389</v>
      </c>
      <c r="Q68">
        <v>1</v>
      </c>
      <c r="X68">
        <v>0.14000000000000001</v>
      </c>
      <c r="Y68">
        <v>0</v>
      </c>
      <c r="Z68">
        <v>27.25</v>
      </c>
      <c r="AA68">
        <v>297.43</v>
      </c>
      <c r="AB68">
        <v>0</v>
      </c>
      <c r="AC68">
        <v>0</v>
      </c>
      <c r="AD68">
        <v>1</v>
      </c>
      <c r="AE68">
        <v>0</v>
      </c>
      <c r="AF68" t="s">
        <v>116</v>
      </c>
      <c r="AG68">
        <v>0.17500000000000002</v>
      </c>
      <c r="AH68">
        <v>2</v>
      </c>
      <c r="AI68">
        <v>74853142</v>
      </c>
      <c r="AJ68">
        <v>56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ROW(Source!A251)</f>
        <v>251</v>
      </c>
      <c r="B69">
        <v>74853143</v>
      </c>
      <c r="C69">
        <v>74852611</v>
      </c>
      <c r="D69">
        <v>72528228</v>
      </c>
      <c r="E69">
        <v>114</v>
      </c>
      <c r="F69">
        <v>1</v>
      </c>
      <c r="G69">
        <v>1</v>
      </c>
      <c r="H69">
        <v>3</v>
      </c>
      <c r="I69" t="s">
        <v>533</v>
      </c>
      <c r="J69" t="s">
        <v>6</v>
      </c>
      <c r="K69" t="s">
        <v>534</v>
      </c>
      <c r="L69">
        <v>1327</v>
      </c>
      <c r="N69">
        <v>1005</v>
      </c>
      <c r="O69" t="s">
        <v>145</v>
      </c>
      <c r="P69" t="s">
        <v>145</v>
      </c>
      <c r="Q69">
        <v>1</v>
      </c>
      <c r="X69">
        <v>105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6</v>
      </c>
      <c r="AG69">
        <v>105</v>
      </c>
      <c r="AH69">
        <v>3</v>
      </c>
      <c r="AI69">
        <v>-1</v>
      </c>
      <c r="AJ69" t="s">
        <v>6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ROW(Source!A251)</f>
        <v>251</v>
      </c>
      <c r="B70">
        <v>74853144</v>
      </c>
      <c r="C70">
        <v>74852611</v>
      </c>
      <c r="D70">
        <v>72599517</v>
      </c>
      <c r="E70">
        <v>1</v>
      </c>
      <c r="F70">
        <v>1</v>
      </c>
      <c r="G70">
        <v>1</v>
      </c>
      <c r="H70">
        <v>3</v>
      </c>
      <c r="I70" t="s">
        <v>404</v>
      </c>
      <c r="J70" t="s">
        <v>405</v>
      </c>
      <c r="K70" t="s">
        <v>406</v>
      </c>
      <c r="L70">
        <v>1339</v>
      </c>
      <c r="N70">
        <v>1007</v>
      </c>
      <c r="O70" t="s">
        <v>134</v>
      </c>
      <c r="P70" t="s">
        <v>134</v>
      </c>
      <c r="Q70">
        <v>1</v>
      </c>
      <c r="X70">
        <v>3.5000000000000003E-2</v>
      </c>
      <c r="Y70">
        <v>35.71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6</v>
      </c>
      <c r="AG70">
        <v>3.5000000000000003E-2</v>
      </c>
      <c r="AH70">
        <v>2</v>
      </c>
      <c r="AI70">
        <v>74853144</v>
      </c>
      <c r="AJ70">
        <v>57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ROW(Source!A251)</f>
        <v>251</v>
      </c>
      <c r="B71">
        <v>74853145</v>
      </c>
      <c r="C71">
        <v>74852611</v>
      </c>
      <c r="D71">
        <v>72599529</v>
      </c>
      <c r="E71">
        <v>1</v>
      </c>
      <c r="F71">
        <v>1</v>
      </c>
      <c r="G71">
        <v>1</v>
      </c>
      <c r="H71">
        <v>3</v>
      </c>
      <c r="I71" t="s">
        <v>418</v>
      </c>
      <c r="J71" t="s">
        <v>419</v>
      </c>
      <c r="K71" t="s">
        <v>420</v>
      </c>
      <c r="L71">
        <v>1383</v>
      </c>
      <c r="N71">
        <v>1013</v>
      </c>
      <c r="O71" t="s">
        <v>421</v>
      </c>
      <c r="P71" t="s">
        <v>421</v>
      </c>
      <c r="Q71">
        <v>1</v>
      </c>
      <c r="X71">
        <v>2.1132</v>
      </c>
      <c r="Y71">
        <v>7.94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6</v>
      </c>
      <c r="AG71">
        <v>2.1132</v>
      </c>
      <c r="AH71">
        <v>2</v>
      </c>
      <c r="AI71">
        <v>74853145</v>
      </c>
      <c r="AJ71">
        <v>58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ROW(Source!A251)</f>
        <v>251</v>
      </c>
      <c r="B72">
        <v>74853146</v>
      </c>
      <c r="C72">
        <v>74852611</v>
      </c>
      <c r="D72">
        <v>72599651</v>
      </c>
      <c r="E72">
        <v>1</v>
      </c>
      <c r="F72">
        <v>1</v>
      </c>
      <c r="G72">
        <v>1</v>
      </c>
      <c r="H72">
        <v>3</v>
      </c>
      <c r="I72" t="s">
        <v>462</v>
      </c>
      <c r="J72" t="s">
        <v>463</v>
      </c>
      <c r="K72" t="s">
        <v>464</v>
      </c>
      <c r="L72">
        <v>1301</v>
      </c>
      <c r="N72">
        <v>1003</v>
      </c>
      <c r="O72" t="s">
        <v>157</v>
      </c>
      <c r="P72" t="s">
        <v>157</v>
      </c>
      <c r="Q72">
        <v>1</v>
      </c>
      <c r="X72">
        <v>93.81</v>
      </c>
      <c r="Y72">
        <v>4.82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6</v>
      </c>
      <c r="AG72">
        <v>93.81</v>
      </c>
      <c r="AH72">
        <v>2</v>
      </c>
      <c r="AI72">
        <v>74853146</v>
      </c>
      <c r="AJ72">
        <v>59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ROW(Source!A251)</f>
        <v>251</v>
      </c>
      <c r="B73">
        <v>74853147</v>
      </c>
      <c r="C73">
        <v>74852611</v>
      </c>
      <c r="D73">
        <v>72599677</v>
      </c>
      <c r="E73">
        <v>1</v>
      </c>
      <c r="F73">
        <v>1</v>
      </c>
      <c r="G73">
        <v>1</v>
      </c>
      <c r="H73">
        <v>3</v>
      </c>
      <c r="I73" t="s">
        <v>465</v>
      </c>
      <c r="J73" t="s">
        <v>466</v>
      </c>
      <c r="K73" t="s">
        <v>467</v>
      </c>
      <c r="L73">
        <v>1301</v>
      </c>
      <c r="N73">
        <v>1003</v>
      </c>
      <c r="O73" t="s">
        <v>157</v>
      </c>
      <c r="P73" t="s">
        <v>157</v>
      </c>
      <c r="Q73">
        <v>1</v>
      </c>
      <c r="X73">
        <v>130</v>
      </c>
      <c r="Y73">
        <v>2.6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6</v>
      </c>
      <c r="AG73">
        <v>130</v>
      </c>
      <c r="AH73">
        <v>2</v>
      </c>
      <c r="AI73">
        <v>74853147</v>
      </c>
      <c r="AJ73">
        <v>60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ROW(Source!A251)</f>
        <v>251</v>
      </c>
      <c r="B74">
        <v>74853148</v>
      </c>
      <c r="C74">
        <v>74852611</v>
      </c>
      <c r="D74">
        <v>72599680</v>
      </c>
      <c r="E74">
        <v>1</v>
      </c>
      <c r="F74">
        <v>1</v>
      </c>
      <c r="G74">
        <v>1</v>
      </c>
      <c r="H74">
        <v>3</v>
      </c>
      <c r="I74" t="s">
        <v>468</v>
      </c>
      <c r="J74" t="s">
        <v>469</v>
      </c>
      <c r="K74" t="s">
        <v>470</v>
      </c>
      <c r="L74">
        <v>1308</v>
      </c>
      <c r="N74">
        <v>1003</v>
      </c>
      <c r="O74" t="s">
        <v>153</v>
      </c>
      <c r="P74" t="s">
        <v>153</v>
      </c>
      <c r="Q74">
        <v>100</v>
      </c>
      <c r="X74">
        <v>0.33329999999999999</v>
      </c>
      <c r="Y74">
        <v>1955.23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6</v>
      </c>
      <c r="AG74">
        <v>0.33329999999999999</v>
      </c>
      <c r="AH74">
        <v>2</v>
      </c>
      <c r="AI74">
        <v>74853148</v>
      </c>
      <c r="AJ74">
        <v>61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ROW(Source!A251)</f>
        <v>251</v>
      </c>
      <c r="B75">
        <v>74853149</v>
      </c>
      <c r="C75">
        <v>74852611</v>
      </c>
      <c r="D75">
        <v>72601113</v>
      </c>
      <c r="E75">
        <v>1</v>
      </c>
      <c r="F75">
        <v>1</v>
      </c>
      <c r="G75">
        <v>1</v>
      </c>
      <c r="H75">
        <v>3</v>
      </c>
      <c r="I75" t="s">
        <v>471</v>
      </c>
      <c r="J75" t="s">
        <v>472</v>
      </c>
      <c r="K75" t="s">
        <v>473</v>
      </c>
      <c r="L75">
        <v>1425</v>
      </c>
      <c r="N75">
        <v>1013</v>
      </c>
      <c r="O75" t="s">
        <v>222</v>
      </c>
      <c r="P75" t="s">
        <v>222</v>
      </c>
      <c r="Q75">
        <v>1</v>
      </c>
      <c r="X75">
        <v>3.53</v>
      </c>
      <c r="Y75">
        <v>52.34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6</v>
      </c>
      <c r="AG75">
        <v>3.53</v>
      </c>
      <c r="AH75">
        <v>2</v>
      </c>
      <c r="AI75">
        <v>74853149</v>
      </c>
      <c r="AJ75">
        <v>62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ROW(Source!A251)</f>
        <v>251</v>
      </c>
      <c r="B76">
        <v>74853150</v>
      </c>
      <c r="C76">
        <v>74852611</v>
      </c>
      <c r="D76">
        <v>72601325</v>
      </c>
      <c r="E76">
        <v>1</v>
      </c>
      <c r="F76">
        <v>1</v>
      </c>
      <c r="G76">
        <v>1</v>
      </c>
      <c r="H76">
        <v>3</v>
      </c>
      <c r="I76" t="s">
        <v>474</v>
      </c>
      <c r="J76" t="s">
        <v>475</v>
      </c>
      <c r="K76" t="s">
        <v>476</v>
      </c>
      <c r="L76">
        <v>1425</v>
      </c>
      <c r="N76">
        <v>1013</v>
      </c>
      <c r="O76" t="s">
        <v>222</v>
      </c>
      <c r="P76" t="s">
        <v>222</v>
      </c>
      <c r="Q76">
        <v>1</v>
      </c>
      <c r="X76">
        <v>4.29</v>
      </c>
      <c r="Y76">
        <v>22.93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6</v>
      </c>
      <c r="AG76">
        <v>4.29</v>
      </c>
      <c r="AH76">
        <v>2</v>
      </c>
      <c r="AI76">
        <v>74853150</v>
      </c>
      <c r="AJ76">
        <v>63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ROW(Source!A251)</f>
        <v>251</v>
      </c>
      <c r="B77">
        <v>74853151</v>
      </c>
      <c r="C77">
        <v>74852611</v>
      </c>
      <c r="D77">
        <v>72601327</v>
      </c>
      <c r="E77">
        <v>1</v>
      </c>
      <c r="F77">
        <v>1</v>
      </c>
      <c r="G77">
        <v>1</v>
      </c>
      <c r="H77">
        <v>3</v>
      </c>
      <c r="I77" t="s">
        <v>477</v>
      </c>
      <c r="J77" t="s">
        <v>478</v>
      </c>
      <c r="K77" t="s">
        <v>479</v>
      </c>
      <c r="L77">
        <v>1425</v>
      </c>
      <c r="N77">
        <v>1013</v>
      </c>
      <c r="O77" t="s">
        <v>222</v>
      </c>
      <c r="P77" t="s">
        <v>222</v>
      </c>
      <c r="Q77">
        <v>1</v>
      </c>
      <c r="X77">
        <v>16.670000000000002</v>
      </c>
      <c r="Y77">
        <v>22.84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6</v>
      </c>
      <c r="AG77">
        <v>16.670000000000002</v>
      </c>
      <c r="AH77">
        <v>2</v>
      </c>
      <c r="AI77">
        <v>74853151</v>
      </c>
      <c r="AJ77">
        <v>64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ROW(Source!A251)</f>
        <v>251</v>
      </c>
      <c r="B78">
        <v>74853152</v>
      </c>
      <c r="C78">
        <v>74852611</v>
      </c>
      <c r="D78">
        <v>72606355</v>
      </c>
      <c r="E78">
        <v>1</v>
      </c>
      <c r="F78">
        <v>1</v>
      </c>
      <c r="G78">
        <v>1</v>
      </c>
      <c r="H78">
        <v>3</v>
      </c>
      <c r="I78" t="s">
        <v>480</v>
      </c>
      <c r="J78" t="s">
        <v>481</v>
      </c>
      <c r="K78" t="s">
        <v>482</v>
      </c>
      <c r="L78">
        <v>1301</v>
      </c>
      <c r="N78">
        <v>1003</v>
      </c>
      <c r="O78" t="s">
        <v>157</v>
      </c>
      <c r="P78" t="s">
        <v>157</v>
      </c>
      <c r="Q78">
        <v>1</v>
      </c>
      <c r="X78">
        <v>80.95</v>
      </c>
      <c r="Y78">
        <v>44.16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6</v>
      </c>
      <c r="AG78">
        <v>80.95</v>
      </c>
      <c r="AH78">
        <v>2</v>
      </c>
      <c r="AI78">
        <v>74853152</v>
      </c>
      <c r="AJ78">
        <v>65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ROW(Source!A251)</f>
        <v>251</v>
      </c>
      <c r="B79">
        <v>74853153</v>
      </c>
      <c r="C79">
        <v>74852611</v>
      </c>
      <c r="D79">
        <v>72606358</v>
      </c>
      <c r="E79">
        <v>1</v>
      </c>
      <c r="F79">
        <v>1</v>
      </c>
      <c r="G79">
        <v>1</v>
      </c>
      <c r="H79">
        <v>3</v>
      </c>
      <c r="I79" t="s">
        <v>483</v>
      </c>
      <c r="J79" t="s">
        <v>484</v>
      </c>
      <c r="K79" t="s">
        <v>485</v>
      </c>
      <c r="L79">
        <v>1301</v>
      </c>
      <c r="N79">
        <v>1003</v>
      </c>
      <c r="O79" t="s">
        <v>157</v>
      </c>
      <c r="P79" t="s">
        <v>157</v>
      </c>
      <c r="Q79">
        <v>1</v>
      </c>
      <c r="X79">
        <v>171.83</v>
      </c>
      <c r="Y79">
        <v>64.44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6</v>
      </c>
      <c r="AG79">
        <v>171.83</v>
      </c>
      <c r="AH79">
        <v>2</v>
      </c>
      <c r="AI79">
        <v>74853153</v>
      </c>
      <c r="AJ79">
        <v>66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ROW(Source!A251)</f>
        <v>251</v>
      </c>
      <c r="B80">
        <v>74853154</v>
      </c>
      <c r="C80">
        <v>74852611</v>
      </c>
      <c r="D80">
        <v>72606502</v>
      </c>
      <c r="E80">
        <v>1</v>
      </c>
      <c r="F80">
        <v>1</v>
      </c>
      <c r="G80">
        <v>1</v>
      </c>
      <c r="H80">
        <v>3</v>
      </c>
      <c r="I80" t="s">
        <v>486</v>
      </c>
      <c r="J80" t="s">
        <v>487</v>
      </c>
      <c r="K80" t="s">
        <v>488</v>
      </c>
      <c r="L80">
        <v>1425</v>
      </c>
      <c r="N80">
        <v>1013</v>
      </c>
      <c r="O80" t="s">
        <v>222</v>
      </c>
      <c r="P80" t="s">
        <v>222</v>
      </c>
      <c r="Q80">
        <v>1</v>
      </c>
      <c r="X80">
        <v>2.14</v>
      </c>
      <c r="Y80">
        <v>864.86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6</v>
      </c>
      <c r="AG80">
        <v>2.14</v>
      </c>
      <c r="AH80">
        <v>2</v>
      </c>
      <c r="AI80">
        <v>74853154</v>
      </c>
      <c r="AJ80">
        <v>67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ROW(Source!A251)</f>
        <v>251</v>
      </c>
      <c r="B81">
        <v>74853155</v>
      </c>
      <c r="C81">
        <v>74852611</v>
      </c>
      <c r="D81">
        <v>72606531</v>
      </c>
      <c r="E81">
        <v>1</v>
      </c>
      <c r="F81">
        <v>1</v>
      </c>
      <c r="G81">
        <v>1</v>
      </c>
      <c r="H81">
        <v>3</v>
      </c>
      <c r="I81" t="s">
        <v>489</v>
      </c>
      <c r="J81" t="s">
        <v>490</v>
      </c>
      <c r="K81" t="s">
        <v>491</v>
      </c>
      <c r="L81">
        <v>1425</v>
      </c>
      <c r="N81">
        <v>1013</v>
      </c>
      <c r="O81" t="s">
        <v>222</v>
      </c>
      <c r="P81" t="s">
        <v>222</v>
      </c>
      <c r="Q81">
        <v>1</v>
      </c>
      <c r="X81">
        <v>0.36</v>
      </c>
      <c r="Y81">
        <v>2013.47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6</v>
      </c>
      <c r="AG81">
        <v>0.36</v>
      </c>
      <c r="AH81">
        <v>2</v>
      </c>
      <c r="AI81">
        <v>74853155</v>
      </c>
      <c r="AJ81">
        <v>68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ROW(Source!A251)</f>
        <v>251</v>
      </c>
      <c r="B82">
        <v>74853156</v>
      </c>
      <c r="C82">
        <v>74852611</v>
      </c>
      <c r="D82">
        <v>72618588</v>
      </c>
      <c r="E82">
        <v>1</v>
      </c>
      <c r="F82">
        <v>1</v>
      </c>
      <c r="G82">
        <v>1</v>
      </c>
      <c r="H82">
        <v>3</v>
      </c>
      <c r="I82" t="s">
        <v>215</v>
      </c>
      <c r="J82" t="s">
        <v>218</v>
      </c>
      <c r="K82" t="s">
        <v>216</v>
      </c>
      <c r="L82">
        <v>1346</v>
      </c>
      <c r="N82">
        <v>1009</v>
      </c>
      <c r="O82" t="s">
        <v>217</v>
      </c>
      <c r="P82" t="s">
        <v>217</v>
      </c>
      <c r="Q82">
        <v>1</v>
      </c>
      <c r="X82">
        <v>0.56999999999999995</v>
      </c>
      <c r="Y82">
        <v>68.290000000000006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6</v>
      </c>
      <c r="AG82">
        <v>0.56999999999999995</v>
      </c>
      <c r="AH82">
        <v>2</v>
      </c>
      <c r="AI82">
        <v>74853156</v>
      </c>
      <c r="AJ82">
        <v>69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ROW(Source!A251)</f>
        <v>251</v>
      </c>
      <c r="B83">
        <v>74853157</v>
      </c>
      <c r="C83">
        <v>74852611</v>
      </c>
      <c r="D83">
        <v>72619131</v>
      </c>
      <c r="E83">
        <v>1</v>
      </c>
      <c r="F83">
        <v>1</v>
      </c>
      <c r="G83">
        <v>1</v>
      </c>
      <c r="H83">
        <v>3</v>
      </c>
      <c r="I83" t="s">
        <v>492</v>
      </c>
      <c r="J83" t="s">
        <v>493</v>
      </c>
      <c r="K83" t="s">
        <v>494</v>
      </c>
      <c r="L83">
        <v>1346</v>
      </c>
      <c r="N83">
        <v>1009</v>
      </c>
      <c r="O83" t="s">
        <v>217</v>
      </c>
      <c r="P83" t="s">
        <v>217</v>
      </c>
      <c r="Q83">
        <v>1</v>
      </c>
      <c r="X83">
        <v>41.4</v>
      </c>
      <c r="Y83">
        <v>17.34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6</v>
      </c>
      <c r="AG83">
        <v>41.4</v>
      </c>
      <c r="AH83">
        <v>2</v>
      </c>
      <c r="AI83">
        <v>74853157</v>
      </c>
      <c r="AJ83">
        <v>70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ROW(Source!A253)</f>
        <v>253</v>
      </c>
      <c r="B84">
        <v>74853159</v>
      </c>
      <c r="C84">
        <v>74852649</v>
      </c>
      <c r="D84">
        <v>72527804</v>
      </c>
      <c r="E84">
        <v>114</v>
      </c>
      <c r="F84">
        <v>1</v>
      </c>
      <c r="G84">
        <v>1</v>
      </c>
      <c r="H84">
        <v>1</v>
      </c>
      <c r="I84" t="s">
        <v>495</v>
      </c>
      <c r="J84" t="s">
        <v>6</v>
      </c>
      <c r="K84" t="s">
        <v>496</v>
      </c>
      <c r="L84">
        <v>1191</v>
      </c>
      <c r="N84">
        <v>1013</v>
      </c>
      <c r="O84" t="s">
        <v>383</v>
      </c>
      <c r="P84" t="s">
        <v>383</v>
      </c>
      <c r="Q84">
        <v>1</v>
      </c>
      <c r="X84">
        <v>43.56</v>
      </c>
      <c r="Y84">
        <v>0</v>
      </c>
      <c r="Z84">
        <v>0</v>
      </c>
      <c r="AA84">
        <v>0</v>
      </c>
      <c r="AB84">
        <v>304.93</v>
      </c>
      <c r="AC84">
        <v>0</v>
      </c>
      <c r="AD84">
        <v>1</v>
      </c>
      <c r="AE84">
        <v>1</v>
      </c>
      <c r="AF84" t="s">
        <v>117</v>
      </c>
      <c r="AG84">
        <v>50.094000000000001</v>
      </c>
      <c r="AH84">
        <v>2</v>
      </c>
      <c r="AI84">
        <v>74853159</v>
      </c>
      <c r="AJ84">
        <v>71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ROW(Source!A253)</f>
        <v>253</v>
      </c>
      <c r="B85">
        <v>74853160</v>
      </c>
      <c r="C85">
        <v>74852649</v>
      </c>
      <c r="D85">
        <v>72527995</v>
      </c>
      <c r="E85">
        <v>114</v>
      </c>
      <c r="F85">
        <v>1</v>
      </c>
      <c r="G85">
        <v>1</v>
      </c>
      <c r="H85">
        <v>1</v>
      </c>
      <c r="I85" t="s">
        <v>384</v>
      </c>
      <c r="J85" t="s">
        <v>6</v>
      </c>
      <c r="K85" t="s">
        <v>385</v>
      </c>
      <c r="L85">
        <v>1191</v>
      </c>
      <c r="N85">
        <v>1013</v>
      </c>
      <c r="O85" t="s">
        <v>383</v>
      </c>
      <c r="P85" t="s">
        <v>383</v>
      </c>
      <c r="Q85">
        <v>1</v>
      </c>
      <c r="X85">
        <v>0.17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2</v>
      </c>
      <c r="AF85" t="s">
        <v>116</v>
      </c>
      <c r="AG85">
        <v>0.21250000000000002</v>
      </c>
      <c r="AH85">
        <v>2</v>
      </c>
      <c r="AI85">
        <v>74853160</v>
      </c>
      <c r="AJ85">
        <v>72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ROW(Source!A253)</f>
        <v>253</v>
      </c>
      <c r="B86">
        <v>74853161</v>
      </c>
      <c r="C86">
        <v>74852649</v>
      </c>
      <c r="D86">
        <v>72652624</v>
      </c>
      <c r="E86">
        <v>1</v>
      </c>
      <c r="F86">
        <v>1</v>
      </c>
      <c r="G86">
        <v>1</v>
      </c>
      <c r="H86">
        <v>2</v>
      </c>
      <c r="I86" t="s">
        <v>497</v>
      </c>
      <c r="J86" t="s">
        <v>498</v>
      </c>
      <c r="K86" t="s">
        <v>499</v>
      </c>
      <c r="L86">
        <v>1368</v>
      </c>
      <c r="N86">
        <v>1011</v>
      </c>
      <c r="O86" t="s">
        <v>389</v>
      </c>
      <c r="P86" t="s">
        <v>389</v>
      </c>
      <c r="Q86">
        <v>1</v>
      </c>
      <c r="X86">
        <v>0.02</v>
      </c>
      <c r="Y86">
        <v>0</v>
      </c>
      <c r="Z86">
        <v>30.61</v>
      </c>
      <c r="AA86">
        <v>297.43</v>
      </c>
      <c r="AB86">
        <v>0</v>
      </c>
      <c r="AC86">
        <v>0</v>
      </c>
      <c r="AD86">
        <v>1</v>
      </c>
      <c r="AE86">
        <v>0</v>
      </c>
      <c r="AF86" t="s">
        <v>116</v>
      </c>
      <c r="AG86">
        <v>2.5000000000000001E-2</v>
      </c>
      <c r="AH86">
        <v>2</v>
      </c>
      <c r="AI86">
        <v>74853161</v>
      </c>
      <c r="AJ86">
        <v>73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ROW(Source!A253)</f>
        <v>253</v>
      </c>
      <c r="B87">
        <v>74853162</v>
      </c>
      <c r="C87">
        <v>74852649</v>
      </c>
      <c r="D87">
        <v>72653331</v>
      </c>
      <c r="E87">
        <v>1</v>
      </c>
      <c r="F87">
        <v>1</v>
      </c>
      <c r="G87">
        <v>1</v>
      </c>
      <c r="H87">
        <v>2</v>
      </c>
      <c r="I87" t="s">
        <v>409</v>
      </c>
      <c r="J87" t="s">
        <v>410</v>
      </c>
      <c r="K87" t="s">
        <v>411</v>
      </c>
      <c r="L87">
        <v>1368</v>
      </c>
      <c r="N87">
        <v>1011</v>
      </c>
      <c r="O87" t="s">
        <v>389</v>
      </c>
      <c r="P87" t="s">
        <v>389</v>
      </c>
      <c r="Q87">
        <v>1</v>
      </c>
      <c r="X87">
        <v>0.15</v>
      </c>
      <c r="Y87">
        <v>0</v>
      </c>
      <c r="Z87">
        <v>611</v>
      </c>
      <c r="AA87">
        <v>334.92</v>
      </c>
      <c r="AB87">
        <v>0</v>
      </c>
      <c r="AC87">
        <v>0</v>
      </c>
      <c r="AD87">
        <v>1</v>
      </c>
      <c r="AE87">
        <v>0</v>
      </c>
      <c r="AF87" t="s">
        <v>116</v>
      </c>
      <c r="AG87">
        <v>0.1875</v>
      </c>
      <c r="AH87">
        <v>2</v>
      </c>
      <c r="AI87">
        <v>74853162</v>
      </c>
      <c r="AJ87">
        <v>74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ROW(Source!A253)</f>
        <v>253</v>
      </c>
      <c r="B88">
        <v>74853163</v>
      </c>
      <c r="C88">
        <v>74852649</v>
      </c>
      <c r="D88">
        <v>72601793</v>
      </c>
      <c r="E88">
        <v>1</v>
      </c>
      <c r="F88">
        <v>1</v>
      </c>
      <c r="G88">
        <v>1</v>
      </c>
      <c r="H88">
        <v>3</v>
      </c>
      <c r="I88" t="s">
        <v>500</v>
      </c>
      <c r="J88" t="s">
        <v>501</v>
      </c>
      <c r="K88" t="s">
        <v>502</v>
      </c>
      <c r="L88">
        <v>1327</v>
      </c>
      <c r="N88">
        <v>1005</v>
      </c>
      <c r="O88" t="s">
        <v>145</v>
      </c>
      <c r="P88" t="s">
        <v>145</v>
      </c>
      <c r="Q88">
        <v>1</v>
      </c>
      <c r="X88">
        <v>0.84</v>
      </c>
      <c r="Y88">
        <v>531.44000000000005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 t="s">
        <v>6</v>
      </c>
      <c r="AG88">
        <v>0.84</v>
      </c>
      <c r="AH88">
        <v>2</v>
      </c>
      <c r="AI88">
        <v>74853163</v>
      </c>
      <c r="AJ88">
        <v>75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ROW(Source!A253)</f>
        <v>253</v>
      </c>
      <c r="B89">
        <v>74853164</v>
      </c>
      <c r="C89">
        <v>74852649</v>
      </c>
      <c r="D89">
        <v>72602142</v>
      </c>
      <c r="E89">
        <v>1</v>
      </c>
      <c r="F89">
        <v>1</v>
      </c>
      <c r="G89">
        <v>1</v>
      </c>
      <c r="H89">
        <v>3</v>
      </c>
      <c r="I89" t="s">
        <v>413</v>
      </c>
      <c r="J89" t="s">
        <v>414</v>
      </c>
      <c r="K89" t="s">
        <v>415</v>
      </c>
      <c r="L89">
        <v>1346</v>
      </c>
      <c r="N89">
        <v>1009</v>
      </c>
      <c r="O89" t="s">
        <v>217</v>
      </c>
      <c r="P89" t="s">
        <v>217</v>
      </c>
      <c r="Q89">
        <v>1</v>
      </c>
      <c r="X89">
        <v>0.31</v>
      </c>
      <c r="Y89">
        <v>56.11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6</v>
      </c>
      <c r="AG89">
        <v>0.31</v>
      </c>
      <c r="AH89">
        <v>2</v>
      </c>
      <c r="AI89">
        <v>74853164</v>
      </c>
      <c r="AJ89">
        <v>76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ROW(Source!A253)</f>
        <v>253</v>
      </c>
      <c r="B90">
        <v>74853165</v>
      </c>
      <c r="C90">
        <v>74852649</v>
      </c>
      <c r="D90">
        <v>72531616</v>
      </c>
      <c r="E90">
        <v>114</v>
      </c>
      <c r="F90">
        <v>1</v>
      </c>
      <c r="G90">
        <v>1</v>
      </c>
      <c r="H90">
        <v>3</v>
      </c>
      <c r="I90" t="s">
        <v>535</v>
      </c>
      <c r="J90" t="s">
        <v>6</v>
      </c>
      <c r="K90" t="s">
        <v>536</v>
      </c>
      <c r="L90">
        <v>1348</v>
      </c>
      <c r="N90">
        <v>1009</v>
      </c>
      <c r="O90" t="s">
        <v>149</v>
      </c>
      <c r="P90" t="s">
        <v>149</v>
      </c>
      <c r="Q90">
        <v>1000</v>
      </c>
      <c r="X90">
        <v>0.03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t="s">
        <v>6</v>
      </c>
      <c r="AG90">
        <v>0.03</v>
      </c>
      <c r="AH90">
        <v>3</v>
      </c>
      <c r="AI90">
        <v>-1</v>
      </c>
      <c r="AJ90" t="s">
        <v>6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ROW(Source!A253)</f>
        <v>253</v>
      </c>
      <c r="B91">
        <v>74853166</v>
      </c>
      <c r="C91">
        <v>74852649</v>
      </c>
      <c r="D91">
        <v>72531634</v>
      </c>
      <c r="E91">
        <v>114</v>
      </c>
      <c r="F91">
        <v>1</v>
      </c>
      <c r="G91">
        <v>1</v>
      </c>
      <c r="H91">
        <v>3</v>
      </c>
      <c r="I91" t="s">
        <v>537</v>
      </c>
      <c r="J91" t="s">
        <v>6</v>
      </c>
      <c r="K91" t="s">
        <v>538</v>
      </c>
      <c r="L91">
        <v>1348</v>
      </c>
      <c r="N91">
        <v>1009</v>
      </c>
      <c r="O91" t="s">
        <v>149</v>
      </c>
      <c r="P91" t="s">
        <v>149</v>
      </c>
      <c r="Q91">
        <v>1000</v>
      </c>
      <c r="X91">
        <v>0.02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 t="s">
        <v>6</v>
      </c>
      <c r="AG91">
        <v>0.02</v>
      </c>
      <c r="AH91">
        <v>3</v>
      </c>
      <c r="AI91">
        <v>-1</v>
      </c>
      <c r="AJ91" t="s">
        <v>6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ROW(Source!A253)</f>
        <v>253</v>
      </c>
      <c r="B92">
        <v>74853167</v>
      </c>
      <c r="C92">
        <v>74852649</v>
      </c>
      <c r="D92">
        <v>72619126</v>
      </c>
      <c r="E92">
        <v>1</v>
      </c>
      <c r="F92">
        <v>1</v>
      </c>
      <c r="G92">
        <v>1</v>
      </c>
      <c r="H92">
        <v>3</v>
      </c>
      <c r="I92" t="s">
        <v>503</v>
      </c>
      <c r="J92" t="s">
        <v>504</v>
      </c>
      <c r="K92" t="s">
        <v>505</v>
      </c>
      <c r="L92">
        <v>1348</v>
      </c>
      <c r="N92">
        <v>1009</v>
      </c>
      <c r="O92" t="s">
        <v>149</v>
      </c>
      <c r="P92" t="s">
        <v>149</v>
      </c>
      <c r="Q92">
        <v>1000</v>
      </c>
      <c r="X92">
        <v>5.0999999999999997E-2</v>
      </c>
      <c r="Y92">
        <v>52790.33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6</v>
      </c>
      <c r="AG92">
        <v>5.0999999999999997E-2</v>
      </c>
      <c r="AH92">
        <v>2</v>
      </c>
      <c r="AI92">
        <v>74853167</v>
      </c>
      <c r="AJ92">
        <v>77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ROW(Source!A256)</f>
        <v>256</v>
      </c>
      <c r="B93">
        <v>74853170</v>
      </c>
      <c r="C93">
        <v>74852670</v>
      </c>
      <c r="D93">
        <v>72527800</v>
      </c>
      <c r="E93">
        <v>114</v>
      </c>
      <c r="F93">
        <v>1</v>
      </c>
      <c r="G93">
        <v>1</v>
      </c>
      <c r="H93">
        <v>1</v>
      </c>
      <c r="I93" t="s">
        <v>391</v>
      </c>
      <c r="J93" t="s">
        <v>6</v>
      </c>
      <c r="K93" t="s">
        <v>392</v>
      </c>
      <c r="L93">
        <v>1191</v>
      </c>
      <c r="N93">
        <v>1013</v>
      </c>
      <c r="O93" t="s">
        <v>383</v>
      </c>
      <c r="P93" t="s">
        <v>383</v>
      </c>
      <c r="Q93">
        <v>1</v>
      </c>
      <c r="X93">
        <v>24.8</v>
      </c>
      <c r="Y93">
        <v>0</v>
      </c>
      <c r="Z93">
        <v>0</v>
      </c>
      <c r="AA93">
        <v>0</v>
      </c>
      <c r="AB93">
        <v>297.43</v>
      </c>
      <c r="AC93">
        <v>0</v>
      </c>
      <c r="AD93">
        <v>1</v>
      </c>
      <c r="AE93">
        <v>1</v>
      </c>
      <c r="AF93" t="s">
        <v>117</v>
      </c>
      <c r="AG93">
        <v>28.52</v>
      </c>
      <c r="AH93">
        <v>2</v>
      </c>
      <c r="AI93">
        <v>74853170</v>
      </c>
      <c r="AJ93">
        <v>78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ROW(Source!A256)</f>
        <v>256</v>
      </c>
      <c r="B94">
        <v>74853171</v>
      </c>
      <c r="C94">
        <v>74852670</v>
      </c>
      <c r="D94">
        <v>72527995</v>
      </c>
      <c r="E94">
        <v>114</v>
      </c>
      <c r="F94">
        <v>1</v>
      </c>
      <c r="G94">
        <v>1</v>
      </c>
      <c r="H94">
        <v>1</v>
      </c>
      <c r="I94" t="s">
        <v>384</v>
      </c>
      <c r="J94" t="s">
        <v>6</v>
      </c>
      <c r="K94" t="s">
        <v>385</v>
      </c>
      <c r="L94">
        <v>1191</v>
      </c>
      <c r="N94">
        <v>1013</v>
      </c>
      <c r="O94" t="s">
        <v>383</v>
      </c>
      <c r="P94" t="s">
        <v>383</v>
      </c>
      <c r="Q94">
        <v>1</v>
      </c>
      <c r="X94">
        <v>0.02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2</v>
      </c>
      <c r="AF94" t="s">
        <v>116</v>
      </c>
      <c r="AG94">
        <v>2.5000000000000001E-2</v>
      </c>
      <c r="AH94">
        <v>2</v>
      </c>
      <c r="AI94">
        <v>74853171</v>
      </c>
      <c r="AJ94">
        <v>79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ROW(Source!A256)</f>
        <v>256</v>
      </c>
      <c r="B95">
        <v>74853172</v>
      </c>
      <c r="C95">
        <v>74852670</v>
      </c>
      <c r="D95">
        <v>72652626</v>
      </c>
      <c r="E95">
        <v>1</v>
      </c>
      <c r="F95">
        <v>1</v>
      </c>
      <c r="G95">
        <v>1</v>
      </c>
      <c r="H95">
        <v>2</v>
      </c>
      <c r="I95" t="s">
        <v>386</v>
      </c>
      <c r="J95" t="s">
        <v>387</v>
      </c>
      <c r="K95" t="s">
        <v>388</v>
      </c>
      <c r="L95">
        <v>1368</v>
      </c>
      <c r="N95">
        <v>1011</v>
      </c>
      <c r="O95" t="s">
        <v>389</v>
      </c>
      <c r="P95" t="s">
        <v>389</v>
      </c>
      <c r="Q95">
        <v>1</v>
      </c>
      <c r="X95">
        <v>3.0000000000000001E-3</v>
      </c>
      <c r="Y95">
        <v>0</v>
      </c>
      <c r="Z95">
        <v>37.32</v>
      </c>
      <c r="AA95">
        <v>297.43</v>
      </c>
      <c r="AB95">
        <v>0</v>
      </c>
      <c r="AC95">
        <v>0</v>
      </c>
      <c r="AD95">
        <v>1</v>
      </c>
      <c r="AE95">
        <v>0</v>
      </c>
      <c r="AF95" t="s">
        <v>116</v>
      </c>
      <c r="AG95">
        <v>3.7499999999999999E-3</v>
      </c>
      <c r="AH95">
        <v>2</v>
      </c>
      <c r="AI95">
        <v>74853172</v>
      </c>
      <c r="AJ95">
        <v>80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ROW(Source!A256)</f>
        <v>256</v>
      </c>
      <c r="B96">
        <v>74853173</v>
      </c>
      <c r="C96">
        <v>74852670</v>
      </c>
      <c r="D96">
        <v>72653331</v>
      </c>
      <c r="E96">
        <v>1</v>
      </c>
      <c r="F96">
        <v>1</v>
      </c>
      <c r="G96">
        <v>1</v>
      </c>
      <c r="H96">
        <v>2</v>
      </c>
      <c r="I96" t="s">
        <v>409</v>
      </c>
      <c r="J96" t="s">
        <v>410</v>
      </c>
      <c r="K96" t="s">
        <v>411</v>
      </c>
      <c r="L96">
        <v>1368</v>
      </c>
      <c r="N96">
        <v>1011</v>
      </c>
      <c r="O96" t="s">
        <v>389</v>
      </c>
      <c r="P96" t="s">
        <v>389</v>
      </c>
      <c r="Q96">
        <v>1</v>
      </c>
      <c r="X96">
        <v>0.02</v>
      </c>
      <c r="Y96">
        <v>0</v>
      </c>
      <c r="Z96">
        <v>611</v>
      </c>
      <c r="AA96">
        <v>334.92</v>
      </c>
      <c r="AB96">
        <v>0</v>
      </c>
      <c r="AC96">
        <v>0</v>
      </c>
      <c r="AD96">
        <v>1</v>
      </c>
      <c r="AE96">
        <v>0</v>
      </c>
      <c r="AF96" t="s">
        <v>116</v>
      </c>
      <c r="AG96">
        <v>2.5000000000000001E-2</v>
      </c>
      <c r="AH96">
        <v>2</v>
      </c>
      <c r="AI96">
        <v>74853173</v>
      </c>
      <c r="AJ96">
        <v>81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ROW(Source!A256)</f>
        <v>256</v>
      </c>
      <c r="B97">
        <v>74853174</v>
      </c>
      <c r="C97">
        <v>74852670</v>
      </c>
      <c r="D97">
        <v>72601113</v>
      </c>
      <c r="E97">
        <v>1</v>
      </c>
      <c r="F97">
        <v>1</v>
      </c>
      <c r="G97">
        <v>1</v>
      </c>
      <c r="H97">
        <v>3</v>
      </c>
      <c r="I97" t="s">
        <v>471</v>
      </c>
      <c r="J97" t="s">
        <v>472</v>
      </c>
      <c r="K97" t="s">
        <v>473</v>
      </c>
      <c r="L97">
        <v>1425</v>
      </c>
      <c r="N97">
        <v>1013</v>
      </c>
      <c r="O97" t="s">
        <v>222</v>
      </c>
      <c r="P97" t="s">
        <v>222</v>
      </c>
      <c r="Q97">
        <v>1</v>
      </c>
      <c r="X97">
        <v>4.04</v>
      </c>
      <c r="Y97">
        <v>52.34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6</v>
      </c>
      <c r="AG97">
        <v>4.04</v>
      </c>
      <c r="AH97">
        <v>2</v>
      </c>
      <c r="AI97">
        <v>74853174</v>
      </c>
      <c r="AJ97">
        <v>82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ROW(Source!A256)</f>
        <v>256</v>
      </c>
      <c r="B98">
        <v>74853175</v>
      </c>
      <c r="C98">
        <v>74852670</v>
      </c>
      <c r="D98">
        <v>72528748</v>
      </c>
      <c r="E98">
        <v>114</v>
      </c>
      <c r="F98">
        <v>1</v>
      </c>
      <c r="G98">
        <v>1</v>
      </c>
      <c r="H98">
        <v>3</v>
      </c>
      <c r="I98" t="s">
        <v>539</v>
      </c>
      <c r="J98" t="s">
        <v>6</v>
      </c>
      <c r="K98" t="s">
        <v>540</v>
      </c>
      <c r="L98">
        <v>1371</v>
      </c>
      <c r="N98">
        <v>1013</v>
      </c>
      <c r="O98" t="s">
        <v>166</v>
      </c>
      <c r="P98" t="s">
        <v>166</v>
      </c>
      <c r="Q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 t="s">
        <v>6</v>
      </c>
      <c r="AG98">
        <v>0</v>
      </c>
      <c r="AH98">
        <v>3</v>
      </c>
      <c r="AI98">
        <v>-1</v>
      </c>
      <c r="AJ98" t="s">
        <v>6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ROW(Source!A256)</f>
        <v>256</v>
      </c>
      <c r="B99">
        <v>74853176</v>
      </c>
      <c r="C99">
        <v>74852670</v>
      </c>
      <c r="D99">
        <v>72618894</v>
      </c>
      <c r="E99">
        <v>1</v>
      </c>
      <c r="F99">
        <v>1</v>
      </c>
      <c r="G99">
        <v>1</v>
      </c>
      <c r="H99">
        <v>3</v>
      </c>
      <c r="I99" t="s">
        <v>506</v>
      </c>
      <c r="J99" t="s">
        <v>507</v>
      </c>
      <c r="K99" t="s">
        <v>508</v>
      </c>
      <c r="L99">
        <v>1296</v>
      </c>
      <c r="N99">
        <v>1002</v>
      </c>
      <c r="O99" t="s">
        <v>509</v>
      </c>
      <c r="P99" t="s">
        <v>509</v>
      </c>
      <c r="Q99">
        <v>1</v>
      </c>
      <c r="X99">
        <v>2.1267</v>
      </c>
      <c r="Y99">
        <v>768.53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6</v>
      </c>
      <c r="AG99">
        <v>2.1267</v>
      </c>
      <c r="AH99">
        <v>2</v>
      </c>
      <c r="AI99">
        <v>74853176</v>
      </c>
      <c r="AJ99">
        <v>83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ROW(Source!A256)</f>
        <v>256</v>
      </c>
      <c r="B100">
        <v>74853177</v>
      </c>
      <c r="C100">
        <v>74852670</v>
      </c>
      <c r="D100">
        <v>72532486</v>
      </c>
      <c r="E100">
        <v>114</v>
      </c>
      <c r="F100">
        <v>1</v>
      </c>
      <c r="G100">
        <v>1</v>
      </c>
      <c r="H100">
        <v>3</v>
      </c>
      <c r="I100" t="s">
        <v>541</v>
      </c>
      <c r="J100" t="s">
        <v>6</v>
      </c>
      <c r="K100" t="s">
        <v>542</v>
      </c>
      <c r="L100">
        <v>1371</v>
      </c>
      <c r="N100">
        <v>1013</v>
      </c>
      <c r="O100" t="s">
        <v>166</v>
      </c>
      <c r="P100" t="s">
        <v>166</v>
      </c>
      <c r="Q100">
        <v>1</v>
      </c>
      <c r="X100">
        <v>100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6</v>
      </c>
      <c r="AG100">
        <v>100</v>
      </c>
      <c r="AH100">
        <v>3</v>
      </c>
      <c r="AI100">
        <v>-1</v>
      </c>
      <c r="AJ100" t="s">
        <v>6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ROW(Source!A258)</f>
        <v>258</v>
      </c>
      <c r="B101">
        <v>74853180</v>
      </c>
      <c r="C101">
        <v>74852688</v>
      </c>
      <c r="D101">
        <v>72527778</v>
      </c>
      <c r="E101">
        <v>114</v>
      </c>
      <c r="F101">
        <v>1</v>
      </c>
      <c r="G101">
        <v>1</v>
      </c>
      <c r="H101">
        <v>1</v>
      </c>
      <c r="I101" t="s">
        <v>510</v>
      </c>
      <c r="J101" t="s">
        <v>6</v>
      </c>
      <c r="K101" t="s">
        <v>511</v>
      </c>
      <c r="L101">
        <v>1191</v>
      </c>
      <c r="N101">
        <v>1013</v>
      </c>
      <c r="O101" t="s">
        <v>383</v>
      </c>
      <c r="P101" t="s">
        <v>383</v>
      </c>
      <c r="Q101">
        <v>1</v>
      </c>
      <c r="X101">
        <v>74.099999999999994</v>
      </c>
      <c r="Y101">
        <v>0</v>
      </c>
      <c r="Z101">
        <v>0</v>
      </c>
      <c r="AA101">
        <v>0</v>
      </c>
      <c r="AB101">
        <v>282.43</v>
      </c>
      <c r="AC101">
        <v>0</v>
      </c>
      <c r="AD101">
        <v>1</v>
      </c>
      <c r="AE101">
        <v>1</v>
      </c>
      <c r="AF101" t="s">
        <v>6</v>
      </c>
      <c r="AG101">
        <v>74.099999999999994</v>
      </c>
      <c r="AH101">
        <v>2</v>
      </c>
      <c r="AI101">
        <v>74853180</v>
      </c>
      <c r="AJ101">
        <v>84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ROW(Source!A258)</f>
        <v>258</v>
      </c>
      <c r="B102">
        <v>74853181</v>
      </c>
      <c r="C102">
        <v>74852688</v>
      </c>
      <c r="D102">
        <v>72527995</v>
      </c>
      <c r="E102">
        <v>114</v>
      </c>
      <c r="F102">
        <v>1</v>
      </c>
      <c r="G102">
        <v>1</v>
      </c>
      <c r="H102">
        <v>1</v>
      </c>
      <c r="I102" t="s">
        <v>384</v>
      </c>
      <c r="J102" t="s">
        <v>6</v>
      </c>
      <c r="K102" t="s">
        <v>385</v>
      </c>
      <c r="L102">
        <v>1191</v>
      </c>
      <c r="N102">
        <v>1013</v>
      </c>
      <c r="O102" t="s">
        <v>383</v>
      </c>
      <c r="P102" t="s">
        <v>383</v>
      </c>
      <c r="Q102">
        <v>1</v>
      </c>
      <c r="X102">
        <v>0.01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2</v>
      </c>
      <c r="AF102" t="s">
        <v>6</v>
      </c>
      <c r="AG102">
        <v>0.01</v>
      </c>
      <c r="AH102">
        <v>2</v>
      </c>
      <c r="AI102">
        <v>74853181</v>
      </c>
      <c r="AJ102">
        <v>85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ROW(Source!A258)</f>
        <v>258</v>
      </c>
      <c r="B103">
        <v>74853182</v>
      </c>
      <c r="C103">
        <v>74852688</v>
      </c>
      <c r="D103">
        <v>72653331</v>
      </c>
      <c r="E103">
        <v>1</v>
      </c>
      <c r="F103">
        <v>1</v>
      </c>
      <c r="G103">
        <v>1</v>
      </c>
      <c r="H103">
        <v>2</v>
      </c>
      <c r="I103" t="s">
        <v>409</v>
      </c>
      <c r="J103" t="s">
        <v>410</v>
      </c>
      <c r="K103" t="s">
        <v>411</v>
      </c>
      <c r="L103">
        <v>1368</v>
      </c>
      <c r="N103">
        <v>1011</v>
      </c>
      <c r="O103" t="s">
        <v>389</v>
      </c>
      <c r="P103" t="s">
        <v>389</v>
      </c>
      <c r="Q103">
        <v>1</v>
      </c>
      <c r="X103">
        <v>0.01</v>
      </c>
      <c r="Y103">
        <v>0</v>
      </c>
      <c r="Z103">
        <v>611</v>
      </c>
      <c r="AA103">
        <v>334.92</v>
      </c>
      <c r="AB103">
        <v>0</v>
      </c>
      <c r="AC103">
        <v>0</v>
      </c>
      <c r="AD103">
        <v>1</v>
      </c>
      <c r="AE103">
        <v>0</v>
      </c>
      <c r="AF103" t="s">
        <v>6</v>
      </c>
      <c r="AG103">
        <v>0.01</v>
      </c>
      <c r="AH103">
        <v>2</v>
      </c>
      <c r="AI103">
        <v>74853182</v>
      </c>
      <c r="AJ103">
        <v>86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ROW(Source!A258)</f>
        <v>258</v>
      </c>
      <c r="B104">
        <v>74853183</v>
      </c>
      <c r="C104">
        <v>74852688</v>
      </c>
      <c r="D104">
        <v>72602142</v>
      </c>
      <c r="E104">
        <v>1</v>
      </c>
      <c r="F104">
        <v>1</v>
      </c>
      <c r="G104">
        <v>1</v>
      </c>
      <c r="H104">
        <v>3</v>
      </c>
      <c r="I104" t="s">
        <v>413</v>
      </c>
      <c r="J104" t="s">
        <v>414</v>
      </c>
      <c r="K104" t="s">
        <v>415</v>
      </c>
      <c r="L104">
        <v>1346</v>
      </c>
      <c r="N104">
        <v>1009</v>
      </c>
      <c r="O104" t="s">
        <v>217</v>
      </c>
      <c r="P104" t="s">
        <v>217</v>
      </c>
      <c r="Q104">
        <v>1</v>
      </c>
      <c r="X104">
        <v>0.1</v>
      </c>
      <c r="Y104">
        <v>56.11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 t="s">
        <v>6</v>
      </c>
      <c r="AG104">
        <v>0.1</v>
      </c>
      <c r="AH104">
        <v>2</v>
      </c>
      <c r="AI104">
        <v>74853183</v>
      </c>
      <c r="AJ104">
        <v>87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ROW(Source!A258)</f>
        <v>258</v>
      </c>
      <c r="B105">
        <v>74853184</v>
      </c>
      <c r="C105">
        <v>74852688</v>
      </c>
      <c r="D105">
        <v>72531664</v>
      </c>
      <c r="E105">
        <v>114</v>
      </c>
      <c r="F105">
        <v>1</v>
      </c>
      <c r="G105">
        <v>1</v>
      </c>
      <c r="H105">
        <v>3</v>
      </c>
      <c r="I105" t="s">
        <v>543</v>
      </c>
      <c r="J105" t="s">
        <v>6</v>
      </c>
      <c r="K105" t="s">
        <v>544</v>
      </c>
      <c r="L105">
        <v>1348</v>
      </c>
      <c r="N105">
        <v>1009</v>
      </c>
      <c r="O105" t="s">
        <v>149</v>
      </c>
      <c r="P105" t="s">
        <v>149</v>
      </c>
      <c r="Q105">
        <v>1000</v>
      </c>
      <c r="X105">
        <v>1.61E-2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 t="s">
        <v>6</v>
      </c>
      <c r="AG105">
        <v>1.61E-2</v>
      </c>
      <c r="AH105">
        <v>3</v>
      </c>
      <c r="AI105">
        <v>-1</v>
      </c>
      <c r="AJ105" t="s">
        <v>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ROW(Source!A258)</f>
        <v>258</v>
      </c>
      <c r="B106">
        <v>74853185</v>
      </c>
      <c r="C106">
        <v>74852688</v>
      </c>
      <c r="D106">
        <v>72618971</v>
      </c>
      <c r="E106">
        <v>1</v>
      </c>
      <c r="F106">
        <v>1</v>
      </c>
      <c r="G106">
        <v>1</v>
      </c>
      <c r="H106">
        <v>3</v>
      </c>
      <c r="I106" t="s">
        <v>512</v>
      </c>
      <c r="J106" t="s">
        <v>513</v>
      </c>
      <c r="K106" t="s">
        <v>514</v>
      </c>
      <c r="L106">
        <v>1348</v>
      </c>
      <c r="N106">
        <v>1009</v>
      </c>
      <c r="O106" t="s">
        <v>149</v>
      </c>
      <c r="P106" t="s">
        <v>149</v>
      </c>
      <c r="Q106">
        <v>1000</v>
      </c>
      <c r="X106">
        <v>8.8999999999999999E-3</v>
      </c>
      <c r="Y106">
        <v>60697.21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6</v>
      </c>
      <c r="AG106">
        <v>8.8999999999999999E-3</v>
      </c>
      <c r="AH106">
        <v>2</v>
      </c>
      <c r="AI106">
        <v>74853185</v>
      </c>
      <c r="AJ106">
        <v>88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ROW(Source!A260)</f>
        <v>260</v>
      </c>
      <c r="B107">
        <v>74853187</v>
      </c>
      <c r="C107">
        <v>74852702</v>
      </c>
      <c r="D107">
        <v>72527804</v>
      </c>
      <c r="E107">
        <v>114</v>
      </c>
      <c r="F107">
        <v>1</v>
      </c>
      <c r="G107">
        <v>1</v>
      </c>
      <c r="H107">
        <v>1</v>
      </c>
      <c r="I107" t="s">
        <v>495</v>
      </c>
      <c r="J107" t="s">
        <v>6</v>
      </c>
      <c r="K107" t="s">
        <v>496</v>
      </c>
      <c r="L107">
        <v>1191</v>
      </c>
      <c r="N107">
        <v>1013</v>
      </c>
      <c r="O107" t="s">
        <v>383</v>
      </c>
      <c r="P107" t="s">
        <v>383</v>
      </c>
      <c r="Q107">
        <v>1</v>
      </c>
      <c r="X107">
        <v>63.4</v>
      </c>
      <c r="Y107">
        <v>0</v>
      </c>
      <c r="Z107">
        <v>0</v>
      </c>
      <c r="AA107">
        <v>0</v>
      </c>
      <c r="AB107">
        <v>304.93</v>
      </c>
      <c r="AC107">
        <v>0</v>
      </c>
      <c r="AD107">
        <v>1</v>
      </c>
      <c r="AE107">
        <v>1</v>
      </c>
      <c r="AF107" t="s">
        <v>6</v>
      </c>
      <c r="AG107">
        <v>63.4</v>
      </c>
      <c r="AH107">
        <v>2</v>
      </c>
      <c r="AI107">
        <v>74853187</v>
      </c>
      <c r="AJ107">
        <v>89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ROW(Source!A260)</f>
        <v>260</v>
      </c>
      <c r="B108">
        <v>74853188</v>
      </c>
      <c r="C108">
        <v>74852702</v>
      </c>
      <c r="D108">
        <v>72527995</v>
      </c>
      <c r="E108">
        <v>114</v>
      </c>
      <c r="F108">
        <v>1</v>
      </c>
      <c r="G108">
        <v>1</v>
      </c>
      <c r="H108">
        <v>1</v>
      </c>
      <c r="I108" t="s">
        <v>384</v>
      </c>
      <c r="J108" t="s">
        <v>6</v>
      </c>
      <c r="K108" t="s">
        <v>385</v>
      </c>
      <c r="L108">
        <v>1191</v>
      </c>
      <c r="N108">
        <v>1013</v>
      </c>
      <c r="O108" t="s">
        <v>383</v>
      </c>
      <c r="P108" t="s">
        <v>383</v>
      </c>
      <c r="Q108">
        <v>1</v>
      </c>
      <c r="X108">
        <v>0.01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2</v>
      </c>
      <c r="AF108" t="s">
        <v>6</v>
      </c>
      <c r="AG108">
        <v>0.01</v>
      </c>
      <c r="AH108">
        <v>2</v>
      </c>
      <c r="AI108">
        <v>74853188</v>
      </c>
      <c r="AJ108">
        <v>90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ROW(Source!A260)</f>
        <v>260</v>
      </c>
      <c r="B109">
        <v>74853189</v>
      </c>
      <c r="C109">
        <v>74852702</v>
      </c>
      <c r="D109">
        <v>72653331</v>
      </c>
      <c r="E109">
        <v>1</v>
      </c>
      <c r="F109">
        <v>1</v>
      </c>
      <c r="G109">
        <v>1</v>
      </c>
      <c r="H109">
        <v>2</v>
      </c>
      <c r="I109" t="s">
        <v>409</v>
      </c>
      <c r="J109" t="s">
        <v>410</v>
      </c>
      <c r="K109" t="s">
        <v>411</v>
      </c>
      <c r="L109">
        <v>1368</v>
      </c>
      <c r="N109">
        <v>1011</v>
      </c>
      <c r="O109" t="s">
        <v>389</v>
      </c>
      <c r="P109" t="s">
        <v>389</v>
      </c>
      <c r="Q109">
        <v>1</v>
      </c>
      <c r="X109">
        <v>0.01</v>
      </c>
      <c r="Y109">
        <v>0</v>
      </c>
      <c r="Z109">
        <v>611</v>
      </c>
      <c r="AA109">
        <v>334.92</v>
      </c>
      <c r="AB109">
        <v>0</v>
      </c>
      <c r="AC109">
        <v>0</v>
      </c>
      <c r="AD109">
        <v>1</v>
      </c>
      <c r="AE109">
        <v>0</v>
      </c>
      <c r="AF109" t="s">
        <v>6</v>
      </c>
      <c r="AG109">
        <v>0.01</v>
      </c>
      <c r="AH109">
        <v>2</v>
      </c>
      <c r="AI109">
        <v>74853189</v>
      </c>
      <c r="AJ109">
        <v>91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ROW(Source!A260)</f>
        <v>260</v>
      </c>
      <c r="B110">
        <v>74853190</v>
      </c>
      <c r="C110">
        <v>74852702</v>
      </c>
      <c r="D110">
        <v>72602142</v>
      </c>
      <c r="E110">
        <v>1</v>
      </c>
      <c r="F110">
        <v>1</v>
      </c>
      <c r="G110">
        <v>1</v>
      </c>
      <c r="H110">
        <v>3</v>
      </c>
      <c r="I110" t="s">
        <v>413</v>
      </c>
      <c r="J110" t="s">
        <v>414</v>
      </c>
      <c r="K110" t="s">
        <v>415</v>
      </c>
      <c r="L110">
        <v>1346</v>
      </c>
      <c r="N110">
        <v>1009</v>
      </c>
      <c r="O110" t="s">
        <v>217</v>
      </c>
      <c r="P110" t="s">
        <v>217</v>
      </c>
      <c r="Q110">
        <v>1</v>
      </c>
      <c r="X110">
        <v>0.1</v>
      </c>
      <c r="Y110">
        <v>56.11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6</v>
      </c>
      <c r="AG110">
        <v>0.1</v>
      </c>
      <c r="AH110">
        <v>2</v>
      </c>
      <c r="AI110">
        <v>74853190</v>
      </c>
      <c r="AJ110">
        <v>92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ROW(Source!A260)</f>
        <v>260</v>
      </c>
      <c r="B111">
        <v>74853191</v>
      </c>
      <c r="C111">
        <v>74852702</v>
      </c>
      <c r="D111">
        <v>72531664</v>
      </c>
      <c r="E111">
        <v>114</v>
      </c>
      <c r="F111">
        <v>1</v>
      </c>
      <c r="G111">
        <v>1</v>
      </c>
      <c r="H111">
        <v>3</v>
      </c>
      <c r="I111" t="s">
        <v>543</v>
      </c>
      <c r="J111" t="s">
        <v>6</v>
      </c>
      <c r="K111" t="s">
        <v>544</v>
      </c>
      <c r="L111">
        <v>1348</v>
      </c>
      <c r="N111">
        <v>1009</v>
      </c>
      <c r="O111" t="s">
        <v>149</v>
      </c>
      <c r="P111" t="s">
        <v>149</v>
      </c>
      <c r="Q111">
        <v>1000</v>
      </c>
      <c r="X111">
        <v>1.61E-2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 t="s">
        <v>6</v>
      </c>
      <c r="AG111">
        <v>1.61E-2</v>
      </c>
      <c r="AH111">
        <v>3</v>
      </c>
      <c r="AI111">
        <v>-1</v>
      </c>
      <c r="AJ111" t="s">
        <v>6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ROW(Source!A260)</f>
        <v>260</v>
      </c>
      <c r="B112">
        <v>74853192</v>
      </c>
      <c r="C112">
        <v>74852702</v>
      </c>
      <c r="D112">
        <v>72618971</v>
      </c>
      <c r="E112">
        <v>1</v>
      </c>
      <c r="F112">
        <v>1</v>
      </c>
      <c r="G112">
        <v>1</v>
      </c>
      <c r="H112">
        <v>3</v>
      </c>
      <c r="I112" t="s">
        <v>512</v>
      </c>
      <c r="J112" t="s">
        <v>513</v>
      </c>
      <c r="K112" t="s">
        <v>514</v>
      </c>
      <c r="L112">
        <v>1348</v>
      </c>
      <c r="N112">
        <v>1009</v>
      </c>
      <c r="O112" t="s">
        <v>149</v>
      </c>
      <c r="P112" t="s">
        <v>149</v>
      </c>
      <c r="Q112">
        <v>1000</v>
      </c>
      <c r="X112">
        <v>8.6E-3</v>
      </c>
      <c r="Y112">
        <v>60697.21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6</v>
      </c>
      <c r="AG112">
        <v>8.6E-3</v>
      </c>
      <c r="AH112">
        <v>2</v>
      </c>
      <c r="AI112">
        <v>74853192</v>
      </c>
      <c r="AJ112">
        <v>93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ROW(Source!A263)</f>
        <v>263</v>
      </c>
      <c r="B113">
        <v>74852971</v>
      </c>
      <c r="C113">
        <v>74852717</v>
      </c>
      <c r="D113">
        <v>72527818</v>
      </c>
      <c r="E113">
        <v>114</v>
      </c>
      <c r="F113">
        <v>1</v>
      </c>
      <c r="G113">
        <v>1</v>
      </c>
      <c r="H113">
        <v>1</v>
      </c>
      <c r="I113" t="s">
        <v>440</v>
      </c>
      <c r="J113" t="s">
        <v>6</v>
      </c>
      <c r="K113" t="s">
        <v>441</v>
      </c>
      <c r="L113">
        <v>1191</v>
      </c>
      <c r="N113">
        <v>1013</v>
      </c>
      <c r="O113" t="s">
        <v>383</v>
      </c>
      <c r="P113" t="s">
        <v>383</v>
      </c>
      <c r="Q113">
        <v>1</v>
      </c>
      <c r="X113">
        <v>102.46</v>
      </c>
      <c r="Y113">
        <v>0</v>
      </c>
      <c r="Z113">
        <v>0</v>
      </c>
      <c r="AA113">
        <v>0</v>
      </c>
      <c r="AB113">
        <v>327.42</v>
      </c>
      <c r="AC113">
        <v>0</v>
      </c>
      <c r="AD113">
        <v>1</v>
      </c>
      <c r="AE113">
        <v>1</v>
      </c>
      <c r="AF113" t="s">
        <v>117</v>
      </c>
      <c r="AG113">
        <v>117.82899999999998</v>
      </c>
      <c r="AH113">
        <v>2</v>
      </c>
      <c r="AI113">
        <v>74852718</v>
      </c>
      <c r="AJ113">
        <v>94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ROW(Source!A263)</f>
        <v>263</v>
      </c>
      <c r="B114">
        <v>74852972</v>
      </c>
      <c r="C114">
        <v>74852717</v>
      </c>
      <c r="D114">
        <v>72527995</v>
      </c>
      <c r="E114">
        <v>114</v>
      </c>
      <c r="F114">
        <v>1</v>
      </c>
      <c r="G114">
        <v>1</v>
      </c>
      <c r="H114">
        <v>1</v>
      </c>
      <c r="I114" t="s">
        <v>384</v>
      </c>
      <c r="J114" t="s">
        <v>6</v>
      </c>
      <c r="K114" t="s">
        <v>385</v>
      </c>
      <c r="L114">
        <v>1191</v>
      </c>
      <c r="N114">
        <v>1013</v>
      </c>
      <c r="O114" t="s">
        <v>383</v>
      </c>
      <c r="P114" t="s">
        <v>383</v>
      </c>
      <c r="Q114">
        <v>1</v>
      </c>
      <c r="X114">
        <v>5.34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2</v>
      </c>
      <c r="AF114" t="s">
        <v>116</v>
      </c>
      <c r="AG114">
        <v>6.6749999999999998</v>
      </c>
      <c r="AH114">
        <v>2</v>
      </c>
      <c r="AI114">
        <v>74852719</v>
      </c>
      <c r="AJ114">
        <v>95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ROW(Source!A263)</f>
        <v>263</v>
      </c>
      <c r="B115">
        <v>74852973</v>
      </c>
      <c r="C115">
        <v>74852717</v>
      </c>
      <c r="D115">
        <v>72652626</v>
      </c>
      <c r="E115">
        <v>1</v>
      </c>
      <c r="F115">
        <v>1</v>
      </c>
      <c r="G115">
        <v>1</v>
      </c>
      <c r="H115">
        <v>2</v>
      </c>
      <c r="I115" t="s">
        <v>386</v>
      </c>
      <c r="J115" t="s">
        <v>387</v>
      </c>
      <c r="K115" t="s">
        <v>388</v>
      </c>
      <c r="L115">
        <v>1368</v>
      </c>
      <c r="N115">
        <v>1011</v>
      </c>
      <c r="O115" t="s">
        <v>389</v>
      </c>
      <c r="P115" t="s">
        <v>389</v>
      </c>
      <c r="Q115">
        <v>1</v>
      </c>
      <c r="X115">
        <v>0.76</v>
      </c>
      <c r="Y115">
        <v>0</v>
      </c>
      <c r="Z115">
        <v>37.32</v>
      </c>
      <c r="AA115">
        <v>297.43</v>
      </c>
      <c r="AB115">
        <v>0</v>
      </c>
      <c r="AC115">
        <v>0</v>
      </c>
      <c r="AD115">
        <v>1</v>
      </c>
      <c r="AE115">
        <v>0</v>
      </c>
      <c r="AF115" t="s">
        <v>116</v>
      </c>
      <c r="AG115">
        <v>0.95</v>
      </c>
      <c r="AH115">
        <v>2</v>
      </c>
      <c r="AI115">
        <v>74852720</v>
      </c>
      <c r="AJ115">
        <v>96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ROW(Source!A263)</f>
        <v>263</v>
      </c>
      <c r="B116">
        <v>74852974</v>
      </c>
      <c r="C116">
        <v>74852717</v>
      </c>
      <c r="D116">
        <v>72653331</v>
      </c>
      <c r="E116">
        <v>1</v>
      </c>
      <c r="F116">
        <v>1</v>
      </c>
      <c r="G116">
        <v>1</v>
      </c>
      <c r="H116">
        <v>2</v>
      </c>
      <c r="I116" t="s">
        <v>409</v>
      </c>
      <c r="J116" t="s">
        <v>410</v>
      </c>
      <c r="K116" t="s">
        <v>411</v>
      </c>
      <c r="L116">
        <v>1368</v>
      </c>
      <c r="N116">
        <v>1011</v>
      </c>
      <c r="O116" t="s">
        <v>389</v>
      </c>
      <c r="P116" t="s">
        <v>389</v>
      </c>
      <c r="Q116">
        <v>1</v>
      </c>
      <c r="X116">
        <v>4.58</v>
      </c>
      <c r="Y116">
        <v>0</v>
      </c>
      <c r="Z116">
        <v>611</v>
      </c>
      <c r="AA116">
        <v>334.92</v>
      </c>
      <c r="AB116">
        <v>0</v>
      </c>
      <c r="AC116">
        <v>0</v>
      </c>
      <c r="AD116">
        <v>1</v>
      </c>
      <c r="AE116">
        <v>0</v>
      </c>
      <c r="AF116" t="s">
        <v>116</v>
      </c>
      <c r="AG116">
        <v>5.7249999999999996</v>
      </c>
      <c r="AH116">
        <v>2</v>
      </c>
      <c r="AI116">
        <v>74852721</v>
      </c>
      <c r="AJ116">
        <v>97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ROW(Source!A263)</f>
        <v>263</v>
      </c>
      <c r="B117">
        <v>74852975</v>
      </c>
      <c r="C117">
        <v>74852717</v>
      </c>
      <c r="D117">
        <v>72528308</v>
      </c>
      <c r="E117">
        <v>114</v>
      </c>
      <c r="F117">
        <v>1</v>
      </c>
      <c r="G117">
        <v>1</v>
      </c>
      <c r="H117">
        <v>3</v>
      </c>
      <c r="I117" t="s">
        <v>545</v>
      </c>
      <c r="J117" t="s">
        <v>6</v>
      </c>
      <c r="K117" t="s">
        <v>546</v>
      </c>
      <c r="L117">
        <v>1327</v>
      </c>
      <c r="N117">
        <v>1005</v>
      </c>
      <c r="O117" t="s">
        <v>145</v>
      </c>
      <c r="P117" t="s">
        <v>145</v>
      </c>
      <c r="Q117">
        <v>1</v>
      </c>
      <c r="X117">
        <v>103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s">
        <v>6</v>
      </c>
      <c r="AG117">
        <v>103</v>
      </c>
      <c r="AH117">
        <v>3</v>
      </c>
      <c r="AI117">
        <v>-1</v>
      </c>
      <c r="AJ117" t="s">
        <v>6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ROW(Source!A263)</f>
        <v>263</v>
      </c>
      <c r="B118">
        <v>74852976</v>
      </c>
      <c r="C118">
        <v>74852717</v>
      </c>
      <c r="D118">
        <v>72599529</v>
      </c>
      <c r="E118">
        <v>1</v>
      </c>
      <c r="F118">
        <v>1</v>
      </c>
      <c r="G118">
        <v>1</v>
      </c>
      <c r="H118">
        <v>3</v>
      </c>
      <c r="I118" t="s">
        <v>418</v>
      </c>
      <c r="J118" t="s">
        <v>419</v>
      </c>
      <c r="K118" t="s">
        <v>420</v>
      </c>
      <c r="L118">
        <v>1383</v>
      </c>
      <c r="N118">
        <v>1013</v>
      </c>
      <c r="O118" t="s">
        <v>421</v>
      </c>
      <c r="P118" t="s">
        <v>421</v>
      </c>
      <c r="Q118">
        <v>1</v>
      </c>
      <c r="X118">
        <v>2.782</v>
      </c>
      <c r="Y118">
        <v>7.94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6</v>
      </c>
      <c r="AG118">
        <v>2.782</v>
      </c>
      <c r="AH118">
        <v>2</v>
      </c>
      <c r="AI118">
        <v>74852722</v>
      </c>
      <c r="AJ118">
        <v>98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ROW(Source!A266)</f>
        <v>266</v>
      </c>
      <c r="B119">
        <v>74852977</v>
      </c>
      <c r="C119">
        <v>74852731</v>
      </c>
      <c r="D119">
        <v>72527778</v>
      </c>
      <c r="E119">
        <v>114</v>
      </c>
      <c r="F119">
        <v>1</v>
      </c>
      <c r="G119">
        <v>1</v>
      </c>
      <c r="H119">
        <v>1</v>
      </c>
      <c r="I119" t="s">
        <v>510</v>
      </c>
      <c r="J119" t="s">
        <v>6</v>
      </c>
      <c r="K119" t="s">
        <v>511</v>
      </c>
      <c r="L119">
        <v>1191</v>
      </c>
      <c r="N119">
        <v>1013</v>
      </c>
      <c r="O119" t="s">
        <v>383</v>
      </c>
      <c r="P119" t="s">
        <v>383</v>
      </c>
      <c r="Q119">
        <v>1</v>
      </c>
      <c r="X119">
        <v>91.15</v>
      </c>
      <c r="Y119">
        <v>0</v>
      </c>
      <c r="Z119">
        <v>0</v>
      </c>
      <c r="AA119">
        <v>0</v>
      </c>
      <c r="AB119">
        <v>282.43</v>
      </c>
      <c r="AC119">
        <v>0</v>
      </c>
      <c r="AD119">
        <v>1</v>
      </c>
      <c r="AE119">
        <v>1</v>
      </c>
      <c r="AF119" t="s">
        <v>6</v>
      </c>
      <c r="AG119">
        <v>91.15</v>
      </c>
      <c r="AH119">
        <v>2</v>
      </c>
      <c r="AI119">
        <v>74852977</v>
      </c>
      <c r="AJ119">
        <v>99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ROW(Source!A266)</f>
        <v>266</v>
      </c>
      <c r="B120">
        <v>74852978</v>
      </c>
      <c r="C120">
        <v>74852731</v>
      </c>
      <c r="D120">
        <v>72527995</v>
      </c>
      <c r="E120">
        <v>114</v>
      </c>
      <c r="F120">
        <v>1</v>
      </c>
      <c r="G120">
        <v>1</v>
      </c>
      <c r="H120">
        <v>1</v>
      </c>
      <c r="I120" t="s">
        <v>384</v>
      </c>
      <c r="J120" t="s">
        <v>6</v>
      </c>
      <c r="K120" t="s">
        <v>385</v>
      </c>
      <c r="L120">
        <v>1191</v>
      </c>
      <c r="N120">
        <v>1013</v>
      </c>
      <c r="O120" t="s">
        <v>383</v>
      </c>
      <c r="P120" t="s">
        <v>383</v>
      </c>
      <c r="Q120">
        <v>1</v>
      </c>
      <c r="X120">
        <v>7.74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2</v>
      </c>
      <c r="AF120" t="s">
        <v>6</v>
      </c>
      <c r="AG120">
        <v>7.74</v>
      </c>
      <c r="AH120">
        <v>2</v>
      </c>
      <c r="AI120">
        <v>74852978</v>
      </c>
      <c r="AJ120">
        <v>100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ROW(Source!A266)</f>
        <v>266</v>
      </c>
      <c r="B121">
        <v>74852979</v>
      </c>
      <c r="C121">
        <v>74852731</v>
      </c>
      <c r="D121">
        <v>72652626</v>
      </c>
      <c r="E121">
        <v>1</v>
      </c>
      <c r="F121">
        <v>1</v>
      </c>
      <c r="G121">
        <v>1</v>
      </c>
      <c r="H121">
        <v>2</v>
      </c>
      <c r="I121" t="s">
        <v>386</v>
      </c>
      <c r="J121" t="s">
        <v>387</v>
      </c>
      <c r="K121" t="s">
        <v>388</v>
      </c>
      <c r="L121">
        <v>1368</v>
      </c>
      <c r="N121">
        <v>1011</v>
      </c>
      <c r="O121" t="s">
        <v>389</v>
      </c>
      <c r="P121" t="s">
        <v>389</v>
      </c>
      <c r="Q121">
        <v>1</v>
      </c>
      <c r="X121">
        <v>7.74</v>
      </c>
      <c r="Y121">
        <v>0</v>
      </c>
      <c r="Z121">
        <v>37.32</v>
      </c>
      <c r="AA121">
        <v>297.43</v>
      </c>
      <c r="AB121">
        <v>0</v>
      </c>
      <c r="AC121">
        <v>0</v>
      </c>
      <c r="AD121">
        <v>1</v>
      </c>
      <c r="AE121">
        <v>0</v>
      </c>
      <c r="AF121" t="s">
        <v>6</v>
      </c>
      <c r="AG121">
        <v>7.74</v>
      </c>
      <c r="AH121">
        <v>2</v>
      </c>
      <c r="AI121">
        <v>74852979</v>
      </c>
      <c r="AJ121">
        <v>101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ROW(Source!A267)</f>
        <v>267</v>
      </c>
      <c r="B122">
        <v>74853018</v>
      </c>
      <c r="C122">
        <v>74852738</v>
      </c>
      <c r="D122">
        <v>72527808</v>
      </c>
      <c r="E122">
        <v>114</v>
      </c>
      <c r="F122">
        <v>1</v>
      </c>
      <c r="G122">
        <v>1</v>
      </c>
      <c r="H122">
        <v>1</v>
      </c>
      <c r="I122" t="s">
        <v>457</v>
      </c>
      <c r="J122" t="s">
        <v>6</v>
      </c>
      <c r="K122" t="s">
        <v>458</v>
      </c>
      <c r="L122">
        <v>1191</v>
      </c>
      <c r="N122">
        <v>1013</v>
      </c>
      <c r="O122" t="s">
        <v>383</v>
      </c>
      <c r="P122" t="s">
        <v>383</v>
      </c>
      <c r="Q122">
        <v>1</v>
      </c>
      <c r="X122">
        <v>115</v>
      </c>
      <c r="Y122">
        <v>0</v>
      </c>
      <c r="Z122">
        <v>0</v>
      </c>
      <c r="AA122">
        <v>0</v>
      </c>
      <c r="AB122">
        <v>312.43</v>
      </c>
      <c r="AC122">
        <v>0</v>
      </c>
      <c r="AD122">
        <v>1</v>
      </c>
      <c r="AE122">
        <v>1</v>
      </c>
      <c r="AF122" t="s">
        <v>117</v>
      </c>
      <c r="AG122">
        <v>132.25</v>
      </c>
      <c r="AH122">
        <v>2</v>
      </c>
      <c r="AI122">
        <v>74853018</v>
      </c>
      <c r="AJ122">
        <v>102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ROW(Source!A267)</f>
        <v>267</v>
      </c>
      <c r="B123">
        <v>74853019</v>
      </c>
      <c r="C123">
        <v>74852738</v>
      </c>
      <c r="D123">
        <v>72527995</v>
      </c>
      <c r="E123">
        <v>114</v>
      </c>
      <c r="F123">
        <v>1</v>
      </c>
      <c r="G123">
        <v>1</v>
      </c>
      <c r="H123">
        <v>1</v>
      </c>
      <c r="I123" t="s">
        <v>384</v>
      </c>
      <c r="J123" t="s">
        <v>6</v>
      </c>
      <c r="K123" t="s">
        <v>385</v>
      </c>
      <c r="L123">
        <v>1191</v>
      </c>
      <c r="N123">
        <v>1013</v>
      </c>
      <c r="O123" t="s">
        <v>383</v>
      </c>
      <c r="P123" t="s">
        <v>383</v>
      </c>
      <c r="Q123">
        <v>1</v>
      </c>
      <c r="X123">
        <v>4.07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2</v>
      </c>
      <c r="AF123" t="s">
        <v>116</v>
      </c>
      <c r="AG123">
        <v>5.0875000000000004</v>
      </c>
      <c r="AH123">
        <v>2</v>
      </c>
      <c r="AI123">
        <v>74853019</v>
      </c>
      <c r="AJ123">
        <v>103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ROW(Source!A267)</f>
        <v>267</v>
      </c>
      <c r="B124">
        <v>74853020</v>
      </c>
      <c r="C124">
        <v>74852738</v>
      </c>
      <c r="D124">
        <v>72652626</v>
      </c>
      <c r="E124">
        <v>1</v>
      </c>
      <c r="F124">
        <v>1</v>
      </c>
      <c r="G124">
        <v>1</v>
      </c>
      <c r="H124">
        <v>2</v>
      </c>
      <c r="I124" t="s">
        <v>386</v>
      </c>
      <c r="J124" t="s">
        <v>387</v>
      </c>
      <c r="K124" t="s">
        <v>388</v>
      </c>
      <c r="L124">
        <v>1368</v>
      </c>
      <c r="N124">
        <v>1011</v>
      </c>
      <c r="O124" t="s">
        <v>389</v>
      </c>
      <c r="P124" t="s">
        <v>389</v>
      </c>
      <c r="Q124">
        <v>1</v>
      </c>
      <c r="X124">
        <v>0.49</v>
      </c>
      <c r="Y124">
        <v>0</v>
      </c>
      <c r="Z124">
        <v>37.32</v>
      </c>
      <c r="AA124">
        <v>297.43</v>
      </c>
      <c r="AB124">
        <v>0</v>
      </c>
      <c r="AC124">
        <v>0</v>
      </c>
      <c r="AD124">
        <v>1</v>
      </c>
      <c r="AE124">
        <v>0</v>
      </c>
      <c r="AF124" t="s">
        <v>116</v>
      </c>
      <c r="AG124">
        <v>0.61250000000000004</v>
      </c>
      <c r="AH124">
        <v>2</v>
      </c>
      <c r="AI124">
        <v>74853020</v>
      </c>
      <c r="AJ124">
        <v>104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ROW(Source!A267)</f>
        <v>267</v>
      </c>
      <c r="B125">
        <v>74853021</v>
      </c>
      <c r="C125">
        <v>74852738</v>
      </c>
      <c r="D125">
        <v>72653331</v>
      </c>
      <c r="E125">
        <v>1</v>
      </c>
      <c r="F125">
        <v>1</v>
      </c>
      <c r="G125">
        <v>1</v>
      </c>
      <c r="H125">
        <v>2</v>
      </c>
      <c r="I125" t="s">
        <v>409</v>
      </c>
      <c r="J125" t="s">
        <v>410</v>
      </c>
      <c r="K125" t="s">
        <v>411</v>
      </c>
      <c r="L125">
        <v>1368</v>
      </c>
      <c r="N125">
        <v>1011</v>
      </c>
      <c r="O125" t="s">
        <v>389</v>
      </c>
      <c r="P125" t="s">
        <v>389</v>
      </c>
      <c r="Q125">
        <v>1</v>
      </c>
      <c r="X125">
        <v>3.58</v>
      </c>
      <c r="Y125">
        <v>0</v>
      </c>
      <c r="Z125">
        <v>611</v>
      </c>
      <c r="AA125">
        <v>334.92</v>
      </c>
      <c r="AB125">
        <v>0</v>
      </c>
      <c r="AC125">
        <v>0</v>
      </c>
      <c r="AD125">
        <v>1</v>
      </c>
      <c r="AE125">
        <v>0</v>
      </c>
      <c r="AF125" t="s">
        <v>116</v>
      </c>
      <c r="AG125">
        <v>4.4749999999999996</v>
      </c>
      <c r="AH125">
        <v>2</v>
      </c>
      <c r="AI125">
        <v>74853021</v>
      </c>
      <c r="AJ125">
        <v>105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ROW(Source!A267)</f>
        <v>267</v>
      </c>
      <c r="B126">
        <v>74853022</v>
      </c>
      <c r="C126">
        <v>74852738</v>
      </c>
      <c r="D126">
        <v>72528346</v>
      </c>
      <c r="E126">
        <v>114</v>
      </c>
      <c r="F126">
        <v>1</v>
      </c>
      <c r="G126">
        <v>1</v>
      </c>
      <c r="H126">
        <v>3</v>
      </c>
      <c r="I126" t="s">
        <v>547</v>
      </c>
      <c r="J126" t="s">
        <v>6</v>
      </c>
      <c r="K126" t="s">
        <v>548</v>
      </c>
      <c r="L126">
        <v>1377</v>
      </c>
      <c r="N126">
        <v>1013</v>
      </c>
      <c r="O126" t="s">
        <v>549</v>
      </c>
      <c r="P126" t="s">
        <v>549</v>
      </c>
      <c r="Q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 t="s">
        <v>6</v>
      </c>
      <c r="AG126">
        <v>0</v>
      </c>
      <c r="AH126">
        <v>3</v>
      </c>
      <c r="AI126">
        <v>-1</v>
      </c>
      <c r="AJ126" t="s">
        <v>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ROW(Source!A267)</f>
        <v>267</v>
      </c>
      <c r="B127">
        <v>74853023</v>
      </c>
      <c r="C127">
        <v>74852738</v>
      </c>
      <c r="D127">
        <v>72600672</v>
      </c>
      <c r="E127">
        <v>1</v>
      </c>
      <c r="F127">
        <v>1</v>
      </c>
      <c r="G127">
        <v>1</v>
      </c>
      <c r="H127">
        <v>3</v>
      </c>
      <c r="I127" t="s">
        <v>550</v>
      </c>
      <c r="J127" t="s">
        <v>551</v>
      </c>
      <c r="K127" t="s">
        <v>552</v>
      </c>
      <c r="L127">
        <v>1371</v>
      </c>
      <c r="N127">
        <v>1013</v>
      </c>
      <c r="O127" t="s">
        <v>166</v>
      </c>
      <c r="P127" t="s">
        <v>166</v>
      </c>
      <c r="Q127">
        <v>1</v>
      </c>
      <c r="X127">
        <v>0</v>
      </c>
      <c r="Y127">
        <v>241.35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 t="s">
        <v>6</v>
      </c>
      <c r="AG127">
        <v>0</v>
      </c>
      <c r="AH127">
        <v>3</v>
      </c>
      <c r="AI127">
        <v>-1</v>
      </c>
      <c r="AJ127" t="s">
        <v>6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ROW(Source!A267)</f>
        <v>267</v>
      </c>
      <c r="B128">
        <v>74853024</v>
      </c>
      <c r="C128">
        <v>74852738</v>
      </c>
      <c r="D128">
        <v>72601060</v>
      </c>
      <c r="E128">
        <v>1</v>
      </c>
      <c r="F128">
        <v>1</v>
      </c>
      <c r="G128">
        <v>1</v>
      </c>
      <c r="H128">
        <v>3</v>
      </c>
      <c r="I128" t="s">
        <v>515</v>
      </c>
      <c r="J128" t="s">
        <v>516</v>
      </c>
      <c r="K128" t="s">
        <v>517</v>
      </c>
      <c r="L128">
        <v>1348</v>
      </c>
      <c r="N128">
        <v>1009</v>
      </c>
      <c r="O128" t="s">
        <v>149</v>
      </c>
      <c r="P128" t="s">
        <v>149</v>
      </c>
      <c r="Q128">
        <v>1000</v>
      </c>
      <c r="X128">
        <v>1.01E-2</v>
      </c>
      <c r="Y128">
        <v>70296.2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6</v>
      </c>
      <c r="AG128">
        <v>1.01E-2</v>
      </c>
      <c r="AH128">
        <v>2</v>
      </c>
      <c r="AI128">
        <v>74853024</v>
      </c>
      <c r="AJ128">
        <v>106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ROW(Source!A267)</f>
        <v>267</v>
      </c>
      <c r="B129">
        <v>74853025</v>
      </c>
      <c r="C129">
        <v>74852738</v>
      </c>
      <c r="D129">
        <v>72530802</v>
      </c>
      <c r="E129">
        <v>114</v>
      </c>
      <c r="F129">
        <v>1</v>
      </c>
      <c r="G129">
        <v>1</v>
      </c>
      <c r="H129">
        <v>3</v>
      </c>
      <c r="I129" t="s">
        <v>553</v>
      </c>
      <c r="J129" t="s">
        <v>6</v>
      </c>
      <c r="K129" t="s">
        <v>554</v>
      </c>
      <c r="L129">
        <v>1301</v>
      </c>
      <c r="N129">
        <v>1003</v>
      </c>
      <c r="O129" t="s">
        <v>157</v>
      </c>
      <c r="P129" t="s">
        <v>157</v>
      </c>
      <c r="Q129">
        <v>1</v>
      </c>
      <c r="X129">
        <v>540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t="s">
        <v>6</v>
      </c>
      <c r="AG129">
        <v>540</v>
      </c>
      <c r="AH129">
        <v>3</v>
      </c>
      <c r="AI129">
        <v>-1</v>
      </c>
      <c r="AJ129" t="s">
        <v>6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ROW(Source!A267)</f>
        <v>267</v>
      </c>
      <c r="B130">
        <v>74853026</v>
      </c>
      <c r="C130">
        <v>74852738</v>
      </c>
      <c r="D130">
        <v>72610898</v>
      </c>
      <c r="E130">
        <v>1</v>
      </c>
      <c r="F130">
        <v>1</v>
      </c>
      <c r="G130">
        <v>1</v>
      </c>
      <c r="H130">
        <v>3</v>
      </c>
      <c r="I130" t="s">
        <v>518</v>
      </c>
      <c r="J130" t="s">
        <v>519</v>
      </c>
      <c r="K130" t="s">
        <v>520</v>
      </c>
      <c r="L130">
        <v>1339</v>
      </c>
      <c r="N130">
        <v>1007</v>
      </c>
      <c r="O130" t="s">
        <v>134</v>
      </c>
      <c r="P130" t="s">
        <v>134</v>
      </c>
      <c r="Q130">
        <v>1</v>
      </c>
      <c r="X130">
        <v>0.08</v>
      </c>
      <c r="Y130">
        <v>5764.42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6</v>
      </c>
      <c r="AG130">
        <v>0.08</v>
      </c>
      <c r="AH130">
        <v>2</v>
      </c>
      <c r="AI130">
        <v>74853026</v>
      </c>
      <c r="AJ130">
        <v>107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ROW(Source!A267)</f>
        <v>267</v>
      </c>
      <c r="B131">
        <v>74853027</v>
      </c>
      <c r="C131">
        <v>74852738</v>
      </c>
      <c r="D131">
        <v>72530876</v>
      </c>
      <c r="E131">
        <v>114</v>
      </c>
      <c r="F131">
        <v>1</v>
      </c>
      <c r="G131">
        <v>1</v>
      </c>
      <c r="H131">
        <v>3</v>
      </c>
      <c r="I131" t="s">
        <v>555</v>
      </c>
      <c r="J131" t="s">
        <v>6</v>
      </c>
      <c r="K131" t="s">
        <v>556</v>
      </c>
      <c r="L131">
        <v>1327</v>
      </c>
      <c r="N131">
        <v>1005</v>
      </c>
      <c r="O131" t="s">
        <v>145</v>
      </c>
      <c r="P131" t="s">
        <v>145</v>
      </c>
      <c r="Q131">
        <v>1</v>
      </c>
      <c r="X131">
        <v>100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s">
        <v>6</v>
      </c>
      <c r="AG131">
        <v>100</v>
      </c>
      <c r="AH131">
        <v>3</v>
      </c>
      <c r="AI131">
        <v>-1</v>
      </c>
      <c r="AJ131" t="s">
        <v>6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42245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>ЛСР02-01-01_(Копия) (ФСНБ-2022)</v>
      </c>
      <c r="G12" t="str">
        <f>Source!G12</f>
        <v>02-01-01 Общестроительные работы. костюм. (ФСНБ-2022)</v>
      </c>
      <c r="AB12" t="s">
        <v>6</v>
      </c>
      <c r="AC12" t="s">
        <v>6</v>
      </c>
      <c r="AD12" t="s">
        <v>6</v>
      </c>
      <c r="AE12" t="s">
        <v>6</v>
      </c>
      <c r="AF12" t="s">
        <v>6</v>
      </c>
      <c r="AG12" t="s">
        <v>6</v>
      </c>
      <c r="AH12" t="s">
        <v>6</v>
      </c>
      <c r="AI12" t="s">
        <v>6</v>
      </c>
      <c r="AJ12">
        <v>0</v>
      </c>
      <c r="AK12" t="s">
        <v>6</v>
      </c>
      <c r="AL12" t="s">
        <v>6</v>
      </c>
      <c r="AM12" t="s">
        <v>6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ЛСР02-01-01</vt:lpstr>
      <vt:lpstr>Source</vt:lpstr>
      <vt:lpstr>SourceObSm</vt:lpstr>
      <vt:lpstr>SmtRes</vt:lpstr>
      <vt:lpstr>EtalonRes</vt:lpstr>
      <vt:lpstr>SrcPoprs</vt:lpstr>
      <vt:lpstr>SrcKA</vt:lpstr>
      <vt:lpstr>'ЛСР02-01-01'!Заголовки_для_печати</vt:lpstr>
      <vt:lpstr>'ЛСР02-01-01'!Область_печати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2026-08-07T06:23:48Z</dcterms:created>
  <dcterms:modified xsi:type="dcterms:W3CDTF">2026-08-07T06:33:28Z</dcterms:modified>
</cp:coreProperties>
</file>