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tkovskajaTS\Desktop\Березка в работе\засыпка песком площадки МОДУЛЬ\"/>
    </mc:Choice>
  </mc:AlternateContent>
  <bookViews>
    <workbookView xWindow="-114" yWindow="-114" windowWidth="29042" windowHeight="15726"/>
  </bookViews>
  <sheets>
    <sheet name="Смета по ФСНБ 421+557прРИМ" sheetId="7" r:id="rId1"/>
    <sheet name="RV_DATA" sheetId="9" state="hidden" r:id="rId2"/>
    <sheet name="Расчет стоимости ресурсов" sheetId="8" r:id="rId3"/>
    <sheet name="Source" sheetId="1" r:id="rId4"/>
    <sheet name="SourceObSm" sheetId="2" r:id="rId5"/>
    <sheet name="SmtRes" sheetId="3" r:id="rId6"/>
    <sheet name="EtalonRes" sheetId="4" r:id="rId7"/>
    <sheet name="SrcPoprs" sheetId="5" r:id="rId8"/>
    <sheet name="SrcKA" sheetId="6" r:id="rId9"/>
  </sheets>
  <definedNames>
    <definedName name="_xlnm.Print_Titles" localSheetId="2">'Расчет стоимости ресурсов'!$5:$8</definedName>
    <definedName name="_xlnm.Print_Titles" localSheetId="0">'Смета по ФСНБ 421+557прРИМ'!$59:$59</definedName>
    <definedName name="_xlnm.Print_Area" localSheetId="2">'Расчет стоимости ресурсов'!$A$1:$F$20</definedName>
    <definedName name="_xlnm.Print_Area" localSheetId="0">'Смета по ФСНБ 421+557прРИМ'!$A$1:$L$238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6" i="7" l="1"/>
  <c r="E86" i="7"/>
  <c r="L110" i="7"/>
  <c r="E18" i="8" l="1"/>
  <c r="E17" i="8"/>
  <c r="E16" i="8"/>
  <c r="A2" i="8"/>
  <c r="Z7" i="9"/>
  <c r="S7" i="9"/>
  <c r="P7" i="9"/>
  <c r="N7" i="9"/>
  <c r="E11" i="8" s="1"/>
  <c r="K7" i="9"/>
  <c r="J7" i="9"/>
  <c r="H7" i="9"/>
  <c r="G7" i="9"/>
  <c r="F7" i="9"/>
  <c r="E7" i="9"/>
  <c r="G6" i="9"/>
  <c r="A6" i="9"/>
  <c r="H236" i="7"/>
  <c r="H233" i="7"/>
  <c r="C236" i="7"/>
  <c r="C233" i="7"/>
  <c r="L223" i="7"/>
  <c r="L222" i="7"/>
  <c r="L219" i="7"/>
  <c r="L218" i="7"/>
  <c r="L212" i="7"/>
  <c r="L211" i="7"/>
  <c r="L207" i="7"/>
  <c r="L192" i="7"/>
  <c r="L191" i="7"/>
  <c r="L187" i="7"/>
  <c r="L176" i="7"/>
  <c r="L175" i="7"/>
  <c r="L174" i="7"/>
  <c r="L169" i="7"/>
  <c r="L168" i="7"/>
  <c r="L164" i="7"/>
  <c r="L163" i="7"/>
  <c r="L162" i="7"/>
  <c r="L161" i="7"/>
  <c r="L160" i="7"/>
  <c r="L159" i="7"/>
  <c r="L156" i="7"/>
  <c r="L155" i="7"/>
  <c r="L153" i="7"/>
  <c r="L150" i="7"/>
  <c r="L141" i="7"/>
  <c r="L140" i="7"/>
  <c r="L136" i="7"/>
  <c r="AW122" i="7"/>
  <c r="AR122" i="7"/>
  <c r="AE122" i="7"/>
  <c r="AD122" i="7"/>
  <c r="L119" i="7"/>
  <c r="AT122" i="7" s="1"/>
  <c r="E117" i="7"/>
  <c r="G117" i="7"/>
  <c r="D117" i="7"/>
  <c r="C117" i="7"/>
  <c r="G115" i="7"/>
  <c r="E115" i="7"/>
  <c r="G114" i="7"/>
  <c r="E114" i="7"/>
  <c r="I111" i="7"/>
  <c r="J108" i="7"/>
  <c r="F108" i="7"/>
  <c r="E108" i="7"/>
  <c r="F107" i="7"/>
  <c r="F104" i="7"/>
  <c r="D102" i="7"/>
  <c r="C102" i="7"/>
  <c r="AW101" i="7"/>
  <c r="AT101" i="7"/>
  <c r="AR101" i="7"/>
  <c r="H100" i="7"/>
  <c r="D100" i="7"/>
  <c r="C100" i="7"/>
  <c r="B100" i="7"/>
  <c r="AW99" i="7"/>
  <c r="AR99" i="7"/>
  <c r="J97" i="7"/>
  <c r="F97" i="7"/>
  <c r="E97" i="7"/>
  <c r="F96" i="7"/>
  <c r="D93" i="7"/>
  <c r="AW92" i="7"/>
  <c r="AT92" i="7"/>
  <c r="AR92" i="7"/>
  <c r="AE92" i="7"/>
  <c r="AD92" i="7"/>
  <c r="H91" i="7"/>
  <c r="E91" i="7"/>
  <c r="G91" i="7"/>
  <c r="D91" i="7"/>
  <c r="C91" i="7"/>
  <c r="B91" i="7"/>
  <c r="AW90" i="7"/>
  <c r="AR90" i="7"/>
  <c r="F85" i="7"/>
  <c r="J84" i="7"/>
  <c r="F84" i="7"/>
  <c r="E84" i="7"/>
  <c r="F83" i="7"/>
  <c r="D79" i="7"/>
  <c r="C79" i="7"/>
  <c r="AW78" i="7"/>
  <c r="AT78" i="7"/>
  <c r="AR78" i="7"/>
  <c r="H77" i="7"/>
  <c r="D77" i="7"/>
  <c r="C77" i="7"/>
  <c r="B77" i="7"/>
  <c r="AW76" i="7"/>
  <c r="AR76" i="7"/>
  <c r="J74" i="7"/>
  <c r="F74" i="7"/>
  <c r="E74" i="7"/>
  <c r="I73" i="7"/>
  <c r="F73" i="7"/>
  <c r="D70" i="7"/>
  <c r="AW69" i="7"/>
  <c r="AT69" i="7"/>
  <c r="AR69" i="7"/>
  <c r="H68" i="7"/>
  <c r="D68" i="7"/>
  <c r="C68" i="7"/>
  <c r="B68" i="7"/>
  <c r="AW67" i="7"/>
  <c r="AR67" i="7"/>
  <c r="J65" i="7"/>
  <c r="F65" i="7"/>
  <c r="E65" i="7"/>
  <c r="I64" i="7"/>
  <c r="F64" i="7"/>
  <c r="D60" i="7"/>
  <c r="C60" i="7"/>
  <c r="F24" i="7"/>
  <c r="F22" i="7"/>
  <c r="CO14" i="7"/>
  <c r="F14" i="7"/>
  <c r="CO12" i="7"/>
  <c r="F12" i="7"/>
  <c r="H6" i="7"/>
  <c r="B6" i="7"/>
  <c r="A1" i="7"/>
  <c r="L166" i="7" l="1"/>
  <c r="L151" i="7"/>
  <c r="L216" i="7"/>
  <c r="L190" i="7"/>
  <c r="L188" i="7" s="1"/>
  <c r="L157" i="7"/>
  <c r="L186" i="7"/>
  <c r="L181" i="7"/>
  <c r="L193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" i="3"/>
  <c r="Y1" i="3"/>
  <c r="CX1" i="3" s="1"/>
  <c r="CY1" i="3"/>
  <c r="CZ1" i="3"/>
  <c r="DB1" i="3" s="1"/>
  <c r="DA1" i="3"/>
  <c r="DC1" i="3"/>
  <c r="A2" i="3"/>
  <c r="Y2" i="3"/>
  <c r="CX2" i="3" s="1"/>
  <c r="G64" i="7" s="1"/>
  <c r="CY2" i="3"/>
  <c r="CZ2" i="3"/>
  <c r="H64" i="7" s="1"/>
  <c r="J64" i="7" s="1"/>
  <c r="DA2" i="3"/>
  <c r="DB2" i="3"/>
  <c r="DC2" i="3"/>
  <c r="A3" i="3"/>
  <c r="Y3" i="3"/>
  <c r="CX3" i="3" s="1"/>
  <c r="CY3" i="3"/>
  <c r="CZ3" i="3"/>
  <c r="DB3" i="3" s="1"/>
  <c r="DA3" i="3"/>
  <c r="DC3" i="3"/>
  <c r="A4" i="3"/>
  <c r="Y4" i="3"/>
  <c r="CX4" i="3" s="1"/>
  <c r="G73" i="7" s="1"/>
  <c r="CY4" i="3"/>
  <c r="CZ4" i="3"/>
  <c r="H73" i="7" s="1"/>
  <c r="J73" i="7" s="1"/>
  <c r="DA4" i="3"/>
  <c r="DB4" i="3"/>
  <c r="DC4" i="3"/>
  <c r="A5" i="3"/>
  <c r="Y5" i="3"/>
  <c r="CY5" i="3"/>
  <c r="CZ5" i="3"/>
  <c r="DA5" i="3"/>
  <c r="DB5" i="3"/>
  <c r="DC5" i="3"/>
  <c r="A6" i="3"/>
  <c r="Y6" i="3"/>
  <c r="CY6" i="3"/>
  <c r="CZ6" i="3"/>
  <c r="J83" i="7" s="1"/>
  <c r="DA6" i="3"/>
  <c r="DB6" i="3"/>
  <c r="DC6" i="3"/>
  <c r="A7" i="3"/>
  <c r="Y7" i="3"/>
  <c r="CY7" i="3"/>
  <c r="CZ7" i="3"/>
  <c r="DA7" i="3"/>
  <c r="DC7" i="3"/>
  <c r="A8" i="3"/>
  <c r="Y8" i="3"/>
  <c r="CY8" i="3"/>
  <c r="CZ8" i="3"/>
  <c r="DA8" i="3"/>
  <c r="DB8" i="3"/>
  <c r="DC8" i="3"/>
  <c r="A9" i="3"/>
  <c r="Y9" i="3"/>
  <c r="CY9" i="3"/>
  <c r="CZ9" i="3"/>
  <c r="DA9" i="3"/>
  <c r="DC9" i="3"/>
  <c r="A10" i="3"/>
  <c r="Y10" i="3"/>
  <c r="CY10" i="3"/>
  <c r="CZ10" i="3"/>
  <c r="J104" i="7" s="1"/>
  <c r="DA10" i="3"/>
  <c r="DB10" i="3"/>
  <c r="DC10" i="3"/>
  <c r="A11" i="3"/>
  <c r="Y11" i="3"/>
  <c r="CY11" i="3"/>
  <c r="CZ11" i="3"/>
  <c r="DA11" i="3"/>
  <c r="DB11" i="3"/>
  <c r="DC11" i="3"/>
  <c r="A12" i="3"/>
  <c r="Y12" i="3"/>
  <c r="CY12" i="3"/>
  <c r="CZ12" i="3"/>
  <c r="J107" i="7" s="1"/>
  <c r="DA12" i="3"/>
  <c r="DB12" i="3"/>
  <c r="DC12" i="3"/>
  <c r="A13" i="3"/>
  <c r="Y13" i="3"/>
  <c r="I7" i="9" s="1"/>
  <c r="CY13" i="3"/>
  <c r="CZ13" i="3"/>
  <c r="H111" i="7" s="1"/>
  <c r="J111" i="7" s="1"/>
  <c r="DA13" i="3"/>
  <c r="DB13" i="3"/>
  <c r="DC13" i="3"/>
  <c r="A14" i="3"/>
  <c r="Y14" i="3"/>
  <c r="CW14" i="3" s="1"/>
  <c r="V33" i="1" s="1"/>
  <c r="G119" i="7" s="1"/>
  <c r="CX14" i="3"/>
  <c r="CY14" i="3"/>
  <c r="CZ14" i="3"/>
  <c r="DA14" i="3"/>
  <c r="DC14" i="3"/>
  <c r="DH14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C24" i="1"/>
  <c r="D24" i="1"/>
  <c r="I24" i="1"/>
  <c r="K24" i="1"/>
  <c r="E60" i="7" s="1"/>
  <c r="U24" i="1"/>
  <c r="AC24" i="1"/>
  <c r="AE24" i="1"/>
  <c r="AD24" i="1" s="1"/>
  <c r="AF24" i="1"/>
  <c r="AG24" i="1"/>
  <c r="AH24" i="1"/>
  <c r="AI24" i="1"/>
  <c r="AJ24" i="1"/>
  <c r="CQ24" i="1"/>
  <c r="CR24" i="1"/>
  <c r="CS24" i="1"/>
  <c r="CT24" i="1"/>
  <c r="CU24" i="1"/>
  <c r="T24" i="1" s="1"/>
  <c r="CV24" i="1"/>
  <c r="CW24" i="1"/>
  <c r="CX24" i="1"/>
  <c r="W24" i="1" s="1"/>
  <c r="GL24" i="1"/>
  <c r="GO24" i="1"/>
  <c r="GP24" i="1"/>
  <c r="GV24" i="1"/>
  <c r="HC24" i="1" s="1"/>
  <c r="GX24" i="1" s="1"/>
  <c r="AC25" i="1"/>
  <c r="AE25" i="1"/>
  <c r="AD25" i="1" s="1"/>
  <c r="AF25" i="1"/>
  <c r="AG25" i="1"/>
  <c r="CU25" i="1" s="1"/>
  <c r="AH25" i="1"/>
  <c r="AI25" i="1"/>
  <c r="CW25" i="1" s="1"/>
  <c r="AJ25" i="1"/>
  <c r="CX25" i="1" s="1"/>
  <c r="CQ25" i="1"/>
  <c r="CR25" i="1"/>
  <c r="CS25" i="1"/>
  <c r="CT25" i="1"/>
  <c r="CV25" i="1"/>
  <c r="GL25" i="1"/>
  <c r="GN25" i="1"/>
  <c r="GO25" i="1"/>
  <c r="GV25" i="1"/>
  <c r="HC25" i="1"/>
  <c r="C26" i="1"/>
  <c r="D26" i="1"/>
  <c r="I26" i="1"/>
  <c r="K26" i="1"/>
  <c r="E70" i="7" s="1"/>
  <c r="U26" i="1"/>
  <c r="AC26" i="1"/>
  <c r="AE26" i="1"/>
  <c r="AD26" i="1" s="1"/>
  <c r="AF26" i="1"/>
  <c r="AG26" i="1"/>
  <c r="CU26" i="1" s="1"/>
  <c r="T26" i="1" s="1"/>
  <c r="AH26" i="1"/>
  <c r="AI26" i="1"/>
  <c r="AJ26" i="1"/>
  <c r="CX26" i="1" s="1"/>
  <c r="W26" i="1" s="1"/>
  <c r="CQ26" i="1"/>
  <c r="CR26" i="1"/>
  <c r="CS26" i="1"/>
  <c r="CT26" i="1"/>
  <c r="CV26" i="1"/>
  <c r="CW26" i="1"/>
  <c r="GL26" i="1"/>
  <c r="GO26" i="1"/>
  <c r="GP26" i="1"/>
  <c r="GV26" i="1"/>
  <c r="HC26" i="1"/>
  <c r="GX26" i="1" s="1"/>
  <c r="AC27" i="1"/>
  <c r="AE27" i="1"/>
  <c r="AD27" i="1" s="1"/>
  <c r="AF27" i="1"/>
  <c r="AG27" i="1"/>
  <c r="CU27" i="1" s="1"/>
  <c r="AH27" i="1"/>
  <c r="AI27" i="1"/>
  <c r="CW27" i="1" s="1"/>
  <c r="V27" i="1" s="1"/>
  <c r="AJ27" i="1"/>
  <c r="CQ27" i="1"/>
  <c r="P27" i="1" s="1"/>
  <c r="CR27" i="1"/>
  <c r="CS27" i="1"/>
  <c r="CT27" i="1"/>
  <c r="CV27" i="1"/>
  <c r="CX27" i="1"/>
  <c r="GL27" i="1"/>
  <c r="GN27" i="1"/>
  <c r="GO27" i="1"/>
  <c r="GV27" i="1"/>
  <c r="HC27" i="1" s="1"/>
  <c r="C28" i="1"/>
  <c r="D28" i="1"/>
  <c r="I28" i="1"/>
  <c r="K28" i="1"/>
  <c r="E79" i="7" s="1"/>
  <c r="U28" i="1"/>
  <c r="AC28" i="1"/>
  <c r="AE28" i="1"/>
  <c r="AD28" i="1" s="1"/>
  <c r="AB28" i="1" s="1"/>
  <c r="AF28" i="1"/>
  <c r="AG28" i="1"/>
  <c r="AH28" i="1"/>
  <c r="AI28" i="1"/>
  <c r="AJ28" i="1"/>
  <c r="CX28" i="1" s="1"/>
  <c r="W28" i="1" s="1"/>
  <c r="CQ28" i="1"/>
  <c r="CR28" i="1"/>
  <c r="CS28" i="1"/>
  <c r="CT28" i="1"/>
  <c r="CU28" i="1"/>
  <c r="T28" i="1" s="1"/>
  <c r="CV28" i="1"/>
  <c r="CW28" i="1"/>
  <c r="GL28" i="1"/>
  <c r="GO28" i="1"/>
  <c r="GP28" i="1"/>
  <c r="GV28" i="1"/>
  <c r="HC28" i="1"/>
  <c r="GX28" i="1" s="1"/>
  <c r="P29" i="1"/>
  <c r="Q29" i="1"/>
  <c r="L91" i="7" s="1"/>
  <c r="R29" i="1"/>
  <c r="AC29" i="1"/>
  <c r="AE29" i="1"/>
  <c r="AD29" i="1" s="1"/>
  <c r="AB29" i="1" s="1"/>
  <c r="AF29" i="1"/>
  <c r="AG29" i="1"/>
  <c r="CU29" i="1" s="1"/>
  <c r="T29" i="1" s="1"/>
  <c r="AH29" i="1"/>
  <c r="AI29" i="1"/>
  <c r="AJ29" i="1"/>
  <c r="CX29" i="1" s="1"/>
  <c r="W29" i="1" s="1"/>
  <c r="CQ29" i="1"/>
  <c r="CR29" i="1"/>
  <c r="CS29" i="1"/>
  <c r="CT29" i="1"/>
  <c r="S29" i="1" s="1"/>
  <c r="CV29" i="1"/>
  <c r="U29" i="1" s="1"/>
  <c r="CW29" i="1"/>
  <c r="V29" i="1" s="1"/>
  <c r="GL29" i="1"/>
  <c r="GN29" i="1"/>
  <c r="GO29" i="1"/>
  <c r="GV29" i="1"/>
  <c r="HC29" i="1" s="1"/>
  <c r="GX29" i="1" s="1"/>
  <c r="C30" i="1"/>
  <c r="D30" i="1"/>
  <c r="I30" i="1"/>
  <c r="K30" i="1"/>
  <c r="E93" i="7" s="1"/>
  <c r="U30" i="1"/>
  <c r="AC30" i="1"/>
  <c r="AE30" i="1"/>
  <c r="AD30" i="1" s="1"/>
  <c r="AF30" i="1"/>
  <c r="AG30" i="1"/>
  <c r="CU30" i="1" s="1"/>
  <c r="T30" i="1" s="1"/>
  <c r="AH30" i="1"/>
  <c r="AI30" i="1"/>
  <c r="AJ30" i="1"/>
  <c r="CQ30" i="1"/>
  <c r="CR30" i="1"/>
  <c r="CS30" i="1"/>
  <c r="CT30" i="1"/>
  <c r="CV30" i="1"/>
  <c r="CW30" i="1"/>
  <c r="CX30" i="1"/>
  <c r="W30" i="1" s="1"/>
  <c r="GL30" i="1"/>
  <c r="GO30" i="1"/>
  <c r="GP30" i="1"/>
  <c r="GV30" i="1"/>
  <c r="HC30" i="1"/>
  <c r="GX30" i="1" s="1"/>
  <c r="I31" i="1"/>
  <c r="K31" i="1"/>
  <c r="E100" i="7" s="1"/>
  <c r="AC31" i="1"/>
  <c r="AE31" i="1"/>
  <c r="AD31" i="1" s="1"/>
  <c r="AF31" i="1"/>
  <c r="AG31" i="1"/>
  <c r="CU31" i="1" s="1"/>
  <c r="T31" i="1" s="1"/>
  <c r="AH31" i="1"/>
  <c r="AI31" i="1"/>
  <c r="CW31" i="1" s="1"/>
  <c r="V31" i="1" s="1"/>
  <c r="AJ31" i="1"/>
  <c r="CQ31" i="1"/>
  <c r="P31" i="1" s="1"/>
  <c r="CR31" i="1"/>
  <c r="Q31" i="1" s="1"/>
  <c r="L100" i="7" s="1"/>
  <c r="CS31" i="1"/>
  <c r="R31" i="1" s="1"/>
  <c r="CT31" i="1"/>
  <c r="S31" i="1" s="1"/>
  <c r="CZ31" i="1" s="1"/>
  <c r="Y31" i="1" s="1"/>
  <c r="BA101" i="7" s="1"/>
  <c r="CV31" i="1"/>
  <c r="U31" i="1" s="1"/>
  <c r="CX31" i="1"/>
  <c r="W31" i="1" s="1"/>
  <c r="GL31" i="1"/>
  <c r="GN31" i="1"/>
  <c r="GO31" i="1"/>
  <c r="GV31" i="1"/>
  <c r="HC31" i="1" s="1"/>
  <c r="GX31" i="1" s="1"/>
  <c r="C32" i="1"/>
  <c r="D32" i="1"/>
  <c r="I32" i="1"/>
  <c r="K32" i="1"/>
  <c r="E102" i="7" s="1"/>
  <c r="AC32" i="1"/>
  <c r="AE32" i="1"/>
  <c r="AD32" i="1" s="1"/>
  <c r="AF32" i="1"/>
  <c r="AG32" i="1"/>
  <c r="AH32" i="1"/>
  <c r="AI32" i="1"/>
  <c r="AJ32" i="1"/>
  <c r="CQ32" i="1"/>
  <c r="CR32" i="1"/>
  <c r="CS32" i="1"/>
  <c r="CT32" i="1"/>
  <c r="CU32" i="1"/>
  <c r="T32" i="1" s="1"/>
  <c r="CV32" i="1"/>
  <c r="CW32" i="1"/>
  <c r="CX32" i="1"/>
  <c r="W32" i="1" s="1"/>
  <c r="GL32" i="1"/>
  <c r="GO32" i="1"/>
  <c r="GP32" i="1"/>
  <c r="GV32" i="1"/>
  <c r="HC32" i="1" s="1"/>
  <c r="GX32" i="1" s="1"/>
  <c r="C33" i="1"/>
  <c r="R33" i="1"/>
  <c r="U33" i="1"/>
  <c r="AC33" i="1"/>
  <c r="AE33" i="1"/>
  <c r="AD33" i="1" s="1"/>
  <c r="AF33" i="1"/>
  <c r="AG33" i="1"/>
  <c r="AH33" i="1"/>
  <c r="AI33" i="1"/>
  <c r="AJ33" i="1"/>
  <c r="CX33" i="1" s="1"/>
  <c r="W33" i="1" s="1"/>
  <c r="CQ33" i="1"/>
  <c r="CR33" i="1"/>
  <c r="CS33" i="1"/>
  <c r="CT33" i="1"/>
  <c r="CU33" i="1"/>
  <c r="T33" i="1" s="1"/>
  <c r="CV33" i="1"/>
  <c r="CW33" i="1"/>
  <c r="GL33" i="1"/>
  <c r="GN33" i="1"/>
  <c r="GO33" i="1"/>
  <c r="GV33" i="1"/>
  <c r="HC33" i="1"/>
  <c r="GX33" i="1" s="1"/>
  <c r="B35" i="1"/>
  <c r="B22" i="1" s="1"/>
  <c r="C35" i="1"/>
  <c r="C22" i="1" s="1"/>
  <c r="D35" i="1"/>
  <c r="D22" i="1" s="1"/>
  <c r="F35" i="1"/>
  <c r="F22" i="1" s="1"/>
  <c r="G35" i="1"/>
  <c r="BX35" i="1"/>
  <c r="AO35" i="1" s="1"/>
  <c r="BY35" i="1"/>
  <c r="BY22" i="1" s="1"/>
  <c r="CK35" i="1"/>
  <c r="BB35" i="1" s="1"/>
  <c r="CL35" i="1"/>
  <c r="BC35" i="1" s="1"/>
  <c r="CM35" i="1"/>
  <c r="BD35" i="1" s="1"/>
  <c r="B65" i="1"/>
  <c r="B18" i="1" s="1"/>
  <c r="C65" i="1"/>
  <c r="C18" i="1" s="1"/>
  <c r="D65" i="1"/>
  <c r="D18" i="1" s="1"/>
  <c r="F65" i="1"/>
  <c r="F18" i="1" s="1"/>
  <c r="G65" i="1"/>
  <c r="F95" i="1"/>
  <c r="F98" i="1"/>
  <c r="B20" i="2"/>
  <c r="B24" i="2"/>
  <c r="B30" i="2"/>
  <c r="B32" i="2"/>
  <c r="B33" i="2"/>
  <c r="B44" i="2"/>
  <c r="B45" i="2"/>
  <c r="B46" i="2"/>
  <c r="B47" i="2"/>
  <c r="B48" i="2"/>
  <c r="B49" i="2"/>
  <c r="B50" i="2"/>
  <c r="B51" i="2"/>
  <c r="B52" i="2"/>
  <c r="B53" i="2"/>
  <c r="B55" i="2"/>
  <c r="B56" i="2"/>
  <c r="F12" i="6"/>
  <c r="G12" i="6"/>
  <c r="CX5" i="3" l="1"/>
  <c r="CW6" i="3"/>
  <c r="V28" i="1" s="1"/>
  <c r="G81" i="7" s="1"/>
  <c r="CW7" i="3"/>
  <c r="CW9" i="3"/>
  <c r="V30" i="1" s="1"/>
  <c r="G95" i="7" s="1"/>
  <c r="CX11" i="3"/>
  <c r="CW12" i="3"/>
  <c r="V32" i="1" s="1"/>
  <c r="G106" i="7" s="1"/>
  <c r="CW2" i="3"/>
  <c r="V24" i="1" s="1"/>
  <c r="G63" i="7" s="1"/>
  <c r="AB24" i="1"/>
  <c r="AB25" i="1"/>
  <c r="AB27" i="1"/>
  <c r="AB30" i="1"/>
  <c r="AB31" i="1"/>
  <c r="DB7" i="3"/>
  <c r="J85" i="7"/>
  <c r="DB9" i="3"/>
  <c r="J96" i="7"/>
  <c r="M7" i="9"/>
  <c r="R7" i="9"/>
  <c r="D11" i="8"/>
  <c r="DG14" i="3"/>
  <c r="L120" i="7" s="1"/>
  <c r="L118" i="7" s="1"/>
  <c r="K122" i="7" s="1"/>
  <c r="I122" i="7" s="1"/>
  <c r="G120" i="7"/>
  <c r="DB14" i="3"/>
  <c r="H120" i="7"/>
  <c r="I25" i="1"/>
  <c r="K25" i="1"/>
  <c r="E68" i="7" s="1"/>
  <c r="AE67" i="7"/>
  <c r="AD67" i="7"/>
  <c r="G60" i="7"/>
  <c r="G65" i="7" s="1"/>
  <c r="I27" i="1"/>
  <c r="AE76" i="7"/>
  <c r="G70" i="7"/>
  <c r="G74" i="7" s="1"/>
  <c r="AD76" i="7"/>
  <c r="CX7" i="3"/>
  <c r="G85" i="7" s="1"/>
  <c r="AD90" i="7"/>
  <c r="AE90" i="7"/>
  <c r="G79" i="7"/>
  <c r="G84" i="7" s="1"/>
  <c r="AN92" i="7"/>
  <c r="K92" i="7"/>
  <c r="I92" i="7" s="1"/>
  <c r="AO92" i="7"/>
  <c r="CX9" i="3"/>
  <c r="G96" i="7" s="1"/>
  <c r="AD99" i="7"/>
  <c r="G93" i="7"/>
  <c r="G97" i="7" s="1"/>
  <c r="AE99" i="7"/>
  <c r="AD101" i="7"/>
  <c r="AE101" i="7"/>
  <c r="G100" i="7"/>
  <c r="AO101" i="7"/>
  <c r="K101" i="7"/>
  <c r="I101" i="7" s="1"/>
  <c r="AN101" i="7"/>
  <c r="CU10" i="3"/>
  <c r="AD116" i="7"/>
  <c r="G102" i="7"/>
  <c r="G108" i="7" s="1"/>
  <c r="AE116" i="7"/>
  <c r="G22" i="1"/>
  <c r="A9" i="8" s="1"/>
  <c r="A14" i="8"/>
  <c r="G18" i="1"/>
  <c r="A4" i="8"/>
  <c r="AB26" i="1"/>
  <c r="L148" i="7"/>
  <c r="L146" i="7" s="1"/>
  <c r="BZ35" i="1"/>
  <c r="AQ35" i="1" s="1"/>
  <c r="CC35" i="1"/>
  <c r="AT35" i="1" s="1"/>
  <c r="AN122" i="7"/>
  <c r="AO122" i="7"/>
  <c r="L121" i="7"/>
  <c r="AB33" i="1"/>
  <c r="CG35" i="1"/>
  <c r="CG22" i="1" s="1"/>
  <c r="DH11" i="3"/>
  <c r="DI11" i="3"/>
  <c r="DJ11" i="3" s="1"/>
  <c r="DF11" i="3"/>
  <c r="DG11" i="3"/>
  <c r="DF5" i="3"/>
  <c r="DG5" i="3"/>
  <c r="DH5" i="3"/>
  <c r="L86" i="7" s="1"/>
  <c r="DI5" i="3"/>
  <c r="BC22" i="1"/>
  <c r="F51" i="1"/>
  <c r="BC65" i="1"/>
  <c r="DF9" i="3"/>
  <c r="DG9" i="3"/>
  <c r="L96" i="7" s="1"/>
  <c r="DH9" i="3"/>
  <c r="L97" i="7" s="1"/>
  <c r="L95" i="7" s="1"/>
  <c r="DI9" i="3"/>
  <c r="BB22" i="1"/>
  <c r="F48" i="1"/>
  <c r="BB65" i="1"/>
  <c r="CY29" i="1"/>
  <c r="X29" i="1" s="1"/>
  <c r="AZ92" i="7" s="1"/>
  <c r="CZ29" i="1"/>
  <c r="Y29" i="1" s="1"/>
  <c r="BA92" i="7" s="1"/>
  <c r="GX27" i="1"/>
  <c r="DJ14" i="3"/>
  <c r="Q33" i="1"/>
  <c r="DI1" i="3"/>
  <c r="DF1" i="3"/>
  <c r="DG1" i="3"/>
  <c r="DH1" i="3"/>
  <c r="Q27" i="1"/>
  <c r="L77" i="7" s="1"/>
  <c r="R27" i="1"/>
  <c r="S27" i="1"/>
  <c r="BD65" i="1"/>
  <c r="BD22" i="1"/>
  <c r="F60" i="1"/>
  <c r="DF2" i="3"/>
  <c r="DG2" i="3"/>
  <c r="L64" i="7" s="1"/>
  <c r="DH2" i="3"/>
  <c r="L65" i="7" s="1"/>
  <c r="L63" i="7" s="1"/>
  <c r="DI2" i="3"/>
  <c r="CP31" i="1"/>
  <c r="O31" i="1" s="1"/>
  <c r="DF3" i="3"/>
  <c r="DG3" i="3"/>
  <c r="Q26" i="1" s="1"/>
  <c r="DH3" i="3"/>
  <c r="R26" i="1" s="1"/>
  <c r="DI3" i="3"/>
  <c r="CY31" i="1"/>
  <c r="X31" i="1" s="1"/>
  <c r="AZ101" i="7" s="1"/>
  <c r="W27" i="1"/>
  <c r="F39" i="1"/>
  <c r="AO65" i="1"/>
  <c r="AO22" i="1"/>
  <c r="AB32" i="1"/>
  <c r="CP29" i="1"/>
  <c r="O29" i="1" s="1"/>
  <c r="DG7" i="3"/>
  <c r="L85" i="7" s="1"/>
  <c r="DH7" i="3"/>
  <c r="DI7" i="3"/>
  <c r="DF7" i="3"/>
  <c r="U27" i="1"/>
  <c r="T27" i="1"/>
  <c r="DH4" i="3"/>
  <c r="L74" i="7" s="1"/>
  <c r="L72" i="7" s="1"/>
  <c r="DI4" i="3"/>
  <c r="DF4" i="3"/>
  <c r="DG4" i="3"/>
  <c r="L73" i="7" s="1"/>
  <c r="AP35" i="1"/>
  <c r="BX22" i="1"/>
  <c r="DF14" i="3"/>
  <c r="P33" i="1" s="1"/>
  <c r="CW4" i="3"/>
  <c r="V26" i="1" s="1"/>
  <c r="CM22" i="1"/>
  <c r="CX12" i="3"/>
  <c r="G107" i="7" s="1"/>
  <c r="CX8" i="3"/>
  <c r="CL22" i="1"/>
  <c r="CK22" i="1"/>
  <c r="CX13" i="3"/>
  <c r="G111" i="7" s="1"/>
  <c r="CX10" i="3"/>
  <c r="G104" i="7" s="1"/>
  <c r="CX6" i="3"/>
  <c r="G83" i="7" s="1"/>
  <c r="K27" i="1"/>
  <c r="E77" i="7" s="1"/>
  <c r="R25" i="1"/>
  <c r="DI14" i="3"/>
  <c r="S33" i="1" s="1"/>
  <c r="CV10" i="3"/>
  <c r="U32" i="1" s="1"/>
  <c r="G103" i="7" s="1"/>
  <c r="CI35" i="1"/>
  <c r="BZ22" i="1"/>
  <c r="U25" i="1" l="1"/>
  <c r="G68" i="7"/>
  <c r="AD69" i="7"/>
  <c r="AE69" i="7"/>
  <c r="GX25" i="1"/>
  <c r="CJ35" i="1" s="1"/>
  <c r="S25" i="1"/>
  <c r="CY25" i="1" s="1"/>
  <c r="X25" i="1" s="1"/>
  <c r="AZ69" i="7" s="1"/>
  <c r="Q25" i="1"/>
  <c r="L68" i="7" s="1"/>
  <c r="W25" i="1"/>
  <c r="AJ35" i="1" s="1"/>
  <c r="V25" i="1"/>
  <c r="T25" i="1"/>
  <c r="AG35" i="1" s="1"/>
  <c r="P25" i="1"/>
  <c r="CP25" i="1" s="1"/>
  <c r="O25" i="1" s="1"/>
  <c r="AD78" i="7"/>
  <c r="AE78" i="7"/>
  <c r="G77" i="7"/>
  <c r="G86" i="7" s="1"/>
  <c r="P24" i="1"/>
  <c r="Q24" i="1"/>
  <c r="R24" i="1"/>
  <c r="CP27" i="1"/>
  <c r="O27" i="1" s="1"/>
  <c r="DJ2" i="3"/>
  <c r="GM31" i="1"/>
  <c r="GP31" i="1" s="1"/>
  <c r="GM29" i="1"/>
  <c r="GP29" i="1" s="1"/>
  <c r="F53" i="1"/>
  <c r="F16" i="2" s="1"/>
  <c r="AT22" i="1"/>
  <c r="AT65" i="1"/>
  <c r="F83" i="1" s="1"/>
  <c r="L94" i="7"/>
  <c r="AT99" i="7"/>
  <c r="AO78" i="7"/>
  <c r="K78" i="7"/>
  <c r="I78" i="7" s="1"/>
  <c r="AN78" i="7"/>
  <c r="L62" i="7"/>
  <c r="AT67" i="7"/>
  <c r="L71" i="7"/>
  <c r="AT76" i="7"/>
  <c r="AQ65" i="1"/>
  <c r="AQ22" i="1"/>
  <c r="F45" i="1"/>
  <c r="C50" i="7"/>
  <c r="AI35" i="1"/>
  <c r="V35" i="1" s="1"/>
  <c r="G72" i="7"/>
  <c r="CC22" i="1"/>
  <c r="AX35" i="1"/>
  <c r="AX22" i="1" s="1"/>
  <c r="CP33" i="1"/>
  <c r="O33" i="1" s="1"/>
  <c r="BA35" i="1"/>
  <c r="CJ22" i="1"/>
  <c r="DJ5" i="3"/>
  <c r="DF6" i="3"/>
  <c r="DG6" i="3"/>
  <c r="L83" i="7" s="1"/>
  <c r="DH6" i="3"/>
  <c r="DI6" i="3"/>
  <c r="S28" i="1" s="1"/>
  <c r="DJ7" i="3"/>
  <c r="DJ9" i="3"/>
  <c r="Q28" i="1"/>
  <c r="DF12" i="3"/>
  <c r="DG12" i="3"/>
  <c r="L107" i="7" s="1"/>
  <c r="DH12" i="3"/>
  <c r="L108" i="7" s="1"/>
  <c r="L106" i="7" s="1"/>
  <c r="DI12" i="3"/>
  <c r="P28" i="1"/>
  <c r="P26" i="1"/>
  <c r="BB18" i="1"/>
  <c r="F78" i="1"/>
  <c r="DF10" i="3"/>
  <c r="DG10" i="3"/>
  <c r="Q32" i="1" s="1"/>
  <c r="DH10" i="3"/>
  <c r="R32" i="1" s="1"/>
  <c r="DI10" i="3"/>
  <c r="L104" i="7" s="1"/>
  <c r="L103" i="7" s="1"/>
  <c r="AR116" i="7" s="1"/>
  <c r="AH35" i="1"/>
  <c r="F69" i="1"/>
  <c r="AO18" i="1"/>
  <c r="F90" i="1"/>
  <c r="BD18" i="1"/>
  <c r="DJ1" i="3"/>
  <c r="S24" i="1"/>
  <c r="BC18" i="1"/>
  <c r="F81" i="1"/>
  <c r="DF13" i="3"/>
  <c r="DG13" i="3"/>
  <c r="DH13" i="3"/>
  <c r="T7" i="9" s="1"/>
  <c r="DI13" i="3"/>
  <c r="AZ35" i="1"/>
  <c r="CI22" i="1"/>
  <c r="CY33" i="1"/>
  <c r="X33" i="1" s="1"/>
  <c r="AZ122" i="7" s="1"/>
  <c r="CZ33" i="1"/>
  <c r="Y33" i="1" s="1"/>
  <c r="BA122" i="7" s="1"/>
  <c r="F75" i="1"/>
  <c r="AQ18" i="1"/>
  <c r="CY27" i="1"/>
  <c r="X27" i="1" s="1"/>
  <c r="CZ27" i="1"/>
  <c r="Y27" i="1" s="1"/>
  <c r="BA78" i="7" s="1"/>
  <c r="AP65" i="1"/>
  <c r="AP22" i="1"/>
  <c r="F44" i="1"/>
  <c r="F42" i="1"/>
  <c r="AX65" i="1"/>
  <c r="DF8" i="3"/>
  <c r="P30" i="1" s="1"/>
  <c r="DG8" i="3"/>
  <c r="Q30" i="1" s="1"/>
  <c r="DH8" i="3"/>
  <c r="R30" i="1" s="1"/>
  <c r="DI8" i="3"/>
  <c r="DJ4" i="3"/>
  <c r="CZ25" i="1"/>
  <c r="Y25" i="1" s="1"/>
  <c r="DJ3" i="3"/>
  <c r="S26" i="1"/>
  <c r="AT18" i="1" l="1"/>
  <c r="AO69" i="7"/>
  <c r="L184" i="7" s="1"/>
  <c r="L182" i="7" s="1"/>
  <c r="L179" i="7" s="1"/>
  <c r="K69" i="7"/>
  <c r="I69" i="7" s="1"/>
  <c r="AN69" i="7"/>
  <c r="AN99" i="7"/>
  <c r="L98" i="7"/>
  <c r="K99" i="7"/>
  <c r="I99" i="7" s="1"/>
  <c r="AO99" i="7"/>
  <c r="L66" i="7"/>
  <c r="AO67" i="7"/>
  <c r="K67" i="7"/>
  <c r="I67" i="7" s="1"/>
  <c r="AN67" i="7"/>
  <c r="AN76" i="7"/>
  <c r="AO76" i="7"/>
  <c r="K76" i="7"/>
  <c r="I76" i="7" s="1"/>
  <c r="L75" i="7"/>
  <c r="CP24" i="1"/>
  <c r="O24" i="1" s="1"/>
  <c r="W35" i="1"/>
  <c r="W22" i="1" s="1"/>
  <c r="AJ22" i="1"/>
  <c r="AG22" i="1"/>
  <c r="T35" i="1"/>
  <c r="R28" i="1"/>
  <c r="CY28" i="1" s="1"/>
  <c r="X28" i="1" s="1"/>
  <c r="AZ90" i="7" s="1"/>
  <c r="L84" i="7"/>
  <c r="L81" i="7" s="1"/>
  <c r="L105" i="7"/>
  <c r="AO116" i="7" s="1"/>
  <c r="AT116" i="7"/>
  <c r="L201" i="7"/>
  <c r="L113" i="7"/>
  <c r="L130" i="7"/>
  <c r="K47" i="7"/>
  <c r="DJ13" i="3"/>
  <c r="L111" i="7"/>
  <c r="AW116" i="7" s="1"/>
  <c r="O7" i="9"/>
  <c r="F11" i="8" s="1"/>
  <c r="GM27" i="1"/>
  <c r="GP27" i="1" s="1"/>
  <c r="AZ78" i="7"/>
  <c r="L194" i="7" s="1"/>
  <c r="L171" i="7" s="1"/>
  <c r="L220" i="7" s="1"/>
  <c r="G16" i="2"/>
  <c r="C51" i="7"/>
  <c r="GM25" i="1"/>
  <c r="GP25" i="1" s="1"/>
  <c r="BA69" i="7"/>
  <c r="L195" i="7" s="1"/>
  <c r="L177" i="7"/>
  <c r="AI22" i="1"/>
  <c r="CP26" i="1"/>
  <c r="O26" i="1" s="1"/>
  <c r="GM33" i="1"/>
  <c r="GP33" i="1" s="1"/>
  <c r="CD35" i="1" s="1"/>
  <c r="AD35" i="1"/>
  <c r="AD22" i="1" s="1"/>
  <c r="AH22" i="1"/>
  <c r="U35" i="1"/>
  <c r="DJ6" i="3"/>
  <c r="F59" i="1"/>
  <c r="W65" i="1"/>
  <c r="DJ8" i="3"/>
  <c r="S30" i="1"/>
  <c r="CP28" i="1"/>
  <c r="O28" i="1" s="1"/>
  <c r="V22" i="1"/>
  <c r="F58" i="1"/>
  <c r="V65" i="1"/>
  <c r="CY24" i="1"/>
  <c r="X24" i="1" s="1"/>
  <c r="AZ67" i="7" s="1"/>
  <c r="CZ24" i="1"/>
  <c r="Y24" i="1" s="1"/>
  <c r="S32" i="1"/>
  <c r="DJ10" i="3"/>
  <c r="AZ65" i="1"/>
  <c r="AZ22" i="1"/>
  <c r="F46" i="1"/>
  <c r="P32" i="1"/>
  <c r="AC35" i="1" s="1"/>
  <c r="F74" i="1"/>
  <c r="AP18" i="1"/>
  <c r="CZ26" i="1"/>
  <c r="Y26" i="1" s="1"/>
  <c r="BA76" i="7" s="1"/>
  <c r="CY26" i="1"/>
  <c r="X26" i="1" s="1"/>
  <c r="F72" i="1"/>
  <c r="AX18" i="1"/>
  <c r="DJ12" i="3"/>
  <c r="F56" i="1"/>
  <c r="T65" i="1"/>
  <c r="T22" i="1"/>
  <c r="BA22" i="1"/>
  <c r="F55" i="1"/>
  <c r="BA65" i="1"/>
  <c r="CZ28" i="1" l="1"/>
  <c r="Y28" i="1" s="1"/>
  <c r="BA90" i="7" s="1"/>
  <c r="AE35" i="1"/>
  <c r="AE22" i="1" s="1"/>
  <c r="L80" i="7"/>
  <c r="AT90" i="7"/>
  <c r="L210" i="7"/>
  <c r="L208" i="7" s="1"/>
  <c r="L139" i="7"/>
  <c r="L137" i="7" s="1"/>
  <c r="E12" i="8"/>
  <c r="E15" i="8"/>
  <c r="GM24" i="1"/>
  <c r="GN24" i="1" s="1"/>
  <c r="BA67" i="7"/>
  <c r="G225" i="7"/>
  <c r="K50" i="7"/>
  <c r="GM26" i="1"/>
  <c r="GN26" i="1" s="1"/>
  <c r="AZ76" i="7"/>
  <c r="AU35" i="1"/>
  <c r="AU22" i="1" s="1"/>
  <c r="CD22" i="1"/>
  <c r="GM28" i="1"/>
  <c r="GN28" i="1" s="1"/>
  <c r="Q35" i="1"/>
  <c r="Q65" i="1" s="1"/>
  <c r="AC22" i="1"/>
  <c r="CH35" i="1"/>
  <c r="P35" i="1"/>
  <c r="CE35" i="1"/>
  <c r="CF35" i="1"/>
  <c r="V18" i="1"/>
  <c r="F88" i="1"/>
  <c r="AZ18" i="1"/>
  <c r="F76" i="1"/>
  <c r="U22" i="1"/>
  <c r="F57" i="1"/>
  <c r="U65" i="1"/>
  <c r="CY30" i="1"/>
  <c r="X30" i="1" s="1"/>
  <c r="AZ99" i="7" s="1"/>
  <c r="CZ30" i="1"/>
  <c r="Y30" i="1" s="1"/>
  <c r="CP30" i="1"/>
  <c r="O30" i="1" s="1"/>
  <c r="T18" i="1"/>
  <c r="F86" i="1"/>
  <c r="AF35" i="1"/>
  <c r="CY32" i="1"/>
  <c r="X32" i="1" s="1"/>
  <c r="AZ116" i="7" s="1"/>
  <c r="L114" i="7" s="1"/>
  <c r="CZ32" i="1"/>
  <c r="Y32" i="1" s="1"/>
  <c r="BA116" i="7" s="1"/>
  <c r="L115" i="7" s="1"/>
  <c r="W18" i="1"/>
  <c r="F89" i="1"/>
  <c r="BA18" i="1"/>
  <c r="F85" i="1"/>
  <c r="CP32" i="1"/>
  <c r="O32" i="1" s="1"/>
  <c r="R35" i="1" l="1"/>
  <c r="AO90" i="7"/>
  <c r="L89" i="7"/>
  <c r="K90" i="7"/>
  <c r="I90" i="7" s="1"/>
  <c r="AN90" i="7"/>
  <c r="L142" i="7"/>
  <c r="L213" i="7"/>
  <c r="L135" i="7"/>
  <c r="L206" i="7"/>
  <c r="K48" i="7"/>
  <c r="R65" i="1"/>
  <c r="F49" i="1"/>
  <c r="R22" i="1"/>
  <c r="L214" i="7"/>
  <c r="AU65" i="1"/>
  <c r="AU18" i="1" s="1"/>
  <c r="F54" i="1"/>
  <c r="H16" i="2" s="1"/>
  <c r="AL35" i="1"/>
  <c r="AL22" i="1" s="1"/>
  <c r="BA99" i="7"/>
  <c r="L144" i="7" s="1"/>
  <c r="L143" i="7"/>
  <c r="G224" i="7"/>
  <c r="K49" i="7"/>
  <c r="I116" i="7"/>
  <c r="AN116" i="7"/>
  <c r="F47" i="1"/>
  <c r="AK35" i="1"/>
  <c r="X35" i="1" s="1"/>
  <c r="Q22" i="1"/>
  <c r="F79" i="1"/>
  <c r="R18" i="1"/>
  <c r="AF22" i="1"/>
  <c r="S35" i="1"/>
  <c r="F77" i="1"/>
  <c r="Q18" i="1"/>
  <c r="AW35" i="1"/>
  <c r="CF22" i="1"/>
  <c r="GM30" i="1"/>
  <c r="AB35" i="1"/>
  <c r="AV35" i="1"/>
  <c r="CE22" i="1"/>
  <c r="P22" i="1"/>
  <c r="F38" i="1"/>
  <c r="P65" i="1"/>
  <c r="U18" i="1"/>
  <c r="F87" i="1"/>
  <c r="AY35" i="1"/>
  <c r="CH22" i="1"/>
  <c r="GM32" i="1"/>
  <c r="GN32" i="1" s="1"/>
  <c r="C52" i="7" l="1"/>
  <c r="F84" i="1"/>
  <c r="L133" i="7"/>
  <c r="L131" i="7" s="1"/>
  <c r="L128" i="7" s="1"/>
  <c r="L126" i="7" s="1"/>
  <c r="L227" i="7" s="1"/>
  <c r="L228" i="7" s="1"/>
  <c r="L230" i="7" s="1"/>
  <c r="L204" i="7"/>
  <c r="L202" i="7" s="1"/>
  <c r="L199" i="7" s="1"/>
  <c r="Y35" i="1"/>
  <c r="Y65" i="1" s="1"/>
  <c r="L215" i="7"/>
  <c r="AK22" i="1"/>
  <c r="O35" i="1"/>
  <c r="AB22" i="1"/>
  <c r="AY65" i="1"/>
  <c r="F43" i="1"/>
  <c r="AY22" i="1"/>
  <c r="S65" i="1"/>
  <c r="F50" i="1"/>
  <c r="J16" i="2" s="1"/>
  <c r="S22" i="1"/>
  <c r="GN30" i="1"/>
  <c r="CB35" i="1" s="1"/>
  <c r="CA35" i="1"/>
  <c r="AV65" i="1"/>
  <c r="F40" i="1"/>
  <c r="AV22" i="1"/>
  <c r="F68" i="1"/>
  <c r="P18" i="1"/>
  <c r="X22" i="1"/>
  <c r="F61" i="1"/>
  <c r="X65" i="1"/>
  <c r="AW65" i="1"/>
  <c r="F41" i="1"/>
  <c r="AW22" i="1"/>
  <c r="F62" i="1" l="1"/>
  <c r="Y22" i="1"/>
  <c r="F80" i="1"/>
  <c r="S18" i="1"/>
  <c r="AY18" i="1"/>
  <c r="F73" i="1"/>
  <c r="AW18" i="1"/>
  <c r="F71" i="1"/>
  <c r="F91" i="1"/>
  <c r="X18" i="1"/>
  <c r="F92" i="1"/>
  <c r="Y18" i="1"/>
  <c r="AR35" i="1"/>
  <c r="CA22" i="1"/>
  <c r="AV18" i="1"/>
  <c r="F70" i="1"/>
  <c r="AS35" i="1"/>
  <c r="CB22" i="1"/>
  <c r="O22" i="1"/>
  <c r="F37" i="1"/>
  <c r="O65" i="1"/>
  <c r="AS22" i="1" l="1"/>
  <c r="F52" i="1"/>
  <c r="AS65" i="1"/>
  <c r="F63" i="1"/>
  <c r="AR65" i="1"/>
  <c r="AR22" i="1"/>
  <c r="F67" i="1"/>
  <c r="O18" i="1"/>
  <c r="E16" i="2" l="1"/>
  <c r="I16" i="2" s="1"/>
  <c r="N16" i="2" s="1"/>
  <c r="C49" i="7"/>
  <c r="C46" i="7" s="1"/>
  <c r="AR18" i="1"/>
  <c r="F93" i="1"/>
  <c r="F82" i="1"/>
  <c r="AS18" i="1"/>
  <c r="F102" i="1" l="1"/>
  <c r="F103" i="1" s="1"/>
</calcChain>
</file>

<file path=xl/sharedStrings.xml><?xml version="1.0" encoding="utf-8"?>
<sst xmlns="http://schemas.openxmlformats.org/spreadsheetml/2006/main" count="1727" uniqueCount="414">
  <si>
    <t>Smeta.RU  (495) 974-1589</t>
  </si>
  <si>
    <t>_PS_</t>
  </si>
  <si>
    <t>Smeta.RU</t>
  </si>
  <si>
    <t/>
  </si>
  <si>
    <t>Новый объект_(Копия)_(Копия)_(Копия)_(Копия)</t>
  </si>
  <si>
    <t>МОДУЛЬ засыпка песком внутренней площадки катки Пересчет 06,08,2026</t>
  </si>
  <si>
    <t>Сметные нормы списания</t>
  </si>
  <si>
    <t>Коды ценников</t>
  </si>
  <si>
    <t>ФСНБ-2022_И17</t>
  </si>
  <si>
    <t>Версия 1.17.0 для ФСНБ-2022 И17</t>
  </si>
  <si>
    <t>ФСНБ-2022 - Изменения И17</t>
  </si>
  <si>
    <t>Поправки для ФСНБ-2022 от 25.02.2026 г И17 (55/пр) Строительство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</si>
  <si>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</si>
  <si>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</si>
  <si>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</si>
  <si>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1</t>
  </si>
  <si>
    <t>01-01-034-01</t>
  </si>
  <si>
    <t>Засыпка траншей и котлованов с перемещением грунта до 5 м бульдозерами мощностью: 96 кВт (130 л.с.), группа грунтов 1</t>
  </si>
  <si>
    <t>1000 м3</t>
  </si>
  <si>
    <t>ГЭСН-2022, 01-01-034-01, приказ Минстроя России от 18.05.2022 г. № 378/пр</t>
  </si>
  <si>
    <t>Поправка: 421/пр_2020_прил.10_т.1_п.5_гр.3 Наименование: Производство работ осуществляется в стесненных условиях населенных пунктов</t>
  </si>
  <si>
    <t>*(0,15+1)</t>
  </si>
  <si>
    <t>Общестроительные работы</t>
  </si>
  <si>
    <t>Земляные работы</t>
  </si>
  <si>
    <t>Земляные работы, выполняемые: механизированным способом</t>
  </si>
  <si>
    <t>ФЕР-01</t>
  </si>
  <si>
    <t>Поправка: 421/пр_2020_прил.10_т.1_п.5_гр.3</t>
  </si>
  <si>
    <t>Пр/812-001.1-1</t>
  </si>
  <si>
    <t>Пр/774-001.1</t>
  </si>
  <si>
    <t>2</t>
  </si>
  <si>
    <t>КП №132 от 05.08.2026</t>
  </si>
  <si>
    <t>Фронтальный погрузчик (объем ковша 3 м3)</t>
  </si>
  <si>
    <t>маш.-ч</t>
  </si>
  <si>
    <t>Строка по умолчанию</t>
  </si>
  <si>
    <t>Прочие работы</t>
  </si>
  <si>
    <t>по умолчанию</t>
  </si>
  <si>
    <t>3</t>
  </si>
  <si>
    <t>01-01-034-07</t>
  </si>
  <si>
    <t>При перемещении грунта на каждые последующие 5 м добавлять: к норме 01-01-034-01</t>
  </si>
  <si>
    <t>ГЭСН-2022, 01-01-034-07, приказ Минстроя России от 18.05.2022 г. № 378/пр</t>
  </si>
  <si>
    <t>4</t>
  </si>
  <si>
    <t>Фронтальный погрузчик (объем ковша 3м3)</t>
  </si>
  <si>
    <t>5</t>
  </si>
  <si>
    <t>01-02-013-03</t>
  </si>
  <si>
    <t>Уплотнение грунтов катками самоходными грунтовыми вибрационными, массой 18-20 т на первый проход по одному следу толщиной: 40 см</t>
  </si>
  <si>
    <t>ГЭСН-2022, 01-02-013-03, приказ Минстроя России от 18.05.2022 г. № 378/пр</t>
  </si>
  <si>
    <t>6</t>
  </si>
  <si>
    <t>Грунтовый каток вибрационный</t>
  </si>
  <si>
    <t>7</t>
  </si>
  <si>
    <t>01-02-013-08</t>
  </si>
  <si>
    <t>На каждый последующий проход по одному следу добавлять: к норме 01-02-013-03</t>
  </si>
  <si>
    <t>ГЭСН-2022, 01-02-013-08, приказ Минстроя России от 18.05.2022 г. № 378/пр</t>
  </si>
  <si>
    <t>*(0,15+1)*5</t>
  </si>
  <si>
    <t>8</t>
  </si>
  <si>
    <t>КП № 132 от05.08.2028</t>
  </si>
  <si>
    <t>9</t>
  </si>
  <si>
    <t>01-02-006-01</t>
  </si>
  <si>
    <t>Полив водой уплотняемого грунта насыпей</t>
  </si>
  <si>
    <t>ГЭСН-2022, 01-02-006-01, приказ Минстроя России от 18.05.2022 г. № 378/пр</t>
  </si>
  <si>
    <t>10</t>
  </si>
  <si>
    <t>Перебазировка спецтехники (доставка до места строительства и обратно)</t>
  </si>
  <si>
    <t>ШТ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</si>
  <si>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</si>
  <si>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</si>
  <si>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</si>
  <si>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</si>
  <si>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</si>
  <si>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</si>
  <si>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</si>
  <si>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</si>
  <si>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</si>
  <si>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</si>
  <si>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</si>
  <si>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</si>
  <si>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</si>
  <si>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</si>
  <si>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</si>
  <si>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</si>
  <si>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</si>
  <si>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</si>
  <si>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</si>
  <si>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</si>
  <si>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</si>
  <si>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</si>
  <si>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</si>
  <si>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</si>
  <si>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</si>
  <si>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</si>
  <si>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</si>
  <si>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</si>
  <si>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</si>
  <si>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</si>
  <si>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</si>
  <si>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</si>
  <si>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</si>
  <si>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</si>
  <si>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</si>
  <si>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</si>
  <si>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</si>
  <si>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</si>
  <si>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</si>
  <si>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</si>
  <si>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</si>
  <si>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</si>
  <si>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</si>
  <si>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</si>
  <si>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</si>
  <si>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</si>
  <si>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</si>
  <si>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</si>
  <si>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</si>
  <si>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</si>
  <si>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</si>
  <si>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</si>
  <si>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</si>
  <si>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</si>
  <si>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х1 итог</t>
  </si>
  <si>
    <t>Итого с временными зданиями и сооружениями</t>
  </si>
  <si>
    <t>х2 %</t>
  </si>
  <si>
    <t>Зимнее удорожание  %</t>
  </si>
  <si>
    <t>х2 руб</t>
  </si>
  <si>
    <t>Зимнее удорожание руб.</t>
  </si>
  <si>
    <t>х2 итог</t>
  </si>
  <si>
    <t>ИТОГ с зимним удорожанием</t>
  </si>
  <si>
    <t>х3 %</t>
  </si>
  <si>
    <t>Непредвиденные расходы  %</t>
  </si>
  <si>
    <t>х3 руб</t>
  </si>
  <si>
    <t>Непредвиденные расходы руб.</t>
  </si>
  <si>
    <t>х3 итог</t>
  </si>
  <si>
    <t>ИТОГ с непредвиденными расходами</t>
  </si>
  <si>
    <t>Итого с накрут</t>
  </si>
  <si>
    <t>Итого со всеми накрутками</t>
  </si>
  <si>
    <t>Л12</t>
  </si>
  <si>
    <t>НДС 22%</t>
  </si>
  <si>
    <t>Л13</t>
  </si>
  <si>
    <t>ИТОГО с НДС</t>
  </si>
  <si>
    <t>Переменная</t>
  </si>
  <si>
    <t>Новая переменная</t>
  </si>
  <si>
    <t>Переменная_1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</si>
  <si>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</si>
  <si>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</si>
  <si>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</si>
  <si>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</si>
  <si>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</si>
  <si>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</si>
  <si>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</si>
  <si>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</si>
  <si>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</si>
  <si>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</si>
  <si>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</si>
  <si>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</si>
  <si>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</si>
  <si>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</si>
  <si>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</si>
  <si>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</si>
  <si>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</si>
  <si>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</si>
  <si>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</si>
  <si>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</si>
  <si>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</si>
  <si>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</si>
  <si>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</si>
  <si>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</si>
  <si>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</si>
  <si>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</si>
  <si>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</si>
  <si>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</si>
  <si>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</si>
  <si>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</si>
  <si>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</si>
  <si>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</si>
  <si>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</si>
  <si>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</si>
  <si>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</si>
  <si>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</si>
  <si>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</si>
  <si>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</si>
  <si>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</si>
  <si>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</si>
  <si>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</si>
  <si>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</si>
  <si>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</si>
  <si>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</si>
  <si>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</si>
  <si>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</si>
  <si>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</si>
  <si>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</si>
  <si>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</si>
  <si>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</si>
  <si>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</si>
  <si>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</si>
  <si>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</si>
  <si>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</si>
  <si>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</si>
  <si>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</si>
  <si>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</si>
  <si>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</si>
  <si>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</si>
  <si>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</si>
  <si>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</si>
  <si>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</si>
  <si>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</si>
  <si>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</si>
  <si>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</si>
  <si>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</si>
  <si>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</si>
  <si>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</si>
  <si>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+Ульяновская область, КТЦ к ФСНБ-2022, 1 квартал 2026 г</t>
  </si>
  <si>
    <t>Сборник индексов</t>
  </si>
  <si>
    <t>Ульяновск</t>
  </si>
  <si>
    <t>_OBSM_</t>
  </si>
  <si>
    <t>4-100-00</t>
  </si>
  <si>
    <t>Затраты труда машинистов</t>
  </si>
  <si>
    <t>чел.-ч.</t>
  </si>
  <si>
    <t>91.01.01-036</t>
  </si>
  <si>
    <t>ФСЭМ-2022, 91.01.01-036, приказ Минстроя России от 18.05.2022 г. № 378/пр</t>
  </si>
  <si>
    <t>Бульдозеры, мощность 96 кВт (130 л.с.)</t>
  </si>
  <si>
    <t>4-100-060</t>
  </si>
  <si>
    <t>91.01.01-039</t>
  </si>
  <si>
    <t>ФСЭМ-2022, 91.01.01-039, приказ Минстроя России от 18.05.2022 г. № 378/пр</t>
  </si>
  <si>
    <t>Бульдозеры, мощность 132 кВт (180 л.с.)</t>
  </si>
  <si>
    <t>91.08.03-019</t>
  </si>
  <si>
    <t>ФСЭМ-2022, 91.08.03-019, приказ Минстроя России от 18.05.2022 г. № 378/пр</t>
  </si>
  <si>
    <t>Катки самоходные гладкие вибрационные, масса 18 т</t>
  </si>
  <si>
    <t>1-100-10</t>
  </si>
  <si>
    <t>Средний разряд работы 1,0</t>
  </si>
  <si>
    <t>91.13.01-038</t>
  </si>
  <si>
    <t>ФСЭМ-2022, 91.13.01-038, приказ Минстроя России от 18.05.2022 г. № 378/пр</t>
  </si>
  <si>
    <t>Машины поливомоечные, вместимость цистерны 6 м3</t>
  </si>
  <si>
    <t>4-100-040</t>
  </si>
  <si>
    <t>01.7.03.01-0001</t>
  </si>
  <si>
    <t>ФСБЦ-2022, 01.7.03.01-0001, приказ Минстроя России от 18.05.2022 г. № 378/пр</t>
  </si>
  <si>
    <t>Вода</t>
  </si>
  <si>
    <t>м3</t>
  </si>
  <si>
    <t>Доставка спецтехники</t>
  </si>
  <si>
    <t>*1,15</t>
  </si>
  <si>
    <t>421/пр_2020_прил.10_т.1_п.5_гр.3</t>
  </si>
  <si>
    <t>Производство работ осуществляется в стесненных условиях населенных пунктов</t>
  </si>
  <si>
    <t>Методика 421/пр (Строительство)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</si>
  <si>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</si>
  <si>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</si>
  <si>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</si>
  <si>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</si>
  <si>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</si>
  <si>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</si>
  <si>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</si>
  <si>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</si>
  <si>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</si>
  <si>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</si>
  <si>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</si>
  <si>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</si>
  <si>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</si>
  <si>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</si>
  <si>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</si>
  <si>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</si>
  <si>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</si>
  <si>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</si>
  <si>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</si>
  <si>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</si>
  <si>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</si>
  <si>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</si>
  <si>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</si>
  <si>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</si>
  <si>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</si>
  <si>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</si>
  <si>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</si>
  <si>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</si>
  <si>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</si>
  <si>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</si>
  <si>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</si>
  <si>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</si>
  <si>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</si>
  <si>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</si>
  <si>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</si>
  <si>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</si>
  <si>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</si>
  <si>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</si>
  <si>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</si>
  <si>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</si>
  <si>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</si>
  <si>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</si>
  <si>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</si>
  <si>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</si>
  <si>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</si>
  <si>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</si>
  <si>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февраль 2026 года</t>
  </si>
  <si>
    <t>ГЭСН 01-01-034-01</t>
  </si>
  <si>
    <t>ЭМ *1,15; ЗТ *1,15; ЗТм *1,15</t>
  </si>
  <si>
    <t>ЭМ</t>
  </si>
  <si>
    <t>ОТм(ЗТм) Средний разряд машинистов 6</t>
  </si>
  <si>
    <t>ОТм(ЗТм)</t>
  </si>
  <si>
    <t>Итого прямые затраты</t>
  </si>
  <si>
    <t>Всего по позиции</t>
  </si>
  <si>
    <t>=</t>
  </si>
  <si>
    <t>ГЭСН 01-01-034-07</t>
  </si>
  <si>
    <t>ГЭСН 01-02-013-03</t>
  </si>
  <si>
    <t>ГЭСН 01-02-013-08</t>
  </si>
  <si>
    <t>ГЭСН 01-02-006-01</t>
  </si>
  <si>
    <t>ОТ (ЗТ)</t>
  </si>
  <si>
    <t>ОТм(ЗТм) Средний разряд машинистов 4</t>
  </si>
  <si>
    <t>М</t>
  </si>
  <si>
    <t>ФОТ</t>
  </si>
  <si>
    <t>НР Земляные работы, выполняемые: механизированным способом</t>
  </si>
  <si>
    <t>%</t>
  </si>
  <si>
    <t>СП Земляные работы, выполняемые: механизированным способом</t>
  </si>
  <si>
    <t>ИТОГИ ПО СМЕТЕ</t>
  </si>
  <si>
    <t>ВСЕГО строительные работы</t>
  </si>
  <si>
    <t>в том числе</t>
  </si>
  <si>
    <t>Всего прямые затраты</t>
  </si>
  <si>
    <t xml:space="preserve">  оплата труда (ОТ)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</si>
  <si>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</si>
  <si>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</si>
  <si>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</si>
  <si>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</si>
  <si>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</si>
  <si>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</si>
  <si>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</si>
  <si>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</si>
  <si>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ФОТ (справочно)</t>
  </si>
  <si>
    <t>накладные расходы</t>
  </si>
  <si>
    <t>сметная прибыль</t>
  </si>
  <si>
    <t xml:space="preserve">  оплата труда машинистов (ОТм)</t>
  </si>
  <si>
    <t>ВСЕГО монтажные работы</t>
  </si>
  <si>
    <t>ВСЕГО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</si>
  <si>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</si>
  <si>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</si>
  <si>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</si>
  <si>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</si>
  <si>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</si>
  <si>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</si>
  <si>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</si>
  <si>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</si>
  <si>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ФОТ (справочно)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</si>
  <si>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</si>
  <si>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</si>
  <si>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</si>
  <si>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</si>
  <si>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</si>
  <si>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</si>
  <si>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</si>
  <si>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</si>
  <si>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</si>
  <si>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Составил   </t>
  </si>
  <si>
    <t>[должность,подпись(инициалы,фамилия)]</t>
  </si>
  <si>
    <t xml:space="preserve">Проверил   </t>
  </si>
  <si>
    <t>TYPE</t>
  </si>
  <si>
    <t>SOURCE_LINK</t>
  </si>
  <si>
    <t>RABMAT_EX</t>
  </si>
  <si>
    <t>TIP_RAB</t>
  </si>
  <si>
    <t>TYPE_TRUD</t>
  </si>
  <si>
    <t>TAB</t>
  </si>
  <si>
    <t>NAME</t>
  </si>
  <si>
    <t>EDIZM</t>
  </si>
  <si>
    <t>KOLL</t>
  </si>
  <si>
    <t>UCH</t>
  </si>
  <si>
    <t>PRICE_B</t>
  </si>
  <si>
    <t>PRICE_ED</t>
  </si>
  <si>
    <t>STOIM_B</t>
  </si>
  <si>
    <t>PRICE_C</t>
  </si>
  <si>
    <t>STOIM_C</t>
  </si>
  <si>
    <t>ZPM_B</t>
  </si>
  <si>
    <t>ZPM_ED</t>
  </si>
  <si>
    <t>STOIM_ZPM_B</t>
  </si>
  <si>
    <t>ZPM_C</t>
  </si>
  <si>
    <t>STOIM_ZPM_C</t>
  </si>
  <si>
    <t>CRC_GR_RES</t>
  </si>
  <si>
    <t>CRC_B</t>
  </si>
  <si>
    <t>CRC_C</t>
  </si>
  <si>
    <t>RABMAT</t>
  </si>
  <si>
    <t>WBS</t>
  </si>
  <si>
    <t>CBSI</t>
  </si>
  <si>
    <t>CBSII</t>
  </si>
  <si>
    <t>TechSpecCVORPP</t>
  </si>
  <si>
    <t>BuildingFinished</t>
  </si>
  <si>
    <t>PEREVOZKA</t>
  </si>
  <si>
    <t>Trud</t>
  </si>
  <si>
    <t>Mash</t>
  </si>
  <si>
    <t>Mat</t>
  </si>
  <si>
    <t>MatZak</t>
  </si>
  <si>
    <t>Oborud</t>
  </si>
  <si>
    <t>OborudZak</t>
  </si>
  <si>
    <t>ZeroStoim</t>
  </si>
  <si>
    <t>NegativeKoll</t>
  </si>
  <si>
    <t>ReUnionKollResurcy</t>
  </si>
  <si>
    <t>UnionOneUchRes</t>
  </si>
  <si>
    <t>IdLevel</t>
  </si>
  <si>
    <t>ViewCodes</t>
  </si>
  <si>
    <t>UnionCodes</t>
  </si>
  <si>
    <t>Основание: ЛС №Новая локальная смета</t>
  </si>
  <si>
    <t>Ресурсная ведомость на</t>
  </si>
  <si>
    <t>Объект: МОДУЛЬ засыпка песком внутренней площадки катки Пересчет 06,08,2026</t>
  </si>
  <si>
    <t>Наименование</t>
  </si>
  <si>
    <t>Объем</t>
  </si>
  <si>
    <t>Текущая</t>
  </si>
  <si>
    <t>цена</t>
  </si>
  <si>
    <t>стоимость</t>
  </si>
  <si>
    <t xml:space="preserve">Материальные ресурсы </t>
  </si>
  <si>
    <t xml:space="preserve">Итого материальные ресурсы </t>
  </si>
  <si>
    <t xml:space="preserve">Итого материалы заказчика </t>
  </si>
  <si>
    <t xml:space="preserve">Итого оборудование </t>
  </si>
  <si>
    <t xml:space="preserve">Итого оборудование заказчика </t>
  </si>
  <si>
    <t>ВСЕГО с НДС</t>
  </si>
  <si>
    <r>
      <t>На каждый последующий проход по одному следу добавлять: к норме 01-02-013-03</t>
    </r>
    <r>
      <rPr>
        <i/>
        <sz val="10"/>
        <rFont val="Arial"/>
        <family val="2"/>
        <charset val="204"/>
      </rPr>
      <t xml:space="preserve">
</t>
    </r>
  </si>
  <si>
    <t>Засыпка песком внутренней площадки.</t>
  </si>
  <si>
    <t>ЛОКАЛЬНАЯ СМЕТА № ЛС</t>
  </si>
  <si>
    <t>МОДУЛЬ Приемное отделение  пр.Ленина 1</t>
  </si>
  <si>
    <t>ВСЕГО с понижающим коэффициентом</t>
  </si>
  <si>
    <t>В соответствии с выделенными лимитами бюджетных обязательств, применяется понижающий коэффициент          k=0,96781461691</t>
  </si>
  <si>
    <t>01.3.01.06-0041</t>
  </si>
  <si>
    <t>Смазка Литол-24</t>
  </si>
  <si>
    <t>кг</t>
  </si>
  <si>
    <t>01.3.01.03-0002</t>
  </si>
  <si>
    <t>т</t>
  </si>
  <si>
    <t>Керосин для технических целей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</si>
</sst>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#,##0.00;[Red]\-\ #,##0.00"/>
    <numFmt numFmtId="166" formatCode="#,##0.00#####;[Red]\-\ #,##0.00#####"/>
    <numFmt numFmtId="167" formatCode="#,##0_ ;[Red]\-#,##0\ "/>
  </numFmts>
  <fonts count="29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b/>
      <sz val="10"/>
      <color indexed="14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color rgb="FF000000"/>
      <name val="Arial"/>
      <family val="2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2" fillId="0" borderId="0" xfId="0" applyFont="1"/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vertical="top" wrapText="1"/>
    </xf>
    <xf numFmtId="0" fontId="11" fillId="0" borderId="2" xfId="0" applyFont="1" applyBorder="1" applyAlignment="1">
      <alignment vertical="top"/>
    </xf>
    <xf numFmtId="0" fontId="11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2" xfId="0" applyFont="1" applyBorder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4" fillId="0" borderId="0" xfId="0" applyFont="1"/>
    <xf numFmtId="14" fontId="17" fillId="0" borderId="0" xfId="0" applyNumberFormat="1" applyFont="1"/>
    <xf numFmtId="0" fontId="11" fillId="0" borderId="0" xfId="0" applyFont="1" applyAlignment="1">
      <alignment horizontal="right"/>
    </xf>
    <xf numFmtId="0" fontId="18" fillId="0" borderId="0" xfId="0" applyFont="1"/>
    <xf numFmtId="164" fontId="11" fillId="0" borderId="0" xfId="0" applyNumberFormat="1" applyFont="1" applyAlignment="1">
      <alignment horizontal="right"/>
    </xf>
    <xf numFmtId="0" fontId="17" fillId="0" borderId="1" xfId="0" applyFont="1" applyBorder="1"/>
    <xf numFmtId="0" fontId="11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7" xfId="0" applyFont="1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22" fillId="0" borderId="0" xfId="0" applyFont="1"/>
    <xf numFmtId="0" fontId="22" fillId="0" borderId="0" xfId="0" quotePrefix="1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 wrapText="1"/>
    </xf>
    <xf numFmtId="165" fontId="22" fillId="0" borderId="0" xfId="0" applyNumberFormat="1" applyFont="1" applyAlignment="1">
      <alignment horizontal="right" vertical="top"/>
    </xf>
    <xf numFmtId="0" fontId="24" fillId="0" borderId="0" xfId="0" applyFont="1" applyAlignment="1">
      <alignment vertical="top" wrapText="1"/>
    </xf>
    <xf numFmtId="166" fontId="22" fillId="0" borderId="0" xfId="0" applyNumberFormat="1" applyFont="1" applyAlignment="1">
      <alignment horizontal="right" vertical="top"/>
    </xf>
    <xf numFmtId="165" fontId="25" fillId="0" borderId="0" xfId="0" applyNumberFormat="1" applyFont="1" applyAlignment="1">
      <alignment horizontal="right" vertical="top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right" vertical="top" wrapText="1"/>
    </xf>
    <xf numFmtId="0" fontId="22" fillId="0" borderId="1" xfId="0" applyFont="1" applyBorder="1" applyAlignment="1">
      <alignment horizontal="right" vertical="top"/>
    </xf>
    <xf numFmtId="165" fontId="22" fillId="0" borderId="1" xfId="0" applyNumberFormat="1" applyFont="1" applyBorder="1" applyAlignment="1">
      <alignment horizontal="right" vertical="top"/>
    </xf>
    <xf numFmtId="0" fontId="22" fillId="0" borderId="1" xfId="0" applyFont="1" applyBorder="1" applyAlignment="1">
      <alignment horizontal="right" vertical="top" wrapText="1"/>
    </xf>
    <xf numFmtId="165" fontId="0" fillId="0" borderId="0" xfId="0" applyNumberFormat="1"/>
    <xf numFmtId="0" fontId="25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25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5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top"/>
    </xf>
    <xf numFmtId="0" fontId="25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 wrapText="1"/>
    </xf>
    <xf numFmtId="165" fontId="25" fillId="0" borderId="2" xfId="0" applyNumberFormat="1" applyFont="1" applyBorder="1" applyAlignment="1">
      <alignment horizontal="right" vertical="top"/>
    </xf>
    <xf numFmtId="0" fontId="25" fillId="0" borderId="2" xfId="0" applyFont="1" applyBorder="1" applyAlignment="1">
      <alignment horizontal="right" vertical="top"/>
    </xf>
    <xf numFmtId="165" fontId="11" fillId="0" borderId="0" xfId="0" applyNumberFormat="1" applyFont="1" applyAlignment="1">
      <alignment horizontal="right"/>
    </xf>
    <xf numFmtId="165" fontId="11" fillId="0" borderId="0" xfId="0" applyNumberFormat="1" applyFont="1"/>
    <xf numFmtId="165" fontId="12" fillId="0" borderId="0" xfId="0" applyNumberFormat="1" applyFont="1"/>
    <xf numFmtId="166" fontId="12" fillId="0" borderId="0" xfId="0" applyNumberFormat="1" applyFont="1"/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left"/>
    </xf>
    <xf numFmtId="0" fontId="17" fillId="0" borderId="0" xfId="0" applyFont="1" applyAlignment="1">
      <alignment horizontal="right"/>
    </xf>
    <xf numFmtId="0" fontId="27" fillId="0" borderId="7" xfId="0" quotePrefix="1" applyFont="1" applyBorder="1" applyAlignment="1">
      <alignment horizontal="left" vertical="center" wrapText="1"/>
    </xf>
    <xf numFmtId="0" fontId="28" fillId="0" borderId="7" xfId="0" quotePrefix="1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49" fontId="22" fillId="0" borderId="7" xfId="0" applyNumberFormat="1" applyFont="1" applyBorder="1" applyAlignment="1">
      <alignment horizontal="left" vertical="top" wrapText="1"/>
    </xf>
    <xf numFmtId="0" fontId="22" fillId="0" borderId="7" xfId="0" applyFont="1" applyBorder="1" applyAlignment="1">
      <alignment horizontal="left" wrapText="1"/>
    </xf>
    <xf numFmtId="0" fontId="22" fillId="0" borderId="7" xfId="0" applyFont="1" applyBorder="1" applyAlignment="1">
      <alignment horizontal="right" wrapText="1"/>
    </xf>
    <xf numFmtId="165" fontId="22" fillId="0" borderId="7" xfId="0" applyNumberFormat="1" applyFont="1" applyBorder="1" applyAlignment="1">
      <alignment horizontal="right" wrapText="1"/>
    </xf>
    <xf numFmtId="0" fontId="25" fillId="0" borderId="0" xfId="0" applyFont="1"/>
    <xf numFmtId="167" fontId="25" fillId="0" borderId="0" xfId="0" applyNumberFormat="1" applyFo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165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165" fontId="25" fillId="0" borderId="0" xfId="0" applyNumberFormat="1" applyFont="1" applyAlignment="1">
      <alignment horizontal="left" vertical="top"/>
    </xf>
    <xf numFmtId="165" fontId="25" fillId="0" borderId="2" xfId="0" applyNumberFormat="1" applyFont="1" applyBorder="1" applyAlignment="1">
      <alignment horizontal="right" vertical="top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6" fillId="0" borderId="2" xfId="0" applyFont="1" applyBorder="1" applyAlignment="1">
      <alignment horizontal="center"/>
    </xf>
    <xf numFmtId="0" fontId="25" fillId="0" borderId="7" xfId="0" applyFont="1" applyBorder="1" applyAlignment="1">
      <alignment horizontal="right"/>
    </xf>
    <xf numFmtId="165" fontId="25" fillId="0" borderId="7" xfId="0" applyNumberFormat="1" applyFont="1" applyBorder="1" applyAlignment="1">
      <alignment horizontal="right"/>
    </xf>
    <xf numFmtId="0" fontId="27" fillId="0" borderId="7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237"/>
  <sheetViews>
    <sheetView tabSelected="1" topLeftCell="D208" zoomScaleNormal="100" workbookViewId="0">
      <selection activeCell="L230" sqref="L230"/>
    </sheetView>
  </sheetViews>
  <sheetFormatPr defaultRowHeight="12.85" x14ac:dyDescent="0.2"/>
  <cols>
    <col min="1" max="1" width="5.75" customWidth="1"/>
    <col min="2" max="2" width="20.75" customWidth="1"/>
    <col min="3" max="3" width="40.75" customWidth="1"/>
    <col min="4" max="4" width="10.75" customWidth="1"/>
    <col min="5" max="12" width="15.75" customWidth="1"/>
    <col min="15" max="92" width="0" hidden="1" customWidth="1"/>
    <col min="93" max="93" width="108.75" hidden="1" customWidth="1"/>
    <col min="94" max="101" width="0" hidden="1" customWidth="1"/>
  </cols>
  <sheetData>
    <row r="1" spans="1:93" x14ac:dyDescent="0.2">
      <c r="A1" s="9" t="str">
        <f>Source!B1</f>
        <v>Smeta.RU  (495) 974-1589</v>
      </c>
    </row>
    <row r="2" spans="1:93" ht="12.8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93" ht="16.600000000000001" customHeight="1" x14ac:dyDescent="0.25">
      <c r="A3" s="11"/>
      <c r="B3" s="85" t="s">
        <v>240</v>
      </c>
      <c r="C3" s="85"/>
      <c r="D3" s="85"/>
      <c r="E3" s="85"/>
      <c r="F3" s="12"/>
      <c r="G3" s="12"/>
      <c r="H3" s="85" t="s">
        <v>241</v>
      </c>
      <c r="I3" s="85"/>
      <c r="J3" s="85"/>
      <c r="K3" s="85"/>
      <c r="L3" s="85"/>
    </row>
    <row r="4" spans="1:93" ht="14.3" customHeight="1" x14ac:dyDescent="0.2">
      <c r="A4" s="12"/>
      <c r="B4" s="86"/>
      <c r="C4" s="86"/>
      <c r="D4" s="86"/>
      <c r="E4" s="86"/>
      <c r="F4" s="12"/>
      <c r="G4" s="12"/>
      <c r="H4" s="86"/>
      <c r="I4" s="86"/>
      <c r="J4" s="86"/>
      <c r="K4" s="86"/>
      <c r="L4" s="86"/>
    </row>
    <row r="5" spans="1:93" ht="14.3" customHeight="1" x14ac:dyDescent="0.2">
      <c r="A5" s="12"/>
      <c r="B5" s="12"/>
      <c r="C5" s="13"/>
      <c r="D5" s="13"/>
      <c r="E5" s="13"/>
      <c r="F5" s="12"/>
      <c r="G5" s="12"/>
      <c r="H5" s="13"/>
      <c r="I5" s="13"/>
      <c r="J5" s="13"/>
      <c r="K5" s="13"/>
      <c r="L5" s="13"/>
    </row>
    <row r="6" spans="1:93" ht="14.3" customHeight="1" x14ac:dyDescent="0.2">
      <c r="A6" s="13"/>
      <c r="B6" s="86" t="str">
        <f>CONCATENATE("______________________ ", IF(Source!AL12&lt;&gt;"", Source!AL12, ""))</f>
        <v xml:space="preserve">______________________ </v>
      </c>
      <c r="C6" s="86"/>
      <c r="D6" s="86"/>
      <c r="E6" s="86"/>
      <c r="F6" s="12"/>
      <c r="G6" s="12"/>
      <c r="H6" s="86" t="str">
        <f>CONCATENATE("______________________ ", IF(Source!AH12&lt;&gt;"", Source!AH12, ""))</f>
        <v xml:space="preserve">______________________ </v>
      </c>
      <c r="I6" s="86"/>
      <c r="J6" s="86"/>
      <c r="K6" s="86"/>
      <c r="L6" s="86"/>
    </row>
    <row r="7" spans="1:93" ht="14.3" customHeight="1" x14ac:dyDescent="0.2">
      <c r="A7" s="14"/>
      <c r="B7" s="89" t="s">
        <v>242</v>
      </c>
      <c r="C7" s="89"/>
      <c r="D7" s="89"/>
      <c r="E7" s="89"/>
      <c r="F7" s="12"/>
      <c r="G7" s="12"/>
      <c r="H7" s="89" t="s">
        <v>242</v>
      </c>
      <c r="I7" s="89"/>
      <c r="J7" s="89"/>
      <c r="K7" s="89"/>
      <c r="L7" s="89"/>
    </row>
    <row r="10" spans="1:93" ht="12.85" customHeight="1" x14ac:dyDescent="0.2">
      <c r="A10" s="87" t="s">
        <v>243</v>
      </c>
      <c r="B10" s="87"/>
      <c r="C10" s="87"/>
      <c r="D10" s="87"/>
      <c r="E10" s="87"/>
      <c r="F10" s="88" t="s">
        <v>282</v>
      </c>
      <c r="G10" s="88"/>
      <c r="H10" s="88"/>
      <c r="I10" s="88"/>
      <c r="J10" s="88"/>
      <c r="K10" s="88"/>
      <c r="L10" s="88"/>
    </row>
    <row r="11" spans="1:93" ht="12.85" customHeight="1" x14ac:dyDescent="0.2">
      <c r="A11" s="16"/>
      <c r="B11" s="16"/>
      <c r="C11" s="16"/>
      <c r="D11" s="16"/>
      <c r="E11" s="16"/>
      <c r="F11" s="17"/>
      <c r="G11" s="17"/>
      <c r="H11" s="17"/>
      <c r="I11" s="17"/>
      <c r="J11" s="17"/>
      <c r="K11" s="17"/>
      <c r="L11" s="17"/>
    </row>
    <row r="12" spans="1:93" ht="25.7" x14ac:dyDescent="0.2">
      <c r="A12" s="87" t="s">
        <v>244</v>
      </c>
      <c r="B12" s="87"/>
      <c r="C12" s="87"/>
      <c r="D12" s="87"/>
      <c r="E12" s="87"/>
      <c r="F12" s="88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88"/>
      <c r="H12" s="88"/>
      <c r="I12" s="88"/>
      <c r="J12" s="88"/>
      <c r="K12" s="88"/>
      <c r="L12" s="88"/>
      <c r="CO12" s="39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2.85" customHeight="1" x14ac:dyDescent="0.2">
      <c r="A13" s="16"/>
      <c r="B13" s="16"/>
      <c r="C13" s="16"/>
      <c r="D13" s="16"/>
      <c r="E13" s="16"/>
      <c r="F13" s="17"/>
      <c r="G13" s="17"/>
      <c r="H13" s="17"/>
      <c r="I13" s="17"/>
      <c r="J13" s="17"/>
      <c r="K13" s="17"/>
      <c r="L13" s="17"/>
    </row>
    <row r="14" spans="1:93" ht="128.35" x14ac:dyDescent="0.2">
      <c r="A14" s="87" t="s">
        <v>245</v>
      </c>
      <c r="B14" s="87"/>
      <c r="C14" s="87"/>
      <c r="D14" s="87"/>
      <c r="E14" s="87"/>
      <c r="F14" s="88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14" s="88"/>
      <c r="H14" s="88"/>
      <c r="I14" s="88"/>
      <c r="J14" s="88"/>
      <c r="K14" s="88"/>
      <c r="L14" s="88"/>
      <c r="CO14" s="39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15" spans="1:93" ht="12.85" customHeight="1" x14ac:dyDescent="0.2">
      <c r="A15" s="16"/>
      <c r="B15" s="16"/>
      <c r="C15" s="16"/>
      <c r="D15" s="16"/>
      <c r="E15" s="16"/>
      <c r="F15" s="17"/>
      <c r="G15" s="17"/>
      <c r="H15" s="17"/>
      <c r="I15" s="17"/>
      <c r="J15" s="17"/>
      <c r="K15" s="17"/>
      <c r="L15" s="17"/>
    </row>
    <row r="16" spans="1:93" ht="76.45" customHeight="1" x14ac:dyDescent="0.2">
      <c r="A16" s="87" t="s">
        <v>246</v>
      </c>
      <c r="B16" s="87"/>
      <c r="C16" s="87"/>
      <c r="D16" s="87"/>
      <c r="E16" s="87"/>
      <c r="F16" s="88"/>
      <c r="G16" s="88"/>
      <c r="H16" s="88"/>
      <c r="I16" s="88"/>
      <c r="J16" s="88"/>
      <c r="K16" s="88"/>
      <c r="L16" s="88"/>
    </row>
    <row r="17" spans="1:12" ht="12.85" customHeight="1" x14ac:dyDescent="0.2">
      <c r="A17" s="16"/>
      <c r="B17" s="16"/>
      <c r="C17" s="16"/>
      <c r="D17" s="16"/>
      <c r="E17" s="16"/>
      <c r="F17" s="17"/>
      <c r="G17" s="17"/>
      <c r="H17" s="17"/>
      <c r="I17" s="17"/>
      <c r="J17" s="17"/>
      <c r="K17" s="17"/>
      <c r="L17" s="17"/>
    </row>
    <row r="18" spans="1:12" ht="38.35" customHeight="1" x14ac:dyDescent="0.2">
      <c r="A18" s="87" t="s">
        <v>247</v>
      </c>
      <c r="B18" s="87"/>
      <c r="C18" s="87"/>
      <c r="D18" s="87"/>
      <c r="E18" s="87"/>
      <c r="F18" s="88"/>
      <c r="G18" s="88"/>
      <c r="H18" s="88"/>
      <c r="I18" s="88"/>
      <c r="J18" s="88"/>
      <c r="K18" s="88"/>
      <c r="L18" s="88"/>
    </row>
    <row r="19" spans="1:12" ht="12.85" customHeight="1" x14ac:dyDescent="0.2">
      <c r="A19" s="18"/>
      <c r="B19" s="18"/>
      <c r="C19" s="18"/>
      <c r="D19" s="18"/>
      <c r="E19" s="18"/>
      <c r="F19" s="19"/>
      <c r="G19" s="19"/>
      <c r="H19" s="19"/>
      <c r="I19" s="19"/>
      <c r="J19" s="19"/>
      <c r="K19" s="19"/>
      <c r="L19" s="19"/>
    </row>
    <row r="20" spans="1:12" ht="12.85" customHeight="1" x14ac:dyDescent="0.2">
      <c r="A20" s="87" t="s">
        <v>248</v>
      </c>
      <c r="B20" s="87"/>
      <c r="C20" s="87"/>
      <c r="D20" s="87"/>
      <c r="E20" s="87"/>
      <c r="F20" s="88" t="s">
        <v>283</v>
      </c>
      <c r="G20" s="88"/>
      <c r="H20" s="88"/>
      <c r="I20" s="88"/>
      <c r="J20" s="88"/>
      <c r="K20" s="88"/>
      <c r="L20" s="88"/>
    </row>
    <row r="21" spans="1:12" ht="12.85" customHeight="1" x14ac:dyDescent="0.2">
      <c r="A21" s="18"/>
      <c r="B21" s="18"/>
      <c r="C21" s="18"/>
      <c r="D21" s="18"/>
      <c r="E21" s="18"/>
      <c r="F21" s="19"/>
      <c r="G21" s="19"/>
      <c r="H21" s="19"/>
      <c r="I21" s="19"/>
      <c r="J21" s="19"/>
      <c r="K21" s="19"/>
      <c r="L21" s="19"/>
    </row>
    <row r="22" spans="1:12" ht="12.85" customHeight="1" x14ac:dyDescent="0.2">
      <c r="A22" s="87" t="s">
        <v>249</v>
      </c>
      <c r="B22" s="87"/>
      <c r="C22" s="87"/>
      <c r="D22" s="87"/>
      <c r="E22" s="87"/>
      <c r="F22" s="88" t="str">
        <f>IF(Source!CZ12 &lt;&gt; "", Source!CZ12, "")</f>
        <v/>
      </c>
      <c r="G22" s="88"/>
      <c r="H22" s="88"/>
      <c r="I22" s="88"/>
      <c r="J22" s="88"/>
      <c r="K22" s="88"/>
      <c r="L22" s="88"/>
    </row>
    <row r="23" spans="1:12" ht="12.85" customHeight="1" x14ac:dyDescent="0.2">
      <c r="A23" s="18"/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7"/>
    </row>
    <row r="24" spans="1:12" ht="12.85" customHeight="1" x14ac:dyDescent="0.2">
      <c r="A24" s="87" t="s">
        <v>250</v>
      </c>
      <c r="B24" s="87"/>
      <c r="C24" s="87"/>
      <c r="D24" s="87"/>
      <c r="E24" s="87"/>
      <c r="F24" s="88" t="str">
        <f>IF(Source!DA12 &lt;&gt; "", Source!DA12, "")</f>
        <v/>
      </c>
      <c r="G24" s="88"/>
      <c r="H24" s="88"/>
      <c r="I24" s="88"/>
      <c r="J24" s="88"/>
      <c r="K24" s="88"/>
      <c r="L24" s="88"/>
    </row>
    <row r="25" spans="1:12" ht="12.85" customHeight="1" x14ac:dyDescent="0.2">
      <c r="A25" s="10"/>
      <c r="B25" s="10"/>
      <c r="C25" s="10"/>
      <c r="D25" s="10"/>
      <c r="E25" s="10"/>
      <c r="F25" s="20"/>
      <c r="G25" s="20"/>
      <c r="H25" s="20"/>
      <c r="I25" s="20"/>
      <c r="J25" s="20"/>
      <c r="K25" s="20"/>
      <c r="L25" s="20"/>
    </row>
    <row r="26" spans="1:12" ht="12.8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5.7" customHeight="1" x14ac:dyDescent="0.25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ht="14.3" customHeight="1" x14ac:dyDescent="0.2">
      <c r="A28" s="91" t="s">
        <v>251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</row>
    <row r="29" spans="1:12" ht="14.3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5.7" customHeight="1" x14ac:dyDescent="0.25">
      <c r="A30" s="90" t="s">
        <v>405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</row>
    <row r="31" spans="1:12" ht="14.3" customHeight="1" x14ac:dyDescent="0.2">
      <c r="A31" s="91" t="s">
        <v>252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</row>
    <row r="32" spans="1:12" ht="14.3" customHeight="1" x14ac:dyDescent="0.2">
      <c r="A32" s="12"/>
      <c r="B32" s="12"/>
      <c r="C32" s="12"/>
      <c r="D32" s="12"/>
      <c r="E32" s="12"/>
      <c r="F32" s="14"/>
      <c r="G32" s="14"/>
      <c r="H32" s="14"/>
      <c r="I32" s="14"/>
      <c r="J32" s="14"/>
      <c r="K32" s="14"/>
      <c r="L32" s="14"/>
    </row>
    <row r="33" spans="1:12" ht="15.7" customHeight="1" x14ac:dyDescent="0.25">
      <c r="A33" s="92" t="s">
        <v>404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</row>
    <row r="34" spans="1:12" ht="15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1"/>
    </row>
    <row r="35" spans="1:12" ht="18" customHeight="1" x14ac:dyDescent="0.3">
      <c r="A35" s="93" t="s">
        <v>403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</row>
    <row r="36" spans="1:12" ht="14.3" customHeight="1" x14ac:dyDescent="0.2">
      <c r="A36" s="91" t="s">
        <v>253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</row>
    <row r="37" spans="1:12" ht="14.3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4.3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12.85" customHeight="1" x14ac:dyDescent="0.2">
      <c r="A39" s="15" t="s">
        <v>254</v>
      </c>
      <c r="B39" s="15"/>
      <c r="C39" s="24" t="s">
        <v>284</v>
      </c>
      <c r="D39" s="15" t="s">
        <v>255</v>
      </c>
      <c r="E39" s="15"/>
      <c r="F39" s="15"/>
      <c r="G39" s="15"/>
      <c r="H39" s="15"/>
      <c r="I39" s="15"/>
      <c r="J39" s="15"/>
      <c r="K39" s="15"/>
      <c r="L39" s="15"/>
    </row>
    <row r="40" spans="1:12" ht="12.85" customHeight="1" x14ac:dyDescent="0.2">
      <c r="A40" s="15"/>
      <c r="B40" s="15"/>
      <c r="C40" s="2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12.85" customHeight="1" x14ac:dyDescent="0.2">
      <c r="A41" s="15" t="s">
        <v>256</v>
      </c>
      <c r="B41" s="15"/>
      <c r="C41" s="99"/>
      <c r="D41" s="99"/>
      <c r="E41" s="99"/>
      <c r="F41" s="99"/>
      <c r="G41" s="99"/>
      <c r="H41" s="99"/>
      <c r="I41" s="99"/>
      <c r="J41" s="99"/>
      <c r="K41" s="99"/>
      <c r="L41" s="99"/>
    </row>
    <row r="42" spans="1:12" ht="12.85" customHeight="1" x14ac:dyDescent="0.2">
      <c r="A42" s="26"/>
      <c r="B42" s="27"/>
      <c r="C42" s="91" t="s">
        <v>257</v>
      </c>
      <c r="D42" s="91"/>
      <c r="E42" s="91"/>
      <c r="F42" s="91"/>
      <c r="G42" s="91"/>
      <c r="H42" s="91"/>
      <c r="I42" s="91"/>
      <c r="J42" s="91"/>
      <c r="K42" s="91"/>
      <c r="L42" s="91"/>
    </row>
    <row r="43" spans="1:12" ht="14.3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ht="14.3" customHeight="1" x14ac:dyDescent="0.2">
      <c r="A44" s="28" t="s">
        <v>285</v>
      </c>
      <c r="B44" s="12"/>
      <c r="C44" s="12"/>
      <c r="D44" s="29"/>
      <c r="E44" s="12"/>
      <c r="F44" s="12"/>
      <c r="G44" s="12"/>
      <c r="H44" s="12"/>
      <c r="I44" s="12"/>
      <c r="J44" s="12"/>
      <c r="K44" s="12"/>
      <c r="L44" s="12"/>
    </row>
    <row r="45" spans="1:12" ht="14.3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2" ht="14.3" customHeight="1" x14ac:dyDescent="0.2">
      <c r="A46" s="28" t="s">
        <v>258</v>
      </c>
      <c r="B46" s="12"/>
      <c r="C46" s="94">
        <f>C49+C50+C51+C52</f>
        <v>499.49</v>
      </c>
      <c r="D46" s="95"/>
      <c r="E46" s="15" t="s">
        <v>259</v>
      </c>
      <c r="F46" s="10"/>
      <c r="G46" s="10"/>
      <c r="H46" s="10"/>
      <c r="I46" s="10"/>
      <c r="J46" s="10"/>
      <c r="K46" s="10"/>
      <c r="L46" s="12"/>
    </row>
    <row r="47" spans="1:12" ht="14.3" customHeight="1" x14ac:dyDescent="0.2">
      <c r="A47" s="28"/>
      <c r="B47" s="12"/>
      <c r="C47" s="68"/>
      <c r="D47" s="30"/>
      <c r="E47" s="15"/>
      <c r="F47" s="10"/>
      <c r="G47" s="15" t="s">
        <v>260</v>
      </c>
      <c r="H47" s="12"/>
      <c r="I47" s="15"/>
      <c r="J47" s="15"/>
      <c r="K47" s="70">
        <f>ROUND(SUM(AR60:AR226)/1000, 2)</f>
        <v>6.28</v>
      </c>
      <c r="L47" s="15" t="s">
        <v>259</v>
      </c>
    </row>
    <row r="48" spans="1:12" ht="14.3" customHeight="1" x14ac:dyDescent="0.2">
      <c r="A48" s="12"/>
      <c r="B48" s="31" t="s">
        <v>261</v>
      </c>
      <c r="C48" s="69"/>
      <c r="D48" s="12"/>
      <c r="E48" s="15"/>
      <c r="F48" s="10"/>
      <c r="G48" s="15" t="s">
        <v>262</v>
      </c>
      <c r="H48" s="12"/>
      <c r="I48" s="15"/>
      <c r="J48" s="15"/>
      <c r="K48" s="70">
        <f>ROUND(SUM(AT60:AT226)/1000, 2)</f>
        <v>7.38</v>
      </c>
      <c r="L48" s="15" t="s">
        <v>259</v>
      </c>
    </row>
    <row r="49" spans="1:83" ht="14.3" customHeight="1" x14ac:dyDescent="0.2">
      <c r="A49" s="12"/>
      <c r="B49" s="28" t="s">
        <v>263</v>
      </c>
      <c r="C49" s="94">
        <f>ROUND((Source!F52)/1000, 2)</f>
        <v>65.13</v>
      </c>
      <c r="D49" s="95"/>
      <c r="E49" s="15" t="s">
        <v>259</v>
      </c>
      <c r="F49" s="10"/>
      <c r="G49" s="15" t="s">
        <v>264</v>
      </c>
      <c r="H49" s="12"/>
      <c r="I49" s="15"/>
      <c r="J49" s="30"/>
      <c r="K49" s="71">
        <f>Source!F57</f>
        <v>21.195362500000002</v>
      </c>
      <c r="L49" s="15" t="s">
        <v>213</v>
      </c>
    </row>
    <row r="50" spans="1:83" ht="14.3" customHeight="1" x14ac:dyDescent="0.2">
      <c r="A50" s="12"/>
      <c r="B50" s="28" t="s">
        <v>265</v>
      </c>
      <c r="C50" s="94">
        <f>ROUND((Source!F53)/1000, 2)</f>
        <v>0</v>
      </c>
      <c r="D50" s="95"/>
      <c r="E50" s="15" t="s">
        <v>259</v>
      </c>
      <c r="F50" s="10"/>
      <c r="G50" s="15" t="s">
        <v>266</v>
      </c>
      <c r="H50" s="12"/>
      <c r="I50" s="15"/>
      <c r="J50" s="32"/>
      <c r="K50" s="71">
        <f>Source!F58</f>
        <v>18.589749999999999</v>
      </c>
      <c r="L50" s="15" t="s">
        <v>213</v>
      </c>
    </row>
    <row r="51" spans="1:83" ht="14.3" customHeight="1" x14ac:dyDescent="0.2">
      <c r="A51" s="12"/>
      <c r="B51" s="28" t="s">
        <v>267</v>
      </c>
      <c r="C51" s="94">
        <f>ROUND((Source!F44)/1000, 2)</f>
        <v>0</v>
      </c>
      <c r="D51" s="95"/>
      <c r="E51" s="15" t="s">
        <v>259</v>
      </c>
      <c r="F51" s="10"/>
      <c r="G51" s="15"/>
      <c r="H51" s="15"/>
      <c r="I51" s="15"/>
      <c r="J51" s="15"/>
      <c r="K51" s="10"/>
      <c r="L51" s="15"/>
    </row>
    <row r="52" spans="1:83" ht="14.3" customHeight="1" x14ac:dyDescent="0.2">
      <c r="A52" s="12"/>
      <c r="B52" s="28" t="s">
        <v>268</v>
      </c>
      <c r="C52" s="94">
        <f>ROUND((Source!F54)/1000, 2)</f>
        <v>434.36</v>
      </c>
      <c r="D52" s="95"/>
      <c r="E52" s="15" t="s">
        <v>259</v>
      </c>
      <c r="F52" s="10"/>
      <c r="G52" s="15"/>
      <c r="H52" s="15"/>
      <c r="I52" s="15"/>
      <c r="J52" s="15"/>
      <c r="K52" s="10"/>
      <c r="L52" s="15"/>
    </row>
    <row r="53" spans="1:83" ht="14.3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1:83" ht="12.85" customHeight="1" x14ac:dyDescent="0.2">
      <c r="A54" s="96" t="s">
        <v>269</v>
      </c>
      <c r="B54" s="96" t="s">
        <v>270</v>
      </c>
      <c r="C54" s="96" t="s">
        <v>271</v>
      </c>
      <c r="D54" s="96" t="s">
        <v>272</v>
      </c>
      <c r="E54" s="102" t="s">
        <v>273</v>
      </c>
      <c r="F54" s="103"/>
      <c r="G54" s="104"/>
      <c r="H54" s="102" t="s">
        <v>274</v>
      </c>
      <c r="I54" s="103"/>
      <c r="J54" s="103"/>
      <c r="K54" s="103"/>
      <c r="L54" s="104"/>
    </row>
    <row r="55" spans="1:83" ht="12.85" customHeight="1" x14ac:dyDescent="0.2">
      <c r="A55" s="97"/>
      <c r="B55" s="97"/>
      <c r="C55" s="97"/>
      <c r="D55" s="97"/>
      <c r="E55" s="105"/>
      <c r="F55" s="106"/>
      <c r="G55" s="107"/>
      <c r="H55" s="105"/>
      <c r="I55" s="106"/>
      <c r="J55" s="106"/>
      <c r="K55" s="106"/>
      <c r="L55" s="107"/>
    </row>
    <row r="56" spans="1:83" ht="12.85" customHeight="1" x14ac:dyDescent="0.2">
      <c r="A56" s="97"/>
      <c r="B56" s="97"/>
      <c r="C56" s="97"/>
      <c r="D56" s="97"/>
      <c r="E56" s="105"/>
      <c r="F56" s="106"/>
      <c r="G56" s="107"/>
      <c r="H56" s="105"/>
      <c r="I56" s="106"/>
      <c r="J56" s="106"/>
      <c r="K56" s="106"/>
      <c r="L56" s="107"/>
    </row>
    <row r="57" spans="1:83" ht="12.85" customHeight="1" x14ac:dyDescent="0.2">
      <c r="A57" s="97"/>
      <c r="B57" s="97"/>
      <c r="C57" s="97"/>
      <c r="D57" s="97"/>
      <c r="E57" s="108"/>
      <c r="F57" s="109"/>
      <c r="G57" s="110"/>
      <c r="H57" s="108"/>
      <c r="I57" s="109"/>
      <c r="J57" s="109"/>
      <c r="K57" s="109"/>
      <c r="L57" s="110"/>
    </row>
    <row r="58" spans="1:83" ht="51" customHeight="1" x14ac:dyDescent="0.2">
      <c r="A58" s="98"/>
      <c r="B58" s="98"/>
      <c r="C58" s="98"/>
      <c r="D58" s="98"/>
      <c r="E58" s="34" t="s">
        <v>275</v>
      </c>
      <c r="F58" s="34" t="s">
        <v>276</v>
      </c>
      <c r="G58" s="35" t="s">
        <v>277</v>
      </c>
      <c r="H58" s="34" t="s">
        <v>278</v>
      </c>
      <c r="I58" s="34" t="s">
        <v>279</v>
      </c>
      <c r="J58" s="34" t="s">
        <v>280</v>
      </c>
      <c r="K58" s="34" t="s">
        <v>276</v>
      </c>
      <c r="L58" s="34" t="s">
        <v>281</v>
      </c>
    </row>
    <row r="59" spans="1:83" ht="14.3" customHeight="1" x14ac:dyDescent="0.2">
      <c r="A59" s="36">
        <v>1</v>
      </c>
      <c r="B59" s="36">
        <v>2</v>
      </c>
      <c r="C59" s="36">
        <v>3</v>
      </c>
      <c r="D59" s="36">
        <v>4</v>
      </c>
      <c r="E59" s="36">
        <v>5</v>
      </c>
      <c r="F59" s="36">
        <v>6</v>
      </c>
      <c r="G59" s="36">
        <v>7</v>
      </c>
      <c r="H59" s="36">
        <v>8</v>
      </c>
      <c r="I59" s="36">
        <v>9</v>
      </c>
      <c r="J59" s="36">
        <v>10</v>
      </c>
      <c r="K59" s="38">
        <v>11</v>
      </c>
      <c r="L59" s="38">
        <v>12</v>
      </c>
    </row>
    <row r="60" spans="1:83" ht="54.2" x14ac:dyDescent="0.2">
      <c r="A60" s="41" t="s">
        <v>15</v>
      </c>
      <c r="B60" s="43" t="s">
        <v>286</v>
      </c>
      <c r="C60" s="43" t="str">
        <f>Source!G24</f>
        <v>Засыпка траншей и котлованов с перемещением грунта до 5 м бульдозерами мощностью: 96 кВт (130 л.с.), группа грунтов 1</v>
      </c>
      <c r="D60" s="44" t="str">
        <f>Source!H24</f>
        <v>1000 м3</v>
      </c>
      <c r="E60" s="45">
        <f>Source!K24</f>
        <v>1.325</v>
      </c>
      <c r="F60" s="45"/>
      <c r="G60" s="45">
        <f>Source!I24</f>
        <v>1.325</v>
      </c>
      <c r="H60" s="47"/>
      <c r="I60" s="46"/>
      <c r="J60" s="47"/>
      <c r="K60" s="46"/>
      <c r="L60" s="47"/>
    </row>
    <row r="61" spans="1:83" ht="25.7" x14ac:dyDescent="0.2">
      <c r="B61" s="48" t="s">
        <v>236</v>
      </c>
      <c r="C61" s="111" t="s">
        <v>287</v>
      </c>
      <c r="D61" s="111"/>
      <c r="E61" s="111"/>
      <c r="F61" s="111"/>
      <c r="G61" s="111"/>
      <c r="H61" s="111"/>
      <c r="I61" s="111"/>
      <c r="J61" s="111"/>
      <c r="K61" s="111"/>
      <c r="L61" s="111"/>
    </row>
    <row r="62" spans="1:83" ht="14.3" hidden="1" x14ac:dyDescent="0.2">
      <c r="A62" s="42"/>
      <c r="B62" s="45">
        <v>2</v>
      </c>
      <c r="C62" s="42" t="s">
        <v>288</v>
      </c>
      <c r="D62" s="44"/>
      <c r="E62" s="49"/>
      <c r="F62" s="45"/>
      <c r="G62" s="45"/>
      <c r="H62" s="45"/>
      <c r="I62" s="45"/>
      <c r="J62" s="45"/>
      <c r="K62" s="45"/>
      <c r="L62" s="50">
        <f>SUM(L63:L65)-SUMIF(CE63:CE65, 1, L63:L65)</f>
        <v>0</v>
      </c>
    </row>
    <row r="63" spans="1:83" ht="14.3" hidden="1" x14ac:dyDescent="0.2">
      <c r="A63" s="42"/>
      <c r="B63" s="45"/>
      <c r="C63" s="42" t="s">
        <v>290</v>
      </c>
      <c r="D63" s="44" t="s">
        <v>213</v>
      </c>
      <c r="E63" s="49"/>
      <c r="F63" s="45"/>
      <c r="G63" s="45">
        <f>Source!V24</f>
        <v>0</v>
      </c>
      <c r="H63" s="45"/>
      <c r="I63" s="45"/>
      <c r="J63" s="45"/>
      <c r="K63" s="45"/>
      <c r="L63" s="50">
        <f>SUMIF(CE64:CE65, 1, L64:L65)</f>
        <v>0</v>
      </c>
      <c r="CE63">
        <v>1</v>
      </c>
    </row>
    <row r="64" spans="1:83" ht="13.55" x14ac:dyDescent="0.2">
      <c r="A64" s="43"/>
      <c r="B64" s="43" t="s">
        <v>214</v>
      </c>
      <c r="C64" s="43" t="s">
        <v>216</v>
      </c>
      <c r="D64" s="44" t="s">
        <v>32</v>
      </c>
      <c r="E64" s="45">
        <v>0</v>
      </c>
      <c r="F64" s="45">
        <f>ROUND((0.15+1),7)</f>
        <v>1.1499999999999999</v>
      </c>
      <c r="G64" s="45">
        <f>SmtRes!CX2</f>
        <v>0</v>
      </c>
      <c r="H64" s="47">
        <f>SmtRes!CZ2</f>
        <v>1061.99</v>
      </c>
      <c r="I64" s="46">
        <f>SmtRes!AJ2</f>
        <v>1.44</v>
      </c>
      <c r="J64" s="47">
        <f>ROUND(H64*I64, 2)</f>
        <v>1529.27</v>
      </c>
      <c r="K64" s="46"/>
      <c r="L64" s="47">
        <f>SmtRes!DG2</f>
        <v>0</v>
      </c>
    </row>
    <row r="65" spans="1:83" ht="13.55" x14ac:dyDescent="0.2">
      <c r="A65" s="43"/>
      <c r="B65" s="43" t="s">
        <v>217</v>
      </c>
      <c r="C65" s="51" t="s">
        <v>289</v>
      </c>
      <c r="D65" s="52" t="s">
        <v>213</v>
      </c>
      <c r="E65" s="53">
        <f>SmtRes!DO2*SmtRes!AT2</f>
        <v>0</v>
      </c>
      <c r="F65" s="53">
        <f>ROUND((0.15+1),7)</f>
        <v>1.1499999999999999</v>
      </c>
      <c r="G65" s="53">
        <f>ROUND(E65*F65*G60, 7)</f>
        <v>0</v>
      </c>
      <c r="H65" s="54"/>
      <c r="I65" s="55"/>
      <c r="J65" s="54">
        <f>ROUND(SmtRes!AG2/SmtRes!DO2, 2)</f>
        <v>533</v>
      </c>
      <c r="K65" s="55"/>
      <c r="L65" s="54">
        <f>SmtRes!DH2</f>
        <v>0</v>
      </c>
      <c r="CE65">
        <v>1</v>
      </c>
    </row>
    <row r="66" spans="1:83" ht="14.3" x14ac:dyDescent="0.2">
      <c r="A66" s="51"/>
      <c r="B66" s="51"/>
      <c r="C66" s="59" t="s">
        <v>291</v>
      </c>
      <c r="D66" s="52"/>
      <c r="E66" s="53"/>
      <c r="F66" s="53"/>
      <c r="G66" s="53"/>
      <c r="H66" s="54"/>
      <c r="I66" s="55"/>
      <c r="J66" s="54"/>
      <c r="K66" s="55"/>
      <c r="L66" s="54">
        <f>L62+L63</f>
        <v>0</v>
      </c>
    </row>
    <row r="67" spans="1:83" ht="14.3" x14ac:dyDescent="0.2">
      <c r="C67" s="100" t="s">
        <v>292</v>
      </c>
      <c r="D67" s="100"/>
      <c r="E67" s="100"/>
      <c r="F67" s="100"/>
      <c r="G67" s="100"/>
      <c r="H67" s="100"/>
      <c r="I67" s="101">
        <f>IF(E60&lt;&gt;0,K67/E60, 0)</f>
        <v>0</v>
      </c>
      <c r="J67" s="101"/>
      <c r="K67" s="101">
        <f>L62+L63</f>
        <v>0</v>
      </c>
      <c r="L67" s="101"/>
      <c r="AD67">
        <f>ROUND((Source!AT24/100)*((ROUND(SUMIF(SmtRes!AQ1:'SmtRes'!AQ2,"=1",SmtRes!AD1:'SmtRes'!AD2)*Source!I24, 2)+ROUND(SUMIF(SmtRes!AQ1:'SmtRes'!AQ2,"=1",SmtRes!AC1:'SmtRes'!AC2)*Source!I24, 2))), 2)</f>
        <v>649.73</v>
      </c>
      <c r="AE67">
        <f>ROUND((Source!AU24/100)*((ROUND(SUMIF(SmtRes!AQ1:'SmtRes'!AQ2,"=1",SmtRes!AD1:'SmtRes'!AD2)*Source!I24, 2)+ROUND(SUMIF(SmtRes!AQ1:'SmtRes'!AQ2,"=1",SmtRes!AC1:'SmtRes'!AC2)*Source!I24, 2))), 2)</f>
        <v>324.87</v>
      </c>
      <c r="AN67" s="56">
        <f>L62+L63</f>
        <v>0</v>
      </c>
      <c r="AO67" s="56">
        <f>L62</f>
        <v>0</v>
      </c>
      <c r="AQ67" t="s">
        <v>293</v>
      </c>
      <c r="AR67">
        <f>0</f>
        <v>0</v>
      </c>
      <c r="AT67" s="56">
        <f>L63</f>
        <v>0</v>
      </c>
      <c r="AV67" t="s">
        <v>293</v>
      </c>
      <c r="AW67">
        <f>0</f>
        <v>0</v>
      </c>
      <c r="AZ67">
        <f>Source!X24</f>
        <v>0</v>
      </c>
      <c r="BA67">
        <f>Source!Y24</f>
        <v>0</v>
      </c>
      <c r="CD67">
        <v>1</v>
      </c>
    </row>
    <row r="68" spans="1:83" ht="27.1" x14ac:dyDescent="0.2">
      <c r="A68" s="41" t="s">
        <v>29</v>
      </c>
      <c r="B68" s="43" t="str">
        <f>Source!F25</f>
        <v>КП №132 от 05.08.2026</v>
      </c>
      <c r="C68" s="43" t="str">
        <f>Source!G25</f>
        <v>Фронтальный погрузчик (объем ковша 3 м3)</v>
      </c>
      <c r="D68" s="44" t="str">
        <f>Source!H25</f>
        <v>маш.-ч</v>
      </c>
      <c r="E68" s="45">
        <f>Source!K25</f>
        <v>8.1825375000000005</v>
      </c>
      <c r="F68" s="45"/>
      <c r="G68" s="45">
        <f>Source!I25</f>
        <v>8.1825375000000005</v>
      </c>
      <c r="H68" s="47">
        <f>Source!AM25</f>
        <v>5500</v>
      </c>
      <c r="I68" s="46"/>
      <c r="J68" s="47"/>
      <c r="K68" s="46"/>
      <c r="L68" s="47">
        <f>Source!Q25</f>
        <v>45003.96</v>
      </c>
    </row>
    <row r="69" spans="1:83" ht="14.3" x14ac:dyDescent="0.2">
      <c r="C69" s="100" t="s">
        <v>292</v>
      </c>
      <c r="D69" s="100"/>
      <c r="E69" s="100"/>
      <c r="F69" s="100"/>
      <c r="G69" s="100"/>
      <c r="H69" s="100"/>
      <c r="I69" s="101">
        <f>IF(E68&lt;&gt;0,K69/E68, 0)</f>
        <v>5500.0004582930414</v>
      </c>
      <c r="J69" s="101"/>
      <c r="K69" s="101">
        <f>L68</f>
        <v>45003.96</v>
      </c>
      <c r="L69" s="101"/>
      <c r="AD69">
        <f>ROUND((Source!AT25/100)*((ROUND(ROUND(Source!AO25,2)*Source!I25, 2)+ROUND(ROUND(Source!AN25,2)*Source!I25, 2))), 2)</f>
        <v>0</v>
      </c>
      <c r="AE69">
        <f>ROUND((Source!AU25/100)*((ROUND(ROUND(Source!AO25,2)*Source!I25, 2)+ROUND(ROUND(Source!AN25,2)*Source!I25, 2))), 2)</f>
        <v>0</v>
      </c>
      <c r="AN69" s="56">
        <f>L68</f>
        <v>45003.96</v>
      </c>
      <c r="AO69" s="56">
        <f>L68</f>
        <v>45003.96</v>
      </c>
      <c r="AQ69" t="s">
        <v>293</v>
      </c>
      <c r="AR69">
        <f>0</f>
        <v>0</v>
      </c>
      <c r="AT69">
        <f>0</f>
        <v>0</v>
      </c>
      <c r="AV69" t="s">
        <v>293</v>
      </c>
      <c r="AW69">
        <f>0</f>
        <v>0</v>
      </c>
      <c r="AZ69">
        <f>Source!X25</f>
        <v>0</v>
      </c>
      <c r="BA69">
        <f>Source!Y25</f>
        <v>0</v>
      </c>
      <c r="CD69">
        <v>4</v>
      </c>
    </row>
    <row r="70" spans="1:83" ht="40.65" x14ac:dyDescent="0.2">
      <c r="A70" s="41" t="s">
        <v>36</v>
      </c>
      <c r="B70" s="43" t="s">
        <v>294</v>
      </c>
      <c r="C70" s="43" t="s">
        <v>38</v>
      </c>
      <c r="D70" s="44" t="str">
        <f>Source!H26</f>
        <v>1000 м3</v>
      </c>
      <c r="E70" s="45">
        <f>Source!K26</f>
        <v>1.325</v>
      </c>
      <c r="F70" s="45"/>
      <c r="G70" s="45">
        <f>Source!I26</f>
        <v>1.325</v>
      </c>
      <c r="H70" s="47"/>
      <c r="I70" s="46"/>
      <c r="J70" s="47"/>
      <c r="K70" s="46"/>
      <c r="L70" s="47"/>
    </row>
    <row r="71" spans="1:83" ht="14.3" hidden="1" x14ac:dyDescent="0.2">
      <c r="A71" s="42"/>
      <c r="B71" s="45">
        <v>2</v>
      </c>
      <c r="C71" s="42" t="s">
        <v>288</v>
      </c>
      <c r="D71" s="44"/>
      <c r="E71" s="49"/>
      <c r="F71" s="45"/>
      <c r="G71" s="45"/>
      <c r="H71" s="45"/>
      <c r="I71" s="45"/>
      <c r="J71" s="45"/>
      <c r="K71" s="45"/>
      <c r="L71" s="50">
        <f>SUM(L72:L74)-SUMIF(CE72:CE74, 1, L72:L74)</f>
        <v>0</v>
      </c>
    </row>
    <row r="72" spans="1:83" ht="14.3" hidden="1" x14ac:dyDescent="0.2">
      <c r="A72" s="42"/>
      <c r="B72" s="45"/>
      <c r="C72" s="42" t="s">
        <v>290</v>
      </c>
      <c r="D72" s="44" t="s">
        <v>213</v>
      </c>
      <c r="E72" s="49"/>
      <c r="F72" s="45"/>
      <c r="G72" s="45">
        <f>Source!V26</f>
        <v>0</v>
      </c>
      <c r="H72" s="45"/>
      <c r="I72" s="45"/>
      <c r="J72" s="45"/>
      <c r="K72" s="45"/>
      <c r="L72" s="50">
        <f>SUMIF(CE73:CE74, 1, L73:L74)</f>
        <v>0</v>
      </c>
      <c r="CE72">
        <v>1</v>
      </c>
    </row>
    <row r="73" spans="1:83" ht="13.55" x14ac:dyDescent="0.2">
      <c r="A73" s="43"/>
      <c r="B73" s="43" t="s">
        <v>214</v>
      </c>
      <c r="C73" s="43" t="s">
        <v>216</v>
      </c>
      <c r="D73" s="44" t="s">
        <v>32</v>
      </c>
      <c r="E73" s="45">
        <v>0</v>
      </c>
      <c r="F73" s="45">
        <f>ROUND((0.15+1),7)</f>
        <v>1.1499999999999999</v>
      </c>
      <c r="G73" s="45">
        <f>SmtRes!CX4</f>
        <v>0</v>
      </c>
      <c r="H73" s="47">
        <f>SmtRes!CZ4</f>
        <v>1061.99</v>
      </c>
      <c r="I73" s="46">
        <f>SmtRes!AJ4</f>
        <v>1.44</v>
      </c>
      <c r="J73" s="47">
        <f>ROUND(H73*I73, 2)</f>
        <v>1529.27</v>
      </c>
      <c r="K73" s="46"/>
      <c r="L73" s="47">
        <f>SmtRes!DG4</f>
        <v>0</v>
      </c>
    </row>
    <row r="74" spans="1:83" ht="13.55" x14ac:dyDescent="0.2">
      <c r="A74" s="43"/>
      <c r="B74" s="43" t="s">
        <v>217</v>
      </c>
      <c r="C74" s="51" t="s">
        <v>289</v>
      </c>
      <c r="D74" s="52" t="s">
        <v>213</v>
      </c>
      <c r="E74" s="53">
        <f>SmtRes!DO4*SmtRes!AT4</f>
        <v>0</v>
      </c>
      <c r="F74" s="53">
        <f>ROUND((0.15+1),7)</f>
        <v>1.1499999999999999</v>
      </c>
      <c r="G74" s="53">
        <f>ROUND(E74*F74*G70, 7)</f>
        <v>0</v>
      </c>
      <c r="H74" s="54"/>
      <c r="I74" s="55"/>
      <c r="J74" s="54">
        <f>ROUND(SmtRes!AG4/SmtRes!DO4, 2)</f>
        <v>533</v>
      </c>
      <c r="K74" s="55"/>
      <c r="L74" s="54">
        <f>SmtRes!DH4</f>
        <v>0</v>
      </c>
      <c r="CE74">
        <v>1</v>
      </c>
    </row>
    <row r="75" spans="1:83" ht="14.3" x14ac:dyDescent="0.2">
      <c r="A75" s="51"/>
      <c r="B75" s="51"/>
      <c r="C75" s="59" t="s">
        <v>291</v>
      </c>
      <c r="D75" s="52"/>
      <c r="E75" s="53"/>
      <c r="F75" s="53"/>
      <c r="G75" s="53"/>
      <c r="H75" s="54"/>
      <c r="I75" s="55"/>
      <c r="J75" s="54"/>
      <c r="K75" s="55"/>
      <c r="L75" s="54">
        <f>L71+L72</f>
        <v>0</v>
      </c>
    </row>
    <row r="76" spans="1:83" ht="14.3" x14ac:dyDescent="0.2">
      <c r="C76" s="100" t="s">
        <v>292</v>
      </c>
      <c r="D76" s="100"/>
      <c r="E76" s="100"/>
      <c r="F76" s="100"/>
      <c r="G76" s="100"/>
      <c r="H76" s="100"/>
      <c r="I76" s="101">
        <f>IF(E70&lt;&gt;0,K76/E70, 0)</f>
        <v>0</v>
      </c>
      <c r="J76" s="101"/>
      <c r="K76" s="101">
        <f>L71+L72</f>
        <v>0</v>
      </c>
      <c r="L76" s="101"/>
      <c r="AD76">
        <f>ROUND((Source!AT26/100)*((ROUND(SUMIF(SmtRes!AQ3:'SmtRes'!AQ4,"=1",SmtRes!AD3:'SmtRes'!AD4)*Source!I26, 2)+ROUND(SUMIF(SmtRes!AQ3:'SmtRes'!AQ4,"=1",SmtRes!AC3:'SmtRes'!AC4)*Source!I26, 2))), 2)</f>
        <v>649.73</v>
      </c>
      <c r="AE76">
        <f>ROUND((Source!AU26/100)*((ROUND(SUMIF(SmtRes!AQ3:'SmtRes'!AQ4,"=1",SmtRes!AD3:'SmtRes'!AD4)*Source!I26, 2)+ROUND(SUMIF(SmtRes!AQ3:'SmtRes'!AQ4,"=1",SmtRes!AC3:'SmtRes'!AC4)*Source!I26, 2))), 2)</f>
        <v>324.87</v>
      </c>
      <c r="AN76" s="56">
        <f>L71+L72</f>
        <v>0</v>
      </c>
      <c r="AO76" s="56">
        <f>L71</f>
        <v>0</v>
      </c>
      <c r="AQ76" t="s">
        <v>293</v>
      </c>
      <c r="AR76">
        <f>0</f>
        <v>0</v>
      </c>
      <c r="AT76" s="56">
        <f>L72</f>
        <v>0</v>
      </c>
      <c r="AV76" t="s">
        <v>293</v>
      </c>
      <c r="AW76">
        <f>0</f>
        <v>0</v>
      </c>
      <c r="AZ76">
        <f>Source!X26</f>
        <v>0</v>
      </c>
      <c r="BA76">
        <f>Source!Y26</f>
        <v>0</v>
      </c>
      <c r="CD76">
        <v>1</v>
      </c>
    </row>
    <row r="77" spans="1:83" ht="27.1" x14ac:dyDescent="0.2">
      <c r="A77" s="41" t="s">
        <v>40</v>
      </c>
      <c r="B77" s="43" t="str">
        <f>Source!F27</f>
        <v>КП №132 от 05.08.2026</v>
      </c>
      <c r="C77" s="43" t="str">
        <f>Source!G27</f>
        <v>Фронтальный погрузчик (объем ковша 3м3)</v>
      </c>
      <c r="D77" s="44" t="str">
        <f>Source!H27</f>
        <v>маш.-ч</v>
      </c>
      <c r="E77" s="45">
        <f>Source!K27</f>
        <v>47.358150000000002</v>
      </c>
      <c r="F77" s="45"/>
      <c r="G77" s="45">
        <f>Source!I27</f>
        <v>47.358150000000002</v>
      </c>
      <c r="H77" s="47">
        <f>Source!AM27</f>
        <v>5500</v>
      </c>
      <c r="I77" s="46"/>
      <c r="J77" s="47"/>
      <c r="K77" s="46"/>
      <c r="L77" s="47">
        <f>Source!Q27</f>
        <v>260469.83</v>
      </c>
    </row>
    <row r="78" spans="1:83" ht="14.3" x14ac:dyDescent="0.2">
      <c r="C78" s="100" t="s">
        <v>292</v>
      </c>
      <c r="D78" s="100"/>
      <c r="E78" s="100"/>
      <c r="F78" s="100"/>
      <c r="G78" s="100"/>
      <c r="H78" s="100"/>
      <c r="I78" s="101">
        <f>IF(E77&lt;&gt;0,K78/E77, 0)</f>
        <v>5500.0001055784478</v>
      </c>
      <c r="J78" s="101"/>
      <c r="K78" s="101">
        <f>L77</f>
        <v>260469.83</v>
      </c>
      <c r="L78" s="101"/>
      <c r="AD78">
        <f>ROUND((Source!AT27/100)*((ROUND(ROUND(Source!AO27,2)*Source!I27, 2)+ROUND(ROUND(Source!AN27,2)*Source!I27, 2))), 2)</f>
        <v>0</v>
      </c>
      <c r="AE78">
        <f>ROUND((Source!AU27/100)*((ROUND(ROUND(Source!AO27,2)*Source!I27, 2)+ROUND(ROUND(Source!AN27,2)*Source!I27, 2))), 2)</f>
        <v>0</v>
      </c>
      <c r="AN78" s="56">
        <f>L77</f>
        <v>260469.83</v>
      </c>
      <c r="AO78" s="56">
        <f>L77</f>
        <v>260469.83</v>
      </c>
      <c r="AQ78" t="s">
        <v>293</v>
      </c>
      <c r="AR78">
        <f>0</f>
        <v>0</v>
      </c>
      <c r="AT78">
        <f>0</f>
        <v>0</v>
      </c>
      <c r="AV78" t="s">
        <v>293</v>
      </c>
      <c r="AW78">
        <f>0</f>
        <v>0</v>
      </c>
      <c r="AZ78">
        <f>Source!X27</f>
        <v>0</v>
      </c>
      <c r="BA78">
        <f>Source!Y27</f>
        <v>0</v>
      </c>
      <c r="CD78">
        <v>4</v>
      </c>
    </row>
    <row r="79" spans="1:83" ht="54.2" x14ac:dyDescent="0.2">
      <c r="A79" s="41" t="s">
        <v>42</v>
      </c>
      <c r="B79" s="43" t="s">
        <v>295</v>
      </c>
      <c r="C79" s="43" t="str">
        <f>Source!G28</f>
        <v>Уплотнение грунтов катками самоходными грунтовыми вибрационными, массой 18-20 т на первый проход по одному следу толщиной: 40 см</v>
      </c>
      <c r="D79" s="44" t="str">
        <f>Source!H28</f>
        <v>1000 м3</v>
      </c>
      <c r="E79" s="45">
        <f>Source!K28</f>
        <v>1.325</v>
      </c>
      <c r="F79" s="45"/>
      <c r="G79" s="45">
        <f>Source!I28</f>
        <v>1.325</v>
      </c>
      <c r="H79" s="47"/>
      <c r="I79" s="46"/>
      <c r="J79" s="47"/>
      <c r="K79" s="46"/>
      <c r="L79" s="47"/>
    </row>
    <row r="80" spans="1:83" ht="14.3" hidden="1" x14ac:dyDescent="0.2">
      <c r="A80" s="42"/>
      <c r="B80" s="45">
        <v>2</v>
      </c>
      <c r="C80" s="42" t="s">
        <v>288</v>
      </c>
      <c r="D80" s="44"/>
      <c r="E80" s="49"/>
      <c r="F80" s="45"/>
      <c r="G80" s="45"/>
      <c r="H80" s="45"/>
      <c r="I80" s="45"/>
      <c r="J80" s="45"/>
      <c r="K80" s="45"/>
      <c r="L80" s="50">
        <f>SUM(L81:L88)-SUMIF(CE81:CE88, 1, L81:L88)</f>
        <v>0</v>
      </c>
    </row>
    <row r="81" spans="1:83" ht="14.3" hidden="1" x14ac:dyDescent="0.2">
      <c r="A81" s="42"/>
      <c r="B81" s="45"/>
      <c r="C81" s="42" t="s">
        <v>290</v>
      </c>
      <c r="D81" s="44" t="s">
        <v>213</v>
      </c>
      <c r="E81" s="49"/>
      <c r="F81" s="45"/>
      <c r="G81" s="45">
        <f>Source!V28</f>
        <v>0</v>
      </c>
      <c r="H81" s="45"/>
      <c r="I81" s="45"/>
      <c r="J81" s="45"/>
      <c r="K81" s="45"/>
      <c r="L81" s="50">
        <f>SUMIF(CE83:CE88, 1, L83:L88)</f>
        <v>3.3</v>
      </c>
      <c r="CE81">
        <v>1</v>
      </c>
    </row>
    <row r="82" spans="1:83" ht="25.7" x14ac:dyDescent="0.2">
      <c r="B82" s="48" t="s">
        <v>236</v>
      </c>
      <c r="C82" s="111" t="s">
        <v>287</v>
      </c>
      <c r="D82" s="111"/>
      <c r="E82" s="111"/>
      <c r="F82" s="111"/>
      <c r="G82" s="111"/>
      <c r="H82" s="111"/>
      <c r="I82" s="111"/>
      <c r="J82" s="111"/>
      <c r="K82" s="111"/>
      <c r="L82" s="111"/>
    </row>
    <row r="83" spans="1:83" ht="13.55" x14ac:dyDescent="0.2">
      <c r="A83" s="43"/>
      <c r="B83" s="43" t="s">
        <v>218</v>
      </c>
      <c r="C83" s="43" t="s">
        <v>220</v>
      </c>
      <c r="D83" s="44" t="s">
        <v>32</v>
      </c>
      <c r="E83" s="45">
        <v>0</v>
      </c>
      <c r="F83" s="45">
        <f>ROUND((0.15+1),7)</f>
        <v>1.1499999999999999</v>
      </c>
      <c r="G83" s="45">
        <f>SmtRes!CX6</f>
        <v>0</v>
      </c>
      <c r="H83" s="47"/>
      <c r="I83" s="46"/>
      <c r="J83" s="47">
        <f>SmtRes!CZ6</f>
        <v>2962.7</v>
      </c>
      <c r="K83" s="46"/>
      <c r="L83" s="47">
        <f>SmtRes!DG6</f>
        <v>0</v>
      </c>
    </row>
    <row r="84" spans="1:83" ht="13.55" x14ac:dyDescent="0.2">
      <c r="A84" s="43"/>
      <c r="B84" s="43" t="s">
        <v>217</v>
      </c>
      <c r="C84" s="43" t="s">
        <v>289</v>
      </c>
      <c r="D84" s="44" t="s">
        <v>213</v>
      </c>
      <c r="E84" s="45">
        <f>SmtRes!DO6*SmtRes!AT6</f>
        <v>0</v>
      </c>
      <c r="F84" s="45">
        <f>ROUND((0.15+1),7)</f>
        <v>1.1499999999999999</v>
      </c>
      <c r="G84" s="45">
        <f>ROUND(E84*F84*G79, 7)</f>
        <v>0</v>
      </c>
      <c r="H84" s="47"/>
      <c r="I84" s="46"/>
      <c r="J84" s="47">
        <f>ROUND(SmtRes!AG6/SmtRes!DO6, 2)</f>
        <v>533</v>
      </c>
      <c r="K84" s="46"/>
      <c r="L84" s="47">
        <f>SmtRes!DH6</f>
        <v>0</v>
      </c>
      <c r="CE84">
        <v>1</v>
      </c>
    </row>
    <row r="85" spans="1:83" ht="27.1" x14ac:dyDescent="0.2">
      <c r="A85" s="43"/>
      <c r="B85" s="43" t="s">
        <v>221</v>
      </c>
      <c r="C85" s="43" t="s">
        <v>223</v>
      </c>
      <c r="D85" s="44" t="s">
        <v>32</v>
      </c>
      <c r="E85" s="45">
        <v>0</v>
      </c>
      <c r="F85" s="45">
        <f>ROUND((0.15+1),7)</f>
        <v>1.1499999999999999</v>
      </c>
      <c r="G85" s="45">
        <f>SmtRes!CX7</f>
        <v>0</v>
      </c>
      <c r="H85" s="47"/>
      <c r="I85" s="46"/>
      <c r="J85" s="47">
        <f>SmtRes!CZ7</f>
        <v>2638.82</v>
      </c>
      <c r="K85" s="46"/>
      <c r="L85" s="47">
        <f>SmtRes!DG7</f>
        <v>0</v>
      </c>
    </row>
    <row r="86" spans="1:83" ht="13.55" x14ac:dyDescent="0.2">
      <c r="A86" s="43"/>
      <c r="B86" s="43" t="s">
        <v>217</v>
      </c>
      <c r="C86" s="43" t="s">
        <v>289</v>
      </c>
      <c r="D86" s="44" t="s">
        <v>213</v>
      </c>
      <c r="E86" s="45">
        <f>SmtRes!DO5*SmtRes!AT5</f>
        <v>0</v>
      </c>
      <c r="F86" s="45">
        <f>ROUND((0.15+1),7)</f>
        <v>1.1499999999999999</v>
      </c>
      <c r="G86" s="45">
        <f>ROUND(E86*F86*G77, 7)</f>
        <v>0</v>
      </c>
      <c r="H86" s="47"/>
      <c r="I86" s="46"/>
      <c r="J86" s="47">
        <v>533</v>
      </c>
      <c r="K86" s="46"/>
      <c r="L86" s="47">
        <f>SmtRes!DH5</f>
        <v>0</v>
      </c>
      <c r="CE86">
        <v>1</v>
      </c>
    </row>
    <row r="87" spans="1:83" ht="13.55" x14ac:dyDescent="0.2">
      <c r="A87" s="43"/>
      <c r="B87" s="46">
        <v>4</v>
      </c>
      <c r="C87" s="43" t="s">
        <v>300</v>
      </c>
      <c r="D87" s="44"/>
      <c r="E87" s="45"/>
      <c r="F87" s="45"/>
      <c r="G87" s="45"/>
      <c r="H87" s="47"/>
      <c r="I87" s="46"/>
      <c r="J87" s="47"/>
      <c r="K87" s="46"/>
      <c r="L87" s="47"/>
    </row>
    <row r="88" spans="1:83" ht="13.55" x14ac:dyDescent="0.2">
      <c r="A88" s="43"/>
      <c r="B88" s="43" t="s">
        <v>411</v>
      </c>
      <c r="C88" s="51" t="s">
        <v>413</v>
      </c>
      <c r="D88" s="52" t="s">
        <v>412</v>
      </c>
      <c r="E88" s="53">
        <v>4.0000000000000003E-5</v>
      </c>
      <c r="F88" s="53"/>
      <c r="G88" s="53">
        <v>5.3000000000000001E-5</v>
      </c>
      <c r="H88" s="54"/>
      <c r="I88" s="55"/>
      <c r="J88" s="54">
        <v>62186.75</v>
      </c>
      <c r="K88" s="55"/>
      <c r="L88" s="54">
        <v>3.3</v>
      </c>
      <c r="CE88">
        <v>1</v>
      </c>
    </row>
    <row r="89" spans="1:83" ht="14.3" x14ac:dyDescent="0.2">
      <c r="A89" s="51"/>
      <c r="B89" s="51"/>
      <c r="C89" s="59" t="s">
        <v>291</v>
      </c>
      <c r="D89" s="52"/>
      <c r="E89" s="53"/>
      <c r="F89" s="53"/>
      <c r="G89" s="53"/>
      <c r="H89" s="54"/>
      <c r="I89" s="55"/>
      <c r="J89" s="54"/>
      <c r="K89" s="55"/>
      <c r="L89" s="54">
        <f>L80+L81</f>
        <v>3.3</v>
      </c>
    </row>
    <row r="90" spans="1:83" ht="14.3" x14ac:dyDescent="0.2">
      <c r="C90" s="100" t="s">
        <v>292</v>
      </c>
      <c r="D90" s="100"/>
      <c r="E90" s="100"/>
      <c r="F90" s="100"/>
      <c r="G90" s="100"/>
      <c r="H90" s="100"/>
      <c r="I90" s="101">
        <f>IF(E79&lt;&gt;0,K90/E79, 0)</f>
        <v>2.4905660377358489</v>
      </c>
      <c r="J90" s="101"/>
      <c r="K90" s="101">
        <f>L80+L81</f>
        <v>3.3</v>
      </c>
      <c r="L90" s="101"/>
      <c r="AD90">
        <f>ROUND((Source!AT28/100)*((ROUND(SUMIF(SmtRes!AQ5:'SmtRes'!AQ7,"=1",SmtRes!AD5:'SmtRes'!AD7)*Source!I28, 2)+ROUND(SUMIF(SmtRes!AQ5:'SmtRes'!AQ7,"=1",SmtRes!AC5:'SmtRes'!AC7)*Source!I28, 2))), 2)</f>
        <v>1299.45</v>
      </c>
      <c r="AE90">
        <f>ROUND((Source!AU28/100)*((ROUND(SUMIF(SmtRes!AQ5:'SmtRes'!AQ7,"=1",SmtRes!AD5:'SmtRes'!AD7)*Source!I28, 2)+ROUND(SUMIF(SmtRes!AQ5:'SmtRes'!AQ7,"=1",SmtRes!AC5:'SmtRes'!AC7)*Source!I28, 2))), 2)</f>
        <v>649.73</v>
      </c>
      <c r="AN90" s="56">
        <f>L80+L81</f>
        <v>3.3</v>
      </c>
      <c r="AO90" s="56">
        <f>L80</f>
        <v>0</v>
      </c>
      <c r="AQ90" t="s">
        <v>293</v>
      </c>
      <c r="AR90">
        <f>0</f>
        <v>0</v>
      </c>
      <c r="AT90" s="56">
        <f>L81</f>
        <v>3.3</v>
      </c>
      <c r="AV90" t="s">
        <v>293</v>
      </c>
      <c r="AW90">
        <f>0</f>
        <v>0</v>
      </c>
      <c r="AZ90">
        <f>Source!X28</f>
        <v>0</v>
      </c>
      <c r="BA90">
        <f>Source!Y28</f>
        <v>0</v>
      </c>
      <c r="CD90">
        <v>1</v>
      </c>
    </row>
    <row r="91" spans="1:83" ht="27.1" x14ac:dyDescent="0.2">
      <c r="A91" s="41" t="s">
        <v>46</v>
      </c>
      <c r="B91" s="43" t="str">
        <f>Source!F29</f>
        <v>КП №132 от 05.08.2026</v>
      </c>
      <c r="C91" s="43" t="str">
        <f>Source!G29</f>
        <v>Грунтовый каток вибрационный</v>
      </c>
      <c r="D91" s="44" t="str">
        <f>Source!H29</f>
        <v>маш.-ч</v>
      </c>
      <c r="E91" s="45">
        <f>Source!K29</f>
        <v>7.4206624999999997</v>
      </c>
      <c r="F91" s="45"/>
      <c r="G91" s="45">
        <f>Source!I29</f>
        <v>7.4206624999999997</v>
      </c>
      <c r="H91" s="47">
        <f>Source!AM29</f>
        <v>5500</v>
      </c>
      <c r="I91" s="46"/>
      <c r="J91" s="47"/>
      <c r="K91" s="46"/>
      <c r="L91" s="47">
        <f>Source!Q29</f>
        <v>40813.64</v>
      </c>
    </row>
    <row r="92" spans="1:83" ht="14.3" x14ac:dyDescent="0.2">
      <c r="C92" s="100" t="s">
        <v>292</v>
      </c>
      <c r="D92" s="100"/>
      <c r="E92" s="100"/>
      <c r="F92" s="100"/>
      <c r="G92" s="100"/>
      <c r="H92" s="100"/>
      <c r="I92" s="101">
        <f>IF(E91&lt;&gt;0,K92/E91, 0)</f>
        <v>5499.9994946542847</v>
      </c>
      <c r="J92" s="101"/>
      <c r="K92" s="101">
        <f>L91</f>
        <v>40813.64</v>
      </c>
      <c r="L92" s="101"/>
      <c r="AD92">
        <f>ROUND((Source!AT29/100)*((ROUND(ROUND(Source!AO29,2)*Source!I29, 2)+ROUND(ROUND(Source!AN29,2)*Source!I29, 2))), 2)</f>
        <v>0</v>
      </c>
      <c r="AE92">
        <f>ROUND((Source!AU29/100)*((ROUND(ROUND(Source!AO29,2)*Source!I29, 2)+ROUND(ROUND(Source!AN29,2)*Source!I29, 2))), 2)</f>
        <v>0</v>
      </c>
      <c r="AN92" s="56">
        <f>L91</f>
        <v>40813.64</v>
      </c>
      <c r="AO92" s="56">
        <f>L91</f>
        <v>40813.64</v>
      </c>
      <c r="AQ92" t="s">
        <v>293</v>
      </c>
      <c r="AR92">
        <f>0</f>
        <v>0</v>
      </c>
      <c r="AT92">
        <f>0</f>
        <v>0</v>
      </c>
      <c r="AV92" t="s">
        <v>293</v>
      </c>
      <c r="AW92">
        <f>0</f>
        <v>0</v>
      </c>
      <c r="AZ92">
        <f>Source!X29</f>
        <v>0</v>
      </c>
      <c r="BA92">
        <f>Source!Y29</f>
        <v>0</v>
      </c>
      <c r="CD92">
        <v>4</v>
      </c>
    </row>
    <row r="93" spans="1:83" ht="40.65" x14ac:dyDescent="0.2">
      <c r="A93" s="41" t="s">
        <v>48</v>
      </c>
      <c r="B93" s="43" t="s">
        <v>296</v>
      </c>
      <c r="C93" s="43" t="s">
        <v>402</v>
      </c>
      <c r="D93" s="44" t="str">
        <f>Source!H30</f>
        <v>1000 м3</v>
      </c>
      <c r="E93" s="45">
        <f>Source!K30</f>
        <v>1.325</v>
      </c>
      <c r="F93" s="45"/>
      <c r="G93" s="45">
        <f>Source!I30</f>
        <v>1.325</v>
      </c>
      <c r="H93" s="47"/>
      <c r="I93" s="46"/>
      <c r="J93" s="47"/>
      <c r="K93" s="46"/>
      <c r="L93" s="47"/>
    </row>
    <row r="94" spans="1:83" ht="14.3" hidden="1" x14ac:dyDescent="0.2">
      <c r="A94" s="42"/>
      <c r="B94" s="45">
        <v>2</v>
      </c>
      <c r="C94" s="42" t="s">
        <v>288</v>
      </c>
      <c r="D94" s="44"/>
      <c r="E94" s="49"/>
      <c r="F94" s="45"/>
      <c r="G94" s="45"/>
      <c r="H94" s="45"/>
      <c r="I94" s="45"/>
      <c r="J94" s="45"/>
      <c r="K94" s="45"/>
      <c r="L94" s="50">
        <f>SUM(L95:L97)-SUMIF(CE95:CE97, 1, L95:L97)</f>
        <v>0</v>
      </c>
    </row>
    <row r="95" spans="1:83" ht="14.3" hidden="1" x14ac:dyDescent="0.2">
      <c r="A95" s="42"/>
      <c r="B95" s="45"/>
      <c r="C95" s="42" t="s">
        <v>290</v>
      </c>
      <c r="D95" s="44" t="s">
        <v>213</v>
      </c>
      <c r="E95" s="49"/>
      <c r="F95" s="45"/>
      <c r="G95" s="45">
        <f>Source!V30</f>
        <v>0</v>
      </c>
      <c r="H95" s="45"/>
      <c r="I95" s="45"/>
      <c r="J95" s="45"/>
      <c r="K95" s="45"/>
      <c r="L95" s="50">
        <f>SUMIF(CE96:CE97, 1, L96:L97)</f>
        <v>0</v>
      </c>
      <c r="CE95">
        <v>1</v>
      </c>
    </row>
    <row r="96" spans="1:83" ht="27.1" x14ac:dyDescent="0.2">
      <c r="A96" s="43"/>
      <c r="B96" s="43" t="s">
        <v>221</v>
      </c>
      <c r="C96" s="43" t="s">
        <v>223</v>
      </c>
      <c r="D96" s="44" t="s">
        <v>32</v>
      </c>
      <c r="E96" s="45">
        <v>0</v>
      </c>
      <c r="F96" s="45">
        <f>ROUND((0.15+1)*5,7)</f>
        <v>5.75</v>
      </c>
      <c r="G96" s="45">
        <f>SmtRes!CX9</f>
        <v>0</v>
      </c>
      <c r="H96" s="47"/>
      <c r="I96" s="46"/>
      <c r="J96" s="47">
        <f>SmtRes!CZ9</f>
        <v>2638.82</v>
      </c>
      <c r="K96" s="46"/>
      <c r="L96" s="47">
        <f>SmtRes!DG9</f>
        <v>0</v>
      </c>
    </row>
    <row r="97" spans="1:83" ht="13.55" x14ac:dyDescent="0.2">
      <c r="A97" s="43"/>
      <c r="B97" s="43" t="s">
        <v>217</v>
      </c>
      <c r="C97" s="51" t="s">
        <v>289</v>
      </c>
      <c r="D97" s="52" t="s">
        <v>213</v>
      </c>
      <c r="E97" s="53">
        <f>SmtRes!DO9*SmtRes!AT9</f>
        <v>0</v>
      </c>
      <c r="F97" s="53">
        <f>ROUND((0.15+1)*5,7)</f>
        <v>5.75</v>
      </c>
      <c r="G97" s="53">
        <f>ROUND(E97*F97*G93, 7)</f>
        <v>0</v>
      </c>
      <c r="H97" s="54"/>
      <c r="I97" s="55"/>
      <c r="J97" s="54">
        <f>ROUND(SmtRes!AG9/SmtRes!DO9, 2)</f>
        <v>533</v>
      </c>
      <c r="K97" s="55"/>
      <c r="L97" s="54">
        <f>SmtRes!DH9</f>
        <v>0</v>
      </c>
      <c r="CE97">
        <v>1</v>
      </c>
    </row>
    <row r="98" spans="1:83" ht="14.3" x14ac:dyDescent="0.2">
      <c r="A98" s="51"/>
      <c r="B98" s="51"/>
      <c r="C98" s="59" t="s">
        <v>291</v>
      </c>
      <c r="D98" s="52"/>
      <c r="E98" s="53"/>
      <c r="F98" s="53"/>
      <c r="G98" s="53"/>
      <c r="H98" s="54"/>
      <c r="I98" s="55"/>
      <c r="J98" s="54"/>
      <c r="K98" s="55"/>
      <c r="L98" s="54">
        <f>L94+L95</f>
        <v>0</v>
      </c>
    </row>
    <row r="99" spans="1:83" ht="14.3" x14ac:dyDescent="0.2">
      <c r="C99" s="100" t="s">
        <v>292</v>
      </c>
      <c r="D99" s="100"/>
      <c r="E99" s="100"/>
      <c r="F99" s="100"/>
      <c r="G99" s="100"/>
      <c r="H99" s="100"/>
      <c r="I99" s="101">
        <f>IF(E93&lt;&gt;0,K99/E93, 0)</f>
        <v>0</v>
      </c>
      <c r="J99" s="101"/>
      <c r="K99" s="101">
        <f>L94+L95</f>
        <v>0</v>
      </c>
      <c r="L99" s="101"/>
      <c r="AD99">
        <f>ROUND((Source!AT30/100)*((ROUND(SUMIF(SmtRes!AQ8:'SmtRes'!AQ9,"=1",SmtRes!AD8:'SmtRes'!AD9)*Source!I30, 2)+ROUND(SUMIF(SmtRes!AQ8:'SmtRes'!AQ9,"=1",SmtRes!AC8:'SmtRes'!AC9)*Source!I30, 2))), 2)</f>
        <v>649.73</v>
      </c>
      <c r="AE99">
        <f>ROUND((Source!AU30/100)*((ROUND(SUMIF(SmtRes!AQ8:'SmtRes'!AQ9,"=1",SmtRes!AD8:'SmtRes'!AD9)*Source!I30, 2)+ROUND(SUMIF(SmtRes!AQ8:'SmtRes'!AQ9,"=1",SmtRes!AC8:'SmtRes'!AC9)*Source!I30, 2))), 2)</f>
        <v>324.87</v>
      </c>
      <c r="AN99" s="56">
        <f>L94+L95</f>
        <v>0</v>
      </c>
      <c r="AO99" s="56">
        <f>L94</f>
        <v>0</v>
      </c>
      <c r="AQ99" t="s">
        <v>293</v>
      </c>
      <c r="AR99">
        <f>0</f>
        <v>0</v>
      </c>
      <c r="AT99" s="56">
        <f>L95</f>
        <v>0</v>
      </c>
      <c r="AV99" t="s">
        <v>293</v>
      </c>
      <c r="AW99">
        <f>0</f>
        <v>0</v>
      </c>
      <c r="AZ99">
        <f>Source!X30</f>
        <v>0</v>
      </c>
      <c r="BA99">
        <f>Source!Y30</f>
        <v>0</v>
      </c>
      <c r="CD99">
        <v>1</v>
      </c>
    </row>
    <row r="100" spans="1:83" ht="27.1" x14ac:dyDescent="0.2">
      <c r="A100" s="41" t="s">
        <v>53</v>
      </c>
      <c r="B100" s="43" t="str">
        <f>Source!F31</f>
        <v>КП № 132 от05.08.2028</v>
      </c>
      <c r="C100" s="43" t="str">
        <f>Source!G31</f>
        <v>Грунтовый каток вибрационный</v>
      </c>
      <c r="D100" s="44" t="str">
        <f>Source!H31</f>
        <v>маш.-ч</v>
      </c>
      <c r="E100" s="45">
        <f>Source!K31</f>
        <v>5.1045625000000001</v>
      </c>
      <c r="F100" s="45"/>
      <c r="G100" s="45">
        <f>Source!I31</f>
        <v>5.1045625000000001</v>
      </c>
      <c r="H100" s="47">
        <f>Source!AM31</f>
        <v>5500</v>
      </c>
      <c r="I100" s="46"/>
      <c r="J100" s="47"/>
      <c r="K100" s="46"/>
      <c r="L100" s="47">
        <f>Source!Q31</f>
        <v>28075.09</v>
      </c>
    </row>
    <row r="101" spans="1:83" ht="14.3" x14ac:dyDescent="0.2">
      <c r="C101" s="100" t="s">
        <v>292</v>
      </c>
      <c r="D101" s="100"/>
      <c r="E101" s="100"/>
      <c r="F101" s="100"/>
      <c r="G101" s="100"/>
      <c r="H101" s="100"/>
      <c r="I101" s="101">
        <f>IF(E100&lt;&gt;0,K101/E100, 0)</f>
        <v>5499.9992653630943</v>
      </c>
      <c r="J101" s="101"/>
      <c r="K101" s="101">
        <f>L100</f>
        <v>28075.09</v>
      </c>
      <c r="L101" s="101"/>
      <c r="AD101">
        <f>ROUND((Source!AT31/100)*((ROUND(ROUND(Source!AO31,2)*Source!I31, 2)+ROUND(ROUND(Source!AN31,2)*Source!I31, 2))), 2)</f>
        <v>0</v>
      </c>
      <c r="AE101">
        <f>ROUND((Source!AU31/100)*((ROUND(ROUND(Source!AO31,2)*Source!I31, 2)+ROUND(ROUND(Source!AN31,2)*Source!I31, 2))), 2)</f>
        <v>0</v>
      </c>
      <c r="AN101" s="56">
        <f>L100</f>
        <v>28075.09</v>
      </c>
      <c r="AO101" s="56">
        <f>L100</f>
        <v>28075.09</v>
      </c>
      <c r="AQ101" t="s">
        <v>293</v>
      </c>
      <c r="AR101">
        <f>0</f>
        <v>0</v>
      </c>
      <c r="AT101">
        <f>0</f>
        <v>0</v>
      </c>
      <c r="AV101" t="s">
        <v>293</v>
      </c>
      <c r="AW101">
        <f>0</f>
        <v>0</v>
      </c>
      <c r="AZ101">
        <f>Source!X31</f>
        <v>0</v>
      </c>
      <c r="BA101">
        <f>Source!Y31</f>
        <v>0</v>
      </c>
      <c r="CD101">
        <v>4</v>
      </c>
    </row>
    <row r="102" spans="1:83" ht="13.55" x14ac:dyDescent="0.2">
      <c r="A102" s="41" t="s">
        <v>55</v>
      </c>
      <c r="B102" s="43" t="s">
        <v>297</v>
      </c>
      <c r="C102" s="43" t="str">
        <f>Source!G32</f>
        <v>Полив водой уплотняемого грунта насыпей</v>
      </c>
      <c r="D102" s="44" t="str">
        <f>Source!H32</f>
        <v>1000 м3</v>
      </c>
      <c r="E102" s="45">
        <f>Source!K32</f>
        <v>1.325</v>
      </c>
      <c r="F102" s="45"/>
      <c r="G102" s="45">
        <f>Source!I32</f>
        <v>1.325</v>
      </c>
      <c r="H102" s="47"/>
      <c r="I102" s="46"/>
      <c r="J102" s="47"/>
      <c r="K102" s="46"/>
      <c r="L102" s="47"/>
    </row>
    <row r="103" spans="1:83" ht="14.3" x14ac:dyDescent="0.2">
      <c r="A103" s="42"/>
      <c r="B103" s="45">
        <v>1</v>
      </c>
      <c r="C103" s="42" t="s">
        <v>298</v>
      </c>
      <c r="D103" s="44" t="s">
        <v>213</v>
      </c>
      <c r="E103" s="49"/>
      <c r="F103" s="45"/>
      <c r="G103" s="45">
        <f>Source!U32</f>
        <v>21.195362500000002</v>
      </c>
      <c r="H103" s="45"/>
      <c r="I103" s="45"/>
      <c r="J103" s="45"/>
      <c r="K103" s="45"/>
      <c r="L103" s="50">
        <f>SUM(L104:L104)-SUMIF(CE104:CE104, 1, L104:L104)</f>
        <v>6276.16</v>
      </c>
    </row>
    <row r="104" spans="1:83" ht="13.55" x14ac:dyDescent="0.2">
      <c r="A104" s="43"/>
      <c r="B104" s="43" t="s">
        <v>224</v>
      </c>
      <c r="C104" s="43" t="s">
        <v>225</v>
      </c>
      <c r="D104" s="44" t="s">
        <v>213</v>
      </c>
      <c r="E104" s="45">
        <v>13.91</v>
      </c>
      <c r="F104" s="45">
        <f>ROUND((0.15+1),7)</f>
        <v>1.1499999999999999</v>
      </c>
      <c r="G104" s="45">
        <f>SmtRes!CX10</f>
        <v>21.195362500000002</v>
      </c>
      <c r="H104" s="47"/>
      <c r="I104" s="46"/>
      <c r="J104" s="47">
        <f>SmtRes!CZ10</f>
        <v>296.11</v>
      </c>
      <c r="K104" s="46"/>
      <c r="L104" s="47">
        <f>SmtRes!DI10</f>
        <v>6276.16</v>
      </c>
    </row>
    <row r="105" spans="1:83" ht="14.3" x14ac:dyDescent="0.2">
      <c r="A105" s="42"/>
      <c r="B105" s="45">
        <v>2</v>
      </c>
      <c r="C105" s="42" t="s">
        <v>288</v>
      </c>
      <c r="D105" s="44"/>
      <c r="E105" s="49"/>
      <c r="F105" s="45"/>
      <c r="G105" s="45"/>
      <c r="H105" s="45"/>
      <c r="I105" s="45"/>
      <c r="J105" s="45"/>
      <c r="K105" s="45"/>
      <c r="L105" s="50">
        <f>SUM(L106:L108)-SUMIF(CE106:CE108, 1, L106:L108)</f>
        <v>28612.04</v>
      </c>
    </row>
    <row r="106" spans="1:83" ht="14.3" x14ac:dyDescent="0.2">
      <c r="A106" s="42"/>
      <c r="B106" s="45"/>
      <c r="C106" s="42" t="s">
        <v>290</v>
      </c>
      <c r="D106" s="44" t="s">
        <v>213</v>
      </c>
      <c r="E106" s="49"/>
      <c r="F106" s="45"/>
      <c r="G106" s="45">
        <f>Source!V32</f>
        <v>18.589749999999999</v>
      </c>
      <c r="H106" s="45"/>
      <c r="I106" s="45"/>
      <c r="J106" s="45"/>
      <c r="K106" s="45"/>
      <c r="L106" s="50">
        <f>SUMIF(CE107:CE108, 1, L107:L108)</f>
        <v>7376.23</v>
      </c>
      <c r="CE106">
        <v>1</v>
      </c>
    </row>
    <row r="107" spans="1:83" ht="27.1" x14ac:dyDescent="0.2">
      <c r="A107" s="43"/>
      <c r="B107" s="43" t="s">
        <v>226</v>
      </c>
      <c r="C107" s="43" t="s">
        <v>228</v>
      </c>
      <c r="D107" s="44" t="s">
        <v>32</v>
      </c>
      <c r="E107" s="45">
        <v>12.2</v>
      </c>
      <c r="F107" s="45">
        <f>ROUND((0.15+1),7)</f>
        <v>1.1499999999999999</v>
      </c>
      <c r="G107" s="45">
        <f>SmtRes!CX12</f>
        <v>18.589749999999999</v>
      </c>
      <c r="H107" s="47"/>
      <c r="I107" s="46"/>
      <c r="J107" s="47">
        <f>SmtRes!CZ12</f>
        <v>1539.13</v>
      </c>
      <c r="K107" s="46"/>
      <c r="L107" s="47">
        <f>SmtRes!DG12</f>
        <v>28612.04</v>
      </c>
    </row>
    <row r="108" spans="1:83" ht="13.55" x14ac:dyDescent="0.2">
      <c r="A108" s="43"/>
      <c r="B108" s="43" t="s">
        <v>229</v>
      </c>
      <c r="C108" s="43" t="s">
        <v>299</v>
      </c>
      <c r="D108" s="44" t="s">
        <v>213</v>
      </c>
      <c r="E108" s="45">
        <f>SmtRes!DO12*SmtRes!AT12</f>
        <v>12.2</v>
      </c>
      <c r="F108" s="45">
        <f>ROUND((0.15+1),7)</f>
        <v>1.1499999999999999</v>
      </c>
      <c r="G108" s="45">
        <f>ROUND(E108*F108*G102, 7)</f>
        <v>18.589749999999999</v>
      </c>
      <c r="H108" s="47"/>
      <c r="I108" s="46"/>
      <c r="J108" s="47">
        <f>ROUND(SmtRes!AG12/SmtRes!DO12, 2)</f>
        <v>396.79</v>
      </c>
      <c r="K108" s="46"/>
      <c r="L108" s="47">
        <f>SmtRes!DH12</f>
        <v>7376.23</v>
      </c>
      <c r="CE108">
        <v>1</v>
      </c>
    </row>
    <row r="109" spans="1:83" ht="14.3" x14ac:dyDescent="0.2">
      <c r="A109" s="42"/>
      <c r="B109" s="45">
        <v>4</v>
      </c>
      <c r="C109" s="42" t="s">
        <v>300</v>
      </c>
      <c r="D109" s="44"/>
      <c r="E109" s="49"/>
      <c r="F109" s="45"/>
      <c r="G109" s="45"/>
      <c r="H109" s="45"/>
      <c r="I109" s="45"/>
      <c r="J109" s="45"/>
      <c r="K109" s="45"/>
      <c r="L109" s="50">
        <v>4026.79</v>
      </c>
    </row>
    <row r="110" spans="1:83" ht="14.3" x14ac:dyDescent="0.2">
      <c r="A110" s="42"/>
      <c r="B110" s="42" t="s">
        <v>408</v>
      </c>
      <c r="C110" s="42" t="s">
        <v>409</v>
      </c>
      <c r="D110" s="44" t="s">
        <v>410</v>
      </c>
      <c r="E110" s="49">
        <v>1.4999999999999999E-2</v>
      </c>
      <c r="F110" s="45"/>
      <c r="G110" s="45">
        <v>1.9800000000000002E-2</v>
      </c>
      <c r="H110" s="45">
        <v>273.07</v>
      </c>
      <c r="I110" s="45"/>
      <c r="J110" s="45"/>
      <c r="K110" s="45"/>
      <c r="L110" s="50">
        <f>H110*G110</f>
        <v>5.4067860000000003</v>
      </c>
    </row>
    <row r="111" spans="1:83" ht="13.55" x14ac:dyDescent="0.2">
      <c r="A111" s="43"/>
      <c r="B111" s="43" t="s">
        <v>230</v>
      </c>
      <c r="C111" s="51" t="s">
        <v>232</v>
      </c>
      <c r="D111" s="52" t="s">
        <v>233</v>
      </c>
      <c r="E111" s="53">
        <v>100</v>
      </c>
      <c r="F111" s="53"/>
      <c r="G111" s="53">
        <f>SmtRes!CX13</f>
        <v>132.5</v>
      </c>
      <c r="H111" s="54">
        <f>SmtRes!CZ13</f>
        <v>35.71</v>
      </c>
      <c r="I111" s="55">
        <f>SmtRes!AI13</f>
        <v>0.85</v>
      </c>
      <c r="J111" s="54">
        <f>ROUND(H111*I111, 2)</f>
        <v>30.35</v>
      </c>
      <c r="K111" s="55"/>
      <c r="L111" s="54">
        <f>SmtRes!DF13</f>
        <v>4021.38</v>
      </c>
    </row>
    <row r="112" spans="1:83" ht="14.3" x14ac:dyDescent="0.2">
      <c r="A112" s="43"/>
      <c r="B112" s="43"/>
      <c r="C112" s="57" t="s">
        <v>291</v>
      </c>
      <c r="D112" s="44"/>
      <c r="E112" s="45"/>
      <c r="F112" s="45"/>
      <c r="G112" s="45"/>
      <c r="H112" s="47"/>
      <c r="I112" s="46"/>
      <c r="J112" s="47"/>
      <c r="K112" s="46"/>
      <c r="L112" s="47">
        <v>46285.81</v>
      </c>
    </row>
    <row r="113" spans="1:83" ht="13.55" x14ac:dyDescent="0.2">
      <c r="A113" s="43"/>
      <c r="B113" s="43"/>
      <c r="C113" s="43" t="s">
        <v>301</v>
      </c>
      <c r="D113" s="44"/>
      <c r="E113" s="45"/>
      <c r="F113" s="45"/>
      <c r="G113" s="45"/>
      <c r="H113" s="47"/>
      <c r="I113" s="46"/>
      <c r="J113" s="47"/>
      <c r="K113" s="46"/>
      <c r="L113" s="47">
        <f>SUM(AR102:AR116)+SUM(AS102:AS116)+SUM(AT102:AT116)+SUM(AU102:AU116)+SUM(AV102:AV116)</f>
        <v>13652.39</v>
      </c>
    </row>
    <row r="114" spans="1:83" ht="27.1" x14ac:dyDescent="0.2">
      <c r="A114" s="43"/>
      <c r="B114" s="43" t="s">
        <v>27</v>
      </c>
      <c r="C114" s="43" t="s">
        <v>302</v>
      </c>
      <c r="D114" s="44" t="s">
        <v>303</v>
      </c>
      <c r="E114" s="45">
        <f>Source!BZ32</f>
        <v>92</v>
      </c>
      <c r="F114" s="45"/>
      <c r="G114" s="45">
        <f>Source!AT32</f>
        <v>92</v>
      </c>
      <c r="H114" s="47"/>
      <c r="I114" s="46"/>
      <c r="J114" s="47"/>
      <c r="K114" s="46"/>
      <c r="L114" s="47">
        <f>SUM(AZ102:AZ116)</f>
        <v>12560.2</v>
      </c>
    </row>
    <row r="115" spans="1:83" ht="27.1" x14ac:dyDescent="0.2">
      <c r="A115" s="51"/>
      <c r="B115" s="51" t="s">
        <v>28</v>
      </c>
      <c r="C115" s="51" t="s">
        <v>304</v>
      </c>
      <c r="D115" s="52" t="s">
        <v>303</v>
      </c>
      <c r="E115" s="53">
        <f>Source!CA32</f>
        <v>46</v>
      </c>
      <c r="F115" s="53"/>
      <c r="G115" s="53">
        <f>Source!AU32</f>
        <v>46</v>
      </c>
      <c r="H115" s="54"/>
      <c r="I115" s="55"/>
      <c r="J115" s="54"/>
      <c r="K115" s="55"/>
      <c r="L115" s="54">
        <f>SUM(BA102:BA116)</f>
        <v>6280.1</v>
      </c>
    </row>
    <row r="116" spans="1:83" ht="14.3" x14ac:dyDescent="0.2">
      <c r="C116" s="100" t="s">
        <v>292</v>
      </c>
      <c r="D116" s="100"/>
      <c r="E116" s="100"/>
      <c r="F116" s="100"/>
      <c r="G116" s="100"/>
      <c r="H116" s="100"/>
      <c r="I116" s="101">
        <f>IF(E102&lt;&gt;0,K116/E102, 0)</f>
        <v>49151.781132075477</v>
      </c>
      <c r="J116" s="101"/>
      <c r="K116" s="101">
        <v>65126.11</v>
      </c>
      <c r="L116" s="101"/>
      <c r="AD116">
        <f>ROUND((Source!AT32/100)*((ROUND(SUMIF(SmtRes!AQ10:'SmtRes'!AQ13,"=1",SmtRes!AD10:'SmtRes'!AD13)*Source!I32, 2)+ROUND(SUMIF(SmtRes!AQ10:'SmtRes'!AQ13,"=1",SmtRes!AC10:'SmtRes'!AC13)*Source!I32, 2))), 2)</f>
        <v>844.65</v>
      </c>
      <c r="AE116">
        <f>ROUND((Source!AU32/100)*((ROUND(SUMIF(SmtRes!AQ10:'SmtRes'!AQ13,"=1",SmtRes!AD10:'SmtRes'!AD13)*Source!I32, 2)+ROUND(SUMIF(SmtRes!AQ10:'SmtRes'!AQ13,"=1",SmtRes!AC10:'SmtRes'!AC13)*Source!I32, 2))), 2)</f>
        <v>422.33</v>
      </c>
      <c r="AN116" s="56">
        <f>L103+L105+L109+L114+L115+L106</f>
        <v>65131.520000000004</v>
      </c>
      <c r="AO116" s="56">
        <f>L105</f>
        <v>28612.04</v>
      </c>
      <c r="AQ116" t="s">
        <v>293</v>
      </c>
      <c r="AR116" s="56">
        <f>L103</f>
        <v>6276.16</v>
      </c>
      <c r="AT116" s="56">
        <f>L106</f>
        <v>7376.23</v>
      </c>
      <c r="AV116" t="s">
        <v>293</v>
      </c>
      <c r="AW116" s="56">
        <f>L109</f>
        <v>4026.79</v>
      </c>
      <c r="AZ116">
        <f>Source!X32</f>
        <v>12560.2</v>
      </c>
      <c r="BA116">
        <f>Source!Y32</f>
        <v>6280.1</v>
      </c>
      <c r="CD116">
        <v>1</v>
      </c>
    </row>
    <row r="117" spans="1:83" ht="27.1" x14ac:dyDescent="0.2">
      <c r="A117" s="41" t="s">
        <v>59</v>
      </c>
      <c r="B117" s="43" t="s">
        <v>30</v>
      </c>
      <c r="C117" s="43" t="str">
        <f>Source!G33</f>
        <v>Перебазировка спецтехники (доставка до места строительства и обратно)</v>
      </c>
      <c r="D117" s="44" t="str">
        <f>Source!H33</f>
        <v>ШТ</v>
      </c>
      <c r="E117" s="45">
        <f>Source!K33</f>
        <v>2</v>
      </c>
      <c r="F117" s="45"/>
      <c r="G117" s="45">
        <f>Source!I33</f>
        <v>2</v>
      </c>
      <c r="H117" s="47"/>
      <c r="I117" s="46"/>
      <c r="J117" s="47"/>
      <c r="K117" s="46"/>
      <c r="L117" s="47"/>
    </row>
    <row r="118" spans="1:83" ht="14.3" x14ac:dyDescent="0.2">
      <c r="A118" s="42"/>
      <c r="B118" s="45">
        <v>2</v>
      </c>
      <c r="C118" s="42" t="s">
        <v>288</v>
      </c>
      <c r="D118" s="44"/>
      <c r="E118" s="49"/>
      <c r="F118" s="45"/>
      <c r="G118" s="45"/>
      <c r="H118" s="45"/>
      <c r="I118" s="45"/>
      <c r="J118" s="45"/>
      <c r="K118" s="45"/>
      <c r="L118" s="50">
        <f>SUM(L119:L120)-SUMIF(CE119:CE120, 1, L119:L120)</f>
        <v>60000</v>
      </c>
    </row>
    <row r="119" spans="1:83" ht="14.3" hidden="1" x14ac:dyDescent="0.2">
      <c r="A119" s="42"/>
      <c r="B119" s="45"/>
      <c r="C119" s="42" t="s">
        <v>290</v>
      </c>
      <c r="D119" s="44" t="s">
        <v>213</v>
      </c>
      <c r="E119" s="49"/>
      <c r="F119" s="45"/>
      <c r="G119" s="45">
        <f>Source!V33</f>
        <v>0</v>
      </c>
      <c r="H119" s="45"/>
      <c r="I119" s="45"/>
      <c r="J119" s="45"/>
      <c r="K119" s="45"/>
      <c r="L119" s="50">
        <f>SUMIF(CE120:CE120, 1, L120:L120)</f>
        <v>0</v>
      </c>
      <c r="CE119">
        <v>1</v>
      </c>
    </row>
    <row r="120" spans="1:83" ht="13.55" x14ac:dyDescent="0.2">
      <c r="A120" s="43"/>
      <c r="B120" s="43"/>
      <c r="C120" s="51" t="s">
        <v>234</v>
      </c>
      <c r="D120" s="52" t="s">
        <v>61</v>
      </c>
      <c r="E120" s="53">
        <v>1</v>
      </c>
      <c r="F120" s="53"/>
      <c r="G120" s="53">
        <f>SmtRes!CX14</f>
        <v>2</v>
      </c>
      <c r="H120" s="54">
        <f>SmtRes!CZ14</f>
        <v>30000</v>
      </c>
      <c r="I120" s="55"/>
      <c r="J120" s="54"/>
      <c r="K120" s="55"/>
      <c r="L120" s="54">
        <f>SmtRes!DG14</f>
        <v>60000</v>
      </c>
    </row>
    <row r="121" spans="1:83" ht="14.3" x14ac:dyDescent="0.2">
      <c r="A121" s="51"/>
      <c r="B121" s="51"/>
      <c r="C121" s="59" t="s">
        <v>291</v>
      </c>
      <c r="D121" s="52"/>
      <c r="E121" s="53"/>
      <c r="F121" s="53"/>
      <c r="G121" s="53"/>
      <c r="H121" s="54"/>
      <c r="I121" s="55"/>
      <c r="J121" s="54"/>
      <c r="K121" s="55"/>
      <c r="L121" s="54">
        <f>L118+L119</f>
        <v>60000</v>
      </c>
    </row>
    <row r="122" spans="1:83" ht="14.3" x14ac:dyDescent="0.2">
      <c r="C122" s="100" t="s">
        <v>292</v>
      </c>
      <c r="D122" s="100"/>
      <c r="E122" s="100"/>
      <c r="F122" s="100"/>
      <c r="G122" s="100"/>
      <c r="H122" s="100"/>
      <c r="I122" s="101">
        <f>IF(E117&lt;&gt;0,K122/E117, 0)</f>
        <v>30000</v>
      </c>
      <c r="J122" s="101"/>
      <c r="K122" s="101">
        <f>L118+L119</f>
        <v>60000</v>
      </c>
      <c r="L122" s="101"/>
      <c r="AD122">
        <f>ROUND((Source!AT33/100)*((ROUND(SUMIF(SmtRes!AQ14:'SmtRes'!AQ14,"=1",SmtRes!AD14:'SmtRes'!AD14)*Source!I33, 2)+ROUND(SUMIF(SmtRes!AQ14:'SmtRes'!AQ14,"=1",SmtRes!AC14:'SmtRes'!AC14)*Source!I33, 2))), 2)</f>
        <v>0</v>
      </c>
      <c r="AE122">
        <f>ROUND((Source!AU33/100)*((ROUND(SUMIF(SmtRes!AQ14:'SmtRes'!AQ14,"=1",SmtRes!AD14:'SmtRes'!AD14)*Source!I33, 2)+ROUND(SUMIF(SmtRes!AQ14:'SmtRes'!AQ14,"=1",SmtRes!AC14:'SmtRes'!AC14)*Source!I33, 2))), 2)</f>
        <v>0</v>
      </c>
      <c r="AN122" s="56">
        <f>L118+L119</f>
        <v>60000</v>
      </c>
      <c r="AO122" s="56">
        <f>L118</f>
        <v>60000</v>
      </c>
      <c r="AQ122" t="s">
        <v>293</v>
      </c>
      <c r="AR122">
        <f>0</f>
        <v>0</v>
      </c>
      <c r="AT122" s="56">
        <f>L119</f>
        <v>0</v>
      </c>
      <c r="AV122" t="s">
        <v>293</v>
      </c>
      <c r="AW122">
        <f>0</f>
        <v>0</v>
      </c>
      <c r="AZ122">
        <f>Source!X33</f>
        <v>0</v>
      </c>
      <c r="BA122">
        <f>Source!Y33</f>
        <v>0</v>
      </c>
      <c r="CD122">
        <v>4</v>
      </c>
    </row>
    <row r="124" spans="1:83" ht="14.3" x14ac:dyDescent="0.2">
      <c r="A124" s="64"/>
      <c r="B124" s="65"/>
      <c r="C124" s="112" t="s">
        <v>305</v>
      </c>
      <c r="D124" s="112"/>
      <c r="E124" s="112"/>
      <c r="F124" s="112"/>
      <c r="G124" s="112"/>
      <c r="H124" s="112"/>
      <c r="I124" s="66"/>
      <c r="J124" s="64"/>
      <c r="K124" s="67"/>
      <c r="L124" s="66"/>
    </row>
    <row r="126" spans="1:83" ht="14.3" x14ac:dyDescent="0.2">
      <c r="A126" s="61"/>
      <c r="B126" s="62"/>
      <c r="C126" s="113" t="s">
        <v>306</v>
      </c>
      <c r="D126" s="113"/>
      <c r="E126" s="113"/>
      <c r="F126" s="113"/>
      <c r="G126" s="113"/>
      <c r="H126" s="113"/>
      <c r="I126" s="50"/>
      <c r="J126" s="61"/>
      <c r="K126" s="63"/>
      <c r="L126" s="50">
        <f>L128+L143+L144</f>
        <v>65134.82</v>
      </c>
    </row>
    <row r="127" spans="1:83" ht="13.55" x14ac:dyDescent="0.2">
      <c r="A127" s="58"/>
      <c r="B127" s="60"/>
      <c r="C127" s="114" t="s">
        <v>307</v>
      </c>
      <c r="D127" s="115"/>
      <c r="E127" s="115"/>
      <c r="F127" s="115"/>
      <c r="G127" s="115"/>
      <c r="H127" s="115"/>
      <c r="I127" s="47"/>
      <c r="J127" s="58"/>
      <c r="K127" s="45"/>
      <c r="L127" s="47"/>
    </row>
    <row r="128" spans="1:83" ht="13.55" x14ac:dyDescent="0.2">
      <c r="A128" s="58"/>
      <c r="B128" s="60"/>
      <c r="C128" s="115" t="s">
        <v>308</v>
      </c>
      <c r="D128" s="115"/>
      <c r="E128" s="115"/>
      <c r="F128" s="115"/>
      <c r="G128" s="115"/>
      <c r="H128" s="115"/>
      <c r="I128" s="47"/>
      <c r="J128" s="58"/>
      <c r="K128" s="45"/>
      <c r="L128" s="47">
        <f>L130+L131+L137+L141</f>
        <v>46294.52</v>
      </c>
    </row>
    <row r="129" spans="1:12" ht="13.55" x14ac:dyDescent="0.2">
      <c r="A129" s="58"/>
      <c r="B129" s="60"/>
      <c r="C129" s="114" t="s">
        <v>307</v>
      </c>
      <c r="D129" s="115"/>
      <c r="E129" s="115"/>
      <c r="F129" s="115"/>
      <c r="G129" s="115"/>
      <c r="H129" s="115"/>
      <c r="I129" s="47"/>
      <c r="J129" s="58"/>
      <c r="K129" s="45"/>
      <c r="L129" s="47"/>
    </row>
    <row r="130" spans="1:12" ht="13.55" x14ac:dyDescent="0.2">
      <c r="A130" s="58"/>
      <c r="B130" s="60"/>
      <c r="C130" s="115" t="s">
        <v>309</v>
      </c>
      <c r="D130" s="115"/>
      <c r="E130" s="115"/>
      <c r="F130" s="115"/>
      <c r="G130" s="115"/>
      <c r="H130" s="115"/>
      <c r="I130" s="47"/>
      <c r="J130" s="58"/>
      <c r="K130" s="45"/>
      <c r="L130" s="47">
        <f>SUMIF(CD60:CD122, 1, AR60:AR122)</f>
        <v>6276.16</v>
      </c>
    </row>
    <row r="131" spans="1:12" ht="13.55" hidden="1" x14ac:dyDescent="0.2">
      <c r="A131" s="58"/>
      <c r="B131" s="60"/>
      <c r="C131" s="115" t="s">
        <v>310</v>
      </c>
      <c r="D131" s="115"/>
      <c r="E131" s="115"/>
      <c r="F131" s="115"/>
      <c r="G131" s="115"/>
      <c r="H131" s="115"/>
      <c r="I131" s="47"/>
      <c r="J131" s="58"/>
      <c r="K131" s="45"/>
      <c r="L131" s="47">
        <f>L133+L136+L135</f>
        <v>35991.57</v>
      </c>
    </row>
    <row r="132" spans="1:12" ht="13.55" hidden="1" x14ac:dyDescent="0.2">
      <c r="A132" s="58"/>
      <c r="B132" s="60"/>
      <c r="C132" s="114" t="s">
        <v>311</v>
      </c>
      <c r="D132" s="115"/>
      <c r="E132" s="115"/>
      <c r="F132" s="115"/>
      <c r="G132" s="115"/>
      <c r="H132" s="115"/>
      <c r="I132" s="47"/>
      <c r="J132" s="58"/>
      <c r="K132" s="45"/>
      <c r="L132" s="47"/>
    </row>
    <row r="133" spans="1:12" ht="13.55" x14ac:dyDescent="0.2">
      <c r="A133" s="58"/>
      <c r="B133" s="60"/>
      <c r="C133" s="115" t="s">
        <v>310</v>
      </c>
      <c r="D133" s="115"/>
      <c r="E133" s="115"/>
      <c r="F133" s="115"/>
      <c r="G133" s="115"/>
      <c r="H133" s="115"/>
      <c r="I133" s="47"/>
      <c r="J133" s="58"/>
      <c r="K133" s="45"/>
      <c r="L133" s="47">
        <f>SUMIF(CD60:CD122, 1, AO60:AO122)</f>
        <v>28612.04</v>
      </c>
    </row>
    <row r="134" spans="1:12" ht="13.55" hidden="1" x14ac:dyDescent="0.2">
      <c r="A134" s="58"/>
      <c r="B134" s="60"/>
      <c r="C134" s="114" t="s">
        <v>312</v>
      </c>
      <c r="D134" s="115"/>
      <c r="E134" s="115"/>
      <c r="F134" s="115"/>
      <c r="G134" s="115"/>
      <c r="H134" s="115"/>
      <c r="I134" s="47"/>
      <c r="J134" s="58"/>
      <c r="K134" s="45"/>
      <c r="L134" s="47"/>
    </row>
    <row r="135" spans="1:12" ht="13.55" x14ac:dyDescent="0.2">
      <c r="A135" s="58"/>
      <c r="B135" s="60"/>
      <c r="C135" s="115" t="s">
        <v>321</v>
      </c>
      <c r="D135" s="115"/>
      <c r="E135" s="115"/>
      <c r="F135" s="115"/>
      <c r="G135" s="115"/>
      <c r="H135" s="115"/>
      <c r="I135" s="47"/>
      <c r="J135" s="58"/>
      <c r="K135" s="45"/>
      <c r="L135" s="47">
        <f>SUMIF(CD60:CD122, 1, AT60:AT122)</f>
        <v>7379.53</v>
      </c>
    </row>
    <row r="136" spans="1:12" ht="13.55" hidden="1" x14ac:dyDescent="0.2">
      <c r="A136" s="58"/>
      <c r="B136" s="60"/>
      <c r="C136" s="115" t="s">
        <v>313</v>
      </c>
      <c r="D136" s="115"/>
      <c r="E136" s="115"/>
      <c r="F136" s="115"/>
      <c r="G136" s="115"/>
      <c r="H136" s="115"/>
      <c r="I136" s="47"/>
      <c r="J136" s="58"/>
      <c r="K136" s="45"/>
      <c r="L136" s="47">
        <f>SUMIF(CD60:CD122, 1, AV60:AV122)</f>
        <v>0</v>
      </c>
    </row>
    <row r="137" spans="1:12" ht="13.55" x14ac:dyDescent="0.2">
      <c r="A137" s="58"/>
      <c r="B137" s="60"/>
      <c r="C137" s="115" t="s">
        <v>314</v>
      </c>
      <c r="D137" s="115"/>
      <c r="E137" s="115"/>
      <c r="F137" s="115"/>
      <c r="G137" s="115"/>
      <c r="H137" s="115"/>
      <c r="I137" s="47"/>
      <c r="J137" s="58"/>
      <c r="K137" s="45"/>
      <c r="L137" s="47">
        <f>L139+L140</f>
        <v>4026.79</v>
      </c>
    </row>
    <row r="138" spans="1:12" ht="13.55" x14ac:dyDescent="0.2">
      <c r="A138" s="58"/>
      <c r="B138" s="60"/>
      <c r="C138" s="114" t="s">
        <v>311</v>
      </c>
      <c r="D138" s="115"/>
      <c r="E138" s="115"/>
      <c r="F138" s="115"/>
      <c r="G138" s="115"/>
      <c r="H138" s="115"/>
      <c r="I138" s="47"/>
      <c r="J138" s="58"/>
      <c r="K138" s="45"/>
      <c r="L138" s="47"/>
    </row>
    <row r="139" spans="1:12" ht="13.55" x14ac:dyDescent="0.2">
      <c r="A139" s="58"/>
      <c r="B139" s="60"/>
      <c r="C139" s="115" t="s">
        <v>315</v>
      </c>
      <c r="D139" s="115"/>
      <c r="E139" s="115"/>
      <c r="F139" s="115"/>
      <c r="G139" s="115"/>
      <c r="H139" s="115"/>
      <c r="I139" s="47"/>
      <c r="J139" s="58"/>
      <c r="K139" s="45"/>
      <c r="L139" s="47">
        <f>SUMIF(CD60:CD122, 1, AW60:AW122)-SUMIF(CD60:CD122, 1, BK60:BK122)</f>
        <v>4026.79</v>
      </c>
    </row>
    <row r="140" spans="1:12" ht="13.55" hidden="1" x14ac:dyDescent="0.2">
      <c r="A140" s="58"/>
      <c r="B140" s="60"/>
      <c r="C140" s="115" t="s">
        <v>316</v>
      </c>
      <c r="D140" s="115"/>
      <c r="E140" s="115"/>
      <c r="F140" s="115"/>
      <c r="G140" s="115"/>
      <c r="H140" s="115"/>
      <c r="I140" s="47"/>
      <c r="J140" s="58"/>
      <c r="K140" s="45"/>
      <c r="L140" s="47">
        <f>SUMIF(CD60:CD122, 1, BC60:BC122)</f>
        <v>0</v>
      </c>
    </row>
    <row r="141" spans="1:12" ht="13.55" hidden="1" x14ac:dyDescent="0.2">
      <c r="A141" s="58"/>
      <c r="B141" s="60"/>
      <c r="C141" s="115" t="s">
        <v>317</v>
      </c>
      <c r="D141" s="115"/>
      <c r="E141" s="115"/>
      <c r="F141" s="115"/>
      <c r="G141" s="115"/>
      <c r="H141" s="115"/>
      <c r="I141" s="47"/>
      <c r="J141" s="58"/>
      <c r="K141" s="45"/>
      <c r="L141" s="47">
        <f>SUMIF(CD60:CD122, 1, BB60:BB122)</f>
        <v>0</v>
      </c>
    </row>
    <row r="142" spans="1:12" ht="13.55" x14ac:dyDescent="0.2">
      <c r="A142" s="58"/>
      <c r="B142" s="60"/>
      <c r="C142" s="115" t="s">
        <v>318</v>
      </c>
      <c r="D142" s="115"/>
      <c r="E142" s="115"/>
      <c r="F142" s="115"/>
      <c r="G142" s="115"/>
      <c r="H142" s="115"/>
      <c r="I142" s="47"/>
      <c r="J142" s="58"/>
      <c r="K142" s="45"/>
      <c r="L142" s="47">
        <f>SUMIF(CD60:CD122, 1, AR60:AR122)+SUMIF(CD60:CD122, 1, AT60:AT122)+SUMIF(CD60:CD122, 1, AV60:AV122)</f>
        <v>13655.689999999999</v>
      </c>
    </row>
    <row r="143" spans="1:12" ht="13.55" x14ac:dyDescent="0.2">
      <c r="A143" s="58"/>
      <c r="B143" s="60"/>
      <c r="C143" s="115" t="s">
        <v>319</v>
      </c>
      <c r="D143" s="115"/>
      <c r="E143" s="115"/>
      <c r="F143" s="115"/>
      <c r="G143" s="115"/>
      <c r="H143" s="115"/>
      <c r="I143" s="47"/>
      <c r="J143" s="58"/>
      <c r="K143" s="45"/>
      <c r="L143" s="47">
        <f>SUMIF(CD60:CD122, 1, AZ60:AZ122)</f>
        <v>12560.2</v>
      </c>
    </row>
    <row r="144" spans="1:12" ht="13.55" x14ac:dyDescent="0.2">
      <c r="A144" s="58"/>
      <c r="B144" s="60"/>
      <c r="C144" s="115" t="s">
        <v>320</v>
      </c>
      <c r="D144" s="115"/>
      <c r="E144" s="115"/>
      <c r="F144" s="115"/>
      <c r="G144" s="115"/>
      <c r="H144" s="115"/>
      <c r="I144" s="47"/>
      <c r="J144" s="58"/>
      <c r="K144" s="45"/>
      <c r="L144" s="47">
        <f>SUMIF(CD60:CD122, 1, BA60:BA122)</f>
        <v>6280.1</v>
      </c>
    </row>
    <row r="145" spans="1:12" hidden="1" x14ac:dyDescent="0.2"/>
    <row r="146" spans="1:12" ht="14.3" hidden="1" x14ac:dyDescent="0.2">
      <c r="A146" s="61"/>
      <c r="B146" s="62"/>
      <c r="C146" s="113" t="s">
        <v>322</v>
      </c>
      <c r="D146" s="113"/>
      <c r="E146" s="113"/>
      <c r="F146" s="113"/>
      <c r="G146" s="113"/>
      <c r="H146" s="113"/>
      <c r="I146" s="50"/>
      <c r="J146" s="61"/>
      <c r="K146" s="63"/>
      <c r="L146" s="50">
        <f>L148+L163+L164</f>
        <v>0</v>
      </c>
    </row>
    <row r="147" spans="1:12" ht="13.55" hidden="1" x14ac:dyDescent="0.2">
      <c r="A147" s="58"/>
      <c r="B147" s="60"/>
      <c r="C147" s="114" t="s">
        <v>307</v>
      </c>
      <c r="D147" s="115"/>
      <c r="E147" s="115"/>
      <c r="F147" s="115"/>
      <c r="G147" s="115"/>
      <c r="H147" s="115"/>
      <c r="I147" s="47"/>
      <c r="J147" s="58"/>
      <c r="K147" s="45"/>
      <c r="L147" s="47"/>
    </row>
    <row r="148" spans="1:12" ht="13.55" hidden="1" x14ac:dyDescent="0.2">
      <c r="A148" s="58"/>
      <c r="B148" s="60"/>
      <c r="C148" s="115" t="s">
        <v>308</v>
      </c>
      <c r="D148" s="115"/>
      <c r="E148" s="115"/>
      <c r="F148" s="115"/>
      <c r="G148" s="115"/>
      <c r="H148" s="115"/>
      <c r="I148" s="47"/>
      <c r="J148" s="58"/>
      <c r="K148" s="45"/>
      <c r="L148" s="47">
        <f>L150+L151+L157+L161</f>
        <v>0</v>
      </c>
    </row>
    <row r="149" spans="1:12" ht="13.55" hidden="1" x14ac:dyDescent="0.2">
      <c r="A149" s="58"/>
      <c r="B149" s="60"/>
      <c r="C149" s="114" t="s">
        <v>307</v>
      </c>
      <c r="D149" s="115"/>
      <c r="E149" s="115"/>
      <c r="F149" s="115"/>
      <c r="G149" s="115"/>
      <c r="H149" s="115"/>
      <c r="I149" s="47"/>
      <c r="J149" s="58"/>
      <c r="K149" s="45"/>
      <c r="L149" s="47"/>
    </row>
    <row r="150" spans="1:12" ht="13.55" hidden="1" x14ac:dyDescent="0.2">
      <c r="A150" s="58"/>
      <c r="B150" s="60"/>
      <c r="C150" s="115" t="s">
        <v>309</v>
      </c>
      <c r="D150" s="115"/>
      <c r="E150" s="115"/>
      <c r="F150" s="115"/>
      <c r="G150" s="115"/>
      <c r="H150" s="115"/>
      <c r="I150" s="47"/>
      <c r="J150" s="58"/>
      <c r="K150" s="45"/>
      <c r="L150" s="47">
        <f>SUMIF(CD60:CD144, 2, AR60:AR144)</f>
        <v>0</v>
      </c>
    </row>
    <row r="151" spans="1:12" ht="13.55" hidden="1" x14ac:dyDescent="0.2">
      <c r="A151" s="58"/>
      <c r="B151" s="60"/>
      <c r="C151" s="115" t="s">
        <v>310</v>
      </c>
      <c r="D151" s="115"/>
      <c r="E151" s="115"/>
      <c r="F151" s="115"/>
      <c r="G151" s="115"/>
      <c r="H151" s="115"/>
      <c r="I151" s="47"/>
      <c r="J151" s="58"/>
      <c r="K151" s="45"/>
      <c r="L151" s="47">
        <f>L153+L156+L155</f>
        <v>0</v>
      </c>
    </row>
    <row r="152" spans="1:12" ht="13.55" hidden="1" x14ac:dyDescent="0.2">
      <c r="A152" s="58"/>
      <c r="B152" s="60"/>
      <c r="C152" s="114" t="s">
        <v>311</v>
      </c>
      <c r="D152" s="115"/>
      <c r="E152" s="115"/>
      <c r="F152" s="115"/>
      <c r="G152" s="115"/>
      <c r="H152" s="115"/>
      <c r="I152" s="47"/>
      <c r="J152" s="58"/>
      <c r="K152" s="45"/>
      <c r="L152" s="47"/>
    </row>
    <row r="153" spans="1:12" ht="13.55" hidden="1" x14ac:dyDescent="0.2">
      <c r="A153" s="58"/>
      <c r="B153" s="60"/>
      <c r="C153" s="115" t="s">
        <v>310</v>
      </c>
      <c r="D153" s="115"/>
      <c r="E153" s="115"/>
      <c r="F153" s="115"/>
      <c r="G153" s="115"/>
      <c r="H153" s="115"/>
      <c r="I153" s="47"/>
      <c r="J153" s="58"/>
      <c r="K153" s="45"/>
      <c r="L153" s="47">
        <f>SUMIF(CD60:CD144, 2, AO60:AO144)</f>
        <v>0</v>
      </c>
    </row>
    <row r="154" spans="1:12" ht="13.55" hidden="1" x14ac:dyDescent="0.2">
      <c r="A154" s="58"/>
      <c r="B154" s="60"/>
      <c r="C154" s="114" t="s">
        <v>312</v>
      </c>
      <c r="D154" s="115"/>
      <c r="E154" s="115"/>
      <c r="F154" s="115"/>
      <c r="G154" s="115"/>
      <c r="H154" s="115"/>
      <c r="I154" s="47"/>
      <c r="J154" s="58"/>
      <c r="K154" s="45"/>
      <c r="L154" s="47"/>
    </row>
    <row r="155" spans="1:12" ht="13.55" hidden="1" x14ac:dyDescent="0.2">
      <c r="A155" s="58"/>
      <c r="B155" s="60"/>
      <c r="C155" s="115" t="s">
        <v>321</v>
      </c>
      <c r="D155" s="115"/>
      <c r="E155" s="115"/>
      <c r="F155" s="115"/>
      <c r="G155" s="115"/>
      <c r="H155" s="115"/>
      <c r="I155" s="47"/>
      <c r="J155" s="58"/>
      <c r="K155" s="45"/>
      <c r="L155" s="47">
        <f>SUMIF(CD60:CD144, 2, AT60:AT144)</f>
        <v>0</v>
      </c>
    </row>
    <row r="156" spans="1:12" ht="13.55" hidden="1" x14ac:dyDescent="0.2">
      <c r="A156" s="58"/>
      <c r="B156" s="60"/>
      <c r="C156" s="115" t="s">
        <v>313</v>
      </c>
      <c r="D156" s="115"/>
      <c r="E156" s="115"/>
      <c r="F156" s="115"/>
      <c r="G156" s="115"/>
      <c r="H156" s="115"/>
      <c r="I156" s="47"/>
      <c r="J156" s="58"/>
      <c r="K156" s="45"/>
      <c r="L156" s="47">
        <f>SUMIF(CD60:CD144, 2, AV60:AV144)</f>
        <v>0</v>
      </c>
    </row>
    <row r="157" spans="1:12" ht="13.55" hidden="1" x14ac:dyDescent="0.2">
      <c r="A157" s="58"/>
      <c r="B157" s="60"/>
      <c r="C157" s="115" t="s">
        <v>314</v>
      </c>
      <c r="D157" s="115"/>
      <c r="E157" s="115"/>
      <c r="F157" s="115"/>
      <c r="G157" s="115"/>
      <c r="H157" s="115"/>
      <c r="I157" s="47"/>
      <c r="J157" s="58"/>
      <c r="K157" s="45"/>
      <c r="L157" s="47">
        <f>L159+L160</f>
        <v>0</v>
      </c>
    </row>
    <row r="158" spans="1:12" ht="13.55" hidden="1" x14ac:dyDescent="0.2">
      <c r="A158" s="58"/>
      <c r="B158" s="60"/>
      <c r="C158" s="114" t="s">
        <v>311</v>
      </c>
      <c r="D158" s="115"/>
      <c r="E158" s="115"/>
      <c r="F158" s="115"/>
      <c r="G158" s="115"/>
      <c r="H158" s="115"/>
      <c r="I158" s="47"/>
      <c r="J158" s="58"/>
      <c r="K158" s="45"/>
      <c r="L158" s="47"/>
    </row>
    <row r="159" spans="1:12" ht="13.55" hidden="1" x14ac:dyDescent="0.2">
      <c r="A159" s="58"/>
      <c r="B159" s="60"/>
      <c r="C159" s="115" t="s">
        <v>315</v>
      </c>
      <c r="D159" s="115"/>
      <c r="E159" s="115"/>
      <c r="F159" s="115"/>
      <c r="G159" s="115"/>
      <c r="H159" s="115"/>
      <c r="I159" s="47"/>
      <c r="J159" s="58"/>
      <c r="K159" s="45"/>
      <c r="L159" s="47">
        <f>SUMIF(CD60:CD144, 2, AW60:AW144)-SUMIF(CD60:CD144, 2, BK60:BK144)</f>
        <v>0</v>
      </c>
    </row>
    <row r="160" spans="1:12" ht="13.55" hidden="1" x14ac:dyDescent="0.2">
      <c r="A160" s="58"/>
      <c r="B160" s="60"/>
      <c r="C160" s="115" t="s">
        <v>316</v>
      </c>
      <c r="D160" s="115"/>
      <c r="E160" s="115"/>
      <c r="F160" s="115"/>
      <c r="G160" s="115"/>
      <c r="H160" s="115"/>
      <c r="I160" s="47"/>
      <c r="J160" s="58"/>
      <c r="K160" s="45"/>
      <c r="L160" s="47">
        <f>SUMIF(CD60:CD144, 2, BC60:BC144)</f>
        <v>0</v>
      </c>
    </row>
    <row r="161" spans="1:12" ht="13.55" hidden="1" x14ac:dyDescent="0.2">
      <c r="A161" s="58"/>
      <c r="B161" s="60"/>
      <c r="C161" s="115" t="s">
        <v>317</v>
      </c>
      <c r="D161" s="115"/>
      <c r="E161" s="115"/>
      <c r="F161" s="115"/>
      <c r="G161" s="115"/>
      <c r="H161" s="115"/>
      <c r="I161" s="47"/>
      <c r="J161" s="58"/>
      <c r="K161" s="45"/>
      <c r="L161" s="47">
        <f>SUMIF(CD60:CD144, 2, BB60:BB144)</f>
        <v>0</v>
      </c>
    </row>
    <row r="162" spans="1:12" ht="13.55" hidden="1" x14ac:dyDescent="0.2">
      <c r="A162" s="58"/>
      <c r="B162" s="60"/>
      <c r="C162" s="115" t="s">
        <v>318</v>
      </c>
      <c r="D162" s="115"/>
      <c r="E162" s="115"/>
      <c r="F162" s="115"/>
      <c r="G162" s="115"/>
      <c r="H162" s="115"/>
      <c r="I162" s="47"/>
      <c r="J162" s="58"/>
      <c r="K162" s="45"/>
      <c r="L162" s="47">
        <f>SUMIF(CD60:CD144, 2, AR60:AR144)+SUMIF(CD60:CD144, 2, AT60:AT144)+SUMIF(CD60:CD144, 2, AV60:AV144)</f>
        <v>0</v>
      </c>
    </row>
    <row r="163" spans="1:12" ht="13.55" hidden="1" x14ac:dyDescent="0.2">
      <c r="A163" s="58"/>
      <c r="B163" s="60"/>
      <c r="C163" s="115" t="s">
        <v>319</v>
      </c>
      <c r="D163" s="115"/>
      <c r="E163" s="115"/>
      <c r="F163" s="115"/>
      <c r="G163" s="115"/>
      <c r="H163" s="115"/>
      <c r="I163" s="47"/>
      <c r="J163" s="58"/>
      <c r="K163" s="45"/>
      <c r="L163" s="47">
        <f>SUMIF(CD60:CD144, 2, AZ60:AZ144)</f>
        <v>0</v>
      </c>
    </row>
    <row r="164" spans="1:12" ht="13.55" hidden="1" x14ac:dyDescent="0.2">
      <c r="A164" s="58"/>
      <c r="B164" s="60"/>
      <c r="C164" s="115" t="s">
        <v>320</v>
      </c>
      <c r="D164" s="115"/>
      <c r="E164" s="115"/>
      <c r="F164" s="115"/>
      <c r="G164" s="115"/>
      <c r="H164" s="115"/>
      <c r="I164" s="47"/>
      <c r="J164" s="58"/>
      <c r="K164" s="45"/>
      <c r="L164" s="47">
        <f>SUMIF(CD60:CD144, 2, BA60:BA144)</f>
        <v>0</v>
      </c>
    </row>
    <row r="165" spans="1:12" hidden="1" x14ac:dyDescent="0.2"/>
    <row r="166" spans="1:12" ht="14.3" hidden="1" x14ac:dyDescent="0.2">
      <c r="A166" s="61"/>
      <c r="B166" s="62"/>
      <c r="C166" s="113" t="s">
        <v>323</v>
      </c>
      <c r="D166" s="113"/>
      <c r="E166" s="113"/>
      <c r="F166" s="113"/>
      <c r="G166" s="113"/>
      <c r="H166" s="113"/>
      <c r="I166" s="50"/>
      <c r="J166" s="61"/>
      <c r="K166" s="63"/>
      <c r="L166" s="50">
        <f>L168+L169</f>
        <v>0</v>
      </c>
    </row>
    <row r="167" spans="1:12" ht="13.55" hidden="1" x14ac:dyDescent="0.2">
      <c r="A167" s="58"/>
      <c r="B167" s="60"/>
      <c r="C167" s="114" t="s">
        <v>307</v>
      </c>
      <c r="D167" s="115"/>
      <c r="E167" s="115"/>
      <c r="F167" s="115"/>
      <c r="G167" s="115"/>
      <c r="H167" s="115"/>
      <c r="I167" s="47"/>
      <c r="J167" s="58"/>
      <c r="K167" s="45"/>
      <c r="L167" s="47"/>
    </row>
    <row r="168" spans="1:12" ht="13.55" hidden="1" x14ac:dyDescent="0.2">
      <c r="A168" s="58"/>
      <c r="B168" s="60"/>
      <c r="C168" s="115" t="s">
        <v>324</v>
      </c>
      <c r="D168" s="115"/>
      <c r="E168" s="115"/>
      <c r="F168" s="115"/>
      <c r="G168" s="115"/>
      <c r="H168" s="115"/>
      <c r="I168" s="47"/>
      <c r="J168" s="58"/>
      <c r="K168" s="45"/>
      <c r="L168" s="47">
        <f>SUMIF(CD60:CD164, 3, BK60:BK164)</f>
        <v>0</v>
      </c>
    </row>
    <row r="169" spans="1:12" ht="13.55" hidden="1" x14ac:dyDescent="0.2">
      <c r="A169" s="58"/>
      <c r="B169" s="60"/>
      <c r="C169" s="115" t="s">
        <v>325</v>
      </c>
      <c r="D169" s="115"/>
      <c r="E169" s="115"/>
      <c r="F169" s="115"/>
      <c r="G169" s="115"/>
      <c r="H169" s="115"/>
      <c r="I169" s="47"/>
      <c r="J169" s="58"/>
      <c r="K169" s="45"/>
      <c r="L169" s="47">
        <f>SUMIF(CD60:CD164, 3, BD60:BD164)</f>
        <v>0</v>
      </c>
    </row>
    <row r="171" spans="1:12" ht="14.3" x14ac:dyDescent="0.2">
      <c r="A171" s="61"/>
      <c r="B171" s="62"/>
      <c r="C171" s="113" t="s">
        <v>326</v>
      </c>
      <c r="D171" s="113"/>
      <c r="E171" s="113"/>
      <c r="F171" s="113"/>
      <c r="G171" s="113"/>
      <c r="H171" s="113"/>
      <c r="I171" s="50"/>
      <c r="J171" s="61"/>
      <c r="K171" s="63"/>
      <c r="L171" s="50">
        <f>L179+L194+L195+L173+L174+L175+L176</f>
        <v>434362.52</v>
      </c>
    </row>
    <row r="172" spans="1:12" ht="13.55" x14ac:dyDescent="0.2">
      <c r="A172" s="58"/>
      <c r="B172" s="60"/>
      <c r="C172" s="114" t="s">
        <v>307</v>
      </c>
      <c r="D172" s="115"/>
      <c r="E172" s="115"/>
      <c r="F172" s="115"/>
      <c r="G172" s="115"/>
      <c r="H172" s="115"/>
      <c r="I172" s="47"/>
      <c r="J172" s="58"/>
      <c r="K172" s="45"/>
      <c r="L172" s="47"/>
    </row>
    <row r="173" spans="1:12" ht="13.55" hidden="1" x14ac:dyDescent="0.2">
      <c r="A173" s="58"/>
      <c r="B173" s="60"/>
      <c r="C173" s="115" t="s">
        <v>327</v>
      </c>
      <c r="D173" s="115"/>
      <c r="E173" s="115"/>
      <c r="F173" s="115"/>
      <c r="G173" s="115"/>
      <c r="H173" s="115"/>
      <c r="I173" s="47"/>
      <c r="J173" s="58"/>
      <c r="K173" s="45"/>
      <c r="L173" s="47"/>
    </row>
    <row r="174" spans="1:12" ht="13.55" hidden="1" x14ac:dyDescent="0.2">
      <c r="A174" s="58"/>
      <c r="B174" s="60"/>
      <c r="C174" s="115" t="s">
        <v>327</v>
      </c>
      <c r="D174" s="115"/>
      <c r="E174" s="115"/>
      <c r="F174" s="115"/>
      <c r="G174" s="115"/>
      <c r="H174" s="115"/>
      <c r="I174" s="47"/>
      <c r="J174" s="58"/>
      <c r="K174" s="45"/>
      <c r="L174" s="47">
        <f>SUM(BQ60:BQ169)</f>
        <v>0</v>
      </c>
    </row>
    <row r="175" spans="1:12" ht="13.55" hidden="1" x14ac:dyDescent="0.2">
      <c r="A175" s="58"/>
      <c r="B175" s="60"/>
      <c r="C175" s="115" t="s">
        <v>328</v>
      </c>
      <c r="D175" s="115"/>
      <c r="E175" s="115"/>
      <c r="F175" s="115"/>
      <c r="G175" s="115"/>
      <c r="H175" s="115"/>
      <c r="I175" s="47"/>
      <c r="J175" s="58"/>
      <c r="K175" s="45"/>
      <c r="L175" s="47">
        <f>SUMIF(CD60:CD169, 4, BB60:BB169)+SUMIF(CD60:CD169, 4, BC60:BC169)+SUMIF(CD60:CD169, 4, BD60:BD169)</f>
        <v>0</v>
      </c>
    </row>
    <row r="176" spans="1:12" ht="13.55" hidden="1" x14ac:dyDescent="0.2">
      <c r="A176" s="58"/>
      <c r="B176" s="60"/>
      <c r="C176" s="115" t="s">
        <v>329</v>
      </c>
      <c r="D176" s="115"/>
      <c r="E176" s="115"/>
      <c r="F176" s="115"/>
      <c r="G176" s="115"/>
      <c r="H176" s="115"/>
      <c r="I176" s="47"/>
      <c r="J176" s="58"/>
      <c r="K176" s="45"/>
      <c r="L176" s="47">
        <f>SUM(BO60:BO169)</f>
        <v>0</v>
      </c>
    </row>
    <row r="177" spans="1:12" ht="13.55" x14ac:dyDescent="0.2">
      <c r="A177" s="58"/>
      <c r="B177" s="60"/>
      <c r="C177" s="115" t="s">
        <v>330</v>
      </c>
      <c r="D177" s="115"/>
      <c r="E177" s="115"/>
      <c r="F177" s="115"/>
      <c r="G177" s="115"/>
      <c r="H177" s="115"/>
      <c r="I177" s="47"/>
      <c r="J177" s="58"/>
      <c r="K177" s="45"/>
      <c r="L177" s="47">
        <f>L179+L194+L195</f>
        <v>434362.52</v>
      </c>
    </row>
    <row r="178" spans="1:12" ht="13.55" x14ac:dyDescent="0.2">
      <c r="A178" s="58"/>
      <c r="B178" s="60"/>
      <c r="C178" s="114" t="s">
        <v>307</v>
      </c>
      <c r="D178" s="115"/>
      <c r="E178" s="115"/>
      <c r="F178" s="115"/>
      <c r="G178" s="115"/>
      <c r="H178" s="115"/>
      <c r="I178" s="47"/>
      <c r="J178" s="58"/>
      <c r="K178" s="45"/>
      <c r="L178" s="47"/>
    </row>
    <row r="179" spans="1:12" ht="13.55" x14ac:dyDescent="0.2">
      <c r="A179" s="58"/>
      <c r="B179" s="60"/>
      <c r="C179" s="115" t="s">
        <v>308</v>
      </c>
      <c r="D179" s="115"/>
      <c r="E179" s="115"/>
      <c r="F179" s="115"/>
      <c r="G179" s="115"/>
      <c r="H179" s="115"/>
      <c r="I179" s="47"/>
      <c r="J179" s="58"/>
      <c r="K179" s="45"/>
      <c r="L179" s="47">
        <f>L181+L182+L188+L192</f>
        <v>434362.52</v>
      </c>
    </row>
    <row r="180" spans="1:12" ht="13.55" x14ac:dyDescent="0.2">
      <c r="A180" s="58"/>
      <c r="B180" s="60"/>
      <c r="C180" s="114" t="s">
        <v>307</v>
      </c>
      <c r="D180" s="115"/>
      <c r="E180" s="115"/>
      <c r="F180" s="115"/>
      <c r="G180" s="115"/>
      <c r="H180" s="115"/>
      <c r="I180" s="47"/>
      <c r="J180" s="58"/>
      <c r="K180" s="45"/>
      <c r="L180" s="47"/>
    </row>
    <row r="181" spans="1:12" ht="13.55" hidden="1" x14ac:dyDescent="0.2">
      <c r="A181" s="58"/>
      <c r="B181" s="60"/>
      <c r="C181" s="115" t="s">
        <v>309</v>
      </c>
      <c r="D181" s="115"/>
      <c r="E181" s="115"/>
      <c r="F181" s="115"/>
      <c r="G181" s="115"/>
      <c r="H181" s="115"/>
      <c r="I181" s="47"/>
      <c r="J181" s="58"/>
      <c r="K181" s="45"/>
      <c r="L181" s="47">
        <f>SUMIF(CD60:CD169, 4, AR60:AR169)</f>
        <v>0</v>
      </c>
    </row>
    <row r="182" spans="1:12" ht="13.55" hidden="1" x14ac:dyDescent="0.2">
      <c r="A182" s="58"/>
      <c r="B182" s="60"/>
      <c r="C182" s="115" t="s">
        <v>310</v>
      </c>
      <c r="D182" s="115"/>
      <c r="E182" s="115"/>
      <c r="F182" s="115"/>
      <c r="G182" s="115"/>
      <c r="H182" s="115"/>
      <c r="I182" s="47"/>
      <c r="J182" s="58"/>
      <c r="K182" s="45"/>
      <c r="L182" s="47">
        <f>L184+L187+L186</f>
        <v>434362.52</v>
      </c>
    </row>
    <row r="183" spans="1:12" ht="13.55" hidden="1" x14ac:dyDescent="0.2">
      <c r="A183" s="58"/>
      <c r="B183" s="60"/>
      <c r="C183" s="114" t="s">
        <v>311</v>
      </c>
      <c r="D183" s="115"/>
      <c r="E183" s="115"/>
      <c r="F183" s="115"/>
      <c r="G183" s="115"/>
      <c r="H183" s="115"/>
      <c r="I183" s="47"/>
      <c r="J183" s="58"/>
      <c r="K183" s="45"/>
      <c r="L183" s="47"/>
    </row>
    <row r="184" spans="1:12" ht="13.55" x14ac:dyDescent="0.2">
      <c r="A184" s="58"/>
      <c r="B184" s="60"/>
      <c r="C184" s="115" t="s">
        <v>310</v>
      </c>
      <c r="D184" s="115"/>
      <c r="E184" s="115"/>
      <c r="F184" s="115"/>
      <c r="G184" s="115"/>
      <c r="H184" s="115"/>
      <c r="I184" s="47"/>
      <c r="J184" s="58"/>
      <c r="K184" s="45"/>
      <c r="L184" s="47">
        <f>SUMIF(CD60:CD169, 4, AO60:AO169)</f>
        <v>434362.52</v>
      </c>
    </row>
    <row r="185" spans="1:12" ht="13.55" hidden="1" x14ac:dyDescent="0.2">
      <c r="A185" s="58"/>
      <c r="B185" s="60"/>
      <c r="C185" s="114" t="s">
        <v>312</v>
      </c>
      <c r="D185" s="115"/>
      <c r="E185" s="115"/>
      <c r="F185" s="115"/>
      <c r="G185" s="115"/>
      <c r="H185" s="115"/>
      <c r="I185" s="47"/>
      <c r="J185" s="58"/>
      <c r="K185" s="45"/>
      <c r="L185" s="47"/>
    </row>
    <row r="186" spans="1:12" ht="13.55" hidden="1" x14ac:dyDescent="0.2">
      <c r="A186" s="58"/>
      <c r="B186" s="60"/>
      <c r="C186" s="115" t="s">
        <v>321</v>
      </c>
      <c r="D186" s="115"/>
      <c r="E186" s="115"/>
      <c r="F186" s="115"/>
      <c r="G186" s="115"/>
      <c r="H186" s="115"/>
      <c r="I186" s="47"/>
      <c r="J186" s="58"/>
      <c r="K186" s="45"/>
      <c r="L186" s="47">
        <f>SUMIF(CD60:CD169, 4, AT60:AT169)</f>
        <v>0</v>
      </c>
    </row>
    <row r="187" spans="1:12" ht="13.55" hidden="1" x14ac:dyDescent="0.2">
      <c r="A187" s="58"/>
      <c r="B187" s="60"/>
      <c r="C187" s="115" t="s">
        <v>313</v>
      </c>
      <c r="D187" s="115"/>
      <c r="E187" s="115"/>
      <c r="F187" s="115"/>
      <c r="G187" s="115"/>
      <c r="H187" s="115"/>
      <c r="I187" s="47"/>
      <c r="J187" s="58"/>
      <c r="K187" s="45"/>
      <c r="L187" s="47">
        <f>SUMIF(CD60:CD169, 4, AV60:AV169)</f>
        <v>0</v>
      </c>
    </row>
    <row r="188" spans="1:12" ht="13.55" hidden="1" x14ac:dyDescent="0.2">
      <c r="A188" s="58"/>
      <c r="B188" s="60"/>
      <c r="C188" s="115" t="s">
        <v>314</v>
      </c>
      <c r="D188" s="115"/>
      <c r="E188" s="115"/>
      <c r="F188" s="115"/>
      <c r="G188" s="115"/>
      <c r="H188" s="115"/>
      <c r="I188" s="47"/>
      <c r="J188" s="58"/>
      <c r="K188" s="45"/>
      <c r="L188" s="47">
        <f>L190+L191</f>
        <v>0</v>
      </c>
    </row>
    <row r="189" spans="1:12" ht="13.55" hidden="1" x14ac:dyDescent="0.2">
      <c r="A189" s="58"/>
      <c r="B189" s="60"/>
      <c r="C189" s="114" t="s">
        <v>311</v>
      </c>
      <c r="D189" s="115"/>
      <c r="E189" s="115"/>
      <c r="F189" s="115"/>
      <c r="G189" s="115"/>
      <c r="H189" s="115"/>
      <c r="I189" s="47"/>
      <c r="J189" s="58"/>
      <c r="K189" s="45"/>
      <c r="L189" s="47"/>
    </row>
    <row r="190" spans="1:12" ht="13.55" hidden="1" x14ac:dyDescent="0.2">
      <c r="A190" s="58"/>
      <c r="B190" s="60"/>
      <c r="C190" s="115" t="s">
        <v>315</v>
      </c>
      <c r="D190" s="115"/>
      <c r="E190" s="115"/>
      <c r="F190" s="115"/>
      <c r="G190" s="115"/>
      <c r="H190" s="115"/>
      <c r="I190" s="47"/>
      <c r="J190" s="58"/>
      <c r="K190" s="45"/>
      <c r="L190" s="47">
        <f>SUMIF(CD60:CD169, 4, AW60:AW169)-SUMIF(CD60:CD169, 4, BK60:BK169)</f>
        <v>0</v>
      </c>
    </row>
    <row r="191" spans="1:12" ht="13.55" hidden="1" x14ac:dyDescent="0.2">
      <c r="A191" s="58"/>
      <c r="B191" s="60"/>
      <c r="C191" s="115" t="s">
        <v>316</v>
      </c>
      <c r="D191" s="115"/>
      <c r="E191" s="115"/>
      <c r="F191" s="115"/>
      <c r="G191" s="115"/>
      <c r="H191" s="115"/>
      <c r="I191" s="47"/>
      <c r="J191" s="58"/>
      <c r="K191" s="45"/>
      <c r="L191" s="47">
        <f>SUMIF(CD60:CD169, 4, BC60:BC169)</f>
        <v>0</v>
      </c>
    </row>
    <row r="192" spans="1:12" ht="13.55" hidden="1" x14ac:dyDescent="0.2">
      <c r="A192" s="58"/>
      <c r="B192" s="60"/>
      <c r="C192" s="115" t="s">
        <v>317</v>
      </c>
      <c r="D192" s="115"/>
      <c r="E192" s="115"/>
      <c r="F192" s="115"/>
      <c r="G192" s="115"/>
      <c r="H192" s="115"/>
      <c r="I192" s="47"/>
      <c r="J192" s="58"/>
      <c r="K192" s="45"/>
      <c r="L192" s="47">
        <f>SUMIF(CD60:CD169, 4, BB60:BB169)</f>
        <v>0</v>
      </c>
    </row>
    <row r="193" spans="1:12" ht="13.55" hidden="1" x14ac:dyDescent="0.2">
      <c r="A193" s="58"/>
      <c r="B193" s="60"/>
      <c r="C193" s="115" t="s">
        <v>318</v>
      </c>
      <c r="D193" s="115"/>
      <c r="E193" s="115"/>
      <c r="F193" s="115"/>
      <c r="G193" s="115"/>
      <c r="H193" s="115"/>
      <c r="I193" s="47"/>
      <c r="J193" s="58"/>
      <c r="K193" s="45"/>
      <c r="L193" s="47">
        <f>SUMIF(CD60:CD169, 4, AR60:AR169)+SUMIF(CD60:CD169, 4, AT60:AT169)+SUMIF(CD60:CD169, 4, AV60:AV169)</f>
        <v>0</v>
      </c>
    </row>
    <row r="194" spans="1:12" ht="13.55" hidden="1" x14ac:dyDescent="0.2">
      <c r="A194" s="58"/>
      <c r="B194" s="60"/>
      <c r="C194" s="115" t="s">
        <v>319</v>
      </c>
      <c r="D194" s="115"/>
      <c r="E194" s="115"/>
      <c r="F194" s="115"/>
      <c r="G194" s="115"/>
      <c r="H194" s="115"/>
      <c r="I194" s="47"/>
      <c r="J194" s="58"/>
      <c r="K194" s="45"/>
      <c r="L194" s="47">
        <f>SUMIF(CD60:CD169, 4, AZ60:AZ169)</f>
        <v>0</v>
      </c>
    </row>
    <row r="195" spans="1:12" ht="13.55" hidden="1" x14ac:dyDescent="0.2">
      <c r="A195" s="58"/>
      <c r="B195" s="60"/>
      <c r="C195" s="115" t="s">
        <v>320</v>
      </c>
      <c r="D195" s="115"/>
      <c r="E195" s="115"/>
      <c r="F195" s="115"/>
      <c r="G195" s="115"/>
      <c r="H195" s="115"/>
      <c r="I195" s="47"/>
      <c r="J195" s="58"/>
      <c r="K195" s="45"/>
      <c r="L195" s="47">
        <f>SUMIF(CD60:CD169, 4, BA60:BA169)</f>
        <v>0</v>
      </c>
    </row>
    <row r="197" spans="1:12" ht="14.3" x14ac:dyDescent="0.2">
      <c r="A197" s="61"/>
      <c r="B197" s="62"/>
      <c r="C197" s="113" t="s">
        <v>331</v>
      </c>
      <c r="D197" s="113"/>
      <c r="E197" s="113"/>
      <c r="F197" s="113"/>
      <c r="G197" s="113"/>
      <c r="H197" s="113"/>
      <c r="I197" s="50"/>
      <c r="J197" s="61"/>
      <c r="K197" s="63"/>
      <c r="L197" s="50">
        <v>499488.63</v>
      </c>
    </row>
    <row r="198" spans="1:12" ht="13.55" x14ac:dyDescent="0.2">
      <c r="A198" s="58"/>
      <c r="B198" s="60"/>
      <c r="C198" s="114" t="s">
        <v>307</v>
      </c>
      <c r="D198" s="115"/>
      <c r="E198" s="115"/>
      <c r="F198" s="115"/>
      <c r="G198" s="115"/>
      <c r="H198" s="115"/>
      <c r="I198" s="47"/>
      <c r="J198" s="58"/>
      <c r="K198" s="45"/>
      <c r="L198" s="47"/>
    </row>
    <row r="199" spans="1:12" ht="13.55" x14ac:dyDescent="0.2">
      <c r="A199" s="58"/>
      <c r="B199" s="60"/>
      <c r="C199" s="115" t="s">
        <v>308</v>
      </c>
      <c r="D199" s="115"/>
      <c r="E199" s="115"/>
      <c r="F199" s="115"/>
      <c r="G199" s="115"/>
      <c r="H199" s="115"/>
      <c r="I199" s="47"/>
      <c r="J199" s="58"/>
      <c r="K199" s="45"/>
      <c r="L199" s="47">
        <f>L201+L202+L208+L212</f>
        <v>480657.04</v>
      </c>
    </row>
    <row r="200" spans="1:12" ht="13.55" x14ac:dyDescent="0.2">
      <c r="A200" s="58"/>
      <c r="B200" s="60"/>
      <c r="C200" s="114" t="s">
        <v>307</v>
      </c>
      <c r="D200" s="115"/>
      <c r="E200" s="115"/>
      <c r="F200" s="115"/>
      <c r="G200" s="115"/>
      <c r="H200" s="115"/>
      <c r="I200" s="47"/>
      <c r="J200" s="58"/>
      <c r="K200" s="45"/>
      <c r="L200" s="47"/>
    </row>
    <row r="201" spans="1:12" ht="13.55" x14ac:dyDescent="0.2">
      <c r="A201" s="58"/>
      <c r="B201" s="60"/>
      <c r="C201" s="115" t="s">
        <v>309</v>
      </c>
      <c r="D201" s="115"/>
      <c r="E201" s="115"/>
      <c r="F201" s="115"/>
      <c r="G201" s="115"/>
      <c r="H201" s="115"/>
      <c r="I201" s="47"/>
      <c r="J201" s="58"/>
      <c r="K201" s="45"/>
      <c r="L201" s="47">
        <f>SUM(AR60:AR195)</f>
        <v>6276.16</v>
      </c>
    </row>
    <row r="202" spans="1:12" ht="13.55" hidden="1" x14ac:dyDescent="0.2">
      <c r="A202" s="58"/>
      <c r="B202" s="60"/>
      <c r="C202" s="115" t="s">
        <v>310</v>
      </c>
      <c r="D202" s="115"/>
      <c r="E202" s="115"/>
      <c r="F202" s="115"/>
      <c r="G202" s="115"/>
      <c r="H202" s="115"/>
      <c r="I202" s="47"/>
      <c r="J202" s="58"/>
      <c r="K202" s="45"/>
      <c r="L202" s="47">
        <f>L204+L207+L206</f>
        <v>470354.09</v>
      </c>
    </row>
    <row r="203" spans="1:12" ht="13.55" hidden="1" x14ac:dyDescent="0.2">
      <c r="A203" s="58"/>
      <c r="B203" s="60"/>
      <c r="C203" s="114" t="s">
        <v>311</v>
      </c>
      <c r="D203" s="115"/>
      <c r="E203" s="115"/>
      <c r="F203" s="115"/>
      <c r="G203" s="115"/>
      <c r="H203" s="115"/>
      <c r="I203" s="47"/>
      <c r="J203" s="58"/>
      <c r="K203" s="45"/>
      <c r="L203" s="47"/>
    </row>
    <row r="204" spans="1:12" ht="13.55" x14ac:dyDescent="0.2">
      <c r="A204" s="58"/>
      <c r="B204" s="60"/>
      <c r="C204" s="115" t="s">
        <v>310</v>
      </c>
      <c r="D204" s="115"/>
      <c r="E204" s="115"/>
      <c r="F204" s="115"/>
      <c r="G204" s="115"/>
      <c r="H204" s="115"/>
      <c r="I204" s="47"/>
      <c r="J204" s="58"/>
      <c r="K204" s="45"/>
      <c r="L204" s="47">
        <f>SUM(AO60:AO195)</f>
        <v>462974.56</v>
      </c>
    </row>
    <row r="205" spans="1:12" ht="13.55" hidden="1" x14ac:dyDescent="0.2">
      <c r="A205" s="58"/>
      <c r="B205" s="60"/>
      <c r="C205" s="114" t="s">
        <v>312</v>
      </c>
      <c r="D205" s="115"/>
      <c r="E205" s="115"/>
      <c r="F205" s="115"/>
      <c r="G205" s="115"/>
      <c r="H205" s="115"/>
      <c r="I205" s="47"/>
      <c r="J205" s="58"/>
      <c r="K205" s="45"/>
      <c r="L205" s="47"/>
    </row>
    <row r="206" spans="1:12" ht="13.55" x14ac:dyDescent="0.2">
      <c r="A206" s="58"/>
      <c r="B206" s="60"/>
      <c r="C206" s="115" t="s">
        <v>321</v>
      </c>
      <c r="D206" s="115"/>
      <c r="E206" s="115"/>
      <c r="F206" s="115"/>
      <c r="G206" s="115"/>
      <c r="H206" s="115"/>
      <c r="I206" s="47"/>
      <c r="J206" s="58"/>
      <c r="K206" s="45"/>
      <c r="L206" s="47">
        <f>SUM(AT60:AT195)</f>
        <v>7379.53</v>
      </c>
    </row>
    <row r="207" spans="1:12" ht="13.55" hidden="1" x14ac:dyDescent="0.2">
      <c r="A207" s="58"/>
      <c r="B207" s="60"/>
      <c r="C207" s="115" t="s">
        <v>313</v>
      </c>
      <c r="D207" s="115"/>
      <c r="E207" s="115"/>
      <c r="F207" s="115"/>
      <c r="G207" s="115"/>
      <c r="H207" s="115"/>
      <c r="I207" s="47"/>
      <c r="J207" s="58"/>
      <c r="K207" s="45"/>
      <c r="L207" s="47">
        <f>SUM(AV60:AV195)</f>
        <v>0</v>
      </c>
    </row>
    <row r="208" spans="1:12" ht="13.55" x14ac:dyDescent="0.2">
      <c r="A208" s="58"/>
      <c r="B208" s="60"/>
      <c r="C208" s="115" t="s">
        <v>314</v>
      </c>
      <c r="D208" s="115"/>
      <c r="E208" s="115"/>
      <c r="F208" s="115"/>
      <c r="G208" s="115"/>
      <c r="H208" s="115"/>
      <c r="I208" s="47"/>
      <c r="J208" s="58"/>
      <c r="K208" s="45"/>
      <c r="L208" s="47">
        <f>L210+L211</f>
        <v>4026.79</v>
      </c>
    </row>
    <row r="209" spans="1:12" ht="13.55" x14ac:dyDescent="0.2">
      <c r="A209" s="58"/>
      <c r="B209" s="60"/>
      <c r="C209" s="114" t="s">
        <v>311</v>
      </c>
      <c r="D209" s="115"/>
      <c r="E209" s="115"/>
      <c r="F209" s="115"/>
      <c r="G209" s="115"/>
      <c r="H209" s="115"/>
      <c r="I209" s="47"/>
      <c r="J209" s="58"/>
      <c r="K209" s="45"/>
      <c r="L209" s="47"/>
    </row>
    <row r="210" spans="1:12" ht="13.55" x14ac:dyDescent="0.2">
      <c r="A210" s="58"/>
      <c r="B210" s="60"/>
      <c r="C210" s="115" t="s">
        <v>315</v>
      </c>
      <c r="D210" s="115"/>
      <c r="E210" s="115"/>
      <c r="F210" s="115"/>
      <c r="G210" s="115"/>
      <c r="H210" s="115"/>
      <c r="I210" s="47"/>
      <c r="J210" s="58"/>
      <c r="K210" s="45"/>
      <c r="L210" s="47">
        <f>SUM(AW60:AW195)-SUM(BK60:BK195)</f>
        <v>4026.79</v>
      </c>
    </row>
    <row r="211" spans="1:12" ht="13.55" hidden="1" x14ac:dyDescent="0.2">
      <c r="A211" s="58"/>
      <c r="B211" s="60"/>
      <c r="C211" s="115" t="s">
        <v>316</v>
      </c>
      <c r="D211" s="115"/>
      <c r="E211" s="115"/>
      <c r="F211" s="115"/>
      <c r="G211" s="115"/>
      <c r="H211" s="115"/>
      <c r="I211" s="47"/>
      <c r="J211" s="58"/>
      <c r="K211" s="45"/>
      <c r="L211" s="47">
        <f>SUM(BC60:BC195)</f>
        <v>0</v>
      </c>
    </row>
    <row r="212" spans="1:12" ht="13.55" hidden="1" x14ac:dyDescent="0.2">
      <c r="A212" s="58"/>
      <c r="B212" s="60"/>
      <c r="C212" s="115" t="s">
        <v>317</v>
      </c>
      <c r="D212" s="115"/>
      <c r="E212" s="115"/>
      <c r="F212" s="115"/>
      <c r="G212" s="115"/>
      <c r="H212" s="115"/>
      <c r="I212" s="47"/>
      <c r="J212" s="58"/>
      <c r="K212" s="45"/>
      <c r="L212" s="47">
        <f>SUM(BB60:BB195)</f>
        <v>0</v>
      </c>
    </row>
    <row r="213" spans="1:12" ht="13.55" x14ac:dyDescent="0.2">
      <c r="A213" s="58"/>
      <c r="B213" s="60"/>
      <c r="C213" s="115" t="s">
        <v>332</v>
      </c>
      <c r="D213" s="115"/>
      <c r="E213" s="115"/>
      <c r="F213" s="115"/>
      <c r="G213" s="115"/>
      <c r="H213" s="115"/>
      <c r="I213" s="47"/>
      <c r="J213" s="58"/>
      <c r="K213" s="45"/>
      <c r="L213" s="47">
        <f>SUM(AR60:AR195)+SUM(AT60:AT195)+SUM(AV60:AV195)</f>
        <v>13655.689999999999</v>
      </c>
    </row>
    <row r="214" spans="1:12" ht="13.55" x14ac:dyDescent="0.2">
      <c r="A214" s="58"/>
      <c r="B214" s="60"/>
      <c r="C214" s="115" t="s">
        <v>333</v>
      </c>
      <c r="D214" s="115"/>
      <c r="E214" s="115"/>
      <c r="F214" s="115"/>
      <c r="G214" s="115"/>
      <c r="H214" s="115"/>
      <c r="I214" s="47"/>
      <c r="J214" s="58"/>
      <c r="K214" s="45"/>
      <c r="L214" s="47">
        <f>SUM(AZ60:AZ195)</f>
        <v>12560.2</v>
      </c>
    </row>
    <row r="215" spans="1:12" ht="13.55" x14ac:dyDescent="0.2">
      <c r="A215" s="58"/>
      <c r="B215" s="60"/>
      <c r="C215" s="115" t="s">
        <v>334</v>
      </c>
      <c r="D215" s="115"/>
      <c r="E215" s="115"/>
      <c r="F215" s="115"/>
      <c r="G215" s="115"/>
      <c r="H215" s="115"/>
      <c r="I215" s="47"/>
      <c r="J215" s="58"/>
      <c r="K215" s="45"/>
      <c r="L215" s="47">
        <f>SUM(BA60:BA195)</f>
        <v>6280.1</v>
      </c>
    </row>
    <row r="216" spans="1:12" ht="13.55" hidden="1" x14ac:dyDescent="0.2">
      <c r="A216" s="58"/>
      <c r="B216" s="60"/>
      <c r="C216" s="115" t="s">
        <v>335</v>
      </c>
      <c r="D216" s="115"/>
      <c r="E216" s="115"/>
      <c r="F216" s="115"/>
      <c r="G216" s="115"/>
      <c r="H216" s="115"/>
      <c r="I216" s="47"/>
      <c r="J216" s="58"/>
      <c r="K216" s="45"/>
      <c r="L216" s="47">
        <f>L218+L219</f>
        <v>0</v>
      </c>
    </row>
    <row r="217" spans="1:12" ht="13.55" hidden="1" x14ac:dyDescent="0.2">
      <c r="A217" s="58"/>
      <c r="B217" s="60"/>
      <c r="C217" s="114" t="s">
        <v>307</v>
      </c>
      <c r="D217" s="115"/>
      <c r="E217" s="115"/>
      <c r="F217" s="115"/>
      <c r="G217" s="115"/>
      <c r="H217" s="115"/>
      <c r="I217" s="47"/>
      <c r="J217" s="58"/>
      <c r="K217" s="45"/>
      <c r="L217" s="47"/>
    </row>
    <row r="218" spans="1:12" ht="13.55" hidden="1" x14ac:dyDescent="0.2">
      <c r="A218" s="58"/>
      <c r="B218" s="60"/>
      <c r="C218" s="115" t="s">
        <v>324</v>
      </c>
      <c r="D218" s="115"/>
      <c r="E218" s="115"/>
      <c r="F218" s="115"/>
      <c r="G218" s="115"/>
      <c r="H218" s="115"/>
      <c r="I218" s="47"/>
      <c r="J218" s="58"/>
      <c r="K218" s="45"/>
      <c r="L218" s="47">
        <f>SUM(BK60:BK195)</f>
        <v>0</v>
      </c>
    </row>
    <row r="219" spans="1:12" ht="13.55" hidden="1" x14ac:dyDescent="0.2">
      <c r="A219" s="58"/>
      <c r="B219" s="60"/>
      <c r="C219" s="115" t="s">
        <v>325</v>
      </c>
      <c r="D219" s="115"/>
      <c r="E219" s="115"/>
      <c r="F219" s="115"/>
      <c r="G219" s="115"/>
      <c r="H219" s="115"/>
      <c r="I219" s="47"/>
      <c r="J219" s="58"/>
      <c r="K219" s="45"/>
      <c r="L219" s="47">
        <f>SUM(BD60:BD195)</f>
        <v>0</v>
      </c>
    </row>
    <row r="220" spans="1:12" ht="13.55" x14ac:dyDescent="0.2">
      <c r="A220" s="58"/>
      <c r="B220" s="60"/>
      <c r="C220" s="115" t="s">
        <v>336</v>
      </c>
      <c r="D220" s="115"/>
      <c r="E220" s="115"/>
      <c r="F220" s="115"/>
      <c r="G220" s="115"/>
      <c r="H220" s="115"/>
      <c r="I220" s="47"/>
      <c r="J220" s="58"/>
      <c r="K220" s="45"/>
      <c r="L220" s="47">
        <f>L171</f>
        <v>434362.52</v>
      </c>
    </row>
    <row r="221" spans="1:12" ht="13.55" x14ac:dyDescent="0.2">
      <c r="A221" s="58"/>
      <c r="B221" s="60"/>
      <c r="C221" s="113" t="s">
        <v>337</v>
      </c>
      <c r="D221" s="115"/>
      <c r="E221" s="115"/>
      <c r="F221" s="115"/>
      <c r="G221" s="115"/>
      <c r="H221" s="115"/>
      <c r="I221" s="47"/>
      <c r="J221" s="58"/>
      <c r="K221" s="45"/>
      <c r="L221" s="47"/>
    </row>
    <row r="222" spans="1:12" ht="13.55" hidden="1" x14ac:dyDescent="0.2">
      <c r="A222" s="58"/>
      <c r="B222" s="60"/>
      <c r="C222" s="115" t="s">
        <v>338</v>
      </c>
      <c r="D222" s="115"/>
      <c r="E222" s="115"/>
      <c r="F222" s="115"/>
      <c r="G222" s="115"/>
      <c r="H222" s="115"/>
      <c r="I222" s="47"/>
      <c r="J222" s="58"/>
      <c r="K222" s="45"/>
      <c r="L222" s="47">
        <f>SUM(AX60:AX195)</f>
        <v>0</v>
      </c>
    </row>
    <row r="223" spans="1:12" ht="13.55" hidden="1" x14ac:dyDescent="0.2">
      <c r="A223" s="58"/>
      <c r="B223" s="60"/>
      <c r="C223" s="115" t="s">
        <v>339</v>
      </c>
      <c r="D223" s="115"/>
      <c r="E223" s="115"/>
      <c r="F223" s="115"/>
      <c r="G223" s="115"/>
      <c r="H223" s="115"/>
      <c r="I223" s="47"/>
      <c r="J223" s="58"/>
      <c r="K223" s="45"/>
      <c r="L223" s="47">
        <f>SUM(AY60:AY195)</f>
        <v>0</v>
      </c>
    </row>
    <row r="224" spans="1:12" ht="13.55" x14ac:dyDescent="0.2">
      <c r="A224" s="58"/>
      <c r="B224" s="60"/>
      <c r="C224" s="115" t="s">
        <v>340</v>
      </c>
      <c r="D224" s="115"/>
      <c r="E224" s="115"/>
      <c r="F224" s="116"/>
      <c r="G224" s="49">
        <f>Source!F57</f>
        <v>21.195362500000002</v>
      </c>
      <c r="H224" s="58"/>
      <c r="I224" s="58"/>
      <c r="J224" s="58"/>
      <c r="K224" s="58"/>
      <c r="L224" s="58"/>
    </row>
    <row r="225" spans="1:12" ht="13.55" x14ac:dyDescent="0.2">
      <c r="A225" s="58"/>
      <c r="B225" s="60"/>
      <c r="C225" s="115" t="s">
        <v>341</v>
      </c>
      <c r="D225" s="115"/>
      <c r="E225" s="115"/>
      <c r="F225" s="116"/>
      <c r="G225" s="49">
        <f>Source!F58</f>
        <v>18.589749999999999</v>
      </c>
      <c r="H225" s="58"/>
      <c r="I225" s="58"/>
      <c r="J225" s="58"/>
      <c r="K225" s="58"/>
      <c r="L225" s="58"/>
    </row>
    <row r="227" spans="1:12" s="40" customFormat="1" ht="13.55" x14ac:dyDescent="0.2">
      <c r="C227" s="40" t="s">
        <v>133</v>
      </c>
      <c r="L227" s="40">
        <f>L197*22/100</f>
        <v>109887.49859999999</v>
      </c>
    </row>
    <row r="228" spans="1:12" s="83" customFormat="1" ht="14.3" x14ac:dyDescent="0.25">
      <c r="C228" s="83" t="s">
        <v>401</v>
      </c>
      <c r="L228" s="84">
        <f>L197+L227</f>
        <v>609376.12859999994</v>
      </c>
    </row>
    <row r="229" spans="1:12" s="83" customFormat="1" ht="14.3" x14ac:dyDescent="0.25">
      <c r="C229" s="83" t="s">
        <v>407</v>
      </c>
      <c r="L229" s="84"/>
    </row>
    <row r="230" spans="1:12" s="83" customFormat="1" ht="14.3" x14ac:dyDescent="0.25">
      <c r="C230" s="83" t="s">
        <v>406</v>
      </c>
      <c r="L230" s="84">
        <f>L228*0.96781461691</f>
        <v>589763.12445510784</v>
      </c>
    </row>
    <row r="233" spans="1:12" ht="14.3" customHeight="1" x14ac:dyDescent="0.2">
      <c r="A233" s="72"/>
      <c r="B233" s="73" t="s">
        <v>342</v>
      </c>
      <c r="C233" s="74" t="str">
        <f>IF(Source!AC12&lt;&gt;"", Source!AC12," ")</f>
        <v xml:space="preserve"> </v>
      </c>
      <c r="D233" s="33"/>
      <c r="E233" s="33"/>
      <c r="F233" s="33"/>
      <c r="G233" s="33"/>
      <c r="H233" s="13" t="str">
        <f>IF(Source!AB12&lt;&gt;"", Source!AB12," ")</f>
        <v xml:space="preserve"> </v>
      </c>
      <c r="I233" s="23"/>
      <c r="J233" s="23"/>
      <c r="K233" s="37"/>
      <c r="L233" s="37"/>
    </row>
    <row r="234" spans="1:12" ht="14.3" customHeight="1" x14ac:dyDescent="0.2">
      <c r="A234" s="72"/>
      <c r="B234" s="75"/>
      <c r="C234" s="117" t="s">
        <v>343</v>
      </c>
      <c r="D234" s="117"/>
      <c r="E234" s="117"/>
      <c r="F234" s="117"/>
      <c r="G234" s="117"/>
      <c r="H234" s="23"/>
      <c r="I234" s="23"/>
      <c r="J234" s="23"/>
      <c r="K234" s="37"/>
      <c r="L234" s="37"/>
    </row>
    <row r="235" spans="1:12" ht="14.3" customHeight="1" x14ac:dyDescent="0.2">
      <c r="A235" s="72"/>
      <c r="B235" s="75"/>
      <c r="C235" s="12"/>
      <c r="D235" s="12"/>
      <c r="E235" s="12"/>
      <c r="F235" s="12"/>
      <c r="G235" s="12"/>
      <c r="H235" s="23"/>
      <c r="I235" s="23"/>
      <c r="J235" s="23"/>
      <c r="K235" s="37"/>
      <c r="L235" s="37"/>
    </row>
    <row r="236" spans="1:12" ht="14.3" customHeight="1" x14ac:dyDescent="0.2">
      <c r="A236" s="72"/>
      <c r="B236" s="73" t="s">
        <v>344</v>
      </c>
      <c r="C236" s="74" t="str">
        <f>IF(Source!AE12&lt;&gt;"", Source!AE12," ")</f>
        <v xml:space="preserve"> </v>
      </c>
      <c r="D236" s="33"/>
      <c r="E236" s="33"/>
      <c r="F236" s="33"/>
      <c r="G236" s="33"/>
      <c r="H236" s="13" t="str">
        <f>IF(Source!AD12&lt;&gt;"", Source!AD12," ")</f>
        <v xml:space="preserve"> </v>
      </c>
      <c r="I236" s="23"/>
      <c r="J236" s="23"/>
      <c r="K236" s="37"/>
      <c r="L236" s="37"/>
    </row>
    <row r="237" spans="1:12" ht="14.3" customHeight="1" x14ac:dyDescent="0.2">
      <c r="A237" s="12"/>
      <c r="B237" s="12"/>
      <c r="C237" s="117" t="s">
        <v>343</v>
      </c>
      <c r="D237" s="117"/>
      <c r="E237" s="117"/>
      <c r="F237" s="117"/>
      <c r="G237" s="117"/>
      <c r="H237" s="23"/>
      <c r="I237" s="23"/>
      <c r="J237" s="23"/>
      <c r="K237" s="37"/>
      <c r="L237" s="37"/>
    </row>
  </sheetData>
  <mergeCells count="175">
    <mergeCell ref="C222:H222"/>
    <mergeCell ref="C223:H223"/>
    <mergeCell ref="C224:F224"/>
    <mergeCell ref="C225:F225"/>
    <mergeCell ref="C234:G234"/>
    <mergeCell ref="C237:G237"/>
    <mergeCell ref="C216:H216"/>
    <mergeCell ref="C217:H217"/>
    <mergeCell ref="C218:H218"/>
    <mergeCell ref="C219:H219"/>
    <mergeCell ref="C220:H220"/>
    <mergeCell ref="C221:H221"/>
    <mergeCell ref="C210:H210"/>
    <mergeCell ref="C211:H211"/>
    <mergeCell ref="C212:H212"/>
    <mergeCell ref="C213:H213"/>
    <mergeCell ref="C214:H214"/>
    <mergeCell ref="C215:H215"/>
    <mergeCell ref="C204:H204"/>
    <mergeCell ref="C205:H205"/>
    <mergeCell ref="C206:H206"/>
    <mergeCell ref="C207:H207"/>
    <mergeCell ref="C208:H208"/>
    <mergeCell ref="C209:H209"/>
    <mergeCell ref="C198:H198"/>
    <mergeCell ref="C199:H199"/>
    <mergeCell ref="C200:H200"/>
    <mergeCell ref="C201:H201"/>
    <mergeCell ref="C202:H202"/>
    <mergeCell ref="C203:H203"/>
    <mergeCell ref="C191:H191"/>
    <mergeCell ref="C192:H192"/>
    <mergeCell ref="C193:H193"/>
    <mergeCell ref="C194:H194"/>
    <mergeCell ref="C195:H195"/>
    <mergeCell ref="C197:H197"/>
    <mergeCell ref="C185:H185"/>
    <mergeCell ref="C186:H186"/>
    <mergeCell ref="C187:H187"/>
    <mergeCell ref="C188:H188"/>
    <mergeCell ref="C189:H189"/>
    <mergeCell ref="C190:H190"/>
    <mergeCell ref="C179:H179"/>
    <mergeCell ref="C180:H180"/>
    <mergeCell ref="C181:H181"/>
    <mergeCell ref="C182:H182"/>
    <mergeCell ref="C183:H183"/>
    <mergeCell ref="C184:H184"/>
    <mergeCell ref="C173:H173"/>
    <mergeCell ref="C174:H174"/>
    <mergeCell ref="C175:H175"/>
    <mergeCell ref="C176:H176"/>
    <mergeCell ref="C177:H177"/>
    <mergeCell ref="C178:H178"/>
    <mergeCell ref="C166:H166"/>
    <mergeCell ref="C167:H167"/>
    <mergeCell ref="C168:H168"/>
    <mergeCell ref="C169:H169"/>
    <mergeCell ref="C171:H171"/>
    <mergeCell ref="C172:H172"/>
    <mergeCell ref="C159:H159"/>
    <mergeCell ref="C160:H160"/>
    <mergeCell ref="C161:H161"/>
    <mergeCell ref="C162:H162"/>
    <mergeCell ref="C163:H163"/>
    <mergeCell ref="C164:H164"/>
    <mergeCell ref="C153:H153"/>
    <mergeCell ref="C154:H154"/>
    <mergeCell ref="C155:H155"/>
    <mergeCell ref="C156:H156"/>
    <mergeCell ref="C157:H157"/>
    <mergeCell ref="C158:H158"/>
    <mergeCell ref="C147:H147"/>
    <mergeCell ref="C148:H148"/>
    <mergeCell ref="C149:H149"/>
    <mergeCell ref="C150:H150"/>
    <mergeCell ref="C151:H151"/>
    <mergeCell ref="C152:H152"/>
    <mergeCell ref="C140:H140"/>
    <mergeCell ref="C141:H141"/>
    <mergeCell ref="C142:H142"/>
    <mergeCell ref="C143:H143"/>
    <mergeCell ref="C144:H144"/>
    <mergeCell ref="C146:H146"/>
    <mergeCell ref="C134:H134"/>
    <mergeCell ref="C135:H135"/>
    <mergeCell ref="C136:H136"/>
    <mergeCell ref="C137:H137"/>
    <mergeCell ref="C138:H138"/>
    <mergeCell ref="C139:H139"/>
    <mergeCell ref="C128:H128"/>
    <mergeCell ref="C129:H129"/>
    <mergeCell ref="C130:H130"/>
    <mergeCell ref="C131:H131"/>
    <mergeCell ref="C132:H132"/>
    <mergeCell ref="C133:H133"/>
    <mergeCell ref="C122:H122"/>
    <mergeCell ref="I122:J122"/>
    <mergeCell ref="K122:L122"/>
    <mergeCell ref="C124:H124"/>
    <mergeCell ref="C126:H126"/>
    <mergeCell ref="C127:H127"/>
    <mergeCell ref="C101:H101"/>
    <mergeCell ref="I101:J101"/>
    <mergeCell ref="K101:L101"/>
    <mergeCell ref="C116:H116"/>
    <mergeCell ref="I116:J116"/>
    <mergeCell ref="K116:L116"/>
    <mergeCell ref="C92:H92"/>
    <mergeCell ref="I92:J92"/>
    <mergeCell ref="K92:L92"/>
    <mergeCell ref="C99:H99"/>
    <mergeCell ref="I99:J99"/>
    <mergeCell ref="K99:L99"/>
    <mergeCell ref="C78:H78"/>
    <mergeCell ref="I78:J78"/>
    <mergeCell ref="K78:L78"/>
    <mergeCell ref="C90:H90"/>
    <mergeCell ref="I90:J90"/>
    <mergeCell ref="K90:L90"/>
    <mergeCell ref="C82:L82"/>
    <mergeCell ref="C69:H69"/>
    <mergeCell ref="I69:J69"/>
    <mergeCell ref="K69:L69"/>
    <mergeCell ref="C76:H76"/>
    <mergeCell ref="I76:J76"/>
    <mergeCell ref="K76:L76"/>
    <mergeCell ref="E54:G57"/>
    <mergeCell ref="H54:L57"/>
    <mergeCell ref="C61:L61"/>
    <mergeCell ref="C67:H67"/>
    <mergeCell ref="I67:J67"/>
    <mergeCell ref="K67:L67"/>
    <mergeCell ref="C51:D51"/>
    <mergeCell ref="C52:D52"/>
    <mergeCell ref="A54:A58"/>
    <mergeCell ref="B54:B58"/>
    <mergeCell ref="C54:C58"/>
    <mergeCell ref="D54:D58"/>
    <mergeCell ref="A36:L36"/>
    <mergeCell ref="C41:L41"/>
    <mergeCell ref="C42:L42"/>
    <mergeCell ref="C46:D46"/>
    <mergeCell ref="C49:D49"/>
    <mergeCell ref="C50:D50"/>
    <mergeCell ref="A28:L28"/>
    <mergeCell ref="A30:L30"/>
    <mergeCell ref="A31:L31"/>
    <mergeCell ref="A33:L33"/>
    <mergeCell ref="A35:L35"/>
    <mergeCell ref="A20:E20"/>
    <mergeCell ref="F20:L20"/>
    <mergeCell ref="A22:E22"/>
    <mergeCell ref="F22:L22"/>
    <mergeCell ref="A24:E24"/>
    <mergeCell ref="F24:L24"/>
    <mergeCell ref="A18:E18"/>
    <mergeCell ref="F18:L18"/>
    <mergeCell ref="B7:E7"/>
    <mergeCell ref="H7:L7"/>
    <mergeCell ref="A10:E10"/>
    <mergeCell ref="F10:L10"/>
    <mergeCell ref="A12:E12"/>
    <mergeCell ref="F12:L12"/>
    <mergeCell ref="A27:L27"/>
    <mergeCell ref="B3:E3"/>
    <mergeCell ref="H3:L3"/>
    <mergeCell ref="B4:E4"/>
    <mergeCell ref="H4:L4"/>
    <mergeCell ref="B6:E6"/>
    <mergeCell ref="H6:L6"/>
    <mergeCell ref="A14:E14"/>
    <mergeCell ref="F14:L14"/>
    <mergeCell ref="A16:E16"/>
    <mergeCell ref="F16:L16"/>
  </mergeCells>
  <pageMargins left="0.4" right="0.2" top="0.2" bottom="0.4" header="0.2" footer="0.2"/>
  <pageSetup paperSize="9" scale="48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/>
  </sheetViews>
  <sheetFormatPr defaultRowHeight="12.85" x14ac:dyDescent="0.2"/>
  <sheetData>
    <row r="1" spans="1:28" x14ac:dyDescent="0.2">
      <c r="A1" t="s">
        <v>373</v>
      </c>
      <c r="B1" t="s">
        <v>375</v>
      </c>
      <c r="C1" t="s">
        <v>376</v>
      </c>
      <c r="D1" t="s">
        <v>377</v>
      </c>
      <c r="E1" t="s">
        <v>378</v>
      </c>
      <c r="F1" t="s">
        <v>379</v>
      </c>
      <c r="G1" t="s">
        <v>380</v>
      </c>
      <c r="H1" t="s">
        <v>381</v>
      </c>
      <c r="I1" t="s">
        <v>382</v>
      </c>
      <c r="J1" t="s">
        <v>383</v>
      </c>
      <c r="K1" t="s">
        <v>384</v>
      </c>
      <c r="L1" t="s">
        <v>385</v>
      </c>
      <c r="M1" t="s">
        <v>386</v>
      </c>
      <c r="N1" t="s">
        <v>387</v>
      </c>
      <c r="O1" t="s">
        <v>374</v>
      </c>
    </row>
    <row r="2" spans="1:28" x14ac:dyDescent="0.2">
      <c r="A2">
        <v>1</v>
      </c>
      <c r="B2">
        <v>0</v>
      </c>
      <c r="C2">
        <v>0</v>
      </c>
      <c r="D2">
        <v>1</v>
      </c>
      <c r="E2">
        <v>1</v>
      </c>
      <c r="F2">
        <v>1</v>
      </c>
      <c r="G2">
        <v>1</v>
      </c>
      <c r="H2">
        <v>0</v>
      </c>
      <c r="I2">
        <v>0</v>
      </c>
      <c r="J2">
        <v>0</v>
      </c>
      <c r="K2">
        <v>1</v>
      </c>
      <c r="L2">
        <v>50279781</v>
      </c>
      <c r="M2">
        <v>0</v>
      </c>
      <c r="N2">
        <v>0</v>
      </c>
      <c r="O2">
        <v>0</v>
      </c>
    </row>
    <row r="4" spans="1:28" x14ac:dyDescent="0.2">
      <c r="A4" t="s">
        <v>345</v>
      </c>
      <c r="B4" t="s">
        <v>346</v>
      </c>
      <c r="C4" t="s">
        <v>347</v>
      </c>
      <c r="D4" t="s">
        <v>348</v>
      </c>
      <c r="E4" t="s">
        <v>349</v>
      </c>
      <c r="F4" t="s">
        <v>350</v>
      </c>
      <c r="G4" t="s">
        <v>351</v>
      </c>
      <c r="H4" t="s">
        <v>352</v>
      </c>
      <c r="I4" t="s">
        <v>353</v>
      </c>
      <c r="J4" t="s">
        <v>354</v>
      </c>
      <c r="K4" t="s">
        <v>355</v>
      </c>
      <c r="L4" t="s">
        <v>356</v>
      </c>
      <c r="M4" t="s">
        <v>357</v>
      </c>
      <c r="N4" t="s">
        <v>358</v>
      </c>
      <c r="O4" t="s">
        <v>359</v>
      </c>
      <c r="P4" t="s">
        <v>360</v>
      </c>
      <c r="Q4" t="s">
        <v>361</v>
      </c>
      <c r="R4" t="s">
        <v>362</v>
      </c>
      <c r="S4" t="s">
        <v>363</v>
      </c>
      <c r="T4" t="s">
        <v>364</v>
      </c>
      <c r="U4" t="s">
        <v>368</v>
      </c>
      <c r="V4" t="s">
        <v>369</v>
      </c>
      <c r="W4" t="s">
        <v>370</v>
      </c>
      <c r="X4" t="s">
        <v>371</v>
      </c>
      <c r="Y4" t="s">
        <v>372</v>
      </c>
      <c r="Z4" t="s">
        <v>365</v>
      </c>
      <c r="AA4" t="s">
        <v>366</v>
      </c>
      <c r="AB4" t="s">
        <v>367</v>
      </c>
    </row>
    <row r="6" spans="1:28" x14ac:dyDescent="0.2">
      <c r="A6">
        <f>Source!A20</f>
        <v>3</v>
      </c>
      <c r="B6">
        <v>20</v>
      </c>
      <c r="G6" t="str">
        <f>Source!G20</f>
        <v>Новая локальная смета</v>
      </c>
    </row>
    <row r="7" spans="1:28" x14ac:dyDescent="0.2">
      <c r="A7">
        <v>20</v>
      </c>
      <c r="B7">
        <v>13</v>
      </c>
      <c r="C7">
        <v>3</v>
      </c>
      <c r="D7">
        <v>0</v>
      </c>
      <c r="E7">
        <f>SmtRes!AV13</f>
        <v>0</v>
      </c>
      <c r="F7" t="str">
        <f>SmtRes!I13</f>
        <v>01.7.03.01-0001</v>
      </c>
      <c r="G7" t="str">
        <f>SmtRes!K13</f>
        <v>Вода</v>
      </c>
      <c r="H7" t="str">
        <f>SmtRes!O13</f>
        <v>м3</v>
      </c>
      <c r="I7">
        <f>SmtRes!Y13*Source!I32</f>
        <v>132.5</v>
      </c>
      <c r="J7">
        <f>SmtRes!AO13</f>
        <v>0</v>
      </c>
      <c r="K7">
        <f>SmtRes!AE13</f>
        <v>35.71</v>
      </c>
      <c r="M7">
        <f>ROUND(I7*K7, 2)</f>
        <v>4731.58</v>
      </c>
      <c r="N7">
        <f>SmtRes!AA13</f>
        <v>30.35</v>
      </c>
      <c r="O7">
        <f>SmtRes!DF13</f>
        <v>4021.38</v>
      </c>
      <c r="P7">
        <f>SmtRes!AG13</f>
        <v>0</v>
      </c>
      <c r="R7">
        <f>ROUND(I7*P7, 2)</f>
        <v>0</v>
      </c>
      <c r="S7">
        <f>SmtRes!AC13</f>
        <v>0</v>
      </c>
      <c r="T7">
        <f>SmtRes!DH13</f>
        <v>0</v>
      </c>
      <c r="U7">
        <v>3</v>
      </c>
      <c r="Z7">
        <f>SmtRes!X13</f>
        <v>1964556667</v>
      </c>
      <c r="AA7">
        <v>1781038258</v>
      </c>
      <c r="AB7">
        <v>1056411037</v>
      </c>
    </row>
    <row r="8" spans="1:28" x14ac:dyDescent="0.2">
      <c r="A8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W18"/>
  <sheetViews>
    <sheetView workbookViewId="0"/>
  </sheetViews>
  <sheetFormatPr defaultRowHeight="12.85" x14ac:dyDescent="0.2"/>
  <cols>
    <col min="1" max="1" width="18.75" customWidth="1"/>
    <col min="2" max="2" width="40.75" customWidth="1"/>
    <col min="3" max="6" width="12.75" customWidth="1"/>
    <col min="99" max="99" width="54.25" hidden="1" customWidth="1"/>
    <col min="100" max="102" width="0" hidden="1" customWidth="1"/>
  </cols>
  <sheetData>
    <row r="2" spans="1:101" ht="16.399999999999999" x14ac:dyDescent="0.2">
      <c r="A2" s="120" t="str">
        <f>CONCATENATE( "Основание: ЛС №", Source!L20)</f>
        <v>Основание: ЛС №Новая локальная смета</v>
      </c>
      <c r="B2" s="120"/>
      <c r="C2" s="120"/>
      <c r="D2" s="120"/>
      <c r="E2" s="120"/>
      <c r="F2" s="120"/>
      <c r="CU2" s="76" t="s">
        <v>388</v>
      </c>
    </row>
    <row r="3" spans="1:101" ht="16.399999999999999" x14ac:dyDescent="0.2">
      <c r="A3" s="121" t="s">
        <v>389</v>
      </c>
      <c r="B3" s="122"/>
      <c r="C3" s="122"/>
      <c r="D3" s="122"/>
      <c r="E3" s="122"/>
      <c r="F3" s="122"/>
    </row>
    <row r="4" spans="1:101" ht="49.2" x14ac:dyDescent="0.2">
      <c r="A4" s="121" t="str">
        <f>CONCATENATE("Объект: ",IF(Source!G65&lt;&gt;"Новый объект", Source!G65, ""))</f>
        <v>Объект: МОДУЛЬ засыпка песком внутренней площадки катки Пересчет 06,08,2026</v>
      </c>
      <c r="B4" s="122"/>
      <c r="C4" s="122"/>
      <c r="D4" s="122"/>
      <c r="E4" s="122"/>
      <c r="F4" s="122"/>
      <c r="CU4" s="77" t="s">
        <v>390</v>
      </c>
    </row>
    <row r="5" spans="1:101" x14ac:dyDescent="0.2">
      <c r="A5" s="123" t="s">
        <v>270</v>
      </c>
      <c r="B5" s="123" t="s">
        <v>391</v>
      </c>
      <c r="C5" s="123" t="s">
        <v>272</v>
      </c>
      <c r="D5" s="123" t="s">
        <v>392</v>
      </c>
      <c r="E5" s="126" t="s">
        <v>393</v>
      </c>
      <c r="F5" s="127"/>
    </row>
    <row r="6" spans="1:101" x14ac:dyDescent="0.2">
      <c r="A6" s="124"/>
      <c r="B6" s="124"/>
      <c r="C6" s="124"/>
      <c r="D6" s="124"/>
      <c r="E6" s="128"/>
      <c r="F6" s="129"/>
    </row>
    <row r="7" spans="1:101" ht="13.55" x14ac:dyDescent="0.2">
      <c r="A7" s="125"/>
      <c r="B7" s="125"/>
      <c r="C7" s="125"/>
      <c r="D7" s="125"/>
      <c r="E7" s="78" t="s">
        <v>394</v>
      </c>
      <c r="F7" s="78" t="s">
        <v>395</v>
      </c>
    </row>
    <row r="8" spans="1:101" ht="13.55" x14ac:dyDescent="0.2">
      <c r="A8" s="78">
        <v>1</v>
      </c>
      <c r="B8" s="78">
        <v>2</v>
      </c>
      <c r="C8" s="78">
        <v>3</v>
      </c>
      <c r="D8" s="78">
        <v>4</v>
      </c>
      <c r="E8" s="78">
        <v>5</v>
      </c>
      <c r="F8" s="78">
        <v>6</v>
      </c>
    </row>
    <row r="9" spans="1:101" ht="16.399999999999999" x14ac:dyDescent="0.2">
      <c r="A9" s="121" t="str">
        <f>CONCATENATE("Локальная смета: ",IF(Source!G22&lt;&gt;"Новая локальная смета", Source!G22, ""))</f>
        <v xml:space="preserve">Локальная смета: </v>
      </c>
      <c r="B9" s="122"/>
      <c r="C9" s="122"/>
      <c r="D9" s="122"/>
      <c r="E9" s="122"/>
      <c r="F9" s="122"/>
    </row>
    <row r="10" spans="1:101" ht="13.55" x14ac:dyDescent="0.2">
      <c r="A10" s="130" t="s">
        <v>396</v>
      </c>
      <c r="B10" s="131"/>
      <c r="C10" s="131"/>
      <c r="D10" s="131"/>
      <c r="E10" s="131"/>
      <c r="F10" s="131"/>
    </row>
    <row r="11" spans="1:101" ht="13.55" x14ac:dyDescent="0.2">
      <c r="A11" s="79" t="s">
        <v>230</v>
      </c>
      <c r="B11" s="80" t="s">
        <v>232</v>
      </c>
      <c r="C11" s="80" t="s">
        <v>233</v>
      </c>
      <c r="D11" s="81">
        <f>ROUND(SUMIF(RV_DATA!AB7:AB7, 1056411037, RV_DATA!I7:I7), 6)</f>
        <v>132.5</v>
      </c>
      <c r="E11" s="82">
        <f>ROUND(RV_DATA!N7, 6)</f>
        <v>30.35</v>
      </c>
      <c r="F11" s="82">
        <f>ROUND(SUMIF(RV_DATA!AB7:AB7, 1056411037, RV_DATA!O7:O7), 6)</f>
        <v>4021.38</v>
      </c>
      <c r="CW11">
        <v>3</v>
      </c>
    </row>
    <row r="12" spans="1:101" ht="14.3" x14ac:dyDescent="0.25">
      <c r="A12" s="118" t="s">
        <v>397</v>
      </c>
      <c r="B12" s="118"/>
      <c r="C12" s="118"/>
      <c r="D12" s="118"/>
      <c r="E12" s="119">
        <f>SUMIF(CW11:CW11, 3, F11:F11)</f>
        <v>4021.38</v>
      </c>
      <c r="F12" s="118"/>
    </row>
    <row r="14" spans="1:101" ht="16.399999999999999" x14ac:dyDescent="0.2">
      <c r="A14" s="132" t="str">
        <f>CONCATENATE("Итого по локальной смете:",IF(Source!G35&lt;&gt;"Новая локальная смета", Source!G35, ""))</f>
        <v>Итого по локальной смете:</v>
      </c>
      <c r="B14" s="133"/>
      <c r="C14" s="133"/>
      <c r="D14" s="133"/>
      <c r="E14" s="133"/>
      <c r="F14" s="134"/>
    </row>
    <row r="15" spans="1:101" ht="14.3" x14ac:dyDescent="0.25">
      <c r="A15" s="118" t="s">
        <v>397</v>
      </c>
      <c r="B15" s="118"/>
      <c r="C15" s="118"/>
      <c r="D15" s="118"/>
      <c r="E15" s="119">
        <f>SUMIF(CW1:CW14, 3, F1:F14)</f>
        <v>4021.38</v>
      </c>
      <c r="F15" s="118"/>
    </row>
    <row r="16" spans="1:101" ht="14.3" hidden="1" customHeight="1" x14ac:dyDescent="0.25">
      <c r="A16" s="118" t="s">
        <v>398</v>
      </c>
      <c r="B16" s="118"/>
      <c r="C16" s="118"/>
      <c r="D16" s="118"/>
      <c r="E16" s="119">
        <f>SUMIF(CW1:CW15, 4, F1:F15)</f>
        <v>0</v>
      </c>
      <c r="F16" s="118"/>
    </row>
    <row r="17" spans="1:6" ht="14.3" hidden="1" customHeight="1" x14ac:dyDescent="0.25">
      <c r="A17" s="118" t="s">
        <v>399</v>
      </c>
      <c r="B17" s="118"/>
      <c r="C17" s="118"/>
      <c r="D17" s="118"/>
      <c r="E17" s="119">
        <f>SUMIF(CW1:CW16, 5, F1:F16)</f>
        <v>0</v>
      </c>
      <c r="F17" s="118"/>
    </row>
    <row r="18" spans="1:6" ht="14.3" hidden="1" customHeight="1" x14ac:dyDescent="0.25">
      <c r="A18" s="118" t="s">
        <v>400</v>
      </c>
      <c r="B18" s="118"/>
      <c r="C18" s="118"/>
      <c r="D18" s="118"/>
      <c r="E18" s="119">
        <f>SUMIF(CW1:CW17, 6, F1:F17)</f>
        <v>0</v>
      </c>
      <c r="F18" s="118"/>
    </row>
  </sheetData>
  <sortState ref="A11:CW11">
    <sortCondition ref="A11"/>
  </sortState>
  <mergeCells count="21">
    <mergeCell ref="A16:D16"/>
    <mergeCell ref="E16:F16"/>
    <mergeCell ref="A17:D17"/>
    <mergeCell ref="E17:F17"/>
    <mergeCell ref="A18:D18"/>
    <mergeCell ref="E18:F18"/>
    <mergeCell ref="A15:D15"/>
    <mergeCell ref="E15:F15"/>
    <mergeCell ref="A2:F2"/>
    <mergeCell ref="A3:F3"/>
    <mergeCell ref="A4:F4"/>
    <mergeCell ref="A5:A7"/>
    <mergeCell ref="B5:B7"/>
    <mergeCell ref="C5:C7"/>
    <mergeCell ref="D5:D7"/>
    <mergeCell ref="E5:F6"/>
    <mergeCell ref="A9:F9"/>
    <mergeCell ref="A10:F10"/>
    <mergeCell ref="A12:D12"/>
    <mergeCell ref="E12:F12"/>
    <mergeCell ref="A14:F14"/>
  </mergeCells>
  <pageMargins left="0.6" right="0.4" top="0.65" bottom="0.4" header="0.4" footer="0.4"/>
  <pageSetup paperSize="9" scale="85" fitToHeight="0" orientation="portrait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41"/>
  <sheetViews>
    <sheetView workbookViewId="0">
      <selection activeCell="A137" sqref="A137:AX137"/>
    </sheetView>
  </sheetViews>
  <sheetFormatPr defaultColWidth="9.125" defaultRowHeight="12.85" x14ac:dyDescent="0.2"/>
  <cols>
    <col min="1" max="256" width="9.1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72064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 x14ac:dyDescent="0.2">
      <c r="A12" s="1">
        <v>1</v>
      </c>
      <c r="B12" s="1">
        <v>135</v>
      </c>
      <c r="C12" s="1">
        <v>0</v>
      </c>
      <c r="D12" s="1">
        <f>ROW(A65)</f>
        <v>65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46073</v>
      </c>
      <c r="CT12" s="1">
        <v>540</v>
      </c>
      <c r="CU12" s="1">
        <v>17</v>
      </c>
      <c r="CV12" s="1" t="s">
        <v>239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2">
        <v>52</v>
      </c>
      <c r="B18" s="2">
        <f t="shared" ref="B18:G18" si="0">B65</f>
        <v>135</v>
      </c>
      <c r="C18" s="2">
        <f t="shared" si="0"/>
        <v>1</v>
      </c>
      <c r="D18" s="2">
        <f t="shared" si="0"/>
        <v>12</v>
      </c>
      <c r="E18" s="2">
        <f t="shared" si="0"/>
        <v>0</v>
      </c>
      <c r="F18" s="2" t="str">
        <f t="shared" si="0"/>
        <v>Новый объект_(Копия)_(Копия)_(Копия)_(Копия)</v>
      </c>
      <c r="G18" s="2" t="str">
        <f t="shared" si="0"/>
        <v>МОДУЛЬ засыпка песком внутренней площадки катки Пересчет 06,08,2026</v>
      </c>
      <c r="H18" s="2"/>
      <c r="I18" s="2"/>
      <c r="J18" s="2"/>
      <c r="K18" s="2"/>
      <c r="L18" s="2"/>
      <c r="M18" s="2"/>
      <c r="N18" s="2"/>
      <c r="O18" s="2">
        <f t="shared" ref="O18:AT18" si="1">O65</f>
        <v>480648.33</v>
      </c>
      <c r="P18" s="2">
        <f t="shared" si="1"/>
        <v>4021.38</v>
      </c>
      <c r="Q18" s="2">
        <f t="shared" si="1"/>
        <v>462974.56</v>
      </c>
      <c r="R18" s="2">
        <f t="shared" si="1"/>
        <v>7376.23</v>
      </c>
      <c r="S18" s="2">
        <f t="shared" si="1"/>
        <v>6276.16</v>
      </c>
      <c r="T18" s="2">
        <f t="shared" si="1"/>
        <v>0</v>
      </c>
      <c r="U18" s="2">
        <f t="shared" si="1"/>
        <v>21.195362500000002</v>
      </c>
      <c r="V18" s="2">
        <f t="shared" si="1"/>
        <v>18.589749999999999</v>
      </c>
      <c r="W18" s="2">
        <f t="shared" si="1"/>
        <v>0</v>
      </c>
      <c r="X18" s="2">
        <f t="shared" si="1"/>
        <v>12560.2</v>
      </c>
      <c r="Y18" s="2">
        <f t="shared" si="1"/>
        <v>6280.1</v>
      </c>
      <c r="Z18" s="2">
        <f t="shared" si="1"/>
        <v>0</v>
      </c>
      <c r="AA18" s="2">
        <f t="shared" si="1"/>
        <v>0</v>
      </c>
      <c r="AB18" s="2">
        <f t="shared" si="1"/>
        <v>0</v>
      </c>
      <c r="AC18" s="2">
        <f t="shared" si="1"/>
        <v>0</v>
      </c>
      <c r="AD18" s="2">
        <f t="shared" si="1"/>
        <v>0</v>
      </c>
      <c r="AE18" s="2">
        <f t="shared" si="1"/>
        <v>0</v>
      </c>
      <c r="AF18" s="2">
        <f t="shared" si="1"/>
        <v>0</v>
      </c>
      <c r="AG18" s="2">
        <f t="shared" si="1"/>
        <v>0</v>
      </c>
      <c r="AH18" s="2">
        <f t="shared" si="1"/>
        <v>0</v>
      </c>
      <c r="AI18" s="2">
        <f t="shared" si="1"/>
        <v>0</v>
      </c>
      <c r="AJ18" s="2">
        <f t="shared" si="1"/>
        <v>0</v>
      </c>
      <c r="AK18" s="2">
        <f t="shared" si="1"/>
        <v>0</v>
      </c>
      <c r="AL18" s="2">
        <f t="shared" si="1"/>
        <v>0</v>
      </c>
      <c r="AM18" s="2">
        <f t="shared" si="1"/>
        <v>0</v>
      </c>
      <c r="AN18" s="2">
        <f t="shared" si="1"/>
        <v>0</v>
      </c>
      <c r="AO18" s="2">
        <f t="shared" si="1"/>
        <v>0</v>
      </c>
      <c r="AP18" s="2">
        <f t="shared" si="1"/>
        <v>0</v>
      </c>
      <c r="AQ18" s="2">
        <f t="shared" si="1"/>
        <v>0</v>
      </c>
      <c r="AR18" s="2">
        <f t="shared" si="1"/>
        <v>499488.63</v>
      </c>
      <c r="AS18" s="2">
        <f t="shared" si="1"/>
        <v>65126.11</v>
      </c>
      <c r="AT18" s="2">
        <f t="shared" si="1"/>
        <v>0</v>
      </c>
      <c r="AU18" s="2">
        <f t="shared" ref="AU18:BZ18" si="2">AU65</f>
        <v>434362.52</v>
      </c>
      <c r="AV18" s="2">
        <f t="shared" si="2"/>
        <v>4021.38</v>
      </c>
      <c r="AW18" s="2">
        <f t="shared" si="2"/>
        <v>4021.38</v>
      </c>
      <c r="AX18" s="2">
        <f t="shared" si="2"/>
        <v>0</v>
      </c>
      <c r="AY18" s="2">
        <f t="shared" si="2"/>
        <v>4021.38</v>
      </c>
      <c r="AZ18" s="2">
        <f t="shared" si="2"/>
        <v>0</v>
      </c>
      <c r="BA18" s="2">
        <f t="shared" si="2"/>
        <v>0</v>
      </c>
      <c r="BB18" s="2">
        <f t="shared" si="2"/>
        <v>0</v>
      </c>
      <c r="BC18" s="2">
        <f t="shared" si="2"/>
        <v>0</v>
      </c>
      <c r="BD18" s="2">
        <f t="shared" si="2"/>
        <v>0</v>
      </c>
      <c r="BE18" s="2">
        <f t="shared" si="2"/>
        <v>0</v>
      </c>
      <c r="BF18" s="2">
        <f t="shared" si="2"/>
        <v>0</v>
      </c>
      <c r="BG18" s="2">
        <f t="shared" si="2"/>
        <v>0</v>
      </c>
      <c r="BH18" s="2">
        <f t="shared" si="2"/>
        <v>0</v>
      </c>
      <c r="BI18" s="2">
        <f t="shared" si="2"/>
        <v>0</v>
      </c>
      <c r="BJ18" s="2">
        <f t="shared" si="2"/>
        <v>0</v>
      </c>
      <c r="BK18" s="2">
        <f t="shared" si="2"/>
        <v>0</v>
      </c>
      <c r="BL18" s="2">
        <f t="shared" si="2"/>
        <v>0</v>
      </c>
      <c r="BM18" s="2">
        <f t="shared" si="2"/>
        <v>0</v>
      </c>
      <c r="BN18" s="2">
        <f t="shared" si="2"/>
        <v>0</v>
      </c>
      <c r="BO18" s="2">
        <f t="shared" si="2"/>
        <v>0</v>
      </c>
      <c r="BP18" s="2">
        <f t="shared" si="2"/>
        <v>0</v>
      </c>
      <c r="BQ18" s="2">
        <f t="shared" si="2"/>
        <v>0</v>
      </c>
      <c r="BR18" s="2">
        <f t="shared" si="2"/>
        <v>0</v>
      </c>
      <c r="BS18" s="2">
        <f t="shared" si="2"/>
        <v>0</v>
      </c>
      <c r="BT18" s="2">
        <f t="shared" si="2"/>
        <v>0</v>
      </c>
      <c r="BU18" s="2">
        <f t="shared" si="2"/>
        <v>0</v>
      </c>
      <c r="BV18" s="2">
        <f t="shared" si="2"/>
        <v>0</v>
      </c>
      <c r="BW18" s="2">
        <f t="shared" si="2"/>
        <v>0</v>
      </c>
      <c r="BX18" s="2">
        <f t="shared" si="2"/>
        <v>0</v>
      </c>
      <c r="BY18" s="2">
        <f t="shared" si="2"/>
        <v>0</v>
      </c>
      <c r="BZ18" s="2">
        <f t="shared" si="2"/>
        <v>0</v>
      </c>
      <c r="CA18" s="2">
        <f t="shared" ref="CA18:DF18" si="3">CA65</f>
        <v>0</v>
      </c>
      <c r="CB18" s="2">
        <f t="shared" si="3"/>
        <v>0</v>
      </c>
      <c r="CC18" s="2">
        <f t="shared" si="3"/>
        <v>0</v>
      </c>
      <c r="CD18" s="2">
        <f t="shared" si="3"/>
        <v>0</v>
      </c>
      <c r="CE18" s="2">
        <f t="shared" si="3"/>
        <v>0</v>
      </c>
      <c r="CF18" s="2">
        <f t="shared" si="3"/>
        <v>0</v>
      </c>
      <c r="CG18" s="2">
        <f t="shared" si="3"/>
        <v>0</v>
      </c>
      <c r="CH18" s="2">
        <f t="shared" si="3"/>
        <v>0</v>
      </c>
      <c r="CI18" s="2">
        <f t="shared" si="3"/>
        <v>0</v>
      </c>
      <c r="CJ18" s="2">
        <f t="shared" si="3"/>
        <v>0</v>
      </c>
      <c r="CK18" s="2">
        <f t="shared" si="3"/>
        <v>0</v>
      </c>
      <c r="CL18" s="2">
        <f t="shared" si="3"/>
        <v>0</v>
      </c>
      <c r="CM18" s="2">
        <f t="shared" si="3"/>
        <v>0</v>
      </c>
      <c r="CN18" s="2">
        <f t="shared" si="3"/>
        <v>0</v>
      </c>
      <c r="CO18" s="2">
        <f t="shared" si="3"/>
        <v>0</v>
      </c>
      <c r="CP18" s="2">
        <f t="shared" si="3"/>
        <v>0</v>
      </c>
      <c r="CQ18" s="2">
        <f t="shared" si="3"/>
        <v>0</v>
      </c>
      <c r="CR18" s="2">
        <f t="shared" si="3"/>
        <v>0</v>
      </c>
      <c r="CS18" s="2">
        <f t="shared" si="3"/>
        <v>0</v>
      </c>
      <c r="CT18" s="2">
        <f t="shared" si="3"/>
        <v>0</v>
      </c>
      <c r="CU18" s="2">
        <f t="shared" si="3"/>
        <v>0</v>
      </c>
      <c r="CV18" s="2">
        <f t="shared" si="3"/>
        <v>0</v>
      </c>
      <c r="CW18" s="2">
        <f t="shared" si="3"/>
        <v>0</v>
      </c>
      <c r="CX18" s="2">
        <f t="shared" si="3"/>
        <v>0</v>
      </c>
      <c r="CY18" s="2">
        <f t="shared" si="3"/>
        <v>0</v>
      </c>
      <c r="CZ18" s="2">
        <f t="shared" si="3"/>
        <v>0</v>
      </c>
      <c r="DA18" s="2">
        <f t="shared" si="3"/>
        <v>0</v>
      </c>
      <c r="DB18" s="2">
        <f t="shared" si="3"/>
        <v>0</v>
      </c>
      <c r="DC18" s="2">
        <f t="shared" si="3"/>
        <v>0</v>
      </c>
      <c r="DD18" s="2">
        <f t="shared" si="3"/>
        <v>0</v>
      </c>
      <c r="DE18" s="2">
        <f t="shared" si="3"/>
        <v>0</v>
      </c>
      <c r="DF18" s="2">
        <f t="shared" si="3"/>
        <v>0</v>
      </c>
      <c r="DG18" s="3">
        <f t="shared" ref="DG18:EL18" si="4">DG65</f>
        <v>0</v>
      </c>
      <c r="DH18" s="3">
        <f t="shared" si="4"/>
        <v>0</v>
      </c>
      <c r="DI18" s="3">
        <f t="shared" si="4"/>
        <v>0</v>
      </c>
      <c r="DJ18" s="3">
        <f t="shared" si="4"/>
        <v>0</v>
      </c>
      <c r="DK18" s="3">
        <f t="shared" si="4"/>
        <v>0</v>
      </c>
      <c r="DL18" s="3">
        <f t="shared" si="4"/>
        <v>0</v>
      </c>
      <c r="DM18" s="3">
        <f t="shared" si="4"/>
        <v>0</v>
      </c>
      <c r="DN18" s="3">
        <f t="shared" si="4"/>
        <v>0</v>
      </c>
      <c r="DO18" s="3">
        <f t="shared" si="4"/>
        <v>0</v>
      </c>
      <c r="DP18" s="3">
        <f t="shared" si="4"/>
        <v>0</v>
      </c>
      <c r="DQ18" s="3">
        <f t="shared" si="4"/>
        <v>0</v>
      </c>
      <c r="DR18" s="3">
        <f t="shared" si="4"/>
        <v>0</v>
      </c>
      <c r="DS18" s="3">
        <f t="shared" si="4"/>
        <v>0</v>
      </c>
      <c r="DT18" s="3">
        <f t="shared" si="4"/>
        <v>0</v>
      </c>
      <c r="DU18" s="3">
        <f t="shared" si="4"/>
        <v>0</v>
      </c>
      <c r="DV18" s="3">
        <f t="shared" si="4"/>
        <v>0</v>
      </c>
      <c r="DW18" s="3">
        <f t="shared" si="4"/>
        <v>0</v>
      </c>
      <c r="DX18" s="3">
        <f t="shared" si="4"/>
        <v>0</v>
      </c>
      <c r="DY18" s="3">
        <f t="shared" si="4"/>
        <v>0</v>
      </c>
      <c r="DZ18" s="3">
        <f t="shared" si="4"/>
        <v>0</v>
      </c>
      <c r="EA18" s="3">
        <f t="shared" si="4"/>
        <v>0</v>
      </c>
      <c r="EB18" s="3">
        <f t="shared" si="4"/>
        <v>0</v>
      </c>
      <c r="EC18" s="3">
        <f t="shared" si="4"/>
        <v>0</v>
      </c>
      <c r="ED18" s="3">
        <f t="shared" si="4"/>
        <v>0</v>
      </c>
      <c r="EE18" s="3">
        <f t="shared" si="4"/>
        <v>0</v>
      </c>
      <c r="EF18" s="3">
        <f t="shared" si="4"/>
        <v>0</v>
      </c>
      <c r="EG18" s="3">
        <f t="shared" si="4"/>
        <v>0</v>
      </c>
      <c r="EH18" s="3">
        <f t="shared" si="4"/>
        <v>0</v>
      </c>
      <c r="EI18" s="3">
        <f t="shared" si="4"/>
        <v>0</v>
      </c>
      <c r="EJ18" s="3">
        <f t="shared" si="4"/>
        <v>0</v>
      </c>
      <c r="EK18" s="3">
        <f t="shared" si="4"/>
        <v>0</v>
      </c>
      <c r="EL18" s="3">
        <f t="shared" si="4"/>
        <v>0</v>
      </c>
      <c r="EM18" s="3">
        <f t="shared" ref="EM18:FR18" si="5">EM65</f>
        <v>0</v>
      </c>
      <c r="EN18" s="3">
        <f t="shared" si="5"/>
        <v>0</v>
      </c>
      <c r="EO18" s="3">
        <f t="shared" si="5"/>
        <v>0</v>
      </c>
      <c r="EP18" s="3">
        <f t="shared" si="5"/>
        <v>0</v>
      </c>
      <c r="EQ18" s="3">
        <f t="shared" si="5"/>
        <v>0</v>
      </c>
      <c r="ER18" s="3">
        <f t="shared" si="5"/>
        <v>0</v>
      </c>
      <c r="ES18" s="3">
        <f t="shared" si="5"/>
        <v>0</v>
      </c>
      <c r="ET18" s="3">
        <f t="shared" si="5"/>
        <v>0</v>
      </c>
      <c r="EU18" s="3">
        <f t="shared" si="5"/>
        <v>0</v>
      </c>
      <c r="EV18" s="3">
        <f t="shared" si="5"/>
        <v>0</v>
      </c>
      <c r="EW18" s="3">
        <f t="shared" si="5"/>
        <v>0</v>
      </c>
      <c r="EX18" s="3">
        <f t="shared" si="5"/>
        <v>0</v>
      </c>
      <c r="EY18" s="3">
        <f t="shared" si="5"/>
        <v>0</v>
      </c>
      <c r="EZ18" s="3">
        <f t="shared" si="5"/>
        <v>0</v>
      </c>
      <c r="FA18" s="3">
        <f t="shared" si="5"/>
        <v>0</v>
      </c>
      <c r="FB18" s="3">
        <f t="shared" si="5"/>
        <v>0</v>
      </c>
      <c r="FC18" s="3">
        <f t="shared" si="5"/>
        <v>0</v>
      </c>
      <c r="FD18" s="3">
        <f t="shared" si="5"/>
        <v>0</v>
      </c>
      <c r="FE18" s="3">
        <f t="shared" si="5"/>
        <v>0</v>
      </c>
      <c r="FF18" s="3">
        <f t="shared" si="5"/>
        <v>0</v>
      </c>
      <c r="FG18" s="3">
        <f t="shared" si="5"/>
        <v>0</v>
      </c>
      <c r="FH18" s="3">
        <f t="shared" si="5"/>
        <v>0</v>
      </c>
      <c r="FI18" s="3">
        <f t="shared" si="5"/>
        <v>0</v>
      </c>
      <c r="FJ18" s="3">
        <f t="shared" si="5"/>
        <v>0</v>
      </c>
      <c r="FK18" s="3">
        <f t="shared" si="5"/>
        <v>0</v>
      </c>
      <c r="FL18" s="3">
        <f t="shared" si="5"/>
        <v>0</v>
      </c>
      <c r="FM18" s="3">
        <f t="shared" si="5"/>
        <v>0</v>
      </c>
      <c r="FN18" s="3">
        <f t="shared" si="5"/>
        <v>0</v>
      </c>
      <c r="FO18" s="3">
        <f t="shared" si="5"/>
        <v>0</v>
      </c>
      <c r="FP18" s="3">
        <f t="shared" si="5"/>
        <v>0</v>
      </c>
      <c r="FQ18" s="3">
        <f t="shared" si="5"/>
        <v>0</v>
      </c>
      <c r="FR18" s="3">
        <f t="shared" si="5"/>
        <v>0</v>
      </c>
      <c r="FS18" s="3">
        <f t="shared" ref="FS18:GX18" si="6">FS65</f>
        <v>0</v>
      </c>
      <c r="FT18" s="3">
        <f t="shared" si="6"/>
        <v>0</v>
      </c>
      <c r="FU18" s="3">
        <f t="shared" si="6"/>
        <v>0</v>
      </c>
      <c r="FV18" s="3">
        <f t="shared" si="6"/>
        <v>0</v>
      </c>
      <c r="FW18" s="3">
        <f t="shared" si="6"/>
        <v>0</v>
      </c>
      <c r="FX18" s="3">
        <f t="shared" si="6"/>
        <v>0</v>
      </c>
      <c r="FY18" s="3">
        <f t="shared" si="6"/>
        <v>0</v>
      </c>
      <c r="FZ18" s="3">
        <f t="shared" si="6"/>
        <v>0</v>
      </c>
      <c r="GA18" s="3">
        <f t="shared" si="6"/>
        <v>0</v>
      </c>
      <c r="GB18" s="3">
        <f t="shared" si="6"/>
        <v>0</v>
      </c>
      <c r="GC18" s="3">
        <f t="shared" si="6"/>
        <v>0</v>
      </c>
      <c r="GD18" s="3">
        <f t="shared" si="6"/>
        <v>0</v>
      </c>
      <c r="GE18" s="3">
        <f t="shared" si="6"/>
        <v>0</v>
      </c>
      <c r="GF18" s="3">
        <f t="shared" si="6"/>
        <v>0</v>
      </c>
      <c r="GG18" s="3">
        <f t="shared" si="6"/>
        <v>0</v>
      </c>
      <c r="GH18" s="3">
        <f t="shared" si="6"/>
        <v>0</v>
      </c>
      <c r="GI18" s="3">
        <f t="shared" si="6"/>
        <v>0</v>
      </c>
      <c r="GJ18" s="3">
        <f t="shared" si="6"/>
        <v>0</v>
      </c>
      <c r="GK18" s="3">
        <f t="shared" si="6"/>
        <v>0</v>
      </c>
      <c r="GL18" s="3">
        <f t="shared" si="6"/>
        <v>0</v>
      </c>
      <c r="GM18" s="3">
        <f t="shared" si="6"/>
        <v>0</v>
      </c>
      <c r="GN18" s="3">
        <f t="shared" si="6"/>
        <v>0</v>
      </c>
      <c r="GO18" s="3">
        <f t="shared" si="6"/>
        <v>0</v>
      </c>
      <c r="GP18" s="3">
        <f t="shared" si="6"/>
        <v>0</v>
      </c>
      <c r="GQ18" s="3">
        <f t="shared" si="6"/>
        <v>0</v>
      </c>
      <c r="GR18" s="3">
        <f t="shared" si="6"/>
        <v>0</v>
      </c>
      <c r="GS18" s="3">
        <f t="shared" si="6"/>
        <v>0</v>
      </c>
      <c r="GT18" s="3">
        <f t="shared" si="6"/>
        <v>0</v>
      </c>
      <c r="GU18" s="3">
        <f t="shared" si="6"/>
        <v>0</v>
      </c>
      <c r="GV18" s="3">
        <f t="shared" si="6"/>
        <v>0</v>
      </c>
      <c r="GW18" s="3">
        <f t="shared" si="6"/>
        <v>0</v>
      </c>
      <c r="GX18" s="3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ROW(A35)</f>
        <v>35</v>
      </c>
      <c r="E20" s="1"/>
      <c r="F20" s="1" t="s">
        <v>14</v>
      </c>
      <c r="G20" s="1" t="s">
        <v>14</v>
      </c>
      <c r="H20" s="1" t="s">
        <v>3</v>
      </c>
      <c r="I20" s="1">
        <v>0</v>
      </c>
      <c r="J20" s="1" t="s">
        <v>3</v>
      </c>
      <c r="K20" s="1">
        <v>0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2">
        <v>52</v>
      </c>
      <c r="B22" s="2">
        <f t="shared" ref="B22:G22" si="7">B35</f>
        <v>1</v>
      </c>
      <c r="C22" s="2">
        <f t="shared" si="7"/>
        <v>3</v>
      </c>
      <c r="D22" s="2">
        <f t="shared" si="7"/>
        <v>20</v>
      </c>
      <c r="E22" s="2">
        <f t="shared" si="7"/>
        <v>0</v>
      </c>
      <c r="F22" s="2" t="str">
        <f t="shared" si="7"/>
        <v>Новая локальная смета</v>
      </c>
      <c r="G22" s="2" t="str">
        <f t="shared" si="7"/>
        <v>Новая локальная смета</v>
      </c>
      <c r="H22" s="2"/>
      <c r="I22" s="2"/>
      <c r="J22" s="2"/>
      <c r="K22" s="2"/>
      <c r="L22" s="2"/>
      <c r="M22" s="2"/>
      <c r="N22" s="2"/>
      <c r="O22" s="2">
        <f t="shared" ref="O22:AT22" si="8">O35</f>
        <v>480648.33</v>
      </c>
      <c r="P22" s="2">
        <f t="shared" si="8"/>
        <v>4021.38</v>
      </c>
      <c r="Q22" s="2">
        <f t="shared" si="8"/>
        <v>462974.56</v>
      </c>
      <c r="R22" s="2">
        <f t="shared" si="8"/>
        <v>7376.23</v>
      </c>
      <c r="S22" s="2">
        <f t="shared" si="8"/>
        <v>6276.16</v>
      </c>
      <c r="T22" s="2">
        <f t="shared" si="8"/>
        <v>0</v>
      </c>
      <c r="U22" s="2">
        <f t="shared" si="8"/>
        <v>21.195362500000002</v>
      </c>
      <c r="V22" s="2">
        <f t="shared" si="8"/>
        <v>18.589749999999999</v>
      </c>
      <c r="W22" s="2">
        <f t="shared" si="8"/>
        <v>0</v>
      </c>
      <c r="X22" s="2">
        <f t="shared" si="8"/>
        <v>12560.2</v>
      </c>
      <c r="Y22" s="2">
        <f t="shared" si="8"/>
        <v>6280.1</v>
      </c>
      <c r="Z22" s="2">
        <f t="shared" si="8"/>
        <v>0</v>
      </c>
      <c r="AA22" s="2">
        <f t="shared" si="8"/>
        <v>0</v>
      </c>
      <c r="AB22" s="2">
        <f t="shared" si="8"/>
        <v>480648.33</v>
      </c>
      <c r="AC22" s="2">
        <f t="shared" si="8"/>
        <v>4021.38</v>
      </c>
      <c r="AD22" s="2">
        <f t="shared" si="8"/>
        <v>462974.56</v>
      </c>
      <c r="AE22" s="2">
        <f t="shared" si="8"/>
        <v>7376.23</v>
      </c>
      <c r="AF22" s="2">
        <f t="shared" si="8"/>
        <v>6276.16</v>
      </c>
      <c r="AG22" s="2">
        <f t="shared" si="8"/>
        <v>0</v>
      </c>
      <c r="AH22" s="2">
        <f t="shared" si="8"/>
        <v>21.195362500000002</v>
      </c>
      <c r="AI22" s="2">
        <f t="shared" si="8"/>
        <v>18.589749999999999</v>
      </c>
      <c r="AJ22" s="2">
        <f t="shared" si="8"/>
        <v>0</v>
      </c>
      <c r="AK22" s="2">
        <f t="shared" si="8"/>
        <v>12560.2</v>
      </c>
      <c r="AL22" s="2">
        <f t="shared" si="8"/>
        <v>6280.1</v>
      </c>
      <c r="AM22" s="2">
        <f t="shared" si="8"/>
        <v>0</v>
      </c>
      <c r="AN22" s="2">
        <f t="shared" si="8"/>
        <v>0</v>
      </c>
      <c r="AO22" s="2">
        <f t="shared" si="8"/>
        <v>0</v>
      </c>
      <c r="AP22" s="2">
        <f t="shared" si="8"/>
        <v>0</v>
      </c>
      <c r="AQ22" s="2">
        <f t="shared" si="8"/>
        <v>0</v>
      </c>
      <c r="AR22" s="2">
        <f t="shared" si="8"/>
        <v>499488.63</v>
      </c>
      <c r="AS22" s="2">
        <f t="shared" si="8"/>
        <v>65126.11</v>
      </c>
      <c r="AT22" s="2">
        <f t="shared" si="8"/>
        <v>0</v>
      </c>
      <c r="AU22" s="2">
        <f t="shared" ref="AU22:BZ22" si="9">AU35</f>
        <v>434362.52</v>
      </c>
      <c r="AV22" s="2">
        <f t="shared" si="9"/>
        <v>4021.38</v>
      </c>
      <c r="AW22" s="2">
        <f t="shared" si="9"/>
        <v>4021.38</v>
      </c>
      <c r="AX22" s="2">
        <f t="shared" si="9"/>
        <v>0</v>
      </c>
      <c r="AY22" s="2">
        <f t="shared" si="9"/>
        <v>4021.38</v>
      </c>
      <c r="AZ22" s="2">
        <f t="shared" si="9"/>
        <v>0</v>
      </c>
      <c r="BA22" s="2">
        <f t="shared" si="9"/>
        <v>0</v>
      </c>
      <c r="BB22" s="2">
        <f t="shared" si="9"/>
        <v>0</v>
      </c>
      <c r="BC22" s="2">
        <f t="shared" si="9"/>
        <v>0</v>
      </c>
      <c r="BD22" s="2">
        <f t="shared" si="9"/>
        <v>0</v>
      </c>
      <c r="BE22" s="2">
        <f t="shared" si="9"/>
        <v>0</v>
      </c>
      <c r="BF22" s="2">
        <f t="shared" si="9"/>
        <v>0</v>
      </c>
      <c r="BG22" s="2">
        <f t="shared" si="9"/>
        <v>0</v>
      </c>
      <c r="BH22" s="2">
        <f t="shared" si="9"/>
        <v>0</v>
      </c>
      <c r="BI22" s="2">
        <f t="shared" si="9"/>
        <v>0</v>
      </c>
      <c r="BJ22" s="2">
        <f t="shared" si="9"/>
        <v>0</v>
      </c>
      <c r="BK22" s="2">
        <f t="shared" si="9"/>
        <v>0</v>
      </c>
      <c r="BL22" s="2">
        <f t="shared" si="9"/>
        <v>0</v>
      </c>
      <c r="BM22" s="2">
        <f t="shared" si="9"/>
        <v>0</v>
      </c>
      <c r="BN22" s="2">
        <f t="shared" si="9"/>
        <v>0</v>
      </c>
      <c r="BO22" s="2">
        <f t="shared" si="9"/>
        <v>0</v>
      </c>
      <c r="BP22" s="2">
        <f t="shared" si="9"/>
        <v>0</v>
      </c>
      <c r="BQ22" s="2">
        <f t="shared" si="9"/>
        <v>0</v>
      </c>
      <c r="BR22" s="2">
        <f t="shared" si="9"/>
        <v>0</v>
      </c>
      <c r="BS22" s="2">
        <f t="shared" si="9"/>
        <v>0</v>
      </c>
      <c r="BT22" s="2">
        <f t="shared" si="9"/>
        <v>0</v>
      </c>
      <c r="BU22" s="2">
        <f t="shared" si="9"/>
        <v>0</v>
      </c>
      <c r="BV22" s="2">
        <f t="shared" si="9"/>
        <v>0</v>
      </c>
      <c r="BW22" s="2">
        <f t="shared" si="9"/>
        <v>0</v>
      </c>
      <c r="BX22" s="2">
        <f t="shared" si="9"/>
        <v>0</v>
      </c>
      <c r="BY22" s="2">
        <f t="shared" si="9"/>
        <v>0</v>
      </c>
      <c r="BZ22" s="2">
        <f t="shared" si="9"/>
        <v>0</v>
      </c>
      <c r="CA22" s="2">
        <f t="shared" ref="CA22:DF22" si="10">CA35</f>
        <v>499488.63</v>
      </c>
      <c r="CB22" s="2">
        <f t="shared" si="10"/>
        <v>65126.11</v>
      </c>
      <c r="CC22" s="2">
        <f t="shared" si="10"/>
        <v>0</v>
      </c>
      <c r="CD22" s="2">
        <f t="shared" si="10"/>
        <v>434362.52</v>
      </c>
      <c r="CE22" s="2">
        <f t="shared" si="10"/>
        <v>4021.38</v>
      </c>
      <c r="CF22" s="2">
        <f t="shared" si="10"/>
        <v>4021.38</v>
      </c>
      <c r="CG22" s="2">
        <f t="shared" si="10"/>
        <v>0</v>
      </c>
      <c r="CH22" s="2">
        <f t="shared" si="10"/>
        <v>4021.38</v>
      </c>
      <c r="CI22" s="2">
        <f t="shared" si="10"/>
        <v>0</v>
      </c>
      <c r="CJ22" s="2">
        <f t="shared" si="10"/>
        <v>0</v>
      </c>
      <c r="CK22" s="2">
        <f t="shared" si="10"/>
        <v>0</v>
      </c>
      <c r="CL22" s="2">
        <f t="shared" si="10"/>
        <v>0</v>
      </c>
      <c r="CM22" s="2">
        <f t="shared" si="10"/>
        <v>0</v>
      </c>
      <c r="CN22" s="2">
        <f t="shared" si="10"/>
        <v>0</v>
      </c>
      <c r="CO22" s="2">
        <f t="shared" si="10"/>
        <v>0</v>
      </c>
      <c r="CP22" s="2">
        <f t="shared" si="10"/>
        <v>0</v>
      </c>
      <c r="CQ22" s="2">
        <f t="shared" si="10"/>
        <v>0</v>
      </c>
      <c r="CR22" s="2">
        <f t="shared" si="10"/>
        <v>0</v>
      </c>
      <c r="CS22" s="2">
        <f t="shared" si="10"/>
        <v>0</v>
      </c>
      <c r="CT22" s="2">
        <f t="shared" si="10"/>
        <v>0</v>
      </c>
      <c r="CU22" s="2">
        <f t="shared" si="10"/>
        <v>0</v>
      </c>
      <c r="CV22" s="2">
        <f t="shared" si="10"/>
        <v>0</v>
      </c>
      <c r="CW22" s="2">
        <f t="shared" si="10"/>
        <v>0</v>
      </c>
      <c r="CX22" s="2">
        <f t="shared" si="10"/>
        <v>0</v>
      </c>
      <c r="CY22" s="2">
        <f t="shared" si="10"/>
        <v>0</v>
      </c>
      <c r="CZ22" s="2">
        <f t="shared" si="10"/>
        <v>0</v>
      </c>
      <c r="DA22" s="2">
        <f t="shared" si="10"/>
        <v>0</v>
      </c>
      <c r="DB22" s="2">
        <f t="shared" si="10"/>
        <v>0</v>
      </c>
      <c r="DC22" s="2">
        <f t="shared" si="10"/>
        <v>0</v>
      </c>
      <c r="DD22" s="2">
        <f t="shared" si="10"/>
        <v>0</v>
      </c>
      <c r="DE22" s="2">
        <f t="shared" si="10"/>
        <v>0</v>
      </c>
      <c r="DF22" s="2">
        <f t="shared" si="10"/>
        <v>0</v>
      </c>
      <c r="DG22" s="3">
        <f t="shared" ref="DG22:EL22" si="11">DG35</f>
        <v>0</v>
      </c>
      <c r="DH22" s="3">
        <f t="shared" si="11"/>
        <v>0</v>
      </c>
      <c r="DI22" s="3">
        <f t="shared" si="11"/>
        <v>0</v>
      </c>
      <c r="DJ22" s="3">
        <f t="shared" si="11"/>
        <v>0</v>
      </c>
      <c r="DK22" s="3">
        <f t="shared" si="11"/>
        <v>0</v>
      </c>
      <c r="DL22" s="3">
        <f t="shared" si="11"/>
        <v>0</v>
      </c>
      <c r="DM22" s="3">
        <f t="shared" si="11"/>
        <v>0</v>
      </c>
      <c r="DN22" s="3">
        <f t="shared" si="11"/>
        <v>0</v>
      </c>
      <c r="DO22" s="3">
        <f t="shared" si="11"/>
        <v>0</v>
      </c>
      <c r="DP22" s="3">
        <f t="shared" si="11"/>
        <v>0</v>
      </c>
      <c r="DQ22" s="3">
        <f t="shared" si="11"/>
        <v>0</v>
      </c>
      <c r="DR22" s="3">
        <f t="shared" si="11"/>
        <v>0</v>
      </c>
      <c r="DS22" s="3">
        <f t="shared" si="11"/>
        <v>0</v>
      </c>
      <c r="DT22" s="3">
        <f t="shared" si="11"/>
        <v>0</v>
      </c>
      <c r="DU22" s="3">
        <f t="shared" si="11"/>
        <v>0</v>
      </c>
      <c r="DV22" s="3">
        <f t="shared" si="11"/>
        <v>0</v>
      </c>
      <c r="DW22" s="3">
        <f t="shared" si="11"/>
        <v>0</v>
      </c>
      <c r="DX22" s="3">
        <f t="shared" si="11"/>
        <v>0</v>
      </c>
      <c r="DY22" s="3">
        <f t="shared" si="11"/>
        <v>0</v>
      </c>
      <c r="DZ22" s="3">
        <f t="shared" si="11"/>
        <v>0</v>
      </c>
      <c r="EA22" s="3">
        <f t="shared" si="11"/>
        <v>0</v>
      </c>
      <c r="EB22" s="3">
        <f t="shared" si="11"/>
        <v>0</v>
      </c>
      <c r="EC22" s="3">
        <f t="shared" si="11"/>
        <v>0</v>
      </c>
      <c r="ED22" s="3">
        <f t="shared" si="11"/>
        <v>0</v>
      </c>
      <c r="EE22" s="3">
        <f t="shared" si="11"/>
        <v>0</v>
      </c>
      <c r="EF22" s="3">
        <f t="shared" si="11"/>
        <v>0</v>
      </c>
      <c r="EG22" s="3">
        <f t="shared" si="11"/>
        <v>0</v>
      </c>
      <c r="EH22" s="3">
        <f t="shared" si="11"/>
        <v>0</v>
      </c>
      <c r="EI22" s="3">
        <f t="shared" si="11"/>
        <v>0</v>
      </c>
      <c r="EJ22" s="3">
        <f t="shared" si="11"/>
        <v>0</v>
      </c>
      <c r="EK22" s="3">
        <f t="shared" si="11"/>
        <v>0</v>
      </c>
      <c r="EL22" s="3">
        <f t="shared" si="11"/>
        <v>0</v>
      </c>
      <c r="EM22" s="3">
        <f t="shared" ref="EM22:FR22" si="12">EM35</f>
        <v>0</v>
      </c>
      <c r="EN22" s="3">
        <f t="shared" si="12"/>
        <v>0</v>
      </c>
      <c r="EO22" s="3">
        <f t="shared" si="12"/>
        <v>0</v>
      </c>
      <c r="EP22" s="3">
        <f t="shared" si="12"/>
        <v>0</v>
      </c>
      <c r="EQ22" s="3">
        <f t="shared" si="12"/>
        <v>0</v>
      </c>
      <c r="ER22" s="3">
        <f t="shared" si="12"/>
        <v>0</v>
      </c>
      <c r="ES22" s="3">
        <f t="shared" si="12"/>
        <v>0</v>
      </c>
      <c r="ET22" s="3">
        <f t="shared" si="12"/>
        <v>0</v>
      </c>
      <c r="EU22" s="3">
        <f t="shared" si="12"/>
        <v>0</v>
      </c>
      <c r="EV22" s="3">
        <f t="shared" si="12"/>
        <v>0</v>
      </c>
      <c r="EW22" s="3">
        <f t="shared" si="12"/>
        <v>0</v>
      </c>
      <c r="EX22" s="3">
        <f t="shared" si="12"/>
        <v>0</v>
      </c>
      <c r="EY22" s="3">
        <f t="shared" si="12"/>
        <v>0</v>
      </c>
      <c r="EZ22" s="3">
        <f t="shared" si="12"/>
        <v>0</v>
      </c>
      <c r="FA22" s="3">
        <f t="shared" si="12"/>
        <v>0</v>
      </c>
      <c r="FB22" s="3">
        <f t="shared" si="12"/>
        <v>0</v>
      </c>
      <c r="FC22" s="3">
        <f t="shared" si="12"/>
        <v>0</v>
      </c>
      <c r="FD22" s="3">
        <f t="shared" si="12"/>
        <v>0</v>
      </c>
      <c r="FE22" s="3">
        <f t="shared" si="12"/>
        <v>0</v>
      </c>
      <c r="FF22" s="3">
        <f t="shared" si="12"/>
        <v>0</v>
      </c>
      <c r="FG22" s="3">
        <f t="shared" si="12"/>
        <v>0</v>
      </c>
      <c r="FH22" s="3">
        <f t="shared" si="12"/>
        <v>0</v>
      </c>
      <c r="FI22" s="3">
        <f t="shared" si="12"/>
        <v>0</v>
      </c>
      <c r="FJ22" s="3">
        <f t="shared" si="12"/>
        <v>0</v>
      </c>
      <c r="FK22" s="3">
        <f t="shared" si="12"/>
        <v>0</v>
      </c>
      <c r="FL22" s="3">
        <f t="shared" si="12"/>
        <v>0</v>
      </c>
      <c r="FM22" s="3">
        <f t="shared" si="12"/>
        <v>0</v>
      </c>
      <c r="FN22" s="3">
        <f t="shared" si="12"/>
        <v>0</v>
      </c>
      <c r="FO22" s="3">
        <f t="shared" si="12"/>
        <v>0</v>
      </c>
      <c r="FP22" s="3">
        <f t="shared" si="12"/>
        <v>0</v>
      </c>
      <c r="FQ22" s="3">
        <f t="shared" si="12"/>
        <v>0</v>
      </c>
      <c r="FR22" s="3">
        <f t="shared" si="12"/>
        <v>0</v>
      </c>
      <c r="FS22" s="3">
        <f t="shared" ref="FS22:GX22" si="13">FS35</f>
        <v>0</v>
      </c>
      <c r="FT22" s="3">
        <f t="shared" si="13"/>
        <v>0</v>
      </c>
      <c r="FU22" s="3">
        <f t="shared" si="13"/>
        <v>0</v>
      </c>
      <c r="FV22" s="3">
        <f t="shared" si="13"/>
        <v>0</v>
      </c>
      <c r="FW22" s="3">
        <f t="shared" si="13"/>
        <v>0</v>
      </c>
      <c r="FX22" s="3">
        <f t="shared" si="13"/>
        <v>0</v>
      </c>
      <c r="FY22" s="3">
        <f t="shared" si="13"/>
        <v>0</v>
      </c>
      <c r="FZ22" s="3">
        <f t="shared" si="13"/>
        <v>0</v>
      </c>
      <c r="GA22" s="3">
        <f t="shared" si="13"/>
        <v>0</v>
      </c>
      <c r="GB22" s="3">
        <f t="shared" si="13"/>
        <v>0</v>
      </c>
      <c r="GC22" s="3">
        <f t="shared" si="13"/>
        <v>0</v>
      </c>
      <c r="GD22" s="3">
        <f t="shared" si="13"/>
        <v>0</v>
      </c>
      <c r="GE22" s="3">
        <f t="shared" si="13"/>
        <v>0</v>
      </c>
      <c r="GF22" s="3">
        <f t="shared" si="13"/>
        <v>0</v>
      </c>
      <c r="GG22" s="3">
        <f t="shared" si="13"/>
        <v>0</v>
      </c>
      <c r="GH22" s="3">
        <f t="shared" si="13"/>
        <v>0</v>
      </c>
      <c r="GI22" s="3">
        <f t="shared" si="13"/>
        <v>0</v>
      </c>
      <c r="GJ22" s="3">
        <f t="shared" si="13"/>
        <v>0</v>
      </c>
      <c r="GK22" s="3">
        <f t="shared" si="13"/>
        <v>0</v>
      </c>
      <c r="GL22" s="3">
        <f t="shared" si="13"/>
        <v>0</v>
      </c>
      <c r="GM22" s="3">
        <f t="shared" si="13"/>
        <v>0</v>
      </c>
      <c r="GN22" s="3">
        <f t="shared" si="13"/>
        <v>0</v>
      </c>
      <c r="GO22" s="3">
        <f t="shared" si="13"/>
        <v>0</v>
      </c>
      <c r="GP22" s="3">
        <f t="shared" si="13"/>
        <v>0</v>
      </c>
      <c r="GQ22" s="3">
        <f t="shared" si="13"/>
        <v>0</v>
      </c>
      <c r="GR22" s="3">
        <f t="shared" si="13"/>
        <v>0</v>
      </c>
      <c r="GS22" s="3">
        <f t="shared" si="13"/>
        <v>0</v>
      </c>
      <c r="GT22" s="3">
        <f t="shared" si="13"/>
        <v>0</v>
      </c>
      <c r="GU22" s="3">
        <f t="shared" si="13"/>
        <v>0</v>
      </c>
      <c r="GV22" s="3">
        <f t="shared" si="13"/>
        <v>0</v>
      </c>
      <c r="GW22" s="3">
        <f t="shared" si="13"/>
        <v>0</v>
      </c>
      <c r="GX22" s="3">
        <f t="shared" si="13"/>
        <v>0</v>
      </c>
    </row>
    <row r="24" spans="1:245" x14ac:dyDescent="0.2">
      <c r="A24">
        <v>17</v>
      </c>
      <c r="B24">
        <v>1</v>
      </c>
      <c r="C24">
        <f>ROW(SmtRes!A2)</f>
        <v>2</v>
      </c>
      <c r="D24">
        <f>ROW(EtalonRes!A2)</f>
        <v>2</v>
      </c>
      <c r="E24" t="s">
        <v>15</v>
      </c>
      <c r="F24" t="s">
        <v>16</v>
      </c>
      <c r="G24" t="s">
        <v>17</v>
      </c>
      <c r="H24" t="s">
        <v>18</v>
      </c>
      <c r="I24">
        <f>ROUND(1325/1000,7)</f>
        <v>1.325</v>
      </c>
      <c r="J24">
        <v>0</v>
      </c>
      <c r="K24">
        <f>ROUND(1325/1000,7)</f>
        <v>1.325</v>
      </c>
      <c r="O24">
        <f t="shared" ref="O24:O33" si="14">ROUND(CP24,2)</f>
        <v>0</v>
      </c>
      <c r="P24">
        <f>SUMIF(SmtRes!AQ1:'SmtRes'!AQ2,"=1",SmtRes!DF1:'SmtRes'!DF2)</f>
        <v>0</v>
      </c>
      <c r="Q24">
        <f>SUMIF(SmtRes!AQ1:'SmtRes'!AQ2,"=1",SmtRes!DG1:'SmtRes'!DG2)</f>
        <v>0</v>
      </c>
      <c r="R24">
        <f>SUMIF(SmtRes!AQ1:'SmtRes'!AQ2,"=1",SmtRes!DH1:'SmtRes'!DH2)</f>
        <v>0</v>
      </c>
      <c r="S24">
        <f>SUMIF(SmtRes!AQ1:'SmtRes'!AQ2,"=1",SmtRes!DI1:'SmtRes'!DI2)</f>
        <v>0</v>
      </c>
      <c r="T24">
        <f t="shared" ref="T24:T33" si="15">ROUND(CU24*I24,2)</f>
        <v>0</v>
      </c>
      <c r="U24">
        <f>SUMIF(SmtRes!AQ1:'SmtRes'!AQ2,"=1",SmtRes!CV1:'SmtRes'!CV2)</f>
        <v>0</v>
      </c>
      <c r="V24">
        <f>SUMIF(SmtRes!AQ1:'SmtRes'!AQ2,"=1",SmtRes!CW1:'SmtRes'!CW2)</f>
        <v>0</v>
      </c>
      <c r="W24">
        <f t="shared" ref="W24:W33" si="16">ROUND(CX24*I24,2)</f>
        <v>0</v>
      </c>
      <c r="X24">
        <f t="shared" ref="X24:X33" si="17">ROUND(CY24,2)</f>
        <v>0</v>
      </c>
      <c r="Y24">
        <f t="shared" ref="Y24:Y33" si="18">ROUND(CZ24,2)</f>
        <v>0</v>
      </c>
      <c r="AA24">
        <v>50279781</v>
      </c>
      <c r="AB24">
        <f t="shared" ref="AB24:AB33" si="19">ROUND((AC24+AD24+AF24),6)</f>
        <v>0</v>
      </c>
      <c r="AC24">
        <f>ROUND((0),6)</f>
        <v>0</v>
      </c>
      <c r="AD24">
        <f>ROUND((((0)-(0))+AE24),6)</f>
        <v>0</v>
      </c>
      <c r="AE24">
        <f>ROUND((0),6)</f>
        <v>0</v>
      </c>
      <c r="AF24">
        <f>ROUND((0),6)</f>
        <v>0</v>
      </c>
      <c r="AG24">
        <f t="shared" ref="AG24:AG33" si="20">ROUND((AP24),6)</f>
        <v>0</v>
      </c>
      <c r="AH24">
        <f>(0)</f>
        <v>0</v>
      </c>
      <c r="AI24">
        <f>(0)</f>
        <v>0</v>
      </c>
      <c r="AJ24">
        <f t="shared" ref="AJ24:AJ33" si="21">(AS24)</f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92</v>
      </c>
      <c r="AU24">
        <v>46</v>
      </c>
      <c r="AV24">
        <v>1</v>
      </c>
      <c r="AW24">
        <v>1</v>
      </c>
      <c r="AZ24">
        <v>1</v>
      </c>
      <c r="BA24">
        <v>1</v>
      </c>
      <c r="BB24">
        <v>1</v>
      </c>
      <c r="BC24">
        <v>1</v>
      </c>
      <c r="BD24" t="s">
        <v>3</v>
      </c>
      <c r="BE24" t="s">
        <v>3</v>
      </c>
      <c r="BF24" t="s">
        <v>3</v>
      </c>
      <c r="BG24" t="s">
        <v>3</v>
      </c>
      <c r="BH24">
        <v>0</v>
      </c>
      <c r="BI24">
        <v>1</v>
      </c>
      <c r="BJ24" t="s">
        <v>19</v>
      </c>
      <c r="BM24">
        <v>1001</v>
      </c>
      <c r="BN24">
        <v>0</v>
      </c>
      <c r="BO24" t="s">
        <v>3</v>
      </c>
      <c r="BP24">
        <v>0</v>
      </c>
      <c r="BQ24">
        <v>2</v>
      </c>
      <c r="BR24">
        <v>0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 t="s">
        <v>3</v>
      </c>
      <c r="BZ24">
        <v>92</v>
      </c>
      <c r="CA24">
        <v>46</v>
      </c>
      <c r="CB24" t="s">
        <v>3</v>
      </c>
      <c r="CE24">
        <v>0</v>
      </c>
      <c r="CF24">
        <v>0</v>
      </c>
      <c r="CG24">
        <v>0</v>
      </c>
      <c r="CM24">
        <v>0</v>
      </c>
      <c r="CN24" t="s">
        <v>20</v>
      </c>
      <c r="CO24">
        <v>0</v>
      </c>
      <c r="CP24">
        <f t="shared" ref="CP24:CP33" si="22">(P24+Q24+S24+R24)</f>
        <v>0</v>
      </c>
      <c r="CQ24">
        <f>SUMIF(SmtRes!AQ1:'SmtRes'!AQ2,"=1",SmtRes!AA1:'SmtRes'!AA2)</f>
        <v>0</v>
      </c>
      <c r="CR24">
        <f>SUMIF(SmtRes!AQ1:'SmtRes'!AQ2,"=1",SmtRes!AB1:'SmtRes'!AB2)</f>
        <v>1529.27</v>
      </c>
      <c r="CS24">
        <f>SUMIF(SmtRes!AQ1:'SmtRes'!AQ2,"=1",SmtRes!AC1:'SmtRes'!AC2)</f>
        <v>533</v>
      </c>
      <c r="CT24">
        <f>SUMIF(SmtRes!AQ1:'SmtRes'!AQ2,"=1",SmtRes!AD1:'SmtRes'!AD2)</f>
        <v>0</v>
      </c>
      <c r="CU24">
        <f t="shared" ref="CU24:CU33" si="23">AG24</f>
        <v>0</v>
      </c>
      <c r="CV24">
        <f>SUMIF(SmtRes!AQ1:'SmtRes'!AQ2,"=1",SmtRes!BU1:'SmtRes'!BU2)</f>
        <v>0</v>
      </c>
      <c r="CW24">
        <f>SUMIF(SmtRes!AQ1:'SmtRes'!AQ2,"=1",SmtRes!BV1:'SmtRes'!BV2)</f>
        <v>0</v>
      </c>
      <c r="CX24">
        <f t="shared" ref="CX24:CX33" si="24">AJ24</f>
        <v>0</v>
      </c>
      <c r="CY24">
        <f t="shared" ref="CY24:CY33" si="25">(((S24+R24)*AT24)/100)</f>
        <v>0</v>
      </c>
      <c r="CZ24">
        <f t="shared" ref="CZ24:CZ33" si="26">(((S24+R24)*AU24)/100)</f>
        <v>0</v>
      </c>
      <c r="DB24">
        <v>1</v>
      </c>
      <c r="DC24" t="s">
        <v>3</v>
      </c>
      <c r="DD24" t="s">
        <v>3</v>
      </c>
      <c r="DE24" t="s">
        <v>21</v>
      </c>
      <c r="DF24" t="s">
        <v>21</v>
      </c>
      <c r="DG24" t="s">
        <v>21</v>
      </c>
      <c r="DH24" t="s">
        <v>3</v>
      </c>
      <c r="DI24" t="s">
        <v>21</v>
      </c>
      <c r="DJ24" t="s">
        <v>21</v>
      </c>
      <c r="DK24" t="s">
        <v>3</v>
      </c>
      <c r="DL24" t="s">
        <v>3</v>
      </c>
      <c r="DM24" t="s">
        <v>3</v>
      </c>
      <c r="DN24">
        <v>0</v>
      </c>
      <c r="DO24">
        <v>0</v>
      </c>
      <c r="DP24">
        <v>1</v>
      </c>
      <c r="DQ24">
        <v>1</v>
      </c>
      <c r="DU24">
        <v>1007</v>
      </c>
      <c r="DV24" t="s">
        <v>18</v>
      </c>
      <c r="DW24" t="s">
        <v>18</v>
      </c>
      <c r="DX24">
        <v>1000</v>
      </c>
      <c r="DZ24" t="s">
        <v>3</v>
      </c>
      <c r="EA24" t="s">
        <v>3</v>
      </c>
      <c r="EB24" t="s">
        <v>3</v>
      </c>
      <c r="EC24" t="s">
        <v>3</v>
      </c>
      <c r="EE24">
        <v>49077845</v>
      </c>
      <c r="EF24">
        <v>2</v>
      </c>
      <c r="EG24" t="s">
        <v>22</v>
      </c>
      <c r="EH24">
        <v>1</v>
      </c>
      <c r="EI24" t="s">
        <v>23</v>
      </c>
      <c r="EJ24">
        <v>1</v>
      </c>
      <c r="EK24">
        <v>1001</v>
      </c>
      <c r="EL24" t="s">
        <v>24</v>
      </c>
      <c r="EM24" t="s">
        <v>25</v>
      </c>
      <c r="EO24" t="s">
        <v>26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5.37</v>
      </c>
      <c r="EY24">
        <v>0</v>
      </c>
      <c r="FQ24">
        <v>0</v>
      </c>
      <c r="FR24">
        <v>0</v>
      </c>
      <c r="FS24">
        <v>0</v>
      </c>
      <c r="FX24">
        <v>92</v>
      </c>
      <c r="FY24">
        <v>46</v>
      </c>
      <c r="GA24" t="s">
        <v>3</v>
      </c>
      <c r="GD24">
        <v>1</v>
      </c>
      <c r="GF24">
        <v>1162627866</v>
      </c>
      <c r="GG24">
        <v>2</v>
      </c>
      <c r="GH24">
        <v>1</v>
      </c>
      <c r="GI24">
        <v>-2</v>
      </c>
      <c r="GJ24">
        <v>0</v>
      </c>
      <c r="GK24">
        <v>0</v>
      </c>
      <c r="GL24">
        <f t="shared" ref="GL24:GL33" si="27">ROUND(IF(AND(BH24=3,BI24=3,FS24&lt;&gt;0),P24,0),2)</f>
        <v>0</v>
      </c>
      <c r="GM24">
        <f t="shared" ref="GM24:GM33" si="28">ROUND(O24+X24+Y24,2)+GX24</f>
        <v>0</v>
      </c>
      <c r="GN24">
        <f t="shared" ref="GN24:GN33" si="29">IF(OR(BI24=0,BI24=1),GM24-GX24,0)</f>
        <v>0</v>
      </c>
      <c r="GO24">
        <f t="shared" ref="GO24:GO33" si="30">IF(BI24=2,GM24-GX24,0)</f>
        <v>0</v>
      </c>
      <c r="GP24">
        <f t="shared" ref="GP24:GP33" si="31">IF(BI24=4,GM24-GX24,0)</f>
        <v>0</v>
      </c>
      <c r="GR24">
        <v>0</v>
      </c>
      <c r="GS24">
        <v>3</v>
      </c>
      <c r="GT24">
        <v>0</v>
      </c>
      <c r="GU24" t="s">
        <v>3</v>
      </c>
      <c r="GV24">
        <f t="shared" ref="GV24:GV33" si="32">ROUND((GT24),6)</f>
        <v>0</v>
      </c>
      <c r="GW24">
        <v>1</v>
      </c>
      <c r="GX24">
        <f t="shared" ref="GX24:GX33" si="33">ROUND(HC24*I24,2)</f>
        <v>0</v>
      </c>
      <c r="HA24">
        <v>0</v>
      </c>
      <c r="HB24">
        <v>0</v>
      </c>
      <c r="HC24">
        <f t="shared" ref="HC24:HC33" si="34">GV24*GW24</f>
        <v>0</v>
      </c>
      <c r="HE24" t="s">
        <v>3</v>
      </c>
      <c r="HF24" t="s">
        <v>3</v>
      </c>
      <c r="HM24" t="s">
        <v>3</v>
      </c>
      <c r="HN24" t="s">
        <v>27</v>
      </c>
      <c r="HO24" t="s">
        <v>28</v>
      </c>
      <c r="HP24" t="s">
        <v>24</v>
      </c>
      <c r="HQ24" t="s">
        <v>24</v>
      </c>
      <c r="HS24">
        <v>0</v>
      </c>
      <c r="IK24">
        <v>0</v>
      </c>
    </row>
    <row r="25" spans="1:245" x14ac:dyDescent="0.2">
      <c r="A25">
        <v>17</v>
      </c>
      <c r="B25">
        <v>1</v>
      </c>
      <c r="E25" t="s">
        <v>29</v>
      </c>
      <c r="F25" t="s">
        <v>30</v>
      </c>
      <c r="G25" t="s">
        <v>31</v>
      </c>
      <c r="H25" t="s">
        <v>32</v>
      </c>
      <c r="I25">
        <f>ROUND(I24*6.1755,7)</f>
        <v>8.1825375000000005</v>
      </c>
      <c r="J25">
        <v>0</v>
      </c>
      <c r="K25">
        <f>ROUND(I24*6.1755,7)</f>
        <v>8.1825375000000005</v>
      </c>
      <c r="O25">
        <f t="shared" si="14"/>
        <v>45003.96</v>
      </c>
      <c r="P25">
        <f>ROUND(CQ25*I25,2)</f>
        <v>0</v>
      </c>
      <c r="Q25">
        <f>ROUND(CR25*I25,2)</f>
        <v>45003.96</v>
      </c>
      <c r="R25">
        <f>ROUND(CS25*I25,2)</f>
        <v>0</v>
      </c>
      <c r="S25">
        <f>ROUND(CT25*I25,2)</f>
        <v>0</v>
      </c>
      <c r="T25">
        <f t="shared" si="15"/>
        <v>0</v>
      </c>
      <c r="U25">
        <f>ROUND(CV25*I25,7)</f>
        <v>0</v>
      </c>
      <c r="V25">
        <f>ROUND(CW25*I25,7)</f>
        <v>0</v>
      </c>
      <c r="W25">
        <f t="shared" si="16"/>
        <v>0</v>
      </c>
      <c r="X25">
        <f t="shared" si="17"/>
        <v>0</v>
      </c>
      <c r="Y25">
        <f t="shared" si="18"/>
        <v>0</v>
      </c>
      <c r="AA25">
        <v>50279781</v>
      </c>
      <c r="AB25">
        <f t="shared" si="19"/>
        <v>5500</v>
      </c>
      <c r="AC25">
        <f>ROUND((ES25),6)</f>
        <v>0</v>
      </c>
      <c r="AD25">
        <f>ROUND((((ET25)-(EU25))+AE25),6)</f>
        <v>5500</v>
      </c>
      <c r="AE25">
        <f>ROUND((EU25),6)</f>
        <v>0</v>
      </c>
      <c r="AF25">
        <f>ROUND((EV25),6)</f>
        <v>0</v>
      </c>
      <c r="AG25">
        <f t="shared" si="20"/>
        <v>0</v>
      </c>
      <c r="AH25">
        <f>(EW25)</f>
        <v>0</v>
      </c>
      <c r="AI25">
        <f>(EX25)</f>
        <v>0</v>
      </c>
      <c r="AJ25">
        <f t="shared" si="21"/>
        <v>0</v>
      </c>
      <c r="AK25">
        <v>5500</v>
      </c>
      <c r="AL25">
        <v>0</v>
      </c>
      <c r="AM25">
        <v>5500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1</v>
      </c>
      <c r="AZ25">
        <v>1</v>
      </c>
      <c r="BA25">
        <v>1</v>
      </c>
      <c r="BB25">
        <v>1</v>
      </c>
      <c r="BC25">
        <v>1</v>
      </c>
      <c r="BD25" t="s">
        <v>3</v>
      </c>
      <c r="BE25" t="s">
        <v>3</v>
      </c>
      <c r="BF25" t="s">
        <v>3</v>
      </c>
      <c r="BG25" t="s">
        <v>3</v>
      </c>
      <c r="BH25">
        <v>2</v>
      </c>
      <c r="BI25">
        <v>4</v>
      </c>
      <c r="BJ25" t="s">
        <v>3</v>
      </c>
      <c r="BM25">
        <v>0</v>
      </c>
      <c r="BN25">
        <v>0</v>
      </c>
      <c r="BO25" t="s">
        <v>3</v>
      </c>
      <c r="BP25">
        <v>0</v>
      </c>
      <c r="BQ25">
        <v>16</v>
      </c>
      <c r="BR25">
        <v>0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 t="s">
        <v>3</v>
      </c>
      <c r="BZ25">
        <v>0</v>
      </c>
      <c r="CA25">
        <v>0</v>
      </c>
      <c r="CB25" t="s">
        <v>3</v>
      </c>
      <c r="CE25">
        <v>0</v>
      </c>
      <c r="CF25">
        <v>0</v>
      </c>
      <c r="CG25">
        <v>0</v>
      </c>
      <c r="CM25">
        <v>0</v>
      </c>
      <c r="CN25" t="s">
        <v>20</v>
      </c>
      <c r="CO25">
        <v>0</v>
      </c>
      <c r="CP25">
        <f t="shared" si="22"/>
        <v>45003.96</v>
      </c>
      <c r="CQ25">
        <f>ROUND(AL25*BC25,2)</f>
        <v>0</v>
      </c>
      <c r="CR25">
        <f>ROUND(AM25*BB25,2)</f>
        <v>5500</v>
      </c>
      <c r="CS25">
        <f>ROUND(AN25*BS25,2)</f>
        <v>0</v>
      </c>
      <c r="CT25">
        <f>ROUND(AO25*BA25,2)</f>
        <v>0</v>
      </c>
      <c r="CU25">
        <f t="shared" si="23"/>
        <v>0</v>
      </c>
      <c r="CV25">
        <f>AH25</f>
        <v>0</v>
      </c>
      <c r="CW25">
        <f>AI25</f>
        <v>0</v>
      </c>
      <c r="CX25">
        <f t="shared" si="24"/>
        <v>0</v>
      </c>
      <c r="CY25">
        <f t="shared" si="25"/>
        <v>0</v>
      </c>
      <c r="CZ25">
        <f t="shared" si="26"/>
        <v>0</v>
      </c>
      <c r="DC25" t="s">
        <v>3</v>
      </c>
      <c r="DD25" t="s">
        <v>3</v>
      </c>
      <c r="DE25" t="s">
        <v>3</v>
      </c>
      <c r="DF25" t="s">
        <v>3</v>
      </c>
      <c r="DG25" t="s">
        <v>3</v>
      </c>
      <c r="DH25" t="s">
        <v>3</v>
      </c>
      <c r="DI25" t="s">
        <v>3</v>
      </c>
      <c r="DJ25" t="s">
        <v>3</v>
      </c>
      <c r="DK25" t="s">
        <v>3</v>
      </c>
      <c r="DL25" t="s">
        <v>3</v>
      </c>
      <c r="DM25" t="s">
        <v>3</v>
      </c>
      <c r="DN25">
        <v>0</v>
      </c>
      <c r="DO25">
        <v>0</v>
      </c>
      <c r="DP25">
        <v>1</v>
      </c>
      <c r="DQ25">
        <v>1</v>
      </c>
      <c r="DU25">
        <v>1011</v>
      </c>
      <c r="DV25" t="s">
        <v>32</v>
      </c>
      <c r="DW25" t="s">
        <v>32</v>
      </c>
      <c r="DX25">
        <v>1</v>
      </c>
      <c r="DZ25" t="s">
        <v>3</v>
      </c>
      <c r="EA25" t="s">
        <v>3</v>
      </c>
      <c r="EB25" t="s">
        <v>3</v>
      </c>
      <c r="EC25" t="s">
        <v>3</v>
      </c>
      <c r="EE25">
        <v>49077812</v>
      </c>
      <c r="EF25">
        <v>16</v>
      </c>
      <c r="EG25" t="s">
        <v>33</v>
      </c>
      <c r="EH25">
        <v>0</v>
      </c>
      <c r="EI25" t="s">
        <v>3</v>
      </c>
      <c r="EJ25">
        <v>4</v>
      </c>
      <c r="EK25">
        <v>0</v>
      </c>
      <c r="EL25" t="s">
        <v>34</v>
      </c>
      <c r="EM25" t="s">
        <v>35</v>
      </c>
      <c r="EO25" t="s">
        <v>26</v>
      </c>
      <c r="EQ25">
        <v>0</v>
      </c>
      <c r="ER25">
        <v>5500</v>
      </c>
      <c r="ES25">
        <v>0</v>
      </c>
      <c r="ET25">
        <v>5500</v>
      </c>
      <c r="EU25">
        <v>0</v>
      </c>
      <c r="EV25">
        <v>0</v>
      </c>
      <c r="EW25">
        <v>0</v>
      </c>
      <c r="EX25">
        <v>0</v>
      </c>
      <c r="EY25">
        <v>0</v>
      </c>
      <c r="FQ25">
        <v>0</v>
      </c>
      <c r="FR25">
        <v>0</v>
      </c>
      <c r="FS25">
        <v>0</v>
      </c>
      <c r="FX25">
        <v>0</v>
      </c>
      <c r="FY25">
        <v>0</v>
      </c>
      <c r="GA25" t="s">
        <v>3</v>
      </c>
      <c r="GD25">
        <v>1</v>
      </c>
      <c r="GF25">
        <v>1519642704</v>
      </c>
      <c r="GG25">
        <v>2</v>
      </c>
      <c r="GH25">
        <v>2</v>
      </c>
      <c r="GI25">
        <v>-2</v>
      </c>
      <c r="GJ25">
        <v>0</v>
      </c>
      <c r="GK25">
        <v>0</v>
      </c>
      <c r="GL25">
        <f t="shared" si="27"/>
        <v>0</v>
      </c>
      <c r="GM25">
        <f t="shared" si="28"/>
        <v>45003.96</v>
      </c>
      <c r="GN25">
        <f t="shared" si="29"/>
        <v>0</v>
      </c>
      <c r="GO25">
        <f t="shared" si="30"/>
        <v>0</v>
      </c>
      <c r="GP25">
        <f t="shared" si="31"/>
        <v>45003.96</v>
      </c>
      <c r="GR25">
        <v>0</v>
      </c>
      <c r="GS25">
        <v>7</v>
      </c>
      <c r="GT25">
        <v>0</v>
      </c>
      <c r="GU25" t="s">
        <v>3</v>
      </c>
      <c r="GV25">
        <f t="shared" si="32"/>
        <v>0</v>
      </c>
      <c r="GW25">
        <v>1</v>
      </c>
      <c r="GX25">
        <f t="shared" si="33"/>
        <v>0</v>
      </c>
      <c r="HA25">
        <v>0</v>
      </c>
      <c r="HB25">
        <v>0</v>
      </c>
      <c r="HC25">
        <f t="shared" si="34"/>
        <v>0</v>
      </c>
      <c r="HE25" t="s">
        <v>3</v>
      </c>
      <c r="HF25" t="s">
        <v>3</v>
      </c>
      <c r="HM25" t="s">
        <v>3</v>
      </c>
      <c r="HN25" t="s">
        <v>3</v>
      </c>
      <c r="HO25" t="s">
        <v>3</v>
      </c>
      <c r="HP25" t="s">
        <v>3</v>
      </c>
      <c r="HQ25" t="s">
        <v>3</v>
      </c>
      <c r="HS25">
        <v>0</v>
      </c>
      <c r="IK25">
        <v>0</v>
      </c>
    </row>
    <row r="26" spans="1:245" x14ac:dyDescent="0.2">
      <c r="A26">
        <v>17</v>
      </c>
      <c r="B26">
        <v>1</v>
      </c>
      <c r="C26">
        <f>ROW(SmtRes!A4)</f>
        <v>4</v>
      </c>
      <c r="D26">
        <f>ROW(EtalonRes!A4)</f>
        <v>4</v>
      </c>
      <c r="E26" t="s">
        <v>36</v>
      </c>
      <c r="F26" t="s">
        <v>37</v>
      </c>
      <c r="G26" t="s">
        <v>38</v>
      </c>
      <c r="H26" t="s">
        <v>18</v>
      </c>
      <c r="I26">
        <f>ROUND(1325/1000,7)</f>
        <v>1.325</v>
      </c>
      <c r="J26">
        <v>0</v>
      </c>
      <c r="K26">
        <f>ROUND(1325/1000,7)</f>
        <v>1.325</v>
      </c>
      <c r="O26">
        <f t="shared" si="14"/>
        <v>0</v>
      </c>
      <c r="P26">
        <f>SUMIF(SmtRes!AQ3:'SmtRes'!AQ4,"=1",SmtRes!DF3:'SmtRes'!DF4)</f>
        <v>0</v>
      </c>
      <c r="Q26">
        <f>SUMIF(SmtRes!AQ3:'SmtRes'!AQ4,"=1",SmtRes!DG3:'SmtRes'!DG4)</f>
        <v>0</v>
      </c>
      <c r="R26">
        <f>SUMIF(SmtRes!AQ3:'SmtRes'!AQ4,"=1",SmtRes!DH3:'SmtRes'!DH4)</f>
        <v>0</v>
      </c>
      <c r="S26">
        <f>SUMIF(SmtRes!AQ3:'SmtRes'!AQ4,"=1",SmtRes!DI3:'SmtRes'!DI4)</f>
        <v>0</v>
      </c>
      <c r="T26">
        <f t="shared" si="15"/>
        <v>0</v>
      </c>
      <c r="U26">
        <f>SUMIF(SmtRes!AQ3:'SmtRes'!AQ4,"=1",SmtRes!CV3:'SmtRes'!CV4)</f>
        <v>0</v>
      </c>
      <c r="V26">
        <f>SUMIF(SmtRes!AQ3:'SmtRes'!AQ4,"=1",SmtRes!CW3:'SmtRes'!CW4)</f>
        <v>0</v>
      </c>
      <c r="W26">
        <f t="shared" si="16"/>
        <v>0</v>
      </c>
      <c r="X26">
        <f t="shared" si="17"/>
        <v>0</v>
      </c>
      <c r="Y26">
        <f t="shared" si="18"/>
        <v>0</v>
      </c>
      <c r="AA26">
        <v>50279781</v>
      </c>
      <c r="AB26">
        <f t="shared" si="19"/>
        <v>0</v>
      </c>
      <c r="AC26">
        <f>ROUND((0),6)</f>
        <v>0</v>
      </c>
      <c r="AD26">
        <f>ROUND((((0)-(0))+AE26),6)</f>
        <v>0</v>
      </c>
      <c r="AE26">
        <f>ROUND((0),6)</f>
        <v>0</v>
      </c>
      <c r="AF26">
        <f>ROUND((0),6)</f>
        <v>0</v>
      </c>
      <c r="AG26">
        <f t="shared" si="20"/>
        <v>0</v>
      </c>
      <c r="AH26">
        <f>(0)</f>
        <v>0</v>
      </c>
      <c r="AI26">
        <f>(0)</f>
        <v>0</v>
      </c>
      <c r="AJ26">
        <f t="shared" si="21"/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92</v>
      </c>
      <c r="AU26">
        <v>46</v>
      </c>
      <c r="AV26">
        <v>1</v>
      </c>
      <c r="AW26">
        <v>1</v>
      </c>
      <c r="AZ26">
        <v>1</v>
      </c>
      <c r="BA26">
        <v>1</v>
      </c>
      <c r="BB26">
        <v>1</v>
      </c>
      <c r="BC26">
        <v>1</v>
      </c>
      <c r="BD26" t="s">
        <v>3</v>
      </c>
      <c r="BE26" t="s">
        <v>3</v>
      </c>
      <c r="BF26" t="s">
        <v>3</v>
      </c>
      <c r="BG26" t="s">
        <v>3</v>
      </c>
      <c r="BH26">
        <v>0</v>
      </c>
      <c r="BI26">
        <v>1</v>
      </c>
      <c r="BJ26" t="s">
        <v>39</v>
      </c>
      <c r="BM26">
        <v>1001</v>
      </c>
      <c r="BN26">
        <v>0</v>
      </c>
      <c r="BO26" t="s">
        <v>3</v>
      </c>
      <c r="BP26">
        <v>0</v>
      </c>
      <c r="BQ26">
        <v>2</v>
      </c>
      <c r="BR26">
        <v>0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 t="s">
        <v>3</v>
      </c>
      <c r="BZ26">
        <v>92</v>
      </c>
      <c r="CA26">
        <v>46</v>
      </c>
      <c r="CB26" t="s">
        <v>3</v>
      </c>
      <c r="CE26">
        <v>0</v>
      </c>
      <c r="CF26">
        <v>0</v>
      </c>
      <c r="CG26">
        <v>0</v>
      </c>
      <c r="CM26">
        <v>0</v>
      </c>
      <c r="CN26" t="s">
        <v>20</v>
      </c>
      <c r="CO26">
        <v>0</v>
      </c>
      <c r="CP26">
        <f t="shared" si="22"/>
        <v>0</v>
      </c>
      <c r="CQ26">
        <f>SUMIF(SmtRes!AQ3:'SmtRes'!AQ4,"=1",SmtRes!AA3:'SmtRes'!AA4)</f>
        <v>0</v>
      </c>
      <c r="CR26">
        <f>SUMIF(SmtRes!AQ3:'SmtRes'!AQ4,"=1",SmtRes!AB3:'SmtRes'!AB4)</f>
        <v>1529.27</v>
      </c>
      <c r="CS26">
        <f>SUMIF(SmtRes!AQ3:'SmtRes'!AQ4,"=1",SmtRes!AC3:'SmtRes'!AC4)</f>
        <v>533</v>
      </c>
      <c r="CT26">
        <f>SUMIF(SmtRes!AQ3:'SmtRes'!AQ4,"=1",SmtRes!AD3:'SmtRes'!AD4)</f>
        <v>0</v>
      </c>
      <c r="CU26">
        <f t="shared" si="23"/>
        <v>0</v>
      </c>
      <c r="CV26">
        <f>SUMIF(SmtRes!AQ3:'SmtRes'!AQ4,"=1",SmtRes!BU3:'SmtRes'!BU4)</f>
        <v>0</v>
      </c>
      <c r="CW26">
        <f>SUMIF(SmtRes!AQ3:'SmtRes'!AQ4,"=1",SmtRes!BV3:'SmtRes'!BV4)</f>
        <v>0</v>
      </c>
      <c r="CX26">
        <f t="shared" si="24"/>
        <v>0</v>
      </c>
      <c r="CY26">
        <f t="shared" si="25"/>
        <v>0</v>
      </c>
      <c r="CZ26">
        <f t="shared" si="26"/>
        <v>0</v>
      </c>
      <c r="DC26" t="s">
        <v>3</v>
      </c>
      <c r="DD26" t="s">
        <v>3</v>
      </c>
      <c r="DE26" t="s">
        <v>21</v>
      </c>
      <c r="DF26" t="s">
        <v>21</v>
      </c>
      <c r="DG26" t="s">
        <v>21</v>
      </c>
      <c r="DH26" t="s">
        <v>3</v>
      </c>
      <c r="DI26" t="s">
        <v>21</v>
      </c>
      <c r="DJ26" t="s">
        <v>21</v>
      </c>
      <c r="DK26" t="s">
        <v>3</v>
      </c>
      <c r="DL26" t="s">
        <v>3</v>
      </c>
      <c r="DM26" t="s">
        <v>3</v>
      </c>
      <c r="DN26">
        <v>0</v>
      </c>
      <c r="DO26">
        <v>0</v>
      </c>
      <c r="DP26">
        <v>1</v>
      </c>
      <c r="DQ26">
        <v>1</v>
      </c>
      <c r="DU26">
        <v>1007</v>
      </c>
      <c r="DV26" t="s">
        <v>18</v>
      </c>
      <c r="DW26" t="s">
        <v>18</v>
      </c>
      <c r="DX26">
        <v>1000</v>
      </c>
      <c r="DZ26" t="s">
        <v>3</v>
      </c>
      <c r="EA26" t="s">
        <v>3</v>
      </c>
      <c r="EB26" t="s">
        <v>3</v>
      </c>
      <c r="EC26" t="s">
        <v>3</v>
      </c>
      <c r="EE26">
        <v>49077845</v>
      </c>
      <c r="EF26">
        <v>2</v>
      </c>
      <c r="EG26" t="s">
        <v>22</v>
      </c>
      <c r="EH26">
        <v>1</v>
      </c>
      <c r="EI26" t="s">
        <v>23</v>
      </c>
      <c r="EJ26">
        <v>1</v>
      </c>
      <c r="EK26">
        <v>1001</v>
      </c>
      <c r="EL26" t="s">
        <v>24</v>
      </c>
      <c r="EM26" t="s">
        <v>25</v>
      </c>
      <c r="EO26" t="s">
        <v>26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2.59</v>
      </c>
      <c r="EY26">
        <v>0</v>
      </c>
      <c r="FQ26">
        <v>0</v>
      </c>
      <c r="FR26">
        <v>0</v>
      </c>
      <c r="FS26">
        <v>0</v>
      </c>
      <c r="FX26">
        <v>92</v>
      </c>
      <c r="FY26">
        <v>46</v>
      </c>
      <c r="GA26" t="s">
        <v>3</v>
      </c>
      <c r="GD26">
        <v>1</v>
      </c>
      <c r="GF26">
        <v>-780988427</v>
      </c>
      <c r="GG26">
        <v>2</v>
      </c>
      <c r="GH26">
        <v>1</v>
      </c>
      <c r="GI26">
        <v>-2</v>
      </c>
      <c r="GJ26">
        <v>0</v>
      </c>
      <c r="GK26">
        <v>0</v>
      </c>
      <c r="GL26">
        <f t="shared" si="27"/>
        <v>0</v>
      </c>
      <c r="GM26">
        <f t="shared" si="28"/>
        <v>0</v>
      </c>
      <c r="GN26">
        <f t="shared" si="29"/>
        <v>0</v>
      </c>
      <c r="GO26">
        <f t="shared" si="30"/>
        <v>0</v>
      </c>
      <c r="GP26">
        <f t="shared" si="31"/>
        <v>0</v>
      </c>
      <c r="GR26">
        <v>0</v>
      </c>
      <c r="GS26">
        <v>3</v>
      </c>
      <c r="GT26">
        <v>0</v>
      </c>
      <c r="GU26" t="s">
        <v>3</v>
      </c>
      <c r="GV26">
        <f t="shared" si="32"/>
        <v>0</v>
      </c>
      <c r="GW26">
        <v>1</v>
      </c>
      <c r="GX26">
        <f t="shared" si="33"/>
        <v>0</v>
      </c>
      <c r="HA26">
        <v>0</v>
      </c>
      <c r="HB26">
        <v>0</v>
      </c>
      <c r="HC26">
        <f t="shared" si="34"/>
        <v>0</v>
      </c>
      <c r="HE26" t="s">
        <v>3</v>
      </c>
      <c r="HF26" t="s">
        <v>3</v>
      </c>
      <c r="HM26" t="s">
        <v>3</v>
      </c>
      <c r="HN26" t="s">
        <v>27</v>
      </c>
      <c r="HO26" t="s">
        <v>28</v>
      </c>
      <c r="HP26" t="s">
        <v>24</v>
      </c>
      <c r="HQ26" t="s">
        <v>24</v>
      </c>
      <c r="HS26">
        <v>0</v>
      </c>
      <c r="IK26">
        <v>0</v>
      </c>
    </row>
    <row r="27" spans="1:245" x14ac:dyDescent="0.2">
      <c r="A27">
        <v>17</v>
      </c>
      <c r="B27">
        <v>1</v>
      </c>
      <c r="E27" t="s">
        <v>40</v>
      </c>
      <c r="F27" t="s">
        <v>30</v>
      </c>
      <c r="G27" t="s">
        <v>41</v>
      </c>
      <c r="H27" t="s">
        <v>32</v>
      </c>
      <c r="I27">
        <f>ROUND(I26*35.742,7)</f>
        <v>47.358150000000002</v>
      </c>
      <c r="J27">
        <v>0</v>
      </c>
      <c r="K27">
        <f>ROUND(I26*35.742,7)</f>
        <v>47.358150000000002</v>
      </c>
      <c r="O27">
        <f t="shared" si="14"/>
        <v>260469.83</v>
      </c>
      <c r="P27">
        <f>ROUND(CQ27*I27,2)</f>
        <v>0</v>
      </c>
      <c r="Q27">
        <f>ROUND(CR27*I27,2)</f>
        <v>260469.83</v>
      </c>
      <c r="R27">
        <f>ROUND(CS27*I27,2)</f>
        <v>0</v>
      </c>
      <c r="S27">
        <f>ROUND(CT27*I27,2)</f>
        <v>0</v>
      </c>
      <c r="T27">
        <f t="shared" si="15"/>
        <v>0</v>
      </c>
      <c r="U27">
        <f>ROUND(CV27*I27,7)</f>
        <v>0</v>
      </c>
      <c r="V27">
        <f>ROUND(CW27*I27,7)</f>
        <v>0</v>
      </c>
      <c r="W27">
        <f t="shared" si="16"/>
        <v>0</v>
      </c>
      <c r="X27">
        <f t="shared" si="17"/>
        <v>0</v>
      </c>
      <c r="Y27">
        <f t="shared" si="18"/>
        <v>0</v>
      </c>
      <c r="AA27">
        <v>50279781</v>
      </c>
      <c r="AB27">
        <f t="shared" si="19"/>
        <v>5500</v>
      </c>
      <c r="AC27">
        <f>ROUND((ES27),6)</f>
        <v>0</v>
      </c>
      <c r="AD27">
        <f>ROUND((((ET27)-(EU27))+AE27),6)</f>
        <v>5500</v>
      </c>
      <c r="AE27">
        <f>ROUND((EU27),6)</f>
        <v>0</v>
      </c>
      <c r="AF27">
        <f>ROUND((EV27),6)</f>
        <v>0</v>
      </c>
      <c r="AG27">
        <f t="shared" si="20"/>
        <v>0</v>
      </c>
      <c r="AH27">
        <f>(EW27)</f>
        <v>0</v>
      </c>
      <c r="AI27">
        <f>(EX27)</f>
        <v>0</v>
      </c>
      <c r="AJ27">
        <f t="shared" si="21"/>
        <v>0</v>
      </c>
      <c r="AK27">
        <v>5500</v>
      </c>
      <c r="AL27">
        <v>0</v>
      </c>
      <c r="AM27">
        <v>5500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</v>
      </c>
      <c r="AW27">
        <v>1</v>
      </c>
      <c r="AZ27">
        <v>1</v>
      </c>
      <c r="BA27">
        <v>1</v>
      </c>
      <c r="BB27">
        <v>1</v>
      </c>
      <c r="BC27">
        <v>1</v>
      </c>
      <c r="BD27" t="s">
        <v>3</v>
      </c>
      <c r="BE27" t="s">
        <v>3</v>
      </c>
      <c r="BF27" t="s">
        <v>3</v>
      </c>
      <c r="BG27" t="s">
        <v>3</v>
      </c>
      <c r="BH27">
        <v>2</v>
      </c>
      <c r="BI27">
        <v>4</v>
      </c>
      <c r="BJ27" t="s">
        <v>3</v>
      </c>
      <c r="BM27">
        <v>0</v>
      </c>
      <c r="BN27">
        <v>0</v>
      </c>
      <c r="BO27" t="s">
        <v>3</v>
      </c>
      <c r="BP27">
        <v>0</v>
      </c>
      <c r="BQ27">
        <v>16</v>
      </c>
      <c r="BR27">
        <v>0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 t="s">
        <v>3</v>
      </c>
      <c r="BZ27">
        <v>0</v>
      </c>
      <c r="CA27">
        <v>0</v>
      </c>
      <c r="CB27" t="s">
        <v>3</v>
      </c>
      <c r="CE27">
        <v>0</v>
      </c>
      <c r="CF27">
        <v>0</v>
      </c>
      <c r="CG27">
        <v>0</v>
      </c>
      <c r="CM27">
        <v>0</v>
      </c>
      <c r="CN27" t="s">
        <v>20</v>
      </c>
      <c r="CO27">
        <v>0</v>
      </c>
      <c r="CP27">
        <f t="shared" si="22"/>
        <v>260469.83</v>
      </c>
      <c r="CQ27">
        <f>ROUND(AL27*BC27,2)</f>
        <v>0</v>
      </c>
      <c r="CR27">
        <f>ROUND(AM27*BB27,2)</f>
        <v>5500</v>
      </c>
      <c r="CS27">
        <f>ROUND(AN27*BS27,2)</f>
        <v>0</v>
      </c>
      <c r="CT27">
        <f>ROUND(AO27*BA27,2)</f>
        <v>0</v>
      </c>
      <c r="CU27">
        <f t="shared" si="23"/>
        <v>0</v>
      </c>
      <c r="CV27">
        <f>AH27</f>
        <v>0</v>
      </c>
      <c r="CW27">
        <f>AI27</f>
        <v>0</v>
      </c>
      <c r="CX27">
        <f t="shared" si="24"/>
        <v>0</v>
      </c>
      <c r="CY27">
        <f t="shared" si="25"/>
        <v>0</v>
      </c>
      <c r="CZ27">
        <f t="shared" si="26"/>
        <v>0</v>
      </c>
      <c r="DC27" t="s">
        <v>3</v>
      </c>
      <c r="DD27" t="s">
        <v>3</v>
      </c>
      <c r="DE27" t="s">
        <v>3</v>
      </c>
      <c r="DF27" t="s">
        <v>3</v>
      </c>
      <c r="DG27" t="s">
        <v>3</v>
      </c>
      <c r="DH27" t="s">
        <v>3</v>
      </c>
      <c r="DI27" t="s">
        <v>3</v>
      </c>
      <c r="DJ27" t="s">
        <v>3</v>
      </c>
      <c r="DK27" t="s">
        <v>3</v>
      </c>
      <c r="DL27" t="s">
        <v>3</v>
      </c>
      <c r="DM27" t="s">
        <v>3</v>
      </c>
      <c r="DN27">
        <v>0</v>
      </c>
      <c r="DO27">
        <v>0</v>
      </c>
      <c r="DP27">
        <v>1</v>
      </c>
      <c r="DQ27">
        <v>1</v>
      </c>
      <c r="DU27">
        <v>1011</v>
      </c>
      <c r="DV27" t="s">
        <v>32</v>
      </c>
      <c r="DW27" t="s">
        <v>32</v>
      </c>
      <c r="DX27">
        <v>1</v>
      </c>
      <c r="DZ27" t="s">
        <v>3</v>
      </c>
      <c r="EA27" t="s">
        <v>3</v>
      </c>
      <c r="EB27" t="s">
        <v>3</v>
      </c>
      <c r="EC27" t="s">
        <v>3</v>
      </c>
      <c r="EE27">
        <v>49077812</v>
      </c>
      <c r="EF27">
        <v>16</v>
      </c>
      <c r="EG27" t="s">
        <v>33</v>
      </c>
      <c r="EH27">
        <v>0</v>
      </c>
      <c r="EI27" t="s">
        <v>3</v>
      </c>
      <c r="EJ27">
        <v>4</v>
      </c>
      <c r="EK27">
        <v>0</v>
      </c>
      <c r="EL27" t="s">
        <v>34</v>
      </c>
      <c r="EM27" t="s">
        <v>35</v>
      </c>
      <c r="EO27" t="s">
        <v>26</v>
      </c>
      <c r="EQ27">
        <v>0</v>
      </c>
      <c r="ER27">
        <v>5500</v>
      </c>
      <c r="ES27">
        <v>0</v>
      </c>
      <c r="ET27">
        <v>5500</v>
      </c>
      <c r="EU27">
        <v>0</v>
      </c>
      <c r="EV27">
        <v>0</v>
      </c>
      <c r="EW27">
        <v>0</v>
      </c>
      <c r="EX27">
        <v>0</v>
      </c>
      <c r="EY27">
        <v>0</v>
      </c>
      <c r="FQ27">
        <v>0</v>
      </c>
      <c r="FR27">
        <v>0</v>
      </c>
      <c r="FS27">
        <v>0</v>
      </c>
      <c r="FX27">
        <v>0</v>
      </c>
      <c r="FY27">
        <v>0</v>
      </c>
      <c r="GA27" t="s">
        <v>3</v>
      </c>
      <c r="GD27">
        <v>1</v>
      </c>
      <c r="GF27">
        <v>2056983168</v>
      </c>
      <c r="GG27">
        <v>2</v>
      </c>
      <c r="GH27">
        <v>2</v>
      </c>
      <c r="GI27">
        <v>-2</v>
      </c>
      <c r="GJ27">
        <v>0</v>
      </c>
      <c r="GK27">
        <v>0</v>
      </c>
      <c r="GL27">
        <f t="shared" si="27"/>
        <v>0</v>
      </c>
      <c r="GM27">
        <f t="shared" si="28"/>
        <v>260469.83</v>
      </c>
      <c r="GN27">
        <f t="shared" si="29"/>
        <v>0</v>
      </c>
      <c r="GO27">
        <f t="shared" si="30"/>
        <v>0</v>
      </c>
      <c r="GP27">
        <f t="shared" si="31"/>
        <v>260469.83</v>
      </c>
      <c r="GR27">
        <v>0</v>
      </c>
      <c r="GS27">
        <v>7</v>
      </c>
      <c r="GT27">
        <v>0</v>
      </c>
      <c r="GU27" t="s">
        <v>3</v>
      </c>
      <c r="GV27">
        <f t="shared" si="32"/>
        <v>0</v>
      </c>
      <c r="GW27">
        <v>1</v>
      </c>
      <c r="GX27">
        <f t="shared" si="33"/>
        <v>0</v>
      </c>
      <c r="HA27">
        <v>0</v>
      </c>
      <c r="HB27">
        <v>0</v>
      </c>
      <c r="HC27">
        <f t="shared" si="34"/>
        <v>0</v>
      </c>
      <c r="HE27" t="s">
        <v>3</v>
      </c>
      <c r="HF27" t="s">
        <v>3</v>
      </c>
      <c r="HM27" t="s">
        <v>3</v>
      </c>
      <c r="HN27" t="s">
        <v>3</v>
      </c>
      <c r="HO27" t="s">
        <v>3</v>
      </c>
      <c r="HP27" t="s">
        <v>3</v>
      </c>
      <c r="HQ27" t="s">
        <v>3</v>
      </c>
      <c r="HS27">
        <v>0</v>
      </c>
      <c r="IK27">
        <v>0</v>
      </c>
    </row>
    <row r="28" spans="1:245" x14ac:dyDescent="0.2">
      <c r="A28">
        <v>17</v>
      </c>
      <c r="B28">
        <v>1</v>
      </c>
      <c r="C28">
        <f>ROW(SmtRes!A7)</f>
        <v>7</v>
      </c>
      <c r="D28">
        <f>ROW(EtalonRes!A7)</f>
        <v>7</v>
      </c>
      <c r="E28" t="s">
        <v>42</v>
      </c>
      <c r="F28" t="s">
        <v>43</v>
      </c>
      <c r="G28" t="s">
        <v>44</v>
      </c>
      <c r="H28" t="s">
        <v>18</v>
      </c>
      <c r="I28">
        <f>ROUND(1325/1000,7)</f>
        <v>1.325</v>
      </c>
      <c r="J28">
        <v>0</v>
      </c>
      <c r="K28">
        <f>ROUND(1325/1000,7)</f>
        <v>1.325</v>
      </c>
      <c r="O28">
        <f t="shared" si="14"/>
        <v>0</v>
      </c>
      <c r="P28">
        <f>SUMIF(SmtRes!AQ5:'SmtRes'!AQ7,"=1",SmtRes!DF5:'SmtRes'!DF7)</f>
        <v>0</v>
      </c>
      <c r="Q28">
        <f>SUMIF(SmtRes!AQ5:'SmtRes'!AQ7,"=1",SmtRes!DG5:'SmtRes'!DG7)</f>
        <v>0</v>
      </c>
      <c r="R28">
        <f>SUMIF(SmtRes!AQ5:'SmtRes'!AQ7,"=1",SmtRes!DH5:'SmtRes'!DH7)</f>
        <v>0</v>
      </c>
      <c r="S28">
        <f>SUMIF(SmtRes!AQ5:'SmtRes'!AQ7,"=1",SmtRes!DI5:'SmtRes'!DI7)</f>
        <v>0</v>
      </c>
      <c r="T28">
        <f t="shared" si="15"/>
        <v>0</v>
      </c>
      <c r="U28">
        <f>SUMIF(SmtRes!AQ5:'SmtRes'!AQ7,"=1",SmtRes!CV5:'SmtRes'!CV7)</f>
        <v>0</v>
      </c>
      <c r="V28">
        <f>SUMIF(SmtRes!AQ5:'SmtRes'!AQ7,"=1",SmtRes!CW5:'SmtRes'!CW7)</f>
        <v>0</v>
      </c>
      <c r="W28">
        <f t="shared" si="16"/>
        <v>0</v>
      </c>
      <c r="X28">
        <f t="shared" si="17"/>
        <v>0</v>
      </c>
      <c r="Y28">
        <f t="shared" si="18"/>
        <v>0</v>
      </c>
      <c r="AA28">
        <v>50279781</v>
      </c>
      <c r="AB28">
        <f t="shared" si="19"/>
        <v>0</v>
      </c>
      <c r="AC28">
        <f>ROUND((0),6)</f>
        <v>0</v>
      </c>
      <c r="AD28">
        <f>ROUND((((0)-(0))+AE28),6)</f>
        <v>0</v>
      </c>
      <c r="AE28">
        <f>ROUND((0),6)</f>
        <v>0</v>
      </c>
      <c r="AF28">
        <f>ROUND((0),6)</f>
        <v>0</v>
      </c>
      <c r="AG28">
        <f t="shared" si="20"/>
        <v>0</v>
      </c>
      <c r="AH28">
        <f>(0)</f>
        <v>0</v>
      </c>
      <c r="AI28">
        <f>(0)</f>
        <v>0</v>
      </c>
      <c r="AJ28">
        <f t="shared" si="21"/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92</v>
      </c>
      <c r="AU28">
        <v>46</v>
      </c>
      <c r="AV28">
        <v>1</v>
      </c>
      <c r="AW28">
        <v>1</v>
      </c>
      <c r="AZ28">
        <v>1</v>
      </c>
      <c r="BA28">
        <v>1</v>
      </c>
      <c r="BB28">
        <v>1</v>
      </c>
      <c r="BC28">
        <v>1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1</v>
      </c>
      <c r="BJ28" t="s">
        <v>45</v>
      </c>
      <c r="BM28">
        <v>1001</v>
      </c>
      <c r="BN28">
        <v>0</v>
      </c>
      <c r="BO28" t="s">
        <v>3</v>
      </c>
      <c r="BP28">
        <v>0</v>
      </c>
      <c r="BQ28">
        <v>2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92</v>
      </c>
      <c r="CA28">
        <v>46</v>
      </c>
      <c r="CB28" t="s">
        <v>3</v>
      </c>
      <c r="CE28">
        <v>0</v>
      </c>
      <c r="CF28">
        <v>0</v>
      </c>
      <c r="CG28">
        <v>0</v>
      </c>
      <c r="CM28">
        <v>0</v>
      </c>
      <c r="CN28" t="s">
        <v>20</v>
      </c>
      <c r="CO28">
        <v>0</v>
      </c>
      <c r="CP28">
        <f t="shared" si="22"/>
        <v>0</v>
      </c>
      <c r="CQ28">
        <f>SUMIF(SmtRes!AQ5:'SmtRes'!AQ7,"=1",SmtRes!AA5:'SmtRes'!AA7)</f>
        <v>0</v>
      </c>
      <c r="CR28">
        <f>SUMIF(SmtRes!AQ5:'SmtRes'!AQ7,"=1",SmtRes!AB5:'SmtRes'!AB7)</f>
        <v>5601.52</v>
      </c>
      <c r="CS28">
        <f>SUMIF(SmtRes!AQ5:'SmtRes'!AQ7,"=1",SmtRes!AC5:'SmtRes'!AC7)</f>
        <v>1066</v>
      </c>
      <c r="CT28">
        <f>SUMIF(SmtRes!AQ5:'SmtRes'!AQ7,"=1",SmtRes!AD5:'SmtRes'!AD7)</f>
        <v>0</v>
      </c>
      <c r="CU28">
        <f t="shared" si="23"/>
        <v>0</v>
      </c>
      <c r="CV28">
        <f>SUMIF(SmtRes!AQ5:'SmtRes'!AQ7,"=1",SmtRes!BU5:'SmtRes'!BU7)</f>
        <v>0</v>
      </c>
      <c r="CW28">
        <f>SUMIF(SmtRes!AQ5:'SmtRes'!AQ7,"=1",SmtRes!BV5:'SmtRes'!BV7)</f>
        <v>0</v>
      </c>
      <c r="CX28">
        <f t="shared" si="24"/>
        <v>0</v>
      </c>
      <c r="CY28">
        <f t="shared" si="25"/>
        <v>0</v>
      </c>
      <c r="CZ28">
        <f t="shared" si="26"/>
        <v>0</v>
      </c>
      <c r="DB28">
        <v>2</v>
      </c>
      <c r="DC28" t="s">
        <v>3</v>
      </c>
      <c r="DD28" t="s">
        <v>3</v>
      </c>
      <c r="DE28" t="s">
        <v>21</v>
      </c>
      <c r="DF28" t="s">
        <v>21</v>
      </c>
      <c r="DG28" t="s">
        <v>21</v>
      </c>
      <c r="DH28" t="s">
        <v>3</v>
      </c>
      <c r="DI28" t="s">
        <v>21</v>
      </c>
      <c r="DJ28" t="s">
        <v>21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1007</v>
      </c>
      <c r="DV28" t="s">
        <v>18</v>
      </c>
      <c r="DW28" t="s">
        <v>18</v>
      </c>
      <c r="DX28">
        <v>1000</v>
      </c>
      <c r="DZ28" t="s">
        <v>3</v>
      </c>
      <c r="EA28" t="s">
        <v>3</v>
      </c>
      <c r="EB28" t="s">
        <v>3</v>
      </c>
      <c r="EC28" t="s">
        <v>3</v>
      </c>
      <c r="EE28">
        <v>49077845</v>
      </c>
      <c r="EF28">
        <v>2</v>
      </c>
      <c r="EG28" t="s">
        <v>22</v>
      </c>
      <c r="EH28">
        <v>1</v>
      </c>
      <c r="EI28" t="s">
        <v>23</v>
      </c>
      <c r="EJ28">
        <v>1</v>
      </c>
      <c r="EK28">
        <v>1001</v>
      </c>
      <c r="EL28" t="s">
        <v>24</v>
      </c>
      <c r="EM28" t="s">
        <v>25</v>
      </c>
      <c r="EO28" t="s">
        <v>26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4.87</v>
      </c>
      <c r="EY28">
        <v>0</v>
      </c>
      <c r="FQ28">
        <v>0</v>
      </c>
      <c r="FR28">
        <v>0</v>
      </c>
      <c r="FS28">
        <v>0</v>
      </c>
      <c r="FX28">
        <v>92</v>
      </c>
      <c r="FY28">
        <v>46</v>
      </c>
      <c r="GA28" t="s">
        <v>3</v>
      </c>
      <c r="GD28">
        <v>1</v>
      </c>
      <c r="GF28">
        <v>805065611</v>
      </c>
      <c r="GG28">
        <v>2</v>
      </c>
      <c r="GH28">
        <v>1</v>
      </c>
      <c r="GI28">
        <v>-2</v>
      </c>
      <c r="GJ28">
        <v>0</v>
      </c>
      <c r="GK28">
        <v>0</v>
      </c>
      <c r="GL28">
        <f t="shared" si="27"/>
        <v>0</v>
      </c>
      <c r="GM28">
        <f t="shared" si="28"/>
        <v>0</v>
      </c>
      <c r="GN28">
        <f t="shared" si="29"/>
        <v>0</v>
      </c>
      <c r="GO28">
        <f t="shared" si="30"/>
        <v>0</v>
      </c>
      <c r="GP28">
        <f t="shared" si="31"/>
        <v>0</v>
      </c>
      <c r="GR28">
        <v>0</v>
      </c>
      <c r="GS28">
        <v>3</v>
      </c>
      <c r="GT28">
        <v>0</v>
      </c>
      <c r="GU28" t="s">
        <v>3</v>
      </c>
      <c r="GV28">
        <f t="shared" si="32"/>
        <v>0</v>
      </c>
      <c r="GW28">
        <v>1</v>
      </c>
      <c r="GX28">
        <f t="shared" si="33"/>
        <v>0</v>
      </c>
      <c r="HA28">
        <v>0</v>
      </c>
      <c r="HB28">
        <v>0</v>
      </c>
      <c r="HC28">
        <f t="shared" si="34"/>
        <v>0</v>
      </c>
      <c r="HE28" t="s">
        <v>3</v>
      </c>
      <c r="HF28" t="s">
        <v>3</v>
      </c>
      <c r="HM28" t="s">
        <v>3</v>
      </c>
      <c r="HN28" t="s">
        <v>27</v>
      </c>
      <c r="HO28" t="s">
        <v>28</v>
      </c>
      <c r="HP28" t="s">
        <v>24</v>
      </c>
      <c r="HQ28" t="s">
        <v>24</v>
      </c>
      <c r="HS28">
        <v>0</v>
      </c>
      <c r="IK28">
        <v>0</v>
      </c>
    </row>
    <row r="29" spans="1:245" x14ac:dyDescent="0.2">
      <c r="A29">
        <v>17</v>
      </c>
      <c r="B29">
        <v>1</v>
      </c>
      <c r="E29" t="s">
        <v>46</v>
      </c>
      <c r="F29" t="s">
        <v>30</v>
      </c>
      <c r="G29" t="s">
        <v>47</v>
      </c>
      <c r="H29" t="s">
        <v>32</v>
      </c>
      <c r="I29">
        <v>7.4206624999999997</v>
      </c>
      <c r="J29">
        <v>0</v>
      </c>
      <c r="K29">
        <v>7.4206624999999997</v>
      </c>
      <c r="O29">
        <f t="shared" si="14"/>
        <v>40813.64</v>
      </c>
      <c r="P29">
        <f>ROUND(CQ29*I29,2)</f>
        <v>0</v>
      </c>
      <c r="Q29">
        <f>ROUND(CR29*I29,2)</f>
        <v>40813.64</v>
      </c>
      <c r="R29">
        <f>ROUND(CS29*I29,2)</f>
        <v>0</v>
      </c>
      <c r="S29">
        <f>ROUND(CT29*I29,2)</f>
        <v>0</v>
      </c>
      <c r="T29">
        <f t="shared" si="15"/>
        <v>0</v>
      </c>
      <c r="U29">
        <f>ROUND(CV29*I29,7)</f>
        <v>0</v>
      </c>
      <c r="V29">
        <f>ROUND(CW29*I29,7)</f>
        <v>0</v>
      </c>
      <c r="W29">
        <f t="shared" si="16"/>
        <v>0</v>
      </c>
      <c r="X29">
        <f t="shared" si="17"/>
        <v>0</v>
      </c>
      <c r="Y29">
        <f t="shared" si="18"/>
        <v>0</v>
      </c>
      <c r="AA29">
        <v>50279781</v>
      </c>
      <c r="AB29">
        <f t="shared" si="19"/>
        <v>5500</v>
      </c>
      <c r="AC29">
        <f>ROUND((ES29),6)</f>
        <v>0</v>
      </c>
      <c r="AD29">
        <f>ROUND((((ET29)-(EU29))+AE29),6)</f>
        <v>5500</v>
      </c>
      <c r="AE29">
        <f>ROUND((EU29),6)</f>
        <v>0</v>
      </c>
      <c r="AF29">
        <f>ROUND((EV29),6)</f>
        <v>0</v>
      </c>
      <c r="AG29">
        <f t="shared" si="20"/>
        <v>0</v>
      </c>
      <c r="AH29">
        <f>(EW29)</f>
        <v>0</v>
      </c>
      <c r="AI29">
        <f>(EX29)</f>
        <v>0</v>
      </c>
      <c r="AJ29">
        <f t="shared" si="21"/>
        <v>0</v>
      </c>
      <c r="AK29">
        <v>5500</v>
      </c>
      <c r="AL29">
        <v>0</v>
      </c>
      <c r="AM29">
        <v>5500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1</v>
      </c>
      <c r="AZ29">
        <v>1</v>
      </c>
      <c r="BA29">
        <v>1</v>
      </c>
      <c r="BB29">
        <v>1</v>
      </c>
      <c r="BC29">
        <v>1</v>
      </c>
      <c r="BD29" t="s">
        <v>3</v>
      </c>
      <c r="BE29" t="s">
        <v>3</v>
      </c>
      <c r="BF29" t="s">
        <v>3</v>
      </c>
      <c r="BG29" t="s">
        <v>3</v>
      </c>
      <c r="BH29">
        <v>2</v>
      </c>
      <c r="BI29">
        <v>4</v>
      </c>
      <c r="BJ29" t="s">
        <v>3</v>
      </c>
      <c r="BM29">
        <v>0</v>
      </c>
      <c r="BN29">
        <v>0</v>
      </c>
      <c r="BO29" t="s">
        <v>3</v>
      </c>
      <c r="BP29">
        <v>0</v>
      </c>
      <c r="BQ29">
        <v>16</v>
      </c>
      <c r="BR29">
        <v>0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0</v>
      </c>
      <c r="CA29">
        <v>0</v>
      </c>
      <c r="CB29" t="s">
        <v>3</v>
      </c>
      <c r="CE29">
        <v>0</v>
      </c>
      <c r="CF29">
        <v>0</v>
      </c>
      <c r="CG29">
        <v>0</v>
      </c>
      <c r="CM29">
        <v>0</v>
      </c>
      <c r="CN29" t="s">
        <v>20</v>
      </c>
      <c r="CO29">
        <v>0</v>
      </c>
      <c r="CP29">
        <f t="shared" si="22"/>
        <v>40813.64</v>
      </c>
      <c r="CQ29">
        <f>ROUND(AL29*BC29,2)</f>
        <v>0</v>
      </c>
      <c r="CR29">
        <f>ROUND(AM29*BB29,2)</f>
        <v>5500</v>
      </c>
      <c r="CS29">
        <f>ROUND(AN29*BS29,2)</f>
        <v>0</v>
      </c>
      <c r="CT29">
        <f>ROUND(AO29*BA29,2)</f>
        <v>0</v>
      </c>
      <c r="CU29">
        <f t="shared" si="23"/>
        <v>0</v>
      </c>
      <c r="CV29">
        <f>AH29</f>
        <v>0</v>
      </c>
      <c r="CW29">
        <f>AI29</f>
        <v>0</v>
      </c>
      <c r="CX29">
        <f t="shared" si="24"/>
        <v>0</v>
      </c>
      <c r="CY29">
        <f t="shared" si="25"/>
        <v>0</v>
      </c>
      <c r="CZ29">
        <f t="shared" si="26"/>
        <v>0</v>
      </c>
      <c r="DC29" t="s">
        <v>3</v>
      </c>
      <c r="DD29" t="s">
        <v>3</v>
      </c>
      <c r="DE29" t="s">
        <v>3</v>
      </c>
      <c r="DF29" t="s">
        <v>3</v>
      </c>
      <c r="DG29" t="s">
        <v>3</v>
      </c>
      <c r="DH29" t="s">
        <v>3</v>
      </c>
      <c r="DI29" t="s">
        <v>3</v>
      </c>
      <c r="DJ29" t="s">
        <v>3</v>
      </c>
      <c r="DK29" t="s">
        <v>3</v>
      </c>
      <c r="DL29" t="s">
        <v>3</v>
      </c>
      <c r="DM29" t="s">
        <v>3</v>
      </c>
      <c r="DN29">
        <v>0</v>
      </c>
      <c r="DO29">
        <v>0</v>
      </c>
      <c r="DP29">
        <v>1</v>
      </c>
      <c r="DQ29">
        <v>1</v>
      </c>
      <c r="DU29">
        <v>1011</v>
      </c>
      <c r="DV29" t="s">
        <v>32</v>
      </c>
      <c r="DW29" t="s">
        <v>32</v>
      </c>
      <c r="DX29">
        <v>1</v>
      </c>
      <c r="DZ29" t="s">
        <v>3</v>
      </c>
      <c r="EA29" t="s">
        <v>3</v>
      </c>
      <c r="EB29" t="s">
        <v>3</v>
      </c>
      <c r="EC29" t="s">
        <v>3</v>
      </c>
      <c r="EE29">
        <v>49077812</v>
      </c>
      <c r="EF29">
        <v>16</v>
      </c>
      <c r="EG29" t="s">
        <v>33</v>
      </c>
      <c r="EH29">
        <v>0</v>
      </c>
      <c r="EI29" t="s">
        <v>3</v>
      </c>
      <c r="EJ29">
        <v>4</v>
      </c>
      <c r="EK29">
        <v>0</v>
      </c>
      <c r="EL29" t="s">
        <v>34</v>
      </c>
      <c r="EM29" t="s">
        <v>35</v>
      </c>
      <c r="EO29" t="s">
        <v>26</v>
      </c>
      <c r="EQ29">
        <v>0</v>
      </c>
      <c r="ER29">
        <v>5500</v>
      </c>
      <c r="ES29">
        <v>0</v>
      </c>
      <c r="ET29">
        <v>5500</v>
      </c>
      <c r="EU29">
        <v>0</v>
      </c>
      <c r="EV29">
        <v>0</v>
      </c>
      <c r="EW29">
        <v>0</v>
      </c>
      <c r="EX29">
        <v>0</v>
      </c>
      <c r="EY29">
        <v>0</v>
      </c>
      <c r="FQ29">
        <v>0</v>
      </c>
      <c r="FR29">
        <v>0</v>
      </c>
      <c r="FS29">
        <v>0</v>
      </c>
      <c r="FX29">
        <v>0</v>
      </c>
      <c r="FY29">
        <v>0</v>
      </c>
      <c r="GA29" t="s">
        <v>3</v>
      </c>
      <c r="GD29">
        <v>1</v>
      </c>
      <c r="GF29">
        <v>-1393693177</v>
      </c>
      <c r="GG29">
        <v>2</v>
      </c>
      <c r="GH29">
        <v>2</v>
      </c>
      <c r="GI29">
        <v>-2</v>
      </c>
      <c r="GJ29">
        <v>0</v>
      </c>
      <c r="GK29">
        <v>0</v>
      </c>
      <c r="GL29">
        <f t="shared" si="27"/>
        <v>0</v>
      </c>
      <c r="GM29">
        <f t="shared" si="28"/>
        <v>40813.64</v>
      </c>
      <c r="GN29">
        <f t="shared" si="29"/>
        <v>0</v>
      </c>
      <c r="GO29">
        <f t="shared" si="30"/>
        <v>0</v>
      </c>
      <c r="GP29">
        <f t="shared" si="31"/>
        <v>40813.64</v>
      </c>
      <c r="GR29">
        <v>0</v>
      </c>
      <c r="GS29">
        <v>7</v>
      </c>
      <c r="GT29">
        <v>0</v>
      </c>
      <c r="GU29" t="s">
        <v>3</v>
      </c>
      <c r="GV29">
        <f t="shared" si="32"/>
        <v>0</v>
      </c>
      <c r="GW29">
        <v>1</v>
      </c>
      <c r="GX29">
        <f t="shared" si="33"/>
        <v>0</v>
      </c>
      <c r="HA29">
        <v>0</v>
      </c>
      <c r="HB29">
        <v>0</v>
      </c>
      <c r="HC29">
        <f t="shared" si="34"/>
        <v>0</v>
      </c>
      <c r="HE29" t="s">
        <v>3</v>
      </c>
      <c r="HF29" t="s">
        <v>3</v>
      </c>
      <c r="HM29" t="s">
        <v>3</v>
      </c>
      <c r="HN29" t="s">
        <v>3</v>
      </c>
      <c r="HO29" t="s">
        <v>3</v>
      </c>
      <c r="HP29" t="s">
        <v>3</v>
      </c>
      <c r="HQ29" t="s">
        <v>3</v>
      </c>
      <c r="HS29">
        <v>0</v>
      </c>
      <c r="IK29">
        <v>0</v>
      </c>
    </row>
    <row r="30" spans="1:245" x14ac:dyDescent="0.2">
      <c r="A30">
        <v>17</v>
      </c>
      <c r="B30">
        <v>1</v>
      </c>
      <c r="C30">
        <f>ROW(SmtRes!A9)</f>
        <v>9</v>
      </c>
      <c r="D30">
        <f>ROW(EtalonRes!A9)</f>
        <v>9</v>
      </c>
      <c r="E30" t="s">
        <v>48</v>
      </c>
      <c r="F30" t="s">
        <v>49</v>
      </c>
      <c r="G30" t="s">
        <v>50</v>
      </c>
      <c r="H30" t="s">
        <v>18</v>
      </c>
      <c r="I30">
        <f>ROUND(1325/1000,7)</f>
        <v>1.325</v>
      </c>
      <c r="J30">
        <v>0</v>
      </c>
      <c r="K30">
        <f>ROUND(1325/1000,7)</f>
        <v>1.325</v>
      </c>
      <c r="O30">
        <f t="shared" si="14"/>
        <v>0</v>
      </c>
      <c r="P30">
        <f>SUMIF(SmtRes!AQ8:'SmtRes'!AQ9,"=1",SmtRes!DF8:'SmtRes'!DF9)</f>
        <v>0</v>
      </c>
      <c r="Q30">
        <f>SUMIF(SmtRes!AQ8:'SmtRes'!AQ9,"=1",SmtRes!DG8:'SmtRes'!DG9)</f>
        <v>0</v>
      </c>
      <c r="R30">
        <f>SUMIF(SmtRes!AQ8:'SmtRes'!AQ9,"=1",SmtRes!DH8:'SmtRes'!DH9)</f>
        <v>0</v>
      </c>
      <c r="S30">
        <f>SUMIF(SmtRes!AQ8:'SmtRes'!AQ9,"=1",SmtRes!DI8:'SmtRes'!DI9)</f>
        <v>0</v>
      </c>
      <c r="T30">
        <f t="shared" si="15"/>
        <v>0</v>
      </c>
      <c r="U30">
        <f>SUMIF(SmtRes!AQ8:'SmtRes'!AQ9,"=1",SmtRes!CV8:'SmtRes'!CV9)</f>
        <v>0</v>
      </c>
      <c r="V30">
        <f>SUMIF(SmtRes!AQ8:'SmtRes'!AQ9,"=1",SmtRes!CW8:'SmtRes'!CW9)</f>
        <v>0</v>
      </c>
      <c r="W30">
        <f t="shared" si="16"/>
        <v>0</v>
      </c>
      <c r="X30">
        <f t="shared" si="17"/>
        <v>0</v>
      </c>
      <c r="Y30">
        <f t="shared" si="18"/>
        <v>0</v>
      </c>
      <c r="AA30">
        <v>50279781</v>
      </c>
      <c r="AB30">
        <f t="shared" si="19"/>
        <v>0</v>
      </c>
      <c r="AC30">
        <f>ROUND((0),6)</f>
        <v>0</v>
      </c>
      <c r="AD30">
        <f>ROUND((((0)-(0))+AE30),6)</f>
        <v>0</v>
      </c>
      <c r="AE30">
        <f>ROUND((0),6)</f>
        <v>0</v>
      </c>
      <c r="AF30">
        <f>ROUND((0),6)</f>
        <v>0</v>
      </c>
      <c r="AG30">
        <f t="shared" si="20"/>
        <v>0</v>
      </c>
      <c r="AH30">
        <f>(0)</f>
        <v>0</v>
      </c>
      <c r="AI30">
        <f>(0)</f>
        <v>0</v>
      </c>
      <c r="AJ30">
        <f t="shared" si="21"/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92</v>
      </c>
      <c r="AU30">
        <v>46</v>
      </c>
      <c r="AV30">
        <v>1</v>
      </c>
      <c r="AW30">
        <v>1</v>
      </c>
      <c r="AZ30">
        <v>1</v>
      </c>
      <c r="BA30">
        <v>1</v>
      </c>
      <c r="BB30">
        <v>1</v>
      </c>
      <c r="BC30">
        <v>1</v>
      </c>
      <c r="BD30" t="s">
        <v>3</v>
      </c>
      <c r="BE30" t="s">
        <v>3</v>
      </c>
      <c r="BF30" t="s">
        <v>3</v>
      </c>
      <c r="BG30" t="s">
        <v>3</v>
      </c>
      <c r="BH30">
        <v>0</v>
      </c>
      <c r="BI30">
        <v>1</v>
      </c>
      <c r="BJ30" t="s">
        <v>51</v>
      </c>
      <c r="BM30">
        <v>1001</v>
      </c>
      <c r="BN30">
        <v>0</v>
      </c>
      <c r="BO30" t="s">
        <v>3</v>
      </c>
      <c r="BP30">
        <v>0</v>
      </c>
      <c r="BQ30">
        <v>2</v>
      </c>
      <c r="BR30">
        <v>0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92</v>
      </c>
      <c r="CA30">
        <v>46</v>
      </c>
      <c r="CB30" t="s">
        <v>3</v>
      </c>
      <c r="CE30">
        <v>0</v>
      </c>
      <c r="CF30">
        <v>0</v>
      </c>
      <c r="CG30">
        <v>0</v>
      </c>
      <c r="CM30">
        <v>0</v>
      </c>
      <c r="CN30" t="s">
        <v>20</v>
      </c>
      <c r="CO30">
        <v>0</v>
      </c>
      <c r="CP30">
        <f t="shared" si="22"/>
        <v>0</v>
      </c>
      <c r="CQ30">
        <f>SUMIF(SmtRes!AQ8:'SmtRes'!AQ9,"=1",SmtRes!AA8:'SmtRes'!AA9)</f>
        <v>0</v>
      </c>
      <c r="CR30">
        <f>SUMIF(SmtRes!AQ8:'SmtRes'!AQ9,"=1",SmtRes!AB8:'SmtRes'!AB9)</f>
        <v>2638.82</v>
      </c>
      <c r="CS30">
        <f>SUMIF(SmtRes!AQ8:'SmtRes'!AQ9,"=1",SmtRes!AC8:'SmtRes'!AC9)</f>
        <v>533</v>
      </c>
      <c r="CT30">
        <f>SUMIF(SmtRes!AQ8:'SmtRes'!AQ9,"=1",SmtRes!AD8:'SmtRes'!AD9)</f>
        <v>0</v>
      </c>
      <c r="CU30">
        <f t="shared" si="23"/>
        <v>0</v>
      </c>
      <c r="CV30">
        <f>SUMIF(SmtRes!AQ8:'SmtRes'!AQ9,"=1",SmtRes!BU8:'SmtRes'!BU9)</f>
        <v>0</v>
      </c>
      <c r="CW30">
        <f>SUMIF(SmtRes!AQ8:'SmtRes'!AQ9,"=1",SmtRes!BV8:'SmtRes'!BV9)</f>
        <v>0</v>
      </c>
      <c r="CX30">
        <f t="shared" si="24"/>
        <v>0</v>
      </c>
      <c r="CY30">
        <f t="shared" si="25"/>
        <v>0</v>
      </c>
      <c r="CZ30">
        <f t="shared" si="26"/>
        <v>0</v>
      </c>
      <c r="DC30" t="s">
        <v>3</v>
      </c>
      <c r="DD30" t="s">
        <v>3</v>
      </c>
      <c r="DE30" t="s">
        <v>52</v>
      </c>
      <c r="DF30" t="s">
        <v>52</v>
      </c>
      <c r="DG30" t="s">
        <v>52</v>
      </c>
      <c r="DH30" t="s">
        <v>3</v>
      </c>
      <c r="DI30" t="s">
        <v>52</v>
      </c>
      <c r="DJ30" t="s">
        <v>52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1007</v>
      </c>
      <c r="DV30" t="s">
        <v>18</v>
      </c>
      <c r="DW30" t="s">
        <v>18</v>
      </c>
      <c r="DX30">
        <v>1000</v>
      </c>
      <c r="DZ30" t="s">
        <v>3</v>
      </c>
      <c r="EA30" t="s">
        <v>3</v>
      </c>
      <c r="EB30" t="s">
        <v>3</v>
      </c>
      <c r="EC30" t="s">
        <v>3</v>
      </c>
      <c r="EE30">
        <v>49077845</v>
      </c>
      <c r="EF30">
        <v>2</v>
      </c>
      <c r="EG30" t="s">
        <v>22</v>
      </c>
      <c r="EH30">
        <v>1</v>
      </c>
      <c r="EI30" t="s">
        <v>23</v>
      </c>
      <c r="EJ30">
        <v>1</v>
      </c>
      <c r="EK30">
        <v>1001</v>
      </c>
      <c r="EL30" t="s">
        <v>24</v>
      </c>
      <c r="EM30" t="s">
        <v>25</v>
      </c>
      <c r="EO30" t="s">
        <v>26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0.67</v>
      </c>
      <c r="EY30">
        <v>0</v>
      </c>
      <c r="FQ30">
        <v>0</v>
      </c>
      <c r="FR30">
        <v>0</v>
      </c>
      <c r="FS30">
        <v>0</v>
      </c>
      <c r="FX30">
        <v>92</v>
      </c>
      <c r="FY30">
        <v>46</v>
      </c>
      <c r="GA30" t="s">
        <v>3</v>
      </c>
      <c r="GD30">
        <v>1</v>
      </c>
      <c r="GF30">
        <v>588311446</v>
      </c>
      <c r="GG30">
        <v>2</v>
      </c>
      <c r="GH30">
        <v>1</v>
      </c>
      <c r="GI30">
        <v>-2</v>
      </c>
      <c r="GJ30">
        <v>0</v>
      </c>
      <c r="GK30">
        <v>0</v>
      </c>
      <c r="GL30">
        <f t="shared" si="27"/>
        <v>0</v>
      </c>
      <c r="GM30">
        <f t="shared" si="28"/>
        <v>0</v>
      </c>
      <c r="GN30">
        <f t="shared" si="29"/>
        <v>0</v>
      </c>
      <c r="GO30">
        <f t="shared" si="30"/>
        <v>0</v>
      </c>
      <c r="GP30">
        <f t="shared" si="31"/>
        <v>0</v>
      </c>
      <c r="GR30">
        <v>0</v>
      </c>
      <c r="GS30">
        <v>3</v>
      </c>
      <c r="GT30">
        <v>0</v>
      </c>
      <c r="GU30" t="s">
        <v>3</v>
      </c>
      <c r="GV30">
        <f t="shared" si="32"/>
        <v>0</v>
      </c>
      <c r="GW30">
        <v>1</v>
      </c>
      <c r="GX30">
        <f t="shared" si="33"/>
        <v>0</v>
      </c>
      <c r="HA30">
        <v>0</v>
      </c>
      <c r="HB30">
        <v>0</v>
      </c>
      <c r="HC30">
        <f t="shared" si="34"/>
        <v>0</v>
      </c>
      <c r="HE30" t="s">
        <v>3</v>
      </c>
      <c r="HF30" t="s">
        <v>3</v>
      </c>
      <c r="HM30" t="s">
        <v>3</v>
      </c>
      <c r="HN30" t="s">
        <v>27</v>
      </c>
      <c r="HO30" t="s">
        <v>28</v>
      </c>
      <c r="HP30" t="s">
        <v>24</v>
      </c>
      <c r="HQ30" t="s">
        <v>24</v>
      </c>
      <c r="HS30">
        <v>0</v>
      </c>
      <c r="IK30">
        <v>0</v>
      </c>
    </row>
    <row r="31" spans="1:245" x14ac:dyDescent="0.2">
      <c r="A31">
        <v>17</v>
      </c>
      <c r="B31">
        <v>1</v>
      </c>
      <c r="E31" t="s">
        <v>53</v>
      </c>
      <c r="F31" t="s">
        <v>54</v>
      </c>
      <c r="G31" t="s">
        <v>47</v>
      </c>
      <c r="H31" t="s">
        <v>32</v>
      </c>
      <c r="I31">
        <f>ROUND(I30*3.8525,7)</f>
        <v>5.1045625000000001</v>
      </c>
      <c r="J31">
        <v>0</v>
      </c>
      <c r="K31">
        <f>ROUND(I30*3.8525,7)</f>
        <v>5.1045625000000001</v>
      </c>
      <c r="O31">
        <f t="shared" si="14"/>
        <v>28075.09</v>
      </c>
      <c r="P31">
        <f>ROUND(CQ31*I31,2)</f>
        <v>0</v>
      </c>
      <c r="Q31">
        <f>ROUND(CR31*I31,2)</f>
        <v>28075.09</v>
      </c>
      <c r="R31">
        <f>ROUND(CS31*I31,2)</f>
        <v>0</v>
      </c>
      <c r="S31">
        <f>ROUND(CT31*I31,2)</f>
        <v>0</v>
      </c>
      <c r="T31">
        <f t="shared" si="15"/>
        <v>0</v>
      </c>
      <c r="U31">
        <f>ROUND(CV31*I31,7)</f>
        <v>0</v>
      </c>
      <c r="V31">
        <f>ROUND(CW31*I31,7)</f>
        <v>0</v>
      </c>
      <c r="W31">
        <f t="shared" si="16"/>
        <v>0</v>
      </c>
      <c r="X31">
        <f t="shared" si="17"/>
        <v>0</v>
      </c>
      <c r="Y31">
        <f t="shared" si="18"/>
        <v>0</v>
      </c>
      <c r="AA31">
        <v>50279781</v>
      </c>
      <c r="AB31">
        <f t="shared" si="19"/>
        <v>5500</v>
      </c>
      <c r="AC31">
        <f>ROUND((ES31),6)</f>
        <v>0</v>
      </c>
      <c r="AD31">
        <f>ROUND((((ET31)-(EU31))+AE31),6)</f>
        <v>5500</v>
      </c>
      <c r="AE31">
        <f>ROUND((EU31),6)</f>
        <v>0</v>
      </c>
      <c r="AF31">
        <f>ROUND((EV31),6)</f>
        <v>0</v>
      </c>
      <c r="AG31">
        <f t="shared" si="20"/>
        <v>0</v>
      </c>
      <c r="AH31">
        <f>(EW31)</f>
        <v>0</v>
      </c>
      <c r="AI31">
        <f>(EX31)</f>
        <v>0</v>
      </c>
      <c r="AJ31">
        <f t="shared" si="21"/>
        <v>0</v>
      </c>
      <c r="AK31">
        <v>5500</v>
      </c>
      <c r="AL31">
        <v>0</v>
      </c>
      <c r="AM31">
        <v>5500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1</v>
      </c>
      <c r="AZ31">
        <v>1</v>
      </c>
      <c r="BA31">
        <v>1</v>
      </c>
      <c r="BB31">
        <v>1</v>
      </c>
      <c r="BC31">
        <v>1</v>
      </c>
      <c r="BD31" t="s">
        <v>3</v>
      </c>
      <c r="BE31" t="s">
        <v>3</v>
      </c>
      <c r="BF31" t="s">
        <v>3</v>
      </c>
      <c r="BG31" t="s">
        <v>3</v>
      </c>
      <c r="BH31">
        <v>2</v>
      </c>
      <c r="BI31">
        <v>4</v>
      </c>
      <c r="BJ31" t="s">
        <v>3</v>
      </c>
      <c r="BM31">
        <v>0</v>
      </c>
      <c r="BN31">
        <v>0</v>
      </c>
      <c r="BO31" t="s">
        <v>3</v>
      </c>
      <c r="BP31">
        <v>0</v>
      </c>
      <c r="BQ31">
        <v>16</v>
      </c>
      <c r="BR31">
        <v>0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0</v>
      </c>
      <c r="CA31">
        <v>0</v>
      </c>
      <c r="CB31" t="s">
        <v>3</v>
      </c>
      <c r="CE31">
        <v>0</v>
      </c>
      <c r="CF31">
        <v>0</v>
      </c>
      <c r="CG31">
        <v>0</v>
      </c>
      <c r="CM31">
        <v>0</v>
      </c>
      <c r="CN31" t="s">
        <v>20</v>
      </c>
      <c r="CO31">
        <v>0</v>
      </c>
      <c r="CP31">
        <f t="shared" si="22"/>
        <v>28075.09</v>
      </c>
      <c r="CQ31">
        <f>ROUND(AL31*BC31,2)</f>
        <v>0</v>
      </c>
      <c r="CR31">
        <f>ROUND(AM31*BB31,2)</f>
        <v>5500</v>
      </c>
      <c r="CS31">
        <f>ROUND(AN31*BS31,2)</f>
        <v>0</v>
      </c>
      <c r="CT31">
        <f>ROUND(AO31*BA31,2)</f>
        <v>0</v>
      </c>
      <c r="CU31">
        <f t="shared" si="23"/>
        <v>0</v>
      </c>
      <c r="CV31">
        <f>AH31</f>
        <v>0</v>
      </c>
      <c r="CW31">
        <f>AI31</f>
        <v>0</v>
      </c>
      <c r="CX31">
        <f t="shared" si="24"/>
        <v>0</v>
      </c>
      <c r="CY31">
        <f t="shared" si="25"/>
        <v>0</v>
      </c>
      <c r="CZ31">
        <f t="shared" si="26"/>
        <v>0</v>
      </c>
      <c r="DC31" t="s">
        <v>3</v>
      </c>
      <c r="DD31" t="s">
        <v>3</v>
      </c>
      <c r="DE31" t="s">
        <v>3</v>
      </c>
      <c r="DF31" t="s">
        <v>3</v>
      </c>
      <c r="DG31" t="s">
        <v>3</v>
      </c>
      <c r="DH31" t="s">
        <v>3</v>
      </c>
      <c r="DI31" t="s">
        <v>3</v>
      </c>
      <c r="DJ31" t="s">
        <v>3</v>
      </c>
      <c r="DK31" t="s">
        <v>3</v>
      </c>
      <c r="DL31" t="s">
        <v>3</v>
      </c>
      <c r="DM31" t="s">
        <v>3</v>
      </c>
      <c r="DN31">
        <v>0</v>
      </c>
      <c r="DO31">
        <v>0</v>
      </c>
      <c r="DP31">
        <v>1</v>
      </c>
      <c r="DQ31">
        <v>1</v>
      </c>
      <c r="DU31">
        <v>1011</v>
      </c>
      <c r="DV31" t="s">
        <v>32</v>
      </c>
      <c r="DW31" t="s">
        <v>32</v>
      </c>
      <c r="DX31">
        <v>1</v>
      </c>
      <c r="DZ31" t="s">
        <v>3</v>
      </c>
      <c r="EA31" t="s">
        <v>3</v>
      </c>
      <c r="EB31" t="s">
        <v>3</v>
      </c>
      <c r="EC31" t="s">
        <v>3</v>
      </c>
      <c r="EE31">
        <v>49077812</v>
      </c>
      <c r="EF31">
        <v>16</v>
      </c>
      <c r="EG31" t="s">
        <v>33</v>
      </c>
      <c r="EH31">
        <v>0</v>
      </c>
      <c r="EI31" t="s">
        <v>3</v>
      </c>
      <c r="EJ31">
        <v>4</v>
      </c>
      <c r="EK31">
        <v>0</v>
      </c>
      <c r="EL31" t="s">
        <v>34</v>
      </c>
      <c r="EM31" t="s">
        <v>35</v>
      </c>
      <c r="EO31" t="s">
        <v>26</v>
      </c>
      <c r="EQ31">
        <v>0</v>
      </c>
      <c r="ER31">
        <v>5500</v>
      </c>
      <c r="ES31">
        <v>0</v>
      </c>
      <c r="ET31">
        <v>5500</v>
      </c>
      <c r="EU31">
        <v>0</v>
      </c>
      <c r="EV31">
        <v>0</v>
      </c>
      <c r="EW31">
        <v>0</v>
      </c>
      <c r="EX31">
        <v>0</v>
      </c>
      <c r="EY31">
        <v>0</v>
      </c>
      <c r="FQ31">
        <v>0</v>
      </c>
      <c r="FR31">
        <v>0</v>
      </c>
      <c r="FS31">
        <v>0</v>
      </c>
      <c r="FX31">
        <v>0</v>
      </c>
      <c r="FY31">
        <v>0</v>
      </c>
      <c r="GA31" t="s">
        <v>3</v>
      </c>
      <c r="GD31">
        <v>1</v>
      </c>
      <c r="GF31">
        <v>-1815917997</v>
      </c>
      <c r="GG31">
        <v>2</v>
      </c>
      <c r="GH31">
        <v>2</v>
      </c>
      <c r="GI31">
        <v>-2</v>
      </c>
      <c r="GJ31">
        <v>0</v>
      </c>
      <c r="GK31">
        <v>0</v>
      </c>
      <c r="GL31">
        <f t="shared" si="27"/>
        <v>0</v>
      </c>
      <c r="GM31">
        <f t="shared" si="28"/>
        <v>28075.09</v>
      </c>
      <c r="GN31">
        <f t="shared" si="29"/>
        <v>0</v>
      </c>
      <c r="GO31">
        <f t="shared" si="30"/>
        <v>0</v>
      </c>
      <c r="GP31">
        <f t="shared" si="31"/>
        <v>28075.09</v>
      </c>
      <c r="GR31">
        <v>0</v>
      </c>
      <c r="GS31">
        <v>7</v>
      </c>
      <c r="GT31">
        <v>0</v>
      </c>
      <c r="GU31" t="s">
        <v>3</v>
      </c>
      <c r="GV31">
        <f t="shared" si="32"/>
        <v>0</v>
      </c>
      <c r="GW31">
        <v>1</v>
      </c>
      <c r="GX31">
        <f t="shared" si="33"/>
        <v>0</v>
      </c>
      <c r="HA31">
        <v>0</v>
      </c>
      <c r="HB31">
        <v>0</v>
      </c>
      <c r="HC31">
        <f t="shared" si="34"/>
        <v>0</v>
      </c>
      <c r="HE31" t="s">
        <v>3</v>
      </c>
      <c r="HF31" t="s">
        <v>3</v>
      </c>
      <c r="HM31" t="s">
        <v>3</v>
      </c>
      <c r="HN31" t="s">
        <v>3</v>
      </c>
      <c r="HO31" t="s">
        <v>3</v>
      </c>
      <c r="HP31" t="s">
        <v>3</v>
      </c>
      <c r="HQ31" t="s">
        <v>3</v>
      </c>
      <c r="HS31">
        <v>0</v>
      </c>
      <c r="IK31">
        <v>0</v>
      </c>
    </row>
    <row r="32" spans="1:245" x14ac:dyDescent="0.2">
      <c r="A32">
        <v>17</v>
      </c>
      <c r="B32">
        <v>1</v>
      </c>
      <c r="C32">
        <f>ROW(SmtRes!A13)</f>
        <v>13</v>
      </c>
      <c r="D32">
        <f>ROW(EtalonRes!A13)</f>
        <v>13</v>
      </c>
      <c r="E32" t="s">
        <v>55</v>
      </c>
      <c r="F32" t="s">
        <v>56</v>
      </c>
      <c r="G32" t="s">
        <v>57</v>
      </c>
      <c r="H32" t="s">
        <v>18</v>
      </c>
      <c r="I32">
        <f>ROUND(1325/1000,7)</f>
        <v>1.325</v>
      </c>
      <c r="J32">
        <v>0</v>
      </c>
      <c r="K32">
        <f>ROUND(1325/1000,7)</f>
        <v>1.325</v>
      </c>
      <c r="O32">
        <f t="shared" si="14"/>
        <v>46285.81</v>
      </c>
      <c r="P32">
        <f>SUMIF(SmtRes!AQ10:'SmtRes'!AQ13,"=1",SmtRes!DF10:'SmtRes'!DF13)</f>
        <v>4021.38</v>
      </c>
      <c r="Q32">
        <f>SUMIF(SmtRes!AQ10:'SmtRes'!AQ13,"=1",SmtRes!DG10:'SmtRes'!DG13)</f>
        <v>28612.04</v>
      </c>
      <c r="R32">
        <f>SUMIF(SmtRes!AQ10:'SmtRes'!AQ13,"=1",SmtRes!DH10:'SmtRes'!DH13)</f>
        <v>7376.23</v>
      </c>
      <c r="S32">
        <f>SUMIF(SmtRes!AQ10:'SmtRes'!AQ13,"=1",SmtRes!DI10:'SmtRes'!DI13)</f>
        <v>6276.16</v>
      </c>
      <c r="T32">
        <f t="shared" si="15"/>
        <v>0</v>
      </c>
      <c r="U32">
        <f>SUMIF(SmtRes!AQ10:'SmtRes'!AQ13,"=1",SmtRes!CV10:'SmtRes'!CV13)</f>
        <v>21.195362500000002</v>
      </c>
      <c r="V32">
        <f>SUMIF(SmtRes!AQ10:'SmtRes'!AQ13,"=1",SmtRes!CW10:'SmtRes'!CW13)</f>
        <v>18.589749999999999</v>
      </c>
      <c r="W32">
        <f t="shared" si="16"/>
        <v>0</v>
      </c>
      <c r="X32">
        <f t="shared" si="17"/>
        <v>12560.2</v>
      </c>
      <c r="Y32">
        <f t="shared" si="18"/>
        <v>6280.1</v>
      </c>
      <c r="AA32">
        <v>50279781</v>
      </c>
      <c r="AB32">
        <f t="shared" si="19"/>
        <v>29901.717515</v>
      </c>
      <c r="AC32">
        <f>ROUND((SUM(SmtRes!BQ10:'SmtRes'!BQ13)),6)</f>
        <v>3571</v>
      </c>
      <c r="AD32">
        <f>ROUND((((SUM(SmtRes!BR10:'SmtRes'!BR13))-(SUM(SmtRes!BS10:'SmtRes'!BS13)))+AE32),6)</f>
        <v>21593.993900000001</v>
      </c>
      <c r="AE32">
        <f>ROUND((SUM(SmtRes!BS10:'SmtRes'!BS13)),6)</f>
        <v>5566.9637000000002</v>
      </c>
      <c r="AF32">
        <f>ROUND((SUM(SmtRes!BT10:'SmtRes'!BT13)),6)</f>
        <v>4736.7236149999999</v>
      </c>
      <c r="AG32">
        <f t="shared" si="20"/>
        <v>0</v>
      </c>
      <c r="AH32">
        <f>(SUM(SmtRes!BU10:'SmtRes'!BU13))</f>
        <v>15.996499999999999</v>
      </c>
      <c r="AI32">
        <f>(SUM(SmtRes!BV10:'SmtRes'!BV13))</f>
        <v>14.029999999999998</v>
      </c>
      <c r="AJ32">
        <f t="shared" si="21"/>
        <v>0</v>
      </c>
      <c r="AK32">
        <v>31308.114099999999</v>
      </c>
      <c r="AL32">
        <v>3571</v>
      </c>
      <c r="AM32">
        <v>18777.385999999999</v>
      </c>
      <c r="AN32">
        <v>4840.8379999999997</v>
      </c>
      <c r="AO32">
        <v>4118.8901000000005</v>
      </c>
      <c r="AP32">
        <v>0</v>
      </c>
      <c r="AQ32">
        <v>13.91</v>
      </c>
      <c r="AR32">
        <v>12.2</v>
      </c>
      <c r="AS32">
        <v>0</v>
      </c>
      <c r="AT32">
        <v>92</v>
      </c>
      <c r="AU32">
        <v>46</v>
      </c>
      <c r="AV32">
        <v>1</v>
      </c>
      <c r="AW32">
        <v>1</v>
      </c>
      <c r="AZ32">
        <v>1</v>
      </c>
      <c r="BA32">
        <v>1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1</v>
      </c>
      <c r="BJ32" t="s">
        <v>58</v>
      </c>
      <c r="BM32">
        <v>1001</v>
      </c>
      <c r="BN32">
        <v>0</v>
      </c>
      <c r="BO32" t="s">
        <v>3</v>
      </c>
      <c r="BP32">
        <v>0</v>
      </c>
      <c r="BQ32">
        <v>2</v>
      </c>
      <c r="BR32">
        <v>0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92</v>
      </c>
      <c r="CA32">
        <v>46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20</v>
      </c>
      <c r="CO32">
        <v>0</v>
      </c>
      <c r="CP32">
        <f t="shared" si="22"/>
        <v>46285.81</v>
      </c>
      <c r="CQ32">
        <f>SUMIF(SmtRes!AQ10:'SmtRes'!AQ13,"=1",SmtRes!AA10:'SmtRes'!AA13)</f>
        <v>30.35</v>
      </c>
      <c r="CR32">
        <f>SUMIF(SmtRes!AQ10:'SmtRes'!AQ13,"=1",SmtRes!AB10:'SmtRes'!AB13)</f>
        <v>1539.13</v>
      </c>
      <c r="CS32">
        <f>SUMIF(SmtRes!AQ10:'SmtRes'!AQ13,"=1",SmtRes!AC10:'SmtRes'!AC13)</f>
        <v>396.79</v>
      </c>
      <c r="CT32">
        <f>SUMIF(SmtRes!AQ10:'SmtRes'!AQ13,"=1",SmtRes!AD10:'SmtRes'!AD13)</f>
        <v>296.11</v>
      </c>
      <c r="CU32">
        <f t="shared" si="23"/>
        <v>0</v>
      </c>
      <c r="CV32">
        <f>SUMIF(SmtRes!AQ10:'SmtRes'!AQ13,"=1",SmtRes!BU10:'SmtRes'!BU13)</f>
        <v>15.996499999999999</v>
      </c>
      <c r="CW32">
        <f>SUMIF(SmtRes!AQ10:'SmtRes'!AQ13,"=1",SmtRes!BV10:'SmtRes'!BV13)</f>
        <v>14.029999999999998</v>
      </c>
      <c r="CX32">
        <f t="shared" si="24"/>
        <v>0</v>
      </c>
      <c r="CY32">
        <f t="shared" si="25"/>
        <v>12560.198799999998</v>
      </c>
      <c r="CZ32">
        <f t="shared" si="26"/>
        <v>6280.0993999999992</v>
      </c>
      <c r="DB32">
        <v>3</v>
      </c>
      <c r="DC32" t="s">
        <v>3</v>
      </c>
      <c r="DD32" t="s">
        <v>3</v>
      </c>
      <c r="DE32" t="s">
        <v>21</v>
      </c>
      <c r="DF32" t="s">
        <v>21</v>
      </c>
      <c r="DG32" t="s">
        <v>21</v>
      </c>
      <c r="DH32" t="s">
        <v>3</v>
      </c>
      <c r="DI32" t="s">
        <v>21</v>
      </c>
      <c r="DJ32" t="s">
        <v>21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1007</v>
      </c>
      <c r="DV32" t="s">
        <v>18</v>
      </c>
      <c r="DW32" t="s">
        <v>18</v>
      </c>
      <c r="DX32">
        <v>1000</v>
      </c>
      <c r="DZ32" t="s">
        <v>3</v>
      </c>
      <c r="EA32" t="s">
        <v>3</v>
      </c>
      <c r="EB32" t="s">
        <v>3</v>
      </c>
      <c r="EC32" t="s">
        <v>3</v>
      </c>
      <c r="EE32">
        <v>49077845</v>
      </c>
      <c r="EF32">
        <v>2</v>
      </c>
      <c r="EG32" t="s">
        <v>22</v>
      </c>
      <c r="EH32">
        <v>1</v>
      </c>
      <c r="EI32" t="s">
        <v>23</v>
      </c>
      <c r="EJ32">
        <v>1</v>
      </c>
      <c r="EK32">
        <v>1001</v>
      </c>
      <c r="EL32" t="s">
        <v>24</v>
      </c>
      <c r="EM32" t="s">
        <v>25</v>
      </c>
      <c r="EO32" t="s">
        <v>26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13.91</v>
      </c>
      <c r="EX32">
        <v>12.2</v>
      </c>
      <c r="EY32">
        <v>0</v>
      </c>
      <c r="FQ32">
        <v>0</v>
      </c>
      <c r="FR32">
        <v>0</v>
      </c>
      <c r="FS32">
        <v>0</v>
      </c>
      <c r="FX32">
        <v>92</v>
      </c>
      <c r="FY32">
        <v>46</v>
      </c>
      <c r="GA32" t="s">
        <v>3</v>
      </c>
      <c r="GD32">
        <v>1</v>
      </c>
      <c r="GF32">
        <v>2080347265</v>
      </c>
      <c r="GG32">
        <v>2</v>
      </c>
      <c r="GH32">
        <v>1</v>
      </c>
      <c r="GI32">
        <v>-2</v>
      </c>
      <c r="GJ32">
        <v>0</v>
      </c>
      <c r="GK32">
        <v>0</v>
      </c>
      <c r="GL32">
        <f t="shared" si="27"/>
        <v>0</v>
      </c>
      <c r="GM32">
        <f t="shared" si="28"/>
        <v>65126.11</v>
      </c>
      <c r="GN32">
        <f t="shared" si="29"/>
        <v>65126.11</v>
      </c>
      <c r="GO32">
        <f t="shared" si="30"/>
        <v>0</v>
      </c>
      <c r="GP32">
        <f t="shared" si="31"/>
        <v>0</v>
      </c>
      <c r="GR32">
        <v>0</v>
      </c>
      <c r="GS32">
        <v>3</v>
      </c>
      <c r="GT32">
        <v>0</v>
      </c>
      <c r="GU32" t="s">
        <v>3</v>
      </c>
      <c r="GV32">
        <f t="shared" si="32"/>
        <v>0</v>
      </c>
      <c r="GW32">
        <v>1</v>
      </c>
      <c r="GX32">
        <f t="shared" si="33"/>
        <v>0</v>
      </c>
      <c r="HA32">
        <v>0</v>
      </c>
      <c r="HB32">
        <v>0</v>
      </c>
      <c r="HC32">
        <f t="shared" si="34"/>
        <v>0</v>
      </c>
      <c r="HE32" t="s">
        <v>3</v>
      </c>
      <c r="HF32" t="s">
        <v>3</v>
      </c>
      <c r="HM32" t="s">
        <v>3</v>
      </c>
      <c r="HN32" t="s">
        <v>27</v>
      </c>
      <c r="HO32" t="s">
        <v>28</v>
      </c>
      <c r="HP32" t="s">
        <v>24</v>
      </c>
      <c r="HQ32" t="s">
        <v>24</v>
      </c>
      <c r="HS32">
        <v>0</v>
      </c>
      <c r="IK32">
        <v>0</v>
      </c>
    </row>
    <row r="33" spans="1:245" x14ac:dyDescent="0.2">
      <c r="A33">
        <v>17</v>
      </c>
      <c r="B33">
        <v>1</v>
      </c>
      <c r="C33">
        <f>ROW(SmtRes!A14)</f>
        <v>14</v>
      </c>
      <c r="E33" t="s">
        <v>59</v>
      </c>
      <c r="F33" t="s">
        <v>30</v>
      </c>
      <c r="G33" t="s">
        <v>60</v>
      </c>
      <c r="H33" t="s">
        <v>61</v>
      </c>
      <c r="I33">
        <v>2</v>
      </c>
      <c r="J33">
        <v>0</v>
      </c>
      <c r="K33">
        <v>2</v>
      </c>
      <c r="O33">
        <f t="shared" si="14"/>
        <v>60000</v>
      </c>
      <c r="P33">
        <f>SUMIF(SmtRes!AQ14:'SmtRes'!AQ14,"=1",SmtRes!DF14:'SmtRes'!DF14)</f>
        <v>0</v>
      </c>
      <c r="Q33">
        <f>SUMIF(SmtRes!AQ14:'SmtRes'!AQ14,"=1",SmtRes!DG14:'SmtRes'!DG14)</f>
        <v>60000</v>
      </c>
      <c r="R33">
        <f>SUMIF(SmtRes!AQ14:'SmtRes'!AQ14,"=1",SmtRes!DH14:'SmtRes'!DH14)</f>
        <v>0</v>
      </c>
      <c r="S33">
        <f>SUMIF(SmtRes!AQ14:'SmtRes'!AQ14,"=1",SmtRes!DI14:'SmtRes'!DI14)</f>
        <v>0</v>
      </c>
      <c r="T33">
        <f t="shared" si="15"/>
        <v>0</v>
      </c>
      <c r="U33">
        <f>SUMIF(SmtRes!AQ14:'SmtRes'!AQ14,"=1",SmtRes!CV14:'SmtRes'!CV14)</f>
        <v>0</v>
      </c>
      <c r="V33">
        <f>SUMIF(SmtRes!AQ14:'SmtRes'!AQ14,"=1",SmtRes!CW14:'SmtRes'!CW14)</f>
        <v>0</v>
      </c>
      <c r="W33">
        <f t="shared" si="16"/>
        <v>0</v>
      </c>
      <c r="X33">
        <f t="shared" si="17"/>
        <v>0</v>
      </c>
      <c r="Y33">
        <f t="shared" si="18"/>
        <v>0</v>
      </c>
      <c r="AA33">
        <v>50279781</v>
      </c>
      <c r="AB33">
        <f t="shared" si="19"/>
        <v>30000</v>
      </c>
      <c r="AC33">
        <f>ROUND((0),6)</f>
        <v>0</v>
      </c>
      <c r="AD33">
        <f>ROUND((((SUM(SmtRes!BR14:'SmtRes'!BR14))-(0))+AE33),6)</f>
        <v>30000</v>
      </c>
      <c r="AE33">
        <f>ROUND((0),6)</f>
        <v>0</v>
      </c>
      <c r="AF33">
        <f>ROUND((0),6)</f>
        <v>0</v>
      </c>
      <c r="AG33">
        <f t="shared" si="20"/>
        <v>0</v>
      </c>
      <c r="AH33">
        <f>(0)</f>
        <v>0</v>
      </c>
      <c r="AI33">
        <f>(0)</f>
        <v>0</v>
      </c>
      <c r="AJ33">
        <f t="shared" si="21"/>
        <v>0</v>
      </c>
      <c r="AK33">
        <v>30000</v>
      </c>
      <c r="AL33">
        <v>0</v>
      </c>
      <c r="AM33">
        <v>30000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125</v>
      </c>
      <c r="AU33">
        <v>65</v>
      </c>
      <c r="AV33">
        <v>1</v>
      </c>
      <c r="AW33">
        <v>1</v>
      </c>
      <c r="AZ33">
        <v>1</v>
      </c>
      <c r="BA33">
        <v>1</v>
      </c>
      <c r="BB33">
        <v>1</v>
      </c>
      <c r="BC33">
        <v>1</v>
      </c>
      <c r="BD33" t="s">
        <v>3</v>
      </c>
      <c r="BE33" t="s">
        <v>3</v>
      </c>
      <c r="BF33" t="s">
        <v>3</v>
      </c>
      <c r="BG33" t="s">
        <v>3</v>
      </c>
      <c r="BH33">
        <v>0</v>
      </c>
      <c r="BI33">
        <v>4</v>
      </c>
      <c r="BJ33" t="s">
        <v>3</v>
      </c>
      <c r="BM33">
        <v>0</v>
      </c>
      <c r="BN33">
        <v>0</v>
      </c>
      <c r="BO33" t="s">
        <v>3</v>
      </c>
      <c r="BP33">
        <v>0</v>
      </c>
      <c r="BQ33">
        <v>16</v>
      </c>
      <c r="BR33">
        <v>0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125</v>
      </c>
      <c r="CA33">
        <v>65</v>
      </c>
      <c r="CB33" t="s">
        <v>3</v>
      </c>
      <c r="CE33">
        <v>0</v>
      </c>
      <c r="CF33">
        <v>0</v>
      </c>
      <c r="CG33">
        <v>0</v>
      </c>
      <c r="CM33">
        <v>0</v>
      </c>
      <c r="CN33" t="s">
        <v>3</v>
      </c>
      <c r="CO33">
        <v>0</v>
      </c>
      <c r="CP33">
        <f t="shared" si="22"/>
        <v>60000</v>
      </c>
      <c r="CQ33">
        <f>SUMIF(SmtRes!AQ14:'SmtRes'!AQ14,"=1",SmtRes!AA14:'SmtRes'!AA14)</f>
        <v>0</v>
      </c>
      <c r="CR33">
        <f>SUMIF(SmtRes!AQ14:'SmtRes'!AQ14,"=1",SmtRes!AB14:'SmtRes'!AB14)</f>
        <v>30000</v>
      </c>
      <c r="CS33">
        <f>SUMIF(SmtRes!AQ14:'SmtRes'!AQ14,"=1",SmtRes!AC14:'SmtRes'!AC14)</f>
        <v>0</v>
      </c>
      <c r="CT33">
        <f>SUMIF(SmtRes!AQ14:'SmtRes'!AQ14,"=1",SmtRes!AD14:'SmtRes'!AD14)</f>
        <v>0</v>
      </c>
      <c r="CU33">
        <f t="shared" si="23"/>
        <v>0</v>
      </c>
      <c r="CV33">
        <f>SUMIF(SmtRes!AQ14:'SmtRes'!AQ14,"=1",SmtRes!BU14:'SmtRes'!BU14)</f>
        <v>0</v>
      </c>
      <c r="CW33">
        <f>SUMIF(SmtRes!AQ14:'SmtRes'!AQ14,"=1",SmtRes!BV14:'SmtRes'!BV14)</f>
        <v>0</v>
      </c>
      <c r="CX33">
        <f t="shared" si="24"/>
        <v>0</v>
      </c>
      <c r="CY33">
        <f t="shared" si="25"/>
        <v>0</v>
      </c>
      <c r="CZ33">
        <f t="shared" si="26"/>
        <v>0</v>
      </c>
      <c r="DC33" t="s">
        <v>3</v>
      </c>
      <c r="DD33" t="s">
        <v>3</v>
      </c>
      <c r="DE33" t="s">
        <v>3</v>
      </c>
      <c r="DF33" t="s">
        <v>3</v>
      </c>
      <c r="DG33" t="s">
        <v>3</v>
      </c>
      <c r="DH33" t="s">
        <v>3</v>
      </c>
      <c r="DI33" t="s">
        <v>3</v>
      </c>
      <c r="DJ33" t="s">
        <v>3</v>
      </c>
      <c r="DK33" t="s">
        <v>3</v>
      </c>
      <c r="DL33" t="s">
        <v>3</v>
      </c>
      <c r="DM33" t="s">
        <v>3</v>
      </c>
      <c r="DN33">
        <v>0</v>
      </c>
      <c r="DO33">
        <v>0</v>
      </c>
      <c r="DP33">
        <v>1</v>
      </c>
      <c r="DQ33">
        <v>1</v>
      </c>
      <c r="DU33">
        <v>1013</v>
      </c>
      <c r="DV33" t="s">
        <v>61</v>
      </c>
      <c r="DW33" t="s">
        <v>61</v>
      </c>
      <c r="DX33">
        <v>1</v>
      </c>
      <c r="DZ33" t="s">
        <v>3</v>
      </c>
      <c r="EA33" t="s">
        <v>3</v>
      </c>
      <c r="EB33" t="s">
        <v>3</v>
      </c>
      <c r="EC33" t="s">
        <v>3</v>
      </c>
      <c r="EE33">
        <v>49077812</v>
      </c>
      <c r="EF33">
        <v>16</v>
      </c>
      <c r="EG33" t="s">
        <v>33</v>
      </c>
      <c r="EH33">
        <v>0</v>
      </c>
      <c r="EI33" t="s">
        <v>3</v>
      </c>
      <c r="EJ33">
        <v>4</v>
      </c>
      <c r="EK33">
        <v>0</v>
      </c>
      <c r="EL33" t="s">
        <v>34</v>
      </c>
      <c r="EM33" t="s">
        <v>35</v>
      </c>
      <c r="EO33" t="s">
        <v>3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FQ33">
        <v>0</v>
      </c>
      <c r="FR33">
        <v>0</v>
      </c>
      <c r="FS33">
        <v>0</v>
      </c>
      <c r="FX33">
        <v>125</v>
      </c>
      <c r="FY33">
        <v>65</v>
      </c>
      <c r="GA33" t="s">
        <v>3</v>
      </c>
      <c r="GD33">
        <v>1</v>
      </c>
      <c r="GF33">
        <v>-472657294</v>
      </c>
      <c r="GG33">
        <v>2</v>
      </c>
      <c r="GH33">
        <v>0</v>
      </c>
      <c r="GI33">
        <v>-2</v>
      </c>
      <c r="GJ33">
        <v>0</v>
      </c>
      <c r="GK33">
        <v>0</v>
      </c>
      <c r="GL33">
        <f t="shared" si="27"/>
        <v>0</v>
      </c>
      <c r="GM33">
        <f t="shared" si="28"/>
        <v>60000</v>
      </c>
      <c r="GN33">
        <f t="shared" si="29"/>
        <v>0</v>
      </c>
      <c r="GO33">
        <f t="shared" si="30"/>
        <v>0</v>
      </c>
      <c r="GP33">
        <f t="shared" si="31"/>
        <v>60000</v>
      </c>
      <c r="GR33">
        <v>0</v>
      </c>
      <c r="GS33">
        <v>3</v>
      </c>
      <c r="GT33">
        <v>0</v>
      </c>
      <c r="GU33" t="s">
        <v>3</v>
      </c>
      <c r="GV33">
        <f t="shared" si="32"/>
        <v>0</v>
      </c>
      <c r="GW33">
        <v>1</v>
      </c>
      <c r="GX33">
        <f t="shared" si="33"/>
        <v>0</v>
      </c>
      <c r="HA33">
        <v>0</v>
      </c>
      <c r="HB33">
        <v>0</v>
      </c>
      <c r="HC33">
        <f t="shared" si="34"/>
        <v>0</v>
      </c>
      <c r="HE33" t="s">
        <v>3</v>
      </c>
      <c r="HF33" t="s">
        <v>3</v>
      </c>
      <c r="HM33" t="s">
        <v>3</v>
      </c>
      <c r="HN33" t="s">
        <v>3</v>
      </c>
      <c r="HO33" t="s">
        <v>3</v>
      </c>
      <c r="HP33" t="s">
        <v>3</v>
      </c>
      <c r="HQ33" t="s">
        <v>3</v>
      </c>
      <c r="HS33">
        <v>0</v>
      </c>
      <c r="IK33">
        <v>0</v>
      </c>
    </row>
    <row r="35" spans="1:245" x14ac:dyDescent="0.2">
      <c r="A35" s="2">
        <v>51</v>
      </c>
      <c r="B35" s="2">
        <f>B20</f>
        <v>1</v>
      </c>
      <c r="C35" s="2">
        <f>A20</f>
        <v>3</v>
      </c>
      <c r="D35" s="2">
        <f>ROW(A20)</f>
        <v>20</v>
      </c>
      <c r="E35" s="2"/>
      <c r="F35" s="2" t="str">
        <f>IF(F20&lt;&gt;"",F20,"")</f>
        <v>Новая локальная смета</v>
      </c>
      <c r="G35" s="2" t="str">
        <f>IF(G20&lt;&gt;"",G20,"")</f>
        <v>Новая локальная смета</v>
      </c>
      <c r="H35" s="2">
        <v>0</v>
      </c>
      <c r="I35" s="2"/>
      <c r="J35" s="2"/>
      <c r="K35" s="2"/>
      <c r="L35" s="2"/>
      <c r="M35" s="2"/>
      <c r="N35" s="2"/>
      <c r="O35" s="2">
        <f t="shared" ref="O35:T35" si="35">ROUND(AB35,2)</f>
        <v>480648.33</v>
      </c>
      <c r="P35" s="2">
        <f t="shared" si="35"/>
        <v>4021.38</v>
      </c>
      <c r="Q35" s="2">
        <f t="shared" si="35"/>
        <v>462974.56</v>
      </c>
      <c r="R35" s="2">
        <f t="shared" si="35"/>
        <v>7376.23</v>
      </c>
      <c r="S35" s="2">
        <f t="shared" si="35"/>
        <v>6276.16</v>
      </c>
      <c r="T35" s="2">
        <f t="shared" si="35"/>
        <v>0</v>
      </c>
      <c r="U35" s="2">
        <f>AH35</f>
        <v>21.195362500000002</v>
      </c>
      <c r="V35" s="2">
        <f>AI35</f>
        <v>18.589749999999999</v>
      </c>
      <c r="W35" s="2">
        <f>ROUND(AJ35,2)</f>
        <v>0</v>
      </c>
      <c r="X35" s="2">
        <f>ROUND(AK35,2)</f>
        <v>12560.2</v>
      </c>
      <c r="Y35" s="2">
        <f>ROUND(AL35,2)</f>
        <v>6280.1</v>
      </c>
      <c r="Z35" s="2"/>
      <c r="AA35" s="2"/>
      <c r="AB35" s="2">
        <f>ROUND(SUMIF(AA24:AA33,"=50279781",O24:O33),2)</f>
        <v>480648.33</v>
      </c>
      <c r="AC35" s="2">
        <f>ROUND(SUMIF(AA24:AA33,"=50279781",P24:P33),2)</f>
        <v>4021.38</v>
      </c>
      <c r="AD35" s="2">
        <f>ROUND(SUMIF(AA24:AA33,"=50279781",Q24:Q33),2)</f>
        <v>462974.56</v>
      </c>
      <c r="AE35" s="2">
        <f>ROUND(SUMIF(AA24:AA33,"=50279781",R24:R33),2)</f>
        <v>7376.23</v>
      </c>
      <c r="AF35" s="2">
        <f>ROUND(SUMIF(AA24:AA33,"=50279781",S24:S33),2)</f>
        <v>6276.16</v>
      </c>
      <c r="AG35" s="2">
        <f>ROUND(SUMIF(AA24:AA33,"=50279781",T24:T33),2)</f>
        <v>0</v>
      </c>
      <c r="AH35" s="2">
        <f>SUMIF(AA24:AA33,"=50279781",U24:U33)</f>
        <v>21.195362500000002</v>
      </c>
      <c r="AI35" s="2">
        <f>SUMIF(AA24:AA33,"=50279781",V24:V33)</f>
        <v>18.589749999999999</v>
      </c>
      <c r="AJ35" s="2">
        <f>ROUND(SUMIF(AA24:AA33,"=50279781",W24:W33),2)</f>
        <v>0</v>
      </c>
      <c r="AK35" s="2">
        <f>ROUND(SUMIF(AA24:AA33,"=50279781",X24:X33),2)</f>
        <v>12560.2</v>
      </c>
      <c r="AL35" s="2">
        <f>ROUND(SUMIF(AA24:AA33,"=50279781",Y24:Y33),2)</f>
        <v>6280.1</v>
      </c>
      <c r="AM35" s="2"/>
      <c r="AN35" s="2"/>
      <c r="AO35" s="2">
        <f t="shared" ref="AO35:BD35" si="36">ROUND(BX35,2)</f>
        <v>0</v>
      </c>
      <c r="AP35" s="2">
        <f t="shared" si="36"/>
        <v>0</v>
      </c>
      <c r="AQ35" s="2">
        <f t="shared" si="36"/>
        <v>0</v>
      </c>
      <c r="AR35" s="2">
        <f t="shared" si="36"/>
        <v>499488.63</v>
      </c>
      <c r="AS35" s="2">
        <f t="shared" si="36"/>
        <v>65126.11</v>
      </c>
      <c r="AT35" s="2">
        <f t="shared" si="36"/>
        <v>0</v>
      </c>
      <c r="AU35" s="2">
        <f t="shared" si="36"/>
        <v>434362.52</v>
      </c>
      <c r="AV35" s="2">
        <f t="shared" si="36"/>
        <v>4021.38</v>
      </c>
      <c r="AW35" s="2">
        <f t="shared" si="36"/>
        <v>4021.38</v>
      </c>
      <c r="AX35" s="2">
        <f t="shared" si="36"/>
        <v>0</v>
      </c>
      <c r="AY35" s="2">
        <f t="shared" si="36"/>
        <v>4021.38</v>
      </c>
      <c r="AZ35" s="2">
        <f t="shared" si="36"/>
        <v>0</v>
      </c>
      <c r="BA35" s="2">
        <f t="shared" si="36"/>
        <v>0</v>
      </c>
      <c r="BB35" s="2">
        <f t="shared" si="36"/>
        <v>0</v>
      </c>
      <c r="BC35" s="2">
        <f t="shared" si="36"/>
        <v>0</v>
      </c>
      <c r="BD35" s="2">
        <f t="shared" si="36"/>
        <v>0</v>
      </c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>
        <f>ROUND(SUMIF(AA24:AA33,"=50279781",FQ24:FQ33),2)</f>
        <v>0</v>
      </c>
      <c r="BY35" s="2">
        <f>ROUND(SUMIF(AA24:AA33,"=50279781",FR24:FR33),2)</f>
        <v>0</v>
      </c>
      <c r="BZ35" s="2">
        <f>ROUND(SUMIF(AA24:AA33,"=50279781",GL24:GL33),2)</f>
        <v>0</v>
      </c>
      <c r="CA35" s="2">
        <f>ROUND(SUMIF(AA24:AA33,"=50279781",GM24:GM33),2)</f>
        <v>499488.63</v>
      </c>
      <c r="CB35" s="2">
        <f>ROUND(SUMIF(AA24:AA33,"=50279781",GN24:GN33),2)</f>
        <v>65126.11</v>
      </c>
      <c r="CC35" s="2">
        <f>ROUND(SUMIF(AA24:AA33,"=50279781",GO24:GO33),2)</f>
        <v>0</v>
      </c>
      <c r="CD35" s="2">
        <f>ROUND(SUMIF(AA24:AA33,"=50279781",GP24:GP33),2)</f>
        <v>434362.52</v>
      </c>
      <c r="CE35" s="2">
        <f>AC35-BX35</f>
        <v>4021.38</v>
      </c>
      <c r="CF35" s="2">
        <f>AC35-BY35</f>
        <v>4021.38</v>
      </c>
      <c r="CG35" s="2">
        <f>BX35-BZ35</f>
        <v>0</v>
      </c>
      <c r="CH35" s="2">
        <f>AC35-BX35-BY35+BZ35</f>
        <v>4021.38</v>
      </c>
      <c r="CI35" s="2">
        <f>BY35-BZ35</f>
        <v>0</v>
      </c>
      <c r="CJ35" s="2">
        <f>ROUND(SUMIF(AA24:AA33,"=50279781",GX24:GX33),2)</f>
        <v>0</v>
      </c>
      <c r="CK35" s="2">
        <f>ROUND(SUMIF(AA24:AA33,"=50279781",GY24:GY33),2)</f>
        <v>0</v>
      </c>
      <c r="CL35" s="2">
        <f>ROUND(SUMIF(AA24:AA33,"=50279781",GZ24:GZ33),2)</f>
        <v>0</v>
      </c>
      <c r="CM35" s="2">
        <f>ROUND(SUMIF(AA24:AA33,"=50279781",HD24:HD33),2)</f>
        <v>0</v>
      </c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>
        <v>0</v>
      </c>
    </row>
    <row r="37" spans="1:245" x14ac:dyDescent="0.2">
      <c r="A37" s="4">
        <v>50</v>
      </c>
      <c r="B37" s="4">
        <v>1</v>
      </c>
      <c r="C37" s="4">
        <v>0</v>
      </c>
      <c r="D37" s="4">
        <v>1</v>
      </c>
      <c r="E37" s="4">
        <v>201</v>
      </c>
      <c r="F37" s="4">
        <f>ROUND(Source!O35,O37)</f>
        <v>480648.33</v>
      </c>
      <c r="G37" s="4" t="s">
        <v>62</v>
      </c>
      <c r="H37" s="4" t="s">
        <v>63</v>
      </c>
      <c r="I37" s="4"/>
      <c r="J37" s="4"/>
      <c r="K37" s="4">
        <v>201</v>
      </c>
      <c r="L37" s="4">
        <v>1</v>
      </c>
      <c r="M37" s="4">
        <v>1</v>
      </c>
      <c r="N37" s="4" t="s">
        <v>3</v>
      </c>
      <c r="O37" s="4">
        <v>2</v>
      </c>
      <c r="P37" s="4"/>
      <c r="Q37" s="4"/>
      <c r="R37" s="4"/>
      <c r="S37" s="4"/>
      <c r="T37" s="4"/>
      <c r="U37" s="4"/>
      <c r="V37" s="4"/>
      <c r="W37" s="4">
        <v>480648.32999999996</v>
      </c>
      <c r="X37" s="4">
        <v>1</v>
      </c>
      <c r="Y37" s="4">
        <v>480648.32999999996</v>
      </c>
      <c r="Z37" s="4"/>
      <c r="AA37" s="4"/>
      <c r="AB37" s="4"/>
    </row>
    <row r="38" spans="1:245" x14ac:dyDescent="0.2">
      <c r="A38" s="4">
        <v>50</v>
      </c>
      <c r="B38" s="4">
        <v>0</v>
      </c>
      <c r="C38" s="4">
        <v>0</v>
      </c>
      <c r="D38" s="4">
        <v>1</v>
      </c>
      <c r="E38" s="4">
        <v>202</v>
      </c>
      <c r="F38" s="4">
        <f>ROUND(Source!P35,O38)</f>
        <v>4021.38</v>
      </c>
      <c r="G38" s="4" t="s">
        <v>64</v>
      </c>
      <c r="H38" s="4" t="s">
        <v>65</v>
      </c>
      <c r="I38" s="4"/>
      <c r="J38" s="4"/>
      <c r="K38" s="4">
        <v>202</v>
      </c>
      <c r="L38" s="4">
        <v>2</v>
      </c>
      <c r="M38" s="4">
        <v>3</v>
      </c>
      <c r="N38" s="4" t="s">
        <v>3</v>
      </c>
      <c r="O38" s="4">
        <v>2</v>
      </c>
      <c r="P38" s="4"/>
      <c r="Q38" s="4"/>
      <c r="R38" s="4"/>
      <c r="S38" s="4"/>
      <c r="T38" s="4"/>
      <c r="U38" s="4"/>
      <c r="V38" s="4"/>
      <c r="W38" s="4">
        <v>4021.38</v>
      </c>
      <c r="X38" s="4">
        <v>1</v>
      </c>
      <c r="Y38" s="4">
        <v>4021.38</v>
      </c>
      <c r="Z38" s="4"/>
      <c r="AA38" s="4"/>
      <c r="AB38" s="4"/>
    </row>
    <row r="39" spans="1:245" x14ac:dyDescent="0.2">
      <c r="A39" s="4">
        <v>50</v>
      </c>
      <c r="B39" s="4">
        <v>0</v>
      </c>
      <c r="C39" s="4">
        <v>0</v>
      </c>
      <c r="D39" s="4">
        <v>1</v>
      </c>
      <c r="E39" s="4">
        <v>222</v>
      </c>
      <c r="F39" s="4">
        <f>ROUND(Source!AO35,O39)</f>
        <v>0</v>
      </c>
      <c r="G39" s="4" t="s">
        <v>66</v>
      </c>
      <c r="H39" s="4" t="s">
        <v>67</v>
      </c>
      <c r="I39" s="4"/>
      <c r="J39" s="4"/>
      <c r="K39" s="4">
        <v>222</v>
      </c>
      <c r="L39" s="4">
        <v>3</v>
      </c>
      <c r="M39" s="4">
        <v>3</v>
      </c>
      <c r="N39" s="4" t="s">
        <v>3</v>
      </c>
      <c r="O39" s="4">
        <v>2</v>
      </c>
      <c r="P39" s="4"/>
      <c r="Q39" s="4"/>
      <c r="R39" s="4"/>
      <c r="S39" s="4"/>
      <c r="T39" s="4"/>
      <c r="U39" s="4"/>
      <c r="V39" s="4"/>
      <c r="W39" s="4">
        <v>0</v>
      </c>
      <c r="X39" s="4">
        <v>1</v>
      </c>
      <c r="Y39" s="4">
        <v>0</v>
      </c>
      <c r="Z39" s="4"/>
      <c r="AA39" s="4"/>
      <c r="AB39" s="4"/>
    </row>
    <row r="40" spans="1:245" x14ac:dyDescent="0.2">
      <c r="A40" s="4">
        <v>50</v>
      </c>
      <c r="B40" s="4">
        <v>0</v>
      </c>
      <c r="C40" s="4">
        <v>0</v>
      </c>
      <c r="D40" s="4">
        <v>1</v>
      </c>
      <c r="E40" s="4">
        <v>225</v>
      </c>
      <c r="F40" s="4">
        <f>ROUND(Source!AV35,O40)</f>
        <v>4021.38</v>
      </c>
      <c r="G40" s="4" t="s">
        <v>68</v>
      </c>
      <c r="H40" s="4" t="s">
        <v>69</v>
      </c>
      <c r="I40" s="4"/>
      <c r="J40" s="4"/>
      <c r="K40" s="4">
        <v>225</v>
      </c>
      <c r="L40" s="4">
        <v>4</v>
      </c>
      <c r="M40" s="4">
        <v>3</v>
      </c>
      <c r="N40" s="4" t="s">
        <v>3</v>
      </c>
      <c r="O40" s="4">
        <v>2</v>
      </c>
      <c r="P40" s="4"/>
      <c r="Q40" s="4"/>
      <c r="R40" s="4"/>
      <c r="S40" s="4"/>
      <c r="T40" s="4"/>
      <c r="U40" s="4"/>
      <c r="V40" s="4"/>
      <c r="W40" s="4">
        <v>4021.38</v>
      </c>
      <c r="X40" s="4">
        <v>1</v>
      </c>
      <c r="Y40" s="4">
        <v>4021.38</v>
      </c>
      <c r="Z40" s="4"/>
      <c r="AA40" s="4"/>
      <c r="AB40" s="4"/>
    </row>
    <row r="41" spans="1:245" x14ac:dyDescent="0.2">
      <c r="A41" s="4">
        <v>50</v>
      </c>
      <c r="B41" s="4">
        <v>1</v>
      </c>
      <c r="C41" s="4">
        <v>0</v>
      </c>
      <c r="D41" s="4">
        <v>1</v>
      </c>
      <c r="E41" s="4">
        <v>226</v>
      </c>
      <c r="F41" s="4">
        <f>ROUND(Source!AW35,O41)</f>
        <v>4021.38</v>
      </c>
      <c r="G41" s="4" t="s">
        <v>70</v>
      </c>
      <c r="H41" s="4" t="s">
        <v>71</v>
      </c>
      <c r="I41" s="4"/>
      <c r="J41" s="4"/>
      <c r="K41" s="4">
        <v>226</v>
      </c>
      <c r="L41" s="4">
        <v>5</v>
      </c>
      <c r="M41" s="4">
        <v>1</v>
      </c>
      <c r="N41" s="4" t="s">
        <v>3</v>
      </c>
      <c r="O41" s="4">
        <v>2</v>
      </c>
      <c r="P41" s="4"/>
      <c r="Q41" s="4"/>
      <c r="R41" s="4"/>
      <c r="S41" s="4"/>
      <c r="T41" s="4"/>
      <c r="U41" s="4"/>
      <c r="V41" s="4"/>
      <c r="W41" s="4">
        <v>4021.38</v>
      </c>
      <c r="X41" s="4">
        <v>1</v>
      </c>
      <c r="Y41" s="4">
        <v>4021.38</v>
      </c>
      <c r="Z41" s="4"/>
      <c r="AA41" s="4"/>
      <c r="AB41" s="4"/>
    </row>
    <row r="42" spans="1:245" x14ac:dyDescent="0.2">
      <c r="A42" s="4">
        <v>50</v>
      </c>
      <c r="B42" s="4">
        <v>0</v>
      </c>
      <c r="C42" s="4">
        <v>0</v>
      </c>
      <c r="D42" s="4">
        <v>1</v>
      </c>
      <c r="E42" s="4">
        <v>227</v>
      </c>
      <c r="F42" s="4">
        <f>ROUND(Source!AX35,O42)</f>
        <v>0</v>
      </c>
      <c r="G42" s="4" t="s">
        <v>72</v>
      </c>
      <c r="H42" s="4" t="s">
        <v>73</v>
      </c>
      <c r="I42" s="4"/>
      <c r="J42" s="4"/>
      <c r="K42" s="4">
        <v>227</v>
      </c>
      <c r="L42" s="4">
        <v>6</v>
      </c>
      <c r="M42" s="4">
        <v>3</v>
      </c>
      <c r="N42" s="4" t="s">
        <v>3</v>
      </c>
      <c r="O42" s="4">
        <v>2</v>
      </c>
      <c r="P42" s="4"/>
      <c r="Q42" s="4"/>
      <c r="R42" s="4"/>
      <c r="S42" s="4"/>
      <c r="T42" s="4"/>
      <c r="U42" s="4"/>
      <c r="V42" s="4"/>
      <c r="W42" s="4">
        <v>0</v>
      </c>
      <c r="X42" s="4">
        <v>1</v>
      </c>
      <c r="Y42" s="4">
        <v>0</v>
      </c>
      <c r="Z42" s="4"/>
      <c r="AA42" s="4"/>
      <c r="AB42" s="4"/>
    </row>
    <row r="43" spans="1:245" x14ac:dyDescent="0.2">
      <c r="A43" s="4">
        <v>50</v>
      </c>
      <c r="B43" s="4">
        <v>0</v>
      </c>
      <c r="C43" s="4">
        <v>0</v>
      </c>
      <c r="D43" s="4">
        <v>1</v>
      </c>
      <c r="E43" s="4">
        <v>228</v>
      </c>
      <c r="F43" s="4">
        <f>ROUND(Source!AY35,O43)</f>
        <v>4021.38</v>
      </c>
      <c r="G43" s="4" t="s">
        <v>74</v>
      </c>
      <c r="H43" s="4" t="s">
        <v>75</v>
      </c>
      <c r="I43" s="4"/>
      <c r="J43" s="4"/>
      <c r="K43" s="4">
        <v>228</v>
      </c>
      <c r="L43" s="4">
        <v>7</v>
      </c>
      <c r="M43" s="4">
        <v>3</v>
      </c>
      <c r="N43" s="4" t="s">
        <v>3</v>
      </c>
      <c r="O43" s="4">
        <v>2</v>
      </c>
      <c r="P43" s="4"/>
      <c r="Q43" s="4"/>
      <c r="R43" s="4"/>
      <c r="S43" s="4"/>
      <c r="T43" s="4"/>
      <c r="U43" s="4"/>
      <c r="V43" s="4"/>
      <c r="W43" s="4">
        <v>4021.38</v>
      </c>
      <c r="X43" s="4">
        <v>1</v>
      </c>
      <c r="Y43" s="4">
        <v>4021.38</v>
      </c>
      <c r="Z43" s="4"/>
      <c r="AA43" s="4"/>
      <c r="AB43" s="4"/>
    </row>
    <row r="44" spans="1:245" x14ac:dyDescent="0.2">
      <c r="A44" s="4">
        <v>50</v>
      </c>
      <c r="B44" s="4">
        <v>0</v>
      </c>
      <c r="C44" s="4">
        <v>0</v>
      </c>
      <c r="D44" s="4">
        <v>1</v>
      </c>
      <c r="E44" s="4">
        <v>216</v>
      </c>
      <c r="F44" s="4">
        <f>ROUND(Source!AP35,O44)</f>
        <v>0</v>
      </c>
      <c r="G44" s="4" t="s">
        <v>76</v>
      </c>
      <c r="H44" s="4" t="s">
        <v>77</v>
      </c>
      <c r="I44" s="4"/>
      <c r="J44" s="4"/>
      <c r="K44" s="4">
        <v>216</v>
      </c>
      <c r="L44" s="4">
        <v>8</v>
      </c>
      <c r="M44" s="4">
        <v>3</v>
      </c>
      <c r="N44" s="4" t="s">
        <v>3</v>
      </c>
      <c r="O44" s="4">
        <v>2</v>
      </c>
      <c r="P44" s="4"/>
      <c r="Q44" s="4"/>
      <c r="R44" s="4"/>
      <c r="S44" s="4"/>
      <c r="T44" s="4"/>
      <c r="U44" s="4"/>
      <c r="V44" s="4"/>
      <c r="W44" s="4">
        <v>0</v>
      </c>
      <c r="X44" s="4">
        <v>1</v>
      </c>
      <c r="Y44" s="4">
        <v>0</v>
      </c>
      <c r="Z44" s="4"/>
      <c r="AA44" s="4"/>
      <c r="AB44" s="4"/>
    </row>
    <row r="45" spans="1:245" x14ac:dyDescent="0.2">
      <c r="A45" s="4">
        <v>50</v>
      </c>
      <c r="B45" s="4">
        <v>0</v>
      </c>
      <c r="C45" s="4">
        <v>0</v>
      </c>
      <c r="D45" s="4">
        <v>1</v>
      </c>
      <c r="E45" s="4">
        <v>223</v>
      </c>
      <c r="F45" s="4">
        <f>ROUND(Source!AQ35,O45)</f>
        <v>0</v>
      </c>
      <c r="G45" s="4" t="s">
        <v>78</v>
      </c>
      <c r="H45" s="4" t="s">
        <v>79</v>
      </c>
      <c r="I45" s="4"/>
      <c r="J45" s="4"/>
      <c r="K45" s="4">
        <v>223</v>
      </c>
      <c r="L45" s="4">
        <v>9</v>
      </c>
      <c r="M45" s="4">
        <v>3</v>
      </c>
      <c r="N45" s="4" t="s">
        <v>3</v>
      </c>
      <c r="O45" s="4">
        <v>2</v>
      </c>
      <c r="P45" s="4"/>
      <c r="Q45" s="4"/>
      <c r="R45" s="4"/>
      <c r="S45" s="4"/>
      <c r="T45" s="4"/>
      <c r="U45" s="4"/>
      <c r="V45" s="4"/>
      <c r="W45" s="4">
        <v>0</v>
      </c>
      <c r="X45" s="4">
        <v>1</v>
      </c>
      <c r="Y45" s="4">
        <v>0</v>
      </c>
      <c r="Z45" s="4"/>
      <c r="AA45" s="4"/>
      <c r="AB45" s="4"/>
    </row>
    <row r="46" spans="1:245" x14ac:dyDescent="0.2">
      <c r="A46" s="4">
        <v>50</v>
      </c>
      <c r="B46" s="4">
        <v>0</v>
      </c>
      <c r="C46" s="4">
        <v>0</v>
      </c>
      <c r="D46" s="4">
        <v>1</v>
      </c>
      <c r="E46" s="4">
        <v>229</v>
      </c>
      <c r="F46" s="4">
        <f>ROUND(Source!AZ35,O46)</f>
        <v>0</v>
      </c>
      <c r="G46" s="4" t="s">
        <v>80</v>
      </c>
      <c r="H46" s="4" t="s">
        <v>81</v>
      </c>
      <c r="I46" s="4"/>
      <c r="J46" s="4"/>
      <c r="K46" s="4">
        <v>229</v>
      </c>
      <c r="L46" s="4">
        <v>10</v>
      </c>
      <c r="M46" s="4">
        <v>3</v>
      </c>
      <c r="N46" s="4" t="s">
        <v>3</v>
      </c>
      <c r="O46" s="4">
        <v>2</v>
      </c>
      <c r="P46" s="4"/>
      <c r="Q46" s="4"/>
      <c r="R46" s="4"/>
      <c r="S46" s="4"/>
      <c r="T46" s="4"/>
      <c r="U46" s="4"/>
      <c r="V46" s="4"/>
      <c r="W46" s="4">
        <v>0</v>
      </c>
      <c r="X46" s="4">
        <v>1</v>
      </c>
      <c r="Y46" s="4">
        <v>0</v>
      </c>
      <c r="Z46" s="4"/>
      <c r="AA46" s="4"/>
      <c r="AB46" s="4"/>
    </row>
    <row r="47" spans="1:245" x14ac:dyDescent="0.2">
      <c r="A47" s="4">
        <v>50</v>
      </c>
      <c r="B47" s="4">
        <v>1</v>
      </c>
      <c r="C47" s="4">
        <v>0</v>
      </c>
      <c r="D47" s="4">
        <v>1</v>
      </c>
      <c r="E47" s="4">
        <v>203</v>
      </c>
      <c r="F47" s="4">
        <f>ROUND(Source!Q35,O47)</f>
        <v>462974.56</v>
      </c>
      <c r="G47" s="4" t="s">
        <v>82</v>
      </c>
      <c r="H47" s="4" t="s">
        <v>83</v>
      </c>
      <c r="I47" s="4"/>
      <c r="J47" s="4"/>
      <c r="K47" s="4">
        <v>203</v>
      </c>
      <c r="L47" s="4">
        <v>11</v>
      </c>
      <c r="M47" s="4">
        <v>1</v>
      </c>
      <c r="N47" s="4" t="s">
        <v>3</v>
      </c>
      <c r="O47" s="4">
        <v>2</v>
      </c>
      <c r="P47" s="4"/>
      <c r="Q47" s="4"/>
      <c r="R47" s="4"/>
      <c r="S47" s="4"/>
      <c r="T47" s="4"/>
      <c r="U47" s="4"/>
      <c r="V47" s="4"/>
      <c r="W47" s="4">
        <v>462974.56</v>
      </c>
      <c r="X47" s="4">
        <v>1</v>
      </c>
      <c r="Y47" s="4">
        <v>462974.56</v>
      </c>
      <c r="Z47" s="4"/>
      <c r="AA47" s="4"/>
      <c r="AB47" s="4"/>
    </row>
    <row r="48" spans="1:245" x14ac:dyDescent="0.2">
      <c r="A48" s="4">
        <v>50</v>
      </c>
      <c r="B48" s="4">
        <v>0</v>
      </c>
      <c r="C48" s="4">
        <v>0</v>
      </c>
      <c r="D48" s="4">
        <v>1</v>
      </c>
      <c r="E48" s="4">
        <v>231</v>
      </c>
      <c r="F48" s="4">
        <f>ROUND(Source!BB35,O48)</f>
        <v>0</v>
      </c>
      <c r="G48" s="4" t="s">
        <v>84</v>
      </c>
      <c r="H48" s="4" t="s">
        <v>85</v>
      </c>
      <c r="I48" s="4"/>
      <c r="J48" s="4"/>
      <c r="K48" s="4">
        <v>231</v>
      </c>
      <c r="L48" s="4">
        <v>12</v>
      </c>
      <c r="M48" s="4">
        <v>3</v>
      </c>
      <c r="N48" s="4" t="s">
        <v>3</v>
      </c>
      <c r="O48" s="4">
        <v>2</v>
      </c>
      <c r="P48" s="4"/>
      <c r="Q48" s="4"/>
      <c r="R48" s="4"/>
      <c r="S48" s="4"/>
      <c r="T48" s="4"/>
      <c r="U48" s="4"/>
      <c r="V48" s="4"/>
      <c r="W48" s="4">
        <v>0</v>
      </c>
      <c r="X48" s="4">
        <v>1</v>
      </c>
      <c r="Y48" s="4">
        <v>0</v>
      </c>
      <c r="Z48" s="4"/>
      <c r="AA48" s="4"/>
      <c r="AB48" s="4"/>
    </row>
    <row r="49" spans="1:28" x14ac:dyDescent="0.2">
      <c r="A49" s="4">
        <v>50</v>
      </c>
      <c r="B49" s="4">
        <v>1</v>
      </c>
      <c r="C49" s="4">
        <v>0</v>
      </c>
      <c r="D49" s="4">
        <v>1</v>
      </c>
      <c r="E49" s="4">
        <v>204</v>
      </c>
      <c r="F49" s="4">
        <f>ROUND(Source!R35,O49)</f>
        <v>7376.23</v>
      </c>
      <c r="G49" s="4" t="s">
        <v>86</v>
      </c>
      <c r="H49" s="4" t="s">
        <v>87</v>
      </c>
      <c r="I49" s="4"/>
      <c r="J49" s="4"/>
      <c r="K49" s="4">
        <v>204</v>
      </c>
      <c r="L49" s="4">
        <v>13</v>
      </c>
      <c r="M49" s="4">
        <v>1</v>
      </c>
      <c r="N49" s="4" t="s">
        <v>3</v>
      </c>
      <c r="O49" s="4">
        <v>2</v>
      </c>
      <c r="P49" s="4"/>
      <c r="Q49" s="4"/>
      <c r="R49" s="4"/>
      <c r="S49" s="4"/>
      <c r="T49" s="4"/>
      <c r="U49" s="4"/>
      <c r="V49" s="4"/>
      <c r="W49" s="4">
        <v>7376.23</v>
      </c>
      <c r="X49" s="4">
        <v>1</v>
      </c>
      <c r="Y49" s="4">
        <v>7376.23</v>
      </c>
      <c r="Z49" s="4"/>
      <c r="AA49" s="4"/>
      <c r="AB49" s="4"/>
    </row>
    <row r="50" spans="1:28" x14ac:dyDescent="0.2">
      <c r="A50" s="4">
        <v>50</v>
      </c>
      <c r="B50" s="4">
        <v>1</v>
      </c>
      <c r="C50" s="4">
        <v>0</v>
      </c>
      <c r="D50" s="4">
        <v>1</v>
      </c>
      <c r="E50" s="4">
        <v>205</v>
      </c>
      <c r="F50" s="4">
        <f>ROUND(Source!S35,O50)</f>
        <v>6276.16</v>
      </c>
      <c r="G50" s="4" t="s">
        <v>88</v>
      </c>
      <c r="H50" s="4" t="s">
        <v>89</v>
      </c>
      <c r="I50" s="4"/>
      <c r="J50" s="4"/>
      <c r="K50" s="4">
        <v>205</v>
      </c>
      <c r="L50" s="4">
        <v>14</v>
      </c>
      <c r="M50" s="4">
        <v>1</v>
      </c>
      <c r="N50" s="4" t="s">
        <v>3</v>
      </c>
      <c r="O50" s="4">
        <v>2</v>
      </c>
      <c r="P50" s="4"/>
      <c r="Q50" s="4"/>
      <c r="R50" s="4"/>
      <c r="S50" s="4"/>
      <c r="T50" s="4"/>
      <c r="U50" s="4"/>
      <c r="V50" s="4"/>
      <c r="W50" s="4">
        <v>6276.16</v>
      </c>
      <c r="X50" s="4">
        <v>1</v>
      </c>
      <c r="Y50" s="4">
        <v>6276.16</v>
      </c>
      <c r="Z50" s="4"/>
      <c r="AA50" s="4"/>
      <c r="AB50" s="4"/>
    </row>
    <row r="51" spans="1:28" x14ac:dyDescent="0.2">
      <c r="A51" s="4">
        <v>50</v>
      </c>
      <c r="B51" s="4">
        <v>0</v>
      </c>
      <c r="C51" s="4">
        <v>0</v>
      </c>
      <c r="D51" s="4">
        <v>1</v>
      </c>
      <c r="E51" s="4">
        <v>232</v>
      </c>
      <c r="F51" s="4">
        <f>ROUND(Source!BC35,O51)</f>
        <v>0</v>
      </c>
      <c r="G51" s="4" t="s">
        <v>90</v>
      </c>
      <c r="H51" s="4" t="s">
        <v>91</v>
      </c>
      <c r="I51" s="4"/>
      <c r="J51" s="4"/>
      <c r="K51" s="4">
        <v>232</v>
      </c>
      <c r="L51" s="4">
        <v>15</v>
      </c>
      <c r="M51" s="4">
        <v>3</v>
      </c>
      <c r="N51" s="4" t="s">
        <v>3</v>
      </c>
      <c r="O51" s="4">
        <v>2</v>
      </c>
      <c r="P51" s="4"/>
      <c r="Q51" s="4"/>
      <c r="R51" s="4"/>
      <c r="S51" s="4"/>
      <c r="T51" s="4"/>
      <c r="U51" s="4"/>
      <c r="V51" s="4"/>
      <c r="W51" s="4">
        <v>0</v>
      </c>
      <c r="X51" s="4">
        <v>1</v>
      </c>
      <c r="Y51" s="4">
        <v>0</v>
      </c>
      <c r="Z51" s="4"/>
      <c r="AA51" s="4"/>
      <c r="AB51" s="4"/>
    </row>
    <row r="52" spans="1:28" x14ac:dyDescent="0.2">
      <c r="A52" s="4">
        <v>50</v>
      </c>
      <c r="B52" s="4">
        <v>0</v>
      </c>
      <c r="C52" s="4">
        <v>0</v>
      </c>
      <c r="D52" s="4">
        <v>1</v>
      </c>
      <c r="E52" s="4">
        <v>214</v>
      </c>
      <c r="F52" s="4">
        <f>ROUND(Source!AS35,O52)</f>
        <v>65126.11</v>
      </c>
      <c r="G52" s="4" t="s">
        <v>92</v>
      </c>
      <c r="H52" s="4" t="s">
        <v>93</v>
      </c>
      <c r="I52" s="4"/>
      <c r="J52" s="4"/>
      <c r="K52" s="4">
        <v>214</v>
      </c>
      <c r="L52" s="4">
        <v>16</v>
      </c>
      <c r="M52" s="4">
        <v>3</v>
      </c>
      <c r="N52" s="4" t="s">
        <v>3</v>
      </c>
      <c r="O52" s="4">
        <v>2</v>
      </c>
      <c r="P52" s="4"/>
      <c r="Q52" s="4"/>
      <c r="R52" s="4"/>
      <c r="S52" s="4"/>
      <c r="T52" s="4"/>
      <c r="U52" s="4"/>
      <c r="V52" s="4"/>
      <c r="W52" s="4">
        <v>65126.11</v>
      </c>
      <c r="X52" s="4">
        <v>1</v>
      </c>
      <c r="Y52" s="4">
        <v>65126.11</v>
      </c>
      <c r="Z52" s="4"/>
      <c r="AA52" s="4"/>
      <c r="AB52" s="4"/>
    </row>
    <row r="53" spans="1:28" x14ac:dyDescent="0.2">
      <c r="A53" s="4">
        <v>50</v>
      </c>
      <c r="B53" s="4">
        <v>0</v>
      </c>
      <c r="C53" s="4">
        <v>0</v>
      </c>
      <c r="D53" s="4">
        <v>1</v>
      </c>
      <c r="E53" s="4">
        <v>215</v>
      </c>
      <c r="F53" s="4">
        <f>ROUND(Source!AT35,O53)</f>
        <v>0</v>
      </c>
      <c r="G53" s="4" t="s">
        <v>94</v>
      </c>
      <c r="H53" s="4" t="s">
        <v>95</v>
      </c>
      <c r="I53" s="4"/>
      <c r="J53" s="4"/>
      <c r="K53" s="4">
        <v>215</v>
      </c>
      <c r="L53" s="4">
        <v>17</v>
      </c>
      <c r="M53" s="4">
        <v>3</v>
      </c>
      <c r="N53" s="4" t="s">
        <v>3</v>
      </c>
      <c r="O53" s="4">
        <v>2</v>
      </c>
      <c r="P53" s="4"/>
      <c r="Q53" s="4"/>
      <c r="R53" s="4"/>
      <c r="S53" s="4"/>
      <c r="T53" s="4"/>
      <c r="U53" s="4"/>
      <c r="V53" s="4"/>
      <c r="W53" s="4">
        <v>0</v>
      </c>
      <c r="X53" s="4">
        <v>1</v>
      </c>
      <c r="Y53" s="4">
        <v>0</v>
      </c>
      <c r="Z53" s="4"/>
      <c r="AA53" s="4"/>
      <c r="AB53" s="4"/>
    </row>
    <row r="54" spans="1:28" x14ac:dyDescent="0.2">
      <c r="A54" s="4">
        <v>50</v>
      </c>
      <c r="B54" s="4">
        <v>0</v>
      </c>
      <c r="C54" s="4">
        <v>0</v>
      </c>
      <c r="D54" s="4">
        <v>1</v>
      </c>
      <c r="E54" s="4">
        <v>217</v>
      </c>
      <c r="F54" s="4">
        <f>ROUND(Source!AU35,O54)</f>
        <v>434362.52</v>
      </c>
      <c r="G54" s="4" t="s">
        <v>96</v>
      </c>
      <c r="H54" s="4" t="s">
        <v>97</v>
      </c>
      <c r="I54" s="4"/>
      <c r="J54" s="4"/>
      <c r="K54" s="4">
        <v>217</v>
      </c>
      <c r="L54" s="4">
        <v>18</v>
      </c>
      <c r="M54" s="4">
        <v>3</v>
      </c>
      <c r="N54" s="4" t="s">
        <v>3</v>
      </c>
      <c r="O54" s="4">
        <v>2</v>
      </c>
      <c r="P54" s="4"/>
      <c r="Q54" s="4"/>
      <c r="R54" s="4"/>
      <c r="S54" s="4"/>
      <c r="T54" s="4"/>
      <c r="U54" s="4"/>
      <c r="V54" s="4"/>
      <c r="W54" s="4">
        <v>434362.52</v>
      </c>
      <c r="X54" s="4">
        <v>1</v>
      </c>
      <c r="Y54" s="4">
        <v>434362.52</v>
      </c>
      <c r="Z54" s="4"/>
      <c r="AA54" s="4"/>
      <c r="AB54" s="4"/>
    </row>
    <row r="55" spans="1:28" x14ac:dyDescent="0.2">
      <c r="A55" s="4">
        <v>50</v>
      </c>
      <c r="B55" s="4">
        <v>0</v>
      </c>
      <c r="C55" s="4">
        <v>0</v>
      </c>
      <c r="D55" s="4">
        <v>1</v>
      </c>
      <c r="E55" s="4">
        <v>230</v>
      </c>
      <c r="F55" s="4">
        <f>ROUND(Source!BA35,O55)</f>
        <v>0</v>
      </c>
      <c r="G55" s="4" t="s">
        <v>98</v>
      </c>
      <c r="H55" s="4" t="s">
        <v>99</v>
      </c>
      <c r="I55" s="4"/>
      <c r="J55" s="4"/>
      <c r="K55" s="4">
        <v>230</v>
      </c>
      <c r="L55" s="4">
        <v>19</v>
      </c>
      <c r="M55" s="4">
        <v>3</v>
      </c>
      <c r="N55" s="4" t="s">
        <v>3</v>
      </c>
      <c r="O55" s="4">
        <v>2</v>
      </c>
      <c r="P55" s="4"/>
      <c r="Q55" s="4"/>
      <c r="R55" s="4"/>
      <c r="S55" s="4"/>
      <c r="T55" s="4"/>
      <c r="U55" s="4"/>
      <c r="V55" s="4"/>
      <c r="W55" s="4">
        <v>0</v>
      </c>
      <c r="X55" s="4">
        <v>1</v>
      </c>
      <c r="Y55" s="4">
        <v>0</v>
      </c>
      <c r="Z55" s="4"/>
      <c r="AA55" s="4"/>
      <c r="AB55" s="4"/>
    </row>
    <row r="56" spans="1:28" x14ac:dyDescent="0.2">
      <c r="A56" s="4">
        <v>50</v>
      </c>
      <c r="B56" s="4">
        <v>0</v>
      </c>
      <c r="C56" s="4">
        <v>0</v>
      </c>
      <c r="D56" s="4">
        <v>1</v>
      </c>
      <c r="E56" s="4">
        <v>206</v>
      </c>
      <c r="F56" s="4">
        <f>ROUND(Source!T35,O56)</f>
        <v>0</v>
      </c>
      <c r="G56" s="4" t="s">
        <v>100</v>
      </c>
      <c r="H56" s="4" t="s">
        <v>101</v>
      </c>
      <c r="I56" s="4"/>
      <c r="J56" s="4"/>
      <c r="K56" s="4">
        <v>206</v>
      </c>
      <c r="L56" s="4">
        <v>20</v>
      </c>
      <c r="M56" s="4">
        <v>3</v>
      </c>
      <c r="N56" s="4" t="s">
        <v>3</v>
      </c>
      <c r="O56" s="4">
        <v>2</v>
      </c>
      <c r="P56" s="4"/>
      <c r="Q56" s="4"/>
      <c r="R56" s="4"/>
      <c r="S56" s="4"/>
      <c r="T56" s="4"/>
      <c r="U56" s="4"/>
      <c r="V56" s="4"/>
      <c r="W56" s="4">
        <v>0</v>
      </c>
      <c r="X56" s="4">
        <v>1</v>
      </c>
      <c r="Y56" s="4">
        <v>0</v>
      </c>
      <c r="Z56" s="4"/>
      <c r="AA56" s="4"/>
      <c r="AB56" s="4"/>
    </row>
    <row r="57" spans="1:28" x14ac:dyDescent="0.2">
      <c r="A57" s="4">
        <v>50</v>
      </c>
      <c r="B57" s="4">
        <v>0</v>
      </c>
      <c r="C57" s="4">
        <v>0</v>
      </c>
      <c r="D57" s="4">
        <v>1</v>
      </c>
      <c r="E57" s="4">
        <v>207</v>
      </c>
      <c r="F57" s="4">
        <f>ROUND(Source!U35,O57)</f>
        <v>21.195362500000002</v>
      </c>
      <c r="G57" s="4" t="s">
        <v>102</v>
      </c>
      <c r="H57" s="4" t="s">
        <v>103</v>
      </c>
      <c r="I57" s="4"/>
      <c r="J57" s="4"/>
      <c r="K57" s="4">
        <v>207</v>
      </c>
      <c r="L57" s="4">
        <v>21</v>
      </c>
      <c r="M57" s="4">
        <v>3</v>
      </c>
      <c r="N57" s="4" t="s">
        <v>3</v>
      </c>
      <c r="O57" s="4">
        <v>7</v>
      </c>
      <c r="P57" s="4"/>
      <c r="Q57" s="4"/>
      <c r="R57" s="4"/>
      <c r="S57" s="4"/>
      <c r="T57" s="4"/>
      <c r="U57" s="4"/>
      <c r="V57" s="4"/>
      <c r="W57" s="4">
        <v>21.195362500000002</v>
      </c>
      <c r="X57" s="4">
        <v>1</v>
      </c>
      <c r="Y57" s="4">
        <v>21.195362500000002</v>
      </c>
      <c r="Z57" s="4"/>
      <c r="AA57" s="4"/>
      <c r="AB57" s="4"/>
    </row>
    <row r="58" spans="1:28" x14ac:dyDescent="0.2">
      <c r="A58" s="4">
        <v>50</v>
      </c>
      <c r="B58" s="4">
        <v>0</v>
      </c>
      <c r="C58" s="4">
        <v>0</v>
      </c>
      <c r="D58" s="4">
        <v>1</v>
      </c>
      <c r="E58" s="4">
        <v>208</v>
      </c>
      <c r="F58" s="4">
        <f>ROUND(Source!V35,O58)</f>
        <v>18.589749999999999</v>
      </c>
      <c r="G58" s="4" t="s">
        <v>104</v>
      </c>
      <c r="H58" s="4" t="s">
        <v>105</v>
      </c>
      <c r="I58" s="4"/>
      <c r="J58" s="4"/>
      <c r="K58" s="4">
        <v>208</v>
      </c>
      <c r="L58" s="4">
        <v>22</v>
      </c>
      <c r="M58" s="4">
        <v>3</v>
      </c>
      <c r="N58" s="4" t="s">
        <v>3</v>
      </c>
      <c r="O58" s="4">
        <v>7</v>
      </c>
      <c r="P58" s="4"/>
      <c r="Q58" s="4"/>
      <c r="R58" s="4"/>
      <c r="S58" s="4"/>
      <c r="T58" s="4"/>
      <c r="U58" s="4"/>
      <c r="V58" s="4"/>
      <c r="W58" s="4">
        <v>18.589749999999999</v>
      </c>
      <c r="X58" s="4">
        <v>1</v>
      </c>
      <c r="Y58" s="4">
        <v>18.589749999999999</v>
      </c>
      <c r="Z58" s="4"/>
      <c r="AA58" s="4"/>
      <c r="AB58" s="4"/>
    </row>
    <row r="59" spans="1:28" x14ac:dyDescent="0.2">
      <c r="A59" s="4">
        <v>50</v>
      </c>
      <c r="B59" s="4">
        <v>0</v>
      </c>
      <c r="C59" s="4">
        <v>0</v>
      </c>
      <c r="D59" s="4">
        <v>1</v>
      </c>
      <c r="E59" s="4">
        <v>209</v>
      </c>
      <c r="F59" s="4">
        <f>ROUND(Source!W35,O59)</f>
        <v>0</v>
      </c>
      <c r="G59" s="4" t="s">
        <v>106</v>
      </c>
      <c r="H59" s="4" t="s">
        <v>107</v>
      </c>
      <c r="I59" s="4"/>
      <c r="J59" s="4"/>
      <c r="K59" s="4">
        <v>209</v>
      </c>
      <c r="L59" s="4">
        <v>23</v>
      </c>
      <c r="M59" s="4">
        <v>3</v>
      </c>
      <c r="N59" s="4" t="s">
        <v>3</v>
      </c>
      <c r="O59" s="4">
        <v>2</v>
      </c>
      <c r="P59" s="4"/>
      <c r="Q59" s="4"/>
      <c r="R59" s="4"/>
      <c r="S59" s="4"/>
      <c r="T59" s="4"/>
      <c r="U59" s="4"/>
      <c r="V59" s="4"/>
      <c r="W59" s="4">
        <v>0</v>
      </c>
      <c r="X59" s="4">
        <v>1</v>
      </c>
      <c r="Y59" s="4">
        <v>0</v>
      </c>
      <c r="Z59" s="4"/>
      <c r="AA59" s="4"/>
      <c r="AB59" s="4"/>
    </row>
    <row r="60" spans="1:28" x14ac:dyDescent="0.2">
      <c r="A60" s="4">
        <v>50</v>
      </c>
      <c r="B60" s="4">
        <v>0</v>
      </c>
      <c r="C60" s="4">
        <v>0</v>
      </c>
      <c r="D60" s="4">
        <v>1</v>
      </c>
      <c r="E60" s="4">
        <v>233</v>
      </c>
      <c r="F60" s="4">
        <f>ROUND(Source!BD35,O60)</f>
        <v>0</v>
      </c>
      <c r="G60" s="4" t="s">
        <v>108</v>
      </c>
      <c r="H60" s="4" t="s">
        <v>109</v>
      </c>
      <c r="I60" s="4"/>
      <c r="J60" s="4"/>
      <c r="K60" s="4">
        <v>233</v>
      </c>
      <c r="L60" s="4">
        <v>24</v>
      </c>
      <c r="M60" s="4">
        <v>3</v>
      </c>
      <c r="N60" s="4" t="s">
        <v>3</v>
      </c>
      <c r="O60" s="4">
        <v>2</v>
      </c>
      <c r="P60" s="4"/>
      <c r="Q60" s="4"/>
      <c r="R60" s="4"/>
      <c r="S60" s="4"/>
      <c r="T60" s="4"/>
      <c r="U60" s="4"/>
      <c r="V60" s="4"/>
      <c r="W60" s="4">
        <v>0</v>
      </c>
      <c r="X60" s="4">
        <v>1</v>
      </c>
      <c r="Y60" s="4">
        <v>0</v>
      </c>
      <c r="Z60" s="4"/>
      <c r="AA60" s="4"/>
      <c r="AB60" s="4"/>
    </row>
    <row r="61" spans="1:28" x14ac:dyDescent="0.2">
      <c r="A61" s="4">
        <v>50</v>
      </c>
      <c r="B61" s="4">
        <v>1</v>
      </c>
      <c r="C61" s="4">
        <v>0</v>
      </c>
      <c r="D61" s="4">
        <v>1</v>
      </c>
      <c r="E61" s="4">
        <v>210</v>
      </c>
      <c r="F61" s="4">
        <f>ROUND(Source!X35,O61)</f>
        <v>12560.2</v>
      </c>
      <c r="G61" s="4" t="s">
        <v>110</v>
      </c>
      <c r="H61" s="4" t="s">
        <v>111</v>
      </c>
      <c r="I61" s="4"/>
      <c r="J61" s="4"/>
      <c r="K61" s="4">
        <v>210</v>
      </c>
      <c r="L61" s="4">
        <v>25</v>
      </c>
      <c r="M61" s="4">
        <v>1</v>
      </c>
      <c r="N61" s="4" t="s">
        <v>3</v>
      </c>
      <c r="O61" s="4">
        <v>2</v>
      </c>
      <c r="P61" s="4"/>
      <c r="Q61" s="4"/>
      <c r="R61" s="4"/>
      <c r="S61" s="4"/>
      <c r="T61" s="4"/>
      <c r="U61" s="4"/>
      <c r="V61" s="4"/>
      <c r="W61" s="4">
        <v>12560.2</v>
      </c>
      <c r="X61" s="4">
        <v>1</v>
      </c>
      <c r="Y61" s="4">
        <v>12560.2</v>
      </c>
      <c r="Z61" s="4"/>
      <c r="AA61" s="4"/>
      <c r="AB61" s="4"/>
    </row>
    <row r="62" spans="1:28" x14ac:dyDescent="0.2">
      <c r="A62" s="4">
        <v>50</v>
      </c>
      <c r="B62" s="4">
        <v>1</v>
      </c>
      <c r="C62" s="4">
        <v>0</v>
      </c>
      <c r="D62" s="4">
        <v>1</v>
      </c>
      <c r="E62" s="4">
        <v>211</v>
      </c>
      <c r="F62" s="4">
        <f>ROUND(Source!Y35,O62)</f>
        <v>6280.1</v>
      </c>
      <c r="G62" s="4" t="s">
        <v>112</v>
      </c>
      <c r="H62" s="4" t="s">
        <v>113</v>
      </c>
      <c r="I62" s="4"/>
      <c r="J62" s="4"/>
      <c r="K62" s="4">
        <v>211</v>
      </c>
      <c r="L62" s="4">
        <v>26</v>
      </c>
      <c r="M62" s="4">
        <v>1</v>
      </c>
      <c r="N62" s="4" t="s">
        <v>3</v>
      </c>
      <c r="O62" s="4">
        <v>2</v>
      </c>
      <c r="P62" s="4"/>
      <c r="Q62" s="4"/>
      <c r="R62" s="4"/>
      <c r="S62" s="4"/>
      <c r="T62" s="4"/>
      <c r="U62" s="4"/>
      <c r="V62" s="4"/>
      <c r="W62" s="4">
        <v>6280.1</v>
      </c>
      <c r="X62" s="4">
        <v>1</v>
      </c>
      <c r="Y62" s="4">
        <v>6280.1</v>
      </c>
      <c r="Z62" s="4"/>
      <c r="AA62" s="4"/>
      <c r="AB62" s="4"/>
    </row>
    <row r="63" spans="1:28" x14ac:dyDescent="0.2">
      <c r="A63" s="4">
        <v>50</v>
      </c>
      <c r="B63" s="4">
        <v>1</v>
      </c>
      <c r="C63" s="4">
        <v>0</v>
      </c>
      <c r="D63" s="4">
        <v>1</v>
      </c>
      <c r="E63" s="4">
        <v>224</v>
      </c>
      <c r="F63" s="4">
        <f>ROUND(Source!AR35,O63)</f>
        <v>499488.63</v>
      </c>
      <c r="G63" s="4" t="s">
        <v>114</v>
      </c>
      <c r="H63" s="4" t="s">
        <v>115</v>
      </c>
      <c r="I63" s="4"/>
      <c r="J63" s="4"/>
      <c r="K63" s="4">
        <v>224</v>
      </c>
      <c r="L63" s="4">
        <v>27</v>
      </c>
      <c r="M63" s="4">
        <v>1</v>
      </c>
      <c r="N63" s="4" t="s">
        <v>3</v>
      </c>
      <c r="O63" s="4">
        <v>2</v>
      </c>
      <c r="P63" s="4"/>
      <c r="Q63" s="4"/>
      <c r="R63" s="4"/>
      <c r="S63" s="4"/>
      <c r="T63" s="4"/>
      <c r="U63" s="4"/>
      <c r="V63" s="4"/>
      <c r="W63" s="4">
        <v>499488.63</v>
      </c>
      <c r="X63" s="4">
        <v>1</v>
      </c>
      <c r="Y63" s="4">
        <v>499488.63</v>
      </c>
      <c r="Z63" s="4"/>
      <c r="AA63" s="4"/>
      <c r="AB63" s="4"/>
    </row>
    <row r="65" spans="1:206" x14ac:dyDescent="0.2">
      <c r="A65" s="2">
        <v>51</v>
      </c>
      <c r="B65" s="2">
        <f>B12</f>
        <v>135</v>
      </c>
      <c r="C65" s="2">
        <f>A12</f>
        <v>1</v>
      </c>
      <c r="D65" s="2">
        <f>ROW(A12)</f>
        <v>12</v>
      </c>
      <c r="E65" s="2"/>
      <c r="F65" s="2" t="str">
        <f>IF(F12&lt;&gt;"",F12,"")</f>
        <v>Новый объект_(Копия)_(Копия)_(Копия)_(Копия)</v>
      </c>
      <c r="G65" s="2" t="str">
        <f>IF(G12&lt;&gt;"",G12,"")</f>
        <v>МОДУЛЬ засыпка песком внутренней площадки катки Пересчет 06,08,2026</v>
      </c>
      <c r="H65" s="2">
        <v>0</v>
      </c>
      <c r="I65" s="2"/>
      <c r="J65" s="2"/>
      <c r="K65" s="2"/>
      <c r="L65" s="2"/>
      <c r="M65" s="2"/>
      <c r="N65" s="2"/>
      <c r="O65" s="2">
        <f t="shared" ref="O65:T65" si="37">ROUND(O35,2)</f>
        <v>480648.33</v>
      </c>
      <c r="P65" s="2">
        <f t="shared" si="37"/>
        <v>4021.38</v>
      </c>
      <c r="Q65" s="2">
        <f t="shared" si="37"/>
        <v>462974.56</v>
      </c>
      <c r="R65" s="2">
        <f t="shared" si="37"/>
        <v>7376.23</v>
      </c>
      <c r="S65" s="2">
        <f t="shared" si="37"/>
        <v>6276.16</v>
      </c>
      <c r="T65" s="2">
        <f t="shared" si="37"/>
        <v>0</v>
      </c>
      <c r="U65" s="2">
        <f>U35</f>
        <v>21.195362500000002</v>
      </c>
      <c r="V65" s="2">
        <f>V35</f>
        <v>18.589749999999999</v>
      </c>
      <c r="W65" s="2">
        <f>ROUND(W35,2)</f>
        <v>0</v>
      </c>
      <c r="X65" s="2">
        <f>ROUND(X35,2)</f>
        <v>12560.2</v>
      </c>
      <c r="Y65" s="2">
        <f>ROUND(Y35,2)</f>
        <v>6280.1</v>
      </c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>
        <f t="shared" ref="AO65:BD65" si="38">ROUND(AO35,2)</f>
        <v>0</v>
      </c>
      <c r="AP65" s="2">
        <f t="shared" si="38"/>
        <v>0</v>
      </c>
      <c r="AQ65" s="2">
        <f t="shared" si="38"/>
        <v>0</v>
      </c>
      <c r="AR65" s="2">
        <f t="shared" si="38"/>
        <v>499488.63</v>
      </c>
      <c r="AS65" s="2">
        <f t="shared" si="38"/>
        <v>65126.11</v>
      </c>
      <c r="AT65" s="2">
        <f t="shared" si="38"/>
        <v>0</v>
      </c>
      <c r="AU65" s="2">
        <f t="shared" si="38"/>
        <v>434362.52</v>
      </c>
      <c r="AV65" s="2">
        <f t="shared" si="38"/>
        <v>4021.38</v>
      </c>
      <c r="AW65" s="2">
        <f t="shared" si="38"/>
        <v>4021.38</v>
      </c>
      <c r="AX65" s="2">
        <f t="shared" si="38"/>
        <v>0</v>
      </c>
      <c r="AY65" s="2">
        <f t="shared" si="38"/>
        <v>4021.38</v>
      </c>
      <c r="AZ65" s="2">
        <f t="shared" si="38"/>
        <v>0</v>
      </c>
      <c r="BA65" s="2">
        <f t="shared" si="38"/>
        <v>0</v>
      </c>
      <c r="BB65" s="2">
        <f t="shared" si="38"/>
        <v>0</v>
      </c>
      <c r="BC65" s="2">
        <f t="shared" si="38"/>
        <v>0</v>
      </c>
      <c r="BD65" s="2">
        <f t="shared" si="38"/>
        <v>0</v>
      </c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>
        <v>0</v>
      </c>
    </row>
    <row r="67" spans="1:206" x14ac:dyDescent="0.2">
      <c r="A67" s="4">
        <v>50</v>
      </c>
      <c r="B67" s="4">
        <v>0</v>
      </c>
      <c r="C67" s="4">
        <v>0</v>
      </c>
      <c r="D67" s="4">
        <v>1</v>
      </c>
      <c r="E67" s="4">
        <v>201</v>
      </c>
      <c r="F67" s="4">
        <f>ROUND(Source!O65,O67)</f>
        <v>480648.33</v>
      </c>
      <c r="G67" s="4" t="s">
        <v>62</v>
      </c>
      <c r="H67" s="4" t="s">
        <v>63</v>
      </c>
      <c r="I67" s="4"/>
      <c r="J67" s="4"/>
      <c r="K67" s="4">
        <v>201</v>
      </c>
      <c r="L67" s="4">
        <v>1</v>
      </c>
      <c r="M67" s="4">
        <v>1</v>
      </c>
      <c r="N67" s="4" t="s">
        <v>3</v>
      </c>
      <c r="O67" s="4">
        <v>2</v>
      </c>
      <c r="P67" s="4"/>
      <c r="Q67" s="4"/>
      <c r="R67" s="4"/>
      <c r="S67" s="4"/>
      <c r="T67" s="4"/>
      <c r="U67" s="4"/>
      <c r="V67" s="4"/>
      <c r="W67" s="4">
        <v>480648.32999999996</v>
      </c>
      <c r="X67" s="4">
        <v>1</v>
      </c>
      <c r="Y67" s="4">
        <v>480648.32999999996</v>
      </c>
      <c r="Z67" s="4"/>
      <c r="AA67" s="4"/>
      <c r="AB67" s="4"/>
    </row>
    <row r="68" spans="1:206" x14ac:dyDescent="0.2">
      <c r="A68" s="4">
        <v>50</v>
      </c>
      <c r="B68" s="4">
        <v>0</v>
      </c>
      <c r="C68" s="4">
        <v>0</v>
      </c>
      <c r="D68" s="4">
        <v>1</v>
      </c>
      <c r="E68" s="4">
        <v>202</v>
      </c>
      <c r="F68" s="4">
        <f>ROUND(Source!P65,O68)</f>
        <v>4021.38</v>
      </c>
      <c r="G68" s="4" t="s">
        <v>64</v>
      </c>
      <c r="H68" s="4" t="s">
        <v>65</v>
      </c>
      <c r="I68" s="4"/>
      <c r="J68" s="4"/>
      <c r="K68" s="4">
        <v>202</v>
      </c>
      <c r="L68" s="4">
        <v>2</v>
      </c>
      <c r="M68" s="4">
        <v>3</v>
      </c>
      <c r="N68" s="4" t="s">
        <v>3</v>
      </c>
      <c r="O68" s="4">
        <v>2</v>
      </c>
      <c r="P68" s="4"/>
      <c r="Q68" s="4"/>
      <c r="R68" s="4"/>
      <c r="S68" s="4"/>
      <c r="T68" s="4"/>
      <c r="U68" s="4"/>
      <c r="V68" s="4"/>
      <c r="W68" s="4">
        <v>4021.38</v>
      </c>
      <c r="X68" s="4">
        <v>1</v>
      </c>
      <c r="Y68" s="4">
        <v>4021.38</v>
      </c>
      <c r="Z68" s="4"/>
      <c r="AA68" s="4"/>
      <c r="AB68" s="4"/>
    </row>
    <row r="69" spans="1:206" x14ac:dyDescent="0.2">
      <c r="A69" s="4">
        <v>50</v>
      </c>
      <c r="B69" s="4">
        <v>0</v>
      </c>
      <c r="C69" s="4">
        <v>0</v>
      </c>
      <c r="D69" s="4">
        <v>1</v>
      </c>
      <c r="E69" s="4">
        <v>222</v>
      </c>
      <c r="F69" s="4">
        <f>ROUND(Source!AO65,O69)</f>
        <v>0</v>
      </c>
      <c r="G69" s="4" t="s">
        <v>66</v>
      </c>
      <c r="H69" s="4" t="s">
        <v>67</v>
      </c>
      <c r="I69" s="4"/>
      <c r="J69" s="4"/>
      <c r="K69" s="4">
        <v>222</v>
      </c>
      <c r="L69" s="4">
        <v>3</v>
      </c>
      <c r="M69" s="4">
        <v>3</v>
      </c>
      <c r="N69" s="4" t="s">
        <v>3</v>
      </c>
      <c r="O69" s="4">
        <v>2</v>
      </c>
      <c r="P69" s="4"/>
      <c r="Q69" s="4"/>
      <c r="R69" s="4"/>
      <c r="S69" s="4"/>
      <c r="T69" s="4"/>
      <c r="U69" s="4"/>
      <c r="V69" s="4"/>
      <c r="W69" s="4">
        <v>0</v>
      </c>
      <c r="X69" s="4">
        <v>1</v>
      </c>
      <c r="Y69" s="4">
        <v>0</v>
      </c>
      <c r="Z69" s="4"/>
      <c r="AA69" s="4"/>
      <c r="AB69" s="4"/>
    </row>
    <row r="70" spans="1:206" x14ac:dyDescent="0.2">
      <c r="A70" s="4">
        <v>50</v>
      </c>
      <c r="B70" s="4">
        <v>0</v>
      </c>
      <c r="C70" s="4">
        <v>0</v>
      </c>
      <c r="D70" s="4">
        <v>1</v>
      </c>
      <c r="E70" s="4">
        <v>225</v>
      </c>
      <c r="F70" s="4">
        <f>ROUND(Source!AV65,O70)</f>
        <v>4021.38</v>
      </c>
      <c r="G70" s="4" t="s">
        <v>68</v>
      </c>
      <c r="H70" s="4" t="s">
        <v>69</v>
      </c>
      <c r="I70" s="4"/>
      <c r="J70" s="4"/>
      <c r="K70" s="4">
        <v>225</v>
      </c>
      <c r="L70" s="4">
        <v>4</v>
      </c>
      <c r="M70" s="4">
        <v>3</v>
      </c>
      <c r="N70" s="4" t="s">
        <v>3</v>
      </c>
      <c r="O70" s="4">
        <v>2</v>
      </c>
      <c r="P70" s="4"/>
      <c r="Q70" s="4"/>
      <c r="R70" s="4"/>
      <c r="S70" s="4"/>
      <c r="T70" s="4"/>
      <c r="U70" s="4"/>
      <c r="V70" s="4"/>
      <c r="W70" s="4">
        <v>4021.38</v>
      </c>
      <c r="X70" s="4">
        <v>1</v>
      </c>
      <c r="Y70" s="4">
        <v>4021.38</v>
      </c>
      <c r="Z70" s="4"/>
      <c r="AA70" s="4"/>
      <c r="AB70" s="4"/>
    </row>
    <row r="71" spans="1:206" x14ac:dyDescent="0.2">
      <c r="A71" s="4">
        <v>50</v>
      </c>
      <c r="B71" s="4">
        <v>0</v>
      </c>
      <c r="C71" s="4">
        <v>0</v>
      </c>
      <c r="D71" s="4">
        <v>1</v>
      </c>
      <c r="E71" s="4">
        <v>226</v>
      </c>
      <c r="F71" s="4">
        <f>ROUND(Source!AW65,O71)</f>
        <v>4021.38</v>
      </c>
      <c r="G71" s="4" t="s">
        <v>70</v>
      </c>
      <c r="H71" s="4" t="s">
        <v>71</v>
      </c>
      <c r="I71" s="4"/>
      <c r="J71" s="4"/>
      <c r="K71" s="4">
        <v>226</v>
      </c>
      <c r="L71" s="4">
        <v>5</v>
      </c>
      <c r="M71" s="4">
        <v>1</v>
      </c>
      <c r="N71" s="4" t="s">
        <v>3</v>
      </c>
      <c r="O71" s="4">
        <v>2</v>
      </c>
      <c r="P71" s="4"/>
      <c r="Q71" s="4"/>
      <c r="R71" s="4"/>
      <c r="S71" s="4"/>
      <c r="T71" s="4"/>
      <c r="U71" s="4"/>
      <c r="V71" s="4"/>
      <c r="W71" s="4">
        <v>4021.38</v>
      </c>
      <c r="X71" s="4">
        <v>1</v>
      </c>
      <c r="Y71" s="4">
        <v>4021.38</v>
      </c>
      <c r="Z71" s="4"/>
      <c r="AA71" s="4"/>
      <c r="AB71" s="4"/>
    </row>
    <row r="72" spans="1:206" x14ac:dyDescent="0.2">
      <c r="A72" s="4">
        <v>50</v>
      </c>
      <c r="B72" s="4">
        <v>0</v>
      </c>
      <c r="C72" s="4">
        <v>0</v>
      </c>
      <c r="D72" s="4">
        <v>1</v>
      </c>
      <c r="E72" s="4">
        <v>227</v>
      </c>
      <c r="F72" s="4">
        <f>ROUND(Source!AX65,O72)</f>
        <v>0</v>
      </c>
      <c r="G72" s="4" t="s">
        <v>72</v>
      </c>
      <c r="H72" s="4" t="s">
        <v>73</v>
      </c>
      <c r="I72" s="4"/>
      <c r="J72" s="4"/>
      <c r="K72" s="4">
        <v>227</v>
      </c>
      <c r="L72" s="4">
        <v>6</v>
      </c>
      <c r="M72" s="4">
        <v>3</v>
      </c>
      <c r="N72" s="4" t="s">
        <v>3</v>
      </c>
      <c r="O72" s="4">
        <v>2</v>
      </c>
      <c r="P72" s="4"/>
      <c r="Q72" s="4"/>
      <c r="R72" s="4"/>
      <c r="S72" s="4"/>
      <c r="T72" s="4"/>
      <c r="U72" s="4"/>
      <c r="V72" s="4"/>
      <c r="W72" s="4">
        <v>0</v>
      </c>
      <c r="X72" s="4">
        <v>1</v>
      </c>
      <c r="Y72" s="4">
        <v>0</v>
      </c>
      <c r="Z72" s="4"/>
      <c r="AA72" s="4"/>
      <c r="AB72" s="4"/>
    </row>
    <row r="73" spans="1:206" x14ac:dyDescent="0.2">
      <c r="A73" s="4">
        <v>50</v>
      </c>
      <c r="B73" s="4">
        <v>0</v>
      </c>
      <c r="C73" s="4">
        <v>0</v>
      </c>
      <c r="D73" s="4">
        <v>1</v>
      </c>
      <c r="E73" s="4">
        <v>228</v>
      </c>
      <c r="F73" s="4">
        <f>ROUND(Source!AY65,O73)</f>
        <v>4021.38</v>
      </c>
      <c r="G73" s="4" t="s">
        <v>74</v>
      </c>
      <c r="H73" s="4" t="s">
        <v>75</v>
      </c>
      <c r="I73" s="4"/>
      <c r="J73" s="4"/>
      <c r="K73" s="4">
        <v>228</v>
      </c>
      <c r="L73" s="4">
        <v>7</v>
      </c>
      <c r="M73" s="4">
        <v>3</v>
      </c>
      <c r="N73" s="4" t="s">
        <v>3</v>
      </c>
      <c r="O73" s="4">
        <v>2</v>
      </c>
      <c r="P73" s="4"/>
      <c r="Q73" s="4"/>
      <c r="R73" s="4"/>
      <c r="S73" s="4"/>
      <c r="T73" s="4"/>
      <c r="U73" s="4"/>
      <c r="V73" s="4"/>
      <c r="W73" s="4">
        <v>4021.38</v>
      </c>
      <c r="X73" s="4">
        <v>1</v>
      </c>
      <c r="Y73" s="4">
        <v>4021.38</v>
      </c>
      <c r="Z73" s="4"/>
      <c r="AA73" s="4"/>
      <c r="AB73" s="4"/>
    </row>
    <row r="74" spans="1:206" x14ac:dyDescent="0.2">
      <c r="A74" s="4">
        <v>50</v>
      </c>
      <c r="B74" s="4">
        <v>0</v>
      </c>
      <c r="C74" s="4">
        <v>0</v>
      </c>
      <c r="D74" s="4">
        <v>1</v>
      </c>
      <c r="E74" s="4">
        <v>216</v>
      </c>
      <c r="F74" s="4">
        <f>ROUND(Source!AP65,O74)</f>
        <v>0</v>
      </c>
      <c r="G74" s="4" t="s">
        <v>76</v>
      </c>
      <c r="H74" s="4" t="s">
        <v>77</v>
      </c>
      <c r="I74" s="4"/>
      <c r="J74" s="4"/>
      <c r="K74" s="4">
        <v>216</v>
      </c>
      <c r="L74" s="4">
        <v>8</v>
      </c>
      <c r="M74" s="4">
        <v>3</v>
      </c>
      <c r="N74" s="4" t="s">
        <v>3</v>
      </c>
      <c r="O74" s="4">
        <v>2</v>
      </c>
      <c r="P74" s="4"/>
      <c r="Q74" s="4"/>
      <c r="R74" s="4"/>
      <c r="S74" s="4"/>
      <c r="T74" s="4"/>
      <c r="U74" s="4"/>
      <c r="V74" s="4"/>
      <c r="W74" s="4">
        <v>0</v>
      </c>
      <c r="X74" s="4">
        <v>1</v>
      </c>
      <c r="Y74" s="4">
        <v>0</v>
      </c>
      <c r="Z74" s="4"/>
      <c r="AA74" s="4"/>
      <c r="AB74" s="4"/>
    </row>
    <row r="75" spans="1:206" x14ac:dyDescent="0.2">
      <c r="A75" s="4">
        <v>50</v>
      </c>
      <c r="B75" s="4">
        <v>0</v>
      </c>
      <c r="C75" s="4">
        <v>0</v>
      </c>
      <c r="D75" s="4">
        <v>1</v>
      </c>
      <c r="E75" s="4">
        <v>223</v>
      </c>
      <c r="F75" s="4">
        <f>ROUND(Source!AQ65,O75)</f>
        <v>0</v>
      </c>
      <c r="G75" s="4" t="s">
        <v>78</v>
      </c>
      <c r="H75" s="4" t="s">
        <v>79</v>
      </c>
      <c r="I75" s="4"/>
      <c r="J75" s="4"/>
      <c r="K75" s="4">
        <v>223</v>
      </c>
      <c r="L75" s="4">
        <v>9</v>
      </c>
      <c r="M75" s="4">
        <v>3</v>
      </c>
      <c r="N75" s="4" t="s">
        <v>3</v>
      </c>
      <c r="O75" s="4">
        <v>2</v>
      </c>
      <c r="P75" s="4"/>
      <c r="Q75" s="4"/>
      <c r="R75" s="4"/>
      <c r="S75" s="4"/>
      <c r="T75" s="4"/>
      <c r="U75" s="4"/>
      <c r="V75" s="4"/>
      <c r="W75" s="4">
        <v>0</v>
      </c>
      <c r="X75" s="4">
        <v>1</v>
      </c>
      <c r="Y75" s="4">
        <v>0</v>
      </c>
      <c r="Z75" s="4"/>
      <c r="AA75" s="4"/>
      <c r="AB75" s="4"/>
    </row>
    <row r="76" spans="1:206" x14ac:dyDescent="0.2">
      <c r="A76" s="4">
        <v>50</v>
      </c>
      <c r="B76" s="4">
        <v>0</v>
      </c>
      <c r="C76" s="4">
        <v>0</v>
      </c>
      <c r="D76" s="4">
        <v>1</v>
      </c>
      <c r="E76" s="4">
        <v>229</v>
      </c>
      <c r="F76" s="4">
        <f>ROUND(Source!AZ65,O76)</f>
        <v>0</v>
      </c>
      <c r="G76" s="4" t="s">
        <v>80</v>
      </c>
      <c r="H76" s="4" t="s">
        <v>81</v>
      </c>
      <c r="I76" s="4"/>
      <c r="J76" s="4"/>
      <c r="K76" s="4">
        <v>229</v>
      </c>
      <c r="L76" s="4">
        <v>10</v>
      </c>
      <c r="M76" s="4">
        <v>3</v>
      </c>
      <c r="N76" s="4" t="s">
        <v>3</v>
      </c>
      <c r="O76" s="4">
        <v>2</v>
      </c>
      <c r="P76" s="4"/>
      <c r="Q76" s="4"/>
      <c r="R76" s="4"/>
      <c r="S76" s="4"/>
      <c r="T76" s="4"/>
      <c r="U76" s="4"/>
      <c r="V76" s="4"/>
      <c r="W76" s="4">
        <v>0</v>
      </c>
      <c r="X76" s="4">
        <v>1</v>
      </c>
      <c r="Y76" s="4">
        <v>0</v>
      </c>
      <c r="Z76" s="4"/>
      <c r="AA76" s="4"/>
      <c r="AB76" s="4"/>
    </row>
    <row r="77" spans="1:206" x14ac:dyDescent="0.2">
      <c r="A77" s="4">
        <v>50</v>
      </c>
      <c r="B77" s="4">
        <v>0</v>
      </c>
      <c r="C77" s="4">
        <v>0</v>
      </c>
      <c r="D77" s="4">
        <v>1</v>
      </c>
      <c r="E77" s="4">
        <v>203</v>
      </c>
      <c r="F77" s="4">
        <f>ROUND(Source!Q65,O77)</f>
        <v>462974.56</v>
      </c>
      <c r="G77" s="4" t="s">
        <v>82</v>
      </c>
      <c r="H77" s="4" t="s">
        <v>83</v>
      </c>
      <c r="I77" s="4"/>
      <c r="J77" s="4"/>
      <c r="K77" s="4">
        <v>203</v>
      </c>
      <c r="L77" s="4">
        <v>11</v>
      </c>
      <c r="M77" s="4">
        <v>1</v>
      </c>
      <c r="N77" s="4" t="s">
        <v>3</v>
      </c>
      <c r="O77" s="4">
        <v>2</v>
      </c>
      <c r="P77" s="4"/>
      <c r="Q77" s="4"/>
      <c r="R77" s="4"/>
      <c r="S77" s="4"/>
      <c r="T77" s="4"/>
      <c r="U77" s="4"/>
      <c r="V77" s="4"/>
      <c r="W77" s="4">
        <v>462974.56</v>
      </c>
      <c r="X77" s="4">
        <v>1</v>
      </c>
      <c r="Y77" s="4">
        <v>462974.56</v>
      </c>
      <c r="Z77" s="4"/>
      <c r="AA77" s="4"/>
      <c r="AB77" s="4"/>
    </row>
    <row r="78" spans="1:206" x14ac:dyDescent="0.2">
      <c r="A78" s="4">
        <v>50</v>
      </c>
      <c r="B78" s="4">
        <v>0</v>
      </c>
      <c r="C78" s="4">
        <v>0</v>
      </c>
      <c r="D78" s="4">
        <v>1</v>
      </c>
      <c r="E78" s="4">
        <v>231</v>
      </c>
      <c r="F78" s="4">
        <f>ROUND(Source!BB65,O78)</f>
        <v>0</v>
      </c>
      <c r="G78" s="4" t="s">
        <v>84</v>
      </c>
      <c r="H78" s="4" t="s">
        <v>85</v>
      </c>
      <c r="I78" s="4"/>
      <c r="J78" s="4"/>
      <c r="K78" s="4">
        <v>231</v>
      </c>
      <c r="L78" s="4">
        <v>12</v>
      </c>
      <c r="M78" s="4">
        <v>3</v>
      </c>
      <c r="N78" s="4" t="s">
        <v>3</v>
      </c>
      <c r="O78" s="4">
        <v>2</v>
      </c>
      <c r="P78" s="4"/>
      <c r="Q78" s="4"/>
      <c r="R78" s="4"/>
      <c r="S78" s="4"/>
      <c r="T78" s="4"/>
      <c r="U78" s="4"/>
      <c r="V78" s="4"/>
      <c r="W78" s="4">
        <v>0</v>
      </c>
      <c r="X78" s="4">
        <v>1</v>
      </c>
      <c r="Y78" s="4">
        <v>0</v>
      </c>
      <c r="Z78" s="4"/>
      <c r="AA78" s="4"/>
      <c r="AB78" s="4"/>
    </row>
    <row r="79" spans="1:206" x14ac:dyDescent="0.2">
      <c r="A79" s="4">
        <v>50</v>
      </c>
      <c r="B79" s="4">
        <v>0</v>
      </c>
      <c r="C79" s="4">
        <v>0</v>
      </c>
      <c r="D79" s="4">
        <v>1</v>
      </c>
      <c r="E79" s="4">
        <v>204</v>
      </c>
      <c r="F79" s="4">
        <f>ROUND(Source!R65,O79)</f>
        <v>7376.23</v>
      </c>
      <c r="G79" s="4" t="s">
        <v>86</v>
      </c>
      <c r="H79" s="4" t="s">
        <v>87</v>
      </c>
      <c r="I79" s="4"/>
      <c r="J79" s="4"/>
      <c r="K79" s="4">
        <v>204</v>
      </c>
      <c r="L79" s="4">
        <v>13</v>
      </c>
      <c r="M79" s="4">
        <v>1</v>
      </c>
      <c r="N79" s="4" t="s">
        <v>3</v>
      </c>
      <c r="O79" s="4">
        <v>2</v>
      </c>
      <c r="P79" s="4"/>
      <c r="Q79" s="4"/>
      <c r="R79" s="4"/>
      <c r="S79" s="4"/>
      <c r="T79" s="4"/>
      <c r="U79" s="4"/>
      <c r="V79" s="4"/>
      <c r="W79" s="4">
        <v>7376.23</v>
      </c>
      <c r="X79" s="4">
        <v>1</v>
      </c>
      <c r="Y79" s="4">
        <v>7376.23</v>
      </c>
      <c r="Z79" s="4"/>
      <c r="AA79" s="4"/>
      <c r="AB79" s="4"/>
    </row>
    <row r="80" spans="1:206" x14ac:dyDescent="0.2">
      <c r="A80" s="4">
        <v>50</v>
      </c>
      <c r="B80" s="4">
        <v>0</v>
      </c>
      <c r="C80" s="4">
        <v>0</v>
      </c>
      <c r="D80" s="4">
        <v>1</v>
      </c>
      <c r="E80" s="4">
        <v>205</v>
      </c>
      <c r="F80" s="4">
        <f>ROUND(Source!S65,O80)</f>
        <v>6276.16</v>
      </c>
      <c r="G80" s="4" t="s">
        <v>88</v>
      </c>
      <c r="H80" s="4" t="s">
        <v>89</v>
      </c>
      <c r="I80" s="4"/>
      <c r="J80" s="4"/>
      <c r="K80" s="4">
        <v>205</v>
      </c>
      <c r="L80" s="4">
        <v>14</v>
      </c>
      <c r="M80" s="4">
        <v>1</v>
      </c>
      <c r="N80" s="4" t="s">
        <v>3</v>
      </c>
      <c r="O80" s="4">
        <v>2</v>
      </c>
      <c r="P80" s="4"/>
      <c r="Q80" s="4"/>
      <c r="R80" s="4"/>
      <c r="S80" s="4"/>
      <c r="T80" s="4"/>
      <c r="U80" s="4"/>
      <c r="V80" s="4"/>
      <c r="W80" s="4">
        <v>6276.16</v>
      </c>
      <c r="X80" s="4">
        <v>1</v>
      </c>
      <c r="Y80" s="4">
        <v>6276.16</v>
      </c>
      <c r="Z80" s="4"/>
      <c r="AA80" s="4"/>
      <c r="AB80" s="4"/>
    </row>
    <row r="81" spans="1:28" x14ac:dyDescent="0.2">
      <c r="A81" s="4">
        <v>50</v>
      </c>
      <c r="B81" s="4">
        <v>0</v>
      </c>
      <c r="C81" s="4">
        <v>0</v>
      </c>
      <c r="D81" s="4">
        <v>1</v>
      </c>
      <c r="E81" s="4">
        <v>232</v>
      </c>
      <c r="F81" s="4">
        <f>ROUND(Source!BC65,O81)</f>
        <v>0</v>
      </c>
      <c r="G81" s="4" t="s">
        <v>90</v>
      </c>
      <c r="H81" s="4" t="s">
        <v>91</v>
      </c>
      <c r="I81" s="4"/>
      <c r="J81" s="4"/>
      <c r="K81" s="4">
        <v>232</v>
      </c>
      <c r="L81" s="4">
        <v>15</v>
      </c>
      <c r="M81" s="4">
        <v>3</v>
      </c>
      <c r="N81" s="4" t="s">
        <v>3</v>
      </c>
      <c r="O81" s="4">
        <v>2</v>
      </c>
      <c r="P81" s="4"/>
      <c r="Q81" s="4"/>
      <c r="R81" s="4"/>
      <c r="S81" s="4"/>
      <c r="T81" s="4"/>
      <c r="U81" s="4"/>
      <c r="V81" s="4"/>
      <c r="W81" s="4">
        <v>0</v>
      </c>
      <c r="X81" s="4">
        <v>1</v>
      </c>
      <c r="Y81" s="4">
        <v>0</v>
      </c>
      <c r="Z81" s="4"/>
      <c r="AA81" s="4"/>
      <c r="AB81" s="4"/>
    </row>
    <row r="82" spans="1:28" x14ac:dyDescent="0.2">
      <c r="A82" s="4">
        <v>50</v>
      </c>
      <c r="B82" s="4">
        <v>0</v>
      </c>
      <c r="C82" s="4">
        <v>0</v>
      </c>
      <c r="D82" s="4">
        <v>1</v>
      </c>
      <c r="E82" s="4">
        <v>214</v>
      </c>
      <c r="F82" s="4">
        <f>ROUND(Source!AS65,O82)</f>
        <v>65126.11</v>
      </c>
      <c r="G82" s="4" t="s">
        <v>92</v>
      </c>
      <c r="H82" s="4" t="s">
        <v>93</v>
      </c>
      <c r="I82" s="4"/>
      <c r="J82" s="4"/>
      <c r="K82" s="4">
        <v>214</v>
      </c>
      <c r="L82" s="4">
        <v>16</v>
      </c>
      <c r="M82" s="4">
        <v>3</v>
      </c>
      <c r="N82" s="4" t="s">
        <v>3</v>
      </c>
      <c r="O82" s="4">
        <v>2</v>
      </c>
      <c r="P82" s="4"/>
      <c r="Q82" s="4"/>
      <c r="R82" s="4"/>
      <c r="S82" s="4"/>
      <c r="T82" s="4"/>
      <c r="U82" s="4"/>
      <c r="V82" s="4"/>
      <c r="W82" s="4">
        <v>65126.11</v>
      </c>
      <c r="X82" s="4">
        <v>1</v>
      </c>
      <c r="Y82" s="4">
        <v>65126.11</v>
      </c>
      <c r="Z82" s="4"/>
      <c r="AA82" s="4"/>
      <c r="AB82" s="4"/>
    </row>
    <row r="83" spans="1:28" x14ac:dyDescent="0.2">
      <c r="A83" s="4">
        <v>50</v>
      </c>
      <c r="B83" s="4">
        <v>0</v>
      </c>
      <c r="C83" s="4">
        <v>0</v>
      </c>
      <c r="D83" s="4">
        <v>1</v>
      </c>
      <c r="E83" s="4">
        <v>215</v>
      </c>
      <c r="F83" s="4">
        <f>ROUND(Source!AT65,O83)</f>
        <v>0</v>
      </c>
      <c r="G83" s="4" t="s">
        <v>94</v>
      </c>
      <c r="H83" s="4" t="s">
        <v>95</v>
      </c>
      <c r="I83" s="4"/>
      <c r="J83" s="4"/>
      <c r="K83" s="4">
        <v>215</v>
      </c>
      <c r="L83" s="4">
        <v>17</v>
      </c>
      <c r="M83" s="4">
        <v>3</v>
      </c>
      <c r="N83" s="4" t="s">
        <v>3</v>
      </c>
      <c r="O83" s="4">
        <v>2</v>
      </c>
      <c r="P83" s="4"/>
      <c r="Q83" s="4"/>
      <c r="R83" s="4"/>
      <c r="S83" s="4"/>
      <c r="T83" s="4"/>
      <c r="U83" s="4"/>
      <c r="V83" s="4"/>
      <c r="W83" s="4">
        <v>0</v>
      </c>
      <c r="X83" s="4">
        <v>1</v>
      </c>
      <c r="Y83" s="4">
        <v>0</v>
      </c>
      <c r="Z83" s="4"/>
      <c r="AA83" s="4"/>
      <c r="AB83" s="4"/>
    </row>
    <row r="84" spans="1:28" x14ac:dyDescent="0.2">
      <c r="A84" s="4">
        <v>50</v>
      </c>
      <c r="B84" s="4">
        <v>0</v>
      </c>
      <c r="C84" s="4">
        <v>0</v>
      </c>
      <c r="D84" s="4">
        <v>1</v>
      </c>
      <c r="E84" s="4">
        <v>217</v>
      </c>
      <c r="F84" s="4">
        <f>ROUND(Source!AU65,O84)</f>
        <v>434362.52</v>
      </c>
      <c r="G84" s="4" t="s">
        <v>96</v>
      </c>
      <c r="H84" s="4" t="s">
        <v>97</v>
      </c>
      <c r="I84" s="4"/>
      <c r="J84" s="4"/>
      <c r="K84" s="4">
        <v>217</v>
      </c>
      <c r="L84" s="4">
        <v>18</v>
      </c>
      <c r="M84" s="4">
        <v>3</v>
      </c>
      <c r="N84" s="4" t="s">
        <v>3</v>
      </c>
      <c r="O84" s="4">
        <v>2</v>
      </c>
      <c r="P84" s="4"/>
      <c r="Q84" s="4"/>
      <c r="R84" s="4"/>
      <c r="S84" s="4"/>
      <c r="T84" s="4"/>
      <c r="U84" s="4"/>
      <c r="V84" s="4"/>
      <c r="W84" s="4">
        <v>434362.52</v>
      </c>
      <c r="X84" s="4">
        <v>1</v>
      </c>
      <c r="Y84" s="4">
        <v>434362.52</v>
      </c>
      <c r="Z84" s="4"/>
      <c r="AA84" s="4"/>
      <c r="AB84" s="4"/>
    </row>
    <row r="85" spans="1:28" x14ac:dyDescent="0.2">
      <c r="A85" s="4">
        <v>50</v>
      </c>
      <c r="B85" s="4">
        <v>0</v>
      </c>
      <c r="C85" s="4">
        <v>0</v>
      </c>
      <c r="D85" s="4">
        <v>1</v>
      </c>
      <c r="E85" s="4">
        <v>230</v>
      </c>
      <c r="F85" s="4">
        <f>ROUND(Source!BA65,O85)</f>
        <v>0</v>
      </c>
      <c r="G85" s="4" t="s">
        <v>98</v>
      </c>
      <c r="H85" s="4" t="s">
        <v>99</v>
      </c>
      <c r="I85" s="4"/>
      <c r="J85" s="4"/>
      <c r="K85" s="4">
        <v>230</v>
      </c>
      <c r="L85" s="4">
        <v>19</v>
      </c>
      <c r="M85" s="4">
        <v>3</v>
      </c>
      <c r="N85" s="4" t="s">
        <v>3</v>
      </c>
      <c r="O85" s="4">
        <v>2</v>
      </c>
      <c r="P85" s="4"/>
      <c r="Q85" s="4"/>
      <c r="R85" s="4"/>
      <c r="S85" s="4"/>
      <c r="T85" s="4"/>
      <c r="U85" s="4"/>
      <c r="V85" s="4"/>
      <c r="W85" s="4">
        <v>0</v>
      </c>
      <c r="X85" s="4">
        <v>1</v>
      </c>
      <c r="Y85" s="4">
        <v>0</v>
      </c>
      <c r="Z85" s="4"/>
      <c r="AA85" s="4"/>
      <c r="AB85" s="4"/>
    </row>
    <row r="86" spans="1:28" x14ac:dyDescent="0.2">
      <c r="A86" s="4">
        <v>50</v>
      </c>
      <c r="B86" s="4">
        <v>0</v>
      </c>
      <c r="C86" s="4">
        <v>0</v>
      </c>
      <c r="D86" s="4">
        <v>1</v>
      </c>
      <c r="E86" s="4">
        <v>206</v>
      </c>
      <c r="F86" s="4">
        <f>ROUND(Source!T65,O86)</f>
        <v>0</v>
      </c>
      <c r="G86" s="4" t="s">
        <v>100</v>
      </c>
      <c r="H86" s="4" t="s">
        <v>101</v>
      </c>
      <c r="I86" s="4"/>
      <c r="J86" s="4"/>
      <c r="K86" s="4">
        <v>206</v>
      </c>
      <c r="L86" s="4">
        <v>20</v>
      </c>
      <c r="M86" s="4">
        <v>3</v>
      </c>
      <c r="N86" s="4" t="s">
        <v>3</v>
      </c>
      <c r="O86" s="4">
        <v>2</v>
      </c>
      <c r="P86" s="4"/>
      <c r="Q86" s="4"/>
      <c r="R86" s="4"/>
      <c r="S86" s="4"/>
      <c r="T86" s="4"/>
      <c r="U86" s="4"/>
      <c r="V86" s="4"/>
      <c r="W86" s="4">
        <v>0</v>
      </c>
      <c r="X86" s="4">
        <v>1</v>
      </c>
      <c r="Y86" s="4">
        <v>0</v>
      </c>
      <c r="Z86" s="4"/>
      <c r="AA86" s="4"/>
      <c r="AB86" s="4"/>
    </row>
    <row r="87" spans="1:28" x14ac:dyDescent="0.2">
      <c r="A87" s="4">
        <v>50</v>
      </c>
      <c r="B87" s="4">
        <v>0</v>
      </c>
      <c r="C87" s="4">
        <v>0</v>
      </c>
      <c r="D87" s="4">
        <v>1</v>
      </c>
      <c r="E87" s="4">
        <v>207</v>
      </c>
      <c r="F87" s="4">
        <f>ROUND(Source!U65,O87)</f>
        <v>21.195362500000002</v>
      </c>
      <c r="G87" s="4" t="s">
        <v>102</v>
      </c>
      <c r="H87" s="4" t="s">
        <v>103</v>
      </c>
      <c r="I87" s="4"/>
      <c r="J87" s="4"/>
      <c r="K87" s="4">
        <v>207</v>
      </c>
      <c r="L87" s="4">
        <v>21</v>
      </c>
      <c r="M87" s="4">
        <v>3</v>
      </c>
      <c r="N87" s="4" t="s">
        <v>3</v>
      </c>
      <c r="O87" s="4">
        <v>7</v>
      </c>
      <c r="P87" s="4"/>
      <c r="Q87" s="4"/>
      <c r="R87" s="4"/>
      <c r="S87" s="4"/>
      <c r="T87" s="4"/>
      <c r="U87" s="4"/>
      <c r="V87" s="4"/>
      <c r="W87" s="4">
        <v>21.195362500000002</v>
      </c>
      <c r="X87" s="4">
        <v>1</v>
      </c>
      <c r="Y87" s="4">
        <v>21.195362500000002</v>
      </c>
      <c r="Z87" s="4"/>
      <c r="AA87" s="4"/>
      <c r="AB87" s="4"/>
    </row>
    <row r="88" spans="1:28" x14ac:dyDescent="0.2">
      <c r="A88" s="4">
        <v>50</v>
      </c>
      <c r="B88" s="4">
        <v>0</v>
      </c>
      <c r="C88" s="4">
        <v>0</v>
      </c>
      <c r="D88" s="4">
        <v>1</v>
      </c>
      <c r="E88" s="4">
        <v>208</v>
      </c>
      <c r="F88" s="4">
        <f>ROUND(Source!V65,O88)</f>
        <v>18.589749999999999</v>
      </c>
      <c r="G88" s="4" t="s">
        <v>104</v>
      </c>
      <c r="H88" s="4" t="s">
        <v>105</v>
      </c>
      <c r="I88" s="4"/>
      <c r="J88" s="4"/>
      <c r="K88" s="4">
        <v>208</v>
      </c>
      <c r="L88" s="4">
        <v>22</v>
      </c>
      <c r="M88" s="4">
        <v>3</v>
      </c>
      <c r="N88" s="4" t="s">
        <v>3</v>
      </c>
      <c r="O88" s="4">
        <v>7</v>
      </c>
      <c r="P88" s="4"/>
      <c r="Q88" s="4"/>
      <c r="R88" s="4"/>
      <c r="S88" s="4"/>
      <c r="T88" s="4"/>
      <c r="U88" s="4"/>
      <c r="V88" s="4"/>
      <c r="W88" s="4">
        <v>18.589749999999999</v>
      </c>
      <c r="X88" s="4">
        <v>1</v>
      </c>
      <c r="Y88" s="4">
        <v>18.589749999999999</v>
      </c>
      <c r="Z88" s="4"/>
      <c r="AA88" s="4"/>
      <c r="AB88" s="4"/>
    </row>
    <row r="89" spans="1:28" x14ac:dyDescent="0.2">
      <c r="A89" s="4">
        <v>50</v>
      </c>
      <c r="B89" s="4">
        <v>0</v>
      </c>
      <c r="C89" s="4">
        <v>0</v>
      </c>
      <c r="D89" s="4">
        <v>1</v>
      </c>
      <c r="E89" s="4">
        <v>209</v>
      </c>
      <c r="F89" s="4">
        <f>ROUND(Source!W65,O89)</f>
        <v>0</v>
      </c>
      <c r="G89" s="4" t="s">
        <v>106</v>
      </c>
      <c r="H89" s="4" t="s">
        <v>107</v>
      </c>
      <c r="I89" s="4"/>
      <c r="J89" s="4"/>
      <c r="K89" s="4">
        <v>209</v>
      </c>
      <c r="L89" s="4">
        <v>23</v>
      </c>
      <c r="M89" s="4">
        <v>3</v>
      </c>
      <c r="N89" s="4" t="s">
        <v>3</v>
      </c>
      <c r="O89" s="4">
        <v>2</v>
      </c>
      <c r="P89" s="4"/>
      <c r="Q89" s="4"/>
      <c r="R89" s="4"/>
      <c r="S89" s="4"/>
      <c r="T89" s="4"/>
      <c r="U89" s="4"/>
      <c r="V89" s="4"/>
      <c r="W89" s="4">
        <v>0</v>
      </c>
      <c r="X89" s="4">
        <v>1</v>
      </c>
      <c r="Y89" s="4">
        <v>0</v>
      </c>
      <c r="Z89" s="4"/>
      <c r="AA89" s="4"/>
      <c r="AB89" s="4"/>
    </row>
    <row r="90" spans="1:28" x14ac:dyDescent="0.2">
      <c r="A90" s="4">
        <v>50</v>
      </c>
      <c r="B90" s="4">
        <v>0</v>
      </c>
      <c r="C90" s="4">
        <v>0</v>
      </c>
      <c r="D90" s="4">
        <v>1</v>
      </c>
      <c r="E90" s="4">
        <v>233</v>
      </c>
      <c r="F90" s="4">
        <f>ROUND(Source!BD65,O90)</f>
        <v>0</v>
      </c>
      <c r="G90" s="4" t="s">
        <v>108</v>
      </c>
      <c r="H90" s="4" t="s">
        <v>109</v>
      </c>
      <c r="I90" s="4"/>
      <c r="J90" s="4"/>
      <c r="K90" s="4">
        <v>233</v>
      </c>
      <c r="L90" s="4">
        <v>24</v>
      </c>
      <c r="M90" s="4">
        <v>3</v>
      </c>
      <c r="N90" s="4" t="s">
        <v>3</v>
      </c>
      <c r="O90" s="4">
        <v>2</v>
      </c>
      <c r="P90" s="4"/>
      <c r="Q90" s="4"/>
      <c r="R90" s="4"/>
      <c r="S90" s="4"/>
      <c r="T90" s="4"/>
      <c r="U90" s="4"/>
      <c r="V90" s="4"/>
      <c r="W90" s="4">
        <v>0</v>
      </c>
      <c r="X90" s="4">
        <v>1</v>
      </c>
      <c r="Y90" s="4">
        <v>0</v>
      </c>
      <c r="Z90" s="4"/>
      <c r="AA90" s="4"/>
      <c r="AB90" s="4"/>
    </row>
    <row r="91" spans="1:28" x14ac:dyDescent="0.2">
      <c r="A91" s="4">
        <v>50</v>
      </c>
      <c r="B91" s="4">
        <v>0</v>
      </c>
      <c r="C91" s="4">
        <v>0</v>
      </c>
      <c r="D91" s="4">
        <v>1</v>
      </c>
      <c r="E91" s="4">
        <v>210</v>
      </c>
      <c r="F91" s="4">
        <f>ROUND(Source!X65,O91)</f>
        <v>12560.2</v>
      </c>
      <c r="G91" s="4" t="s">
        <v>110</v>
      </c>
      <c r="H91" s="4" t="s">
        <v>111</v>
      </c>
      <c r="I91" s="4"/>
      <c r="J91" s="4"/>
      <c r="K91" s="4">
        <v>210</v>
      </c>
      <c r="L91" s="4">
        <v>25</v>
      </c>
      <c r="M91" s="4">
        <v>1</v>
      </c>
      <c r="N91" s="4" t="s">
        <v>3</v>
      </c>
      <c r="O91" s="4">
        <v>2</v>
      </c>
      <c r="P91" s="4"/>
      <c r="Q91" s="4"/>
      <c r="R91" s="4"/>
      <c r="S91" s="4"/>
      <c r="T91" s="4"/>
      <c r="U91" s="4"/>
      <c r="V91" s="4"/>
      <c r="W91" s="4">
        <v>12560.2</v>
      </c>
      <c r="X91" s="4">
        <v>1</v>
      </c>
      <c r="Y91" s="4">
        <v>12560.2</v>
      </c>
      <c r="Z91" s="4"/>
      <c r="AA91" s="4"/>
      <c r="AB91" s="4"/>
    </row>
    <row r="92" spans="1:28" x14ac:dyDescent="0.2">
      <c r="A92" s="4">
        <v>50</v>
      </c>
      <c r="B92" s="4">
        <v>0</v>
      </c>
      <c r="C92" s="4">
        <v>0</v>
      </c>
      <c r="D92" s="4">
        <v>1</v>
      </c>
      <c r="E92" s="4">
        <v>211</v>
      </c>
      <c r="F92" s="4">
        <f>ROUND(Source!Y65,O92)</f>
        <v>6280.1</v>
      </c>
      <c r="G92" s="4" t="s">
        <v>112</v>
      </c>
      <c r="H92" s="4" t="s">
        <v>113</v>
      </c>
      <c r="I92" s="4"/>
      <c r="J92" s="4"/>
      <c r="K92" s="4">
        <v>211</v>
      </c>
      <c r="L92" s="4">
        <v>26</v>
      </c>
      <c r="M92" s="4">
        <v>1</v>
      </c>
      <c r="N92" s="4" t="s">
        <v>3</v>
      </c>
      <c r="O92" s="4">
        <v>2</v>
      </c>
      <c r="P92" s="4"/>
      <c r="Q92" s="4"/>
      <c r="R92" s="4"/>
      <c r="S92" s="4"/>
      <c r="T92" s="4"/>
      <c r="U92" s="4"/>
      <c r="V92" s="4"/>
      <c r="W92" s="4">
        <v>6280.1</v>
      </c>
      <c r="X92" s="4">
        <v>1</v>
      </c>
      <c r="Y92" s="4">
        <v>6280.1</v>
      </c>
      <c r="Z92" s="4"/>
      <c r="AA92" s="4"/>
      <c r="AB92" s="4"/>
    </row>
    <row r="93" spans="1:28" x14ac:dyDescent="0.2">
      <c r="A93" s="4">
        <v>50</v>
      </c>
      <c r="B93" s="4">
        <v>0</v>
      </c>
      <c r="C93" s="4">
        <v>0</v>
      </c>
      <c r="D93" s="4">
        <v>1</v>
      </c>
      <c r="E93" s="4">
        <v>224</v>
      </c>
      <c r="F93" s="4">
        <f>ROUND(Source!AR65,O93)</f>
        <v>499488.63</v>
      </c>
      <c r="G93" s="4" t="s">
        <v>114</v>
      </c>
      <c r="H93" s="4" t="s">
        <v>115</v>
      </c>
      <c r="I93" s="4"/>
      <c r="J93" s="4"/>
      <c r="K93" s="4">
        <v>224</v>
      </c>
      <c r="L93" s="4">
        <v>27</v>
      </c>
      <c r="M93" s="4">
        <v>1</v>
      </c>
      <c r="N93" s="4" t="s">
        <v>3</v>
      </c>
      <c r="O93" s="4">
        <v>2</v>
      </c>
      <c r="P93" s="4"/>
      <c r="Q93" s="4"/>
      <c r="R93" s="4"/>
      <c r="S93" s="4"/>
      <c r="T93" s="4"/>
      <c r="U93" s="4"/>
      <c r="V93" s="4"/>
      <c r="W93" s="4">
        <v>499488.63</v>
      </c>
      <c r="X93" s="4">
        <v>1</v>
      </c>
      <c r="Y93" s="4">
        <v>499488.63</v>
      </c>
      <c r="Z93" s="4"/>
      <c r="AA93" s="4"/>
      <c r="AB93" s="4"/>
    </row>
    <row r="94" spans="1:28" x14ac:dyDescent="0.2">
      <c r="A94" s="4">
        <v>50</v>
      </c>
      <c r="B94" s="4">
        <v>0</v>
      </c>
      <c r="C94" s="4">
        <v>0</v>
      </c>
      <c r="D94" s="4">
        <v>2</v>
      </c>
      <c r="E94" s="4">
        <v>0</v>
      </c>
      <c r="F94" s="4">
        <v>0</v>
      </c>
      <c r="G94" s="4" t="s">
        <v>116</v>
      </c>
      <c r="H94" s="4" t="s">
        <v>117</v>
      </c>
      <c r="I94" s="4"/>
      <c r="J94" s="4"/>
      <c r="K94" s="4">
        <v>212</v>
      </c>
      <c r="L94" s="4">
        <v>28</v>
      </c>
      <c r="M94" s="4">
        <v>1</v>
      </c>
      <c r="N94" s="4" t="s">
        <v>3</v>
      </c>
      <c r="O94" s="4">
        <v>2</v>
      </c>
      <c r="P94" s="4"/>
      <c r="Q94" s="4"/>
      <c r="R94" s="4"/>
      <c r="S94" s="4"/>
      <c r="T94" s="4"/>
      <c r="U94" s="4"/>
      <c r="V94" s="4"/>
      <c r="W94" s="4">
        <v>0</v>
      </c>
      <c r="X94" s="4">
        <v>1</v>
      </c>
      <c r="Y94" s="4">
        <v>0</v>
      </c>
      <c r="Z94" s="4"/>
      <c r="AA94" s="4"/>
      <c r="AB94" s="4"/>
    </row>
    <row r="95" spans="1:28" x14ac:dyDescent="0.2">
      <c r="A95" s="4">
        <v>50</v>
      </c>
      <c r="B95" s="4">
        <v>0</v>
      </c>
      <c r="C95" s="4">
        <v>0</v>
      </c>
      <c r="D95" s="4">
        <v>2</v>
      </c>
      <c r="E95" s="4">
        <v>0</v>
      </c>
      <c r="F95" s="4">
        <f>ROUND(0,O95)</f>
        <v>0</v>
      </c>
      <c r="G95" s="4" t="s">
        <v>118</v>
      </c>
      <c r="H95" s="4" t="s">
        <v>119</v>
      </c>
      <c r="I95" s="4"/>
      <c r="J95" s="4"/>
      <c r="K95" s="4">
        <v>212</v>
      </c>
      <c r="L95" s="4">
        <v>29</v>
      </c>
      <c r="M95" s="4">
        <v>1</v>
      </c>
      <c r="N95" s="4" t="s">
        <v>3</v>
      </c>
      <c r="O95" s="4">
        <v>2</v>
      </c>
      <c r="P95" s="4"/>
      <c r="Q95" s="4"/>
      <c r="R95" s="4"/>
      <c r="S95" s="4"/>
      <c r="T95" s="4"/>
      <c r="U95" s="4"/>
      <c r="V95" s="4"/>
      <c r="W95" s="4">
        <v>0</v>
      </c>
      <c r="X95" s="4">
        <v>1</v>
      </c>
      <c r="Y95" s="4">
        <v>0</v>
      </c>
      <c r="Z95" s="4"/>
      <c r="AA95" s="4"/>
      <c r="AB95" s="4"/>
    </row>
    <row r="96" spans="1:28" x14ac:dyDescent="0.2">
      <c r="A96" s="4">
        <v>50</v>
      </c>
      <c r="B96" s="4">
        <v>0</v>
      </c>
      <c r="C96" s="4">
        <v>0</v>
      </c>
      <c r="D96" s="4">
        <v>2</v>
      </c>
      <c r="E96" s="4">
        <v>0</v>
      </c>
      <c r="F96" s="4">
        <v>0</v>
      </c>
      <c r="G96" s="4" t="s">
        <v>120</v>
      </c>
      <c r="H96" s="4" t="s">
        <v>121</v>
      </c>
      <c r="I96" s="4"/>
      <c r="J96" s="4"/>
      <c r="K96" s="4">
        <v>212</v>
      </c>
      <c r="L96" s="4">
        <v>30</v>
      </c>
      <c r="M96" s="4">
        <v>1</v>
      </c>
      <c r="N96" s="4" t="s">
        <v>3</v>
      </c>
      <c r="O96" s="4">
        <v>2</v>
      </c>
      <c r="P96" s="4"/>
      <c r="Q96" s="4"/>
      <c r="R96" s="4"/>
      <c r="S96" s="4"/>
      <c r="T96" s="4"/>
      <c r="U96" s="4"/>
      <c r="V96" s="4"/>
      <c r="W96" s="4">
        <v>0</v>
      </c>
      <c r="X96" s="4">
        <v>1</v>
      </c>
      <c r="Y96" s="4">
        <v>0</v>
      </c>
      <c r="Z96" s="4"/>
      <c r="AA96" s="4"/>
      <c r="AB96" s="4"/>
    </row>
    <row r="97" spans="1:28" x14ac:dyDescent="0.2">
      <c r="A97" s="4">
        <v>50</v>
      </c>
      <c r="B97" s="4">
        <v>0</v>
      </c>
      <c r="C97" s="4">
        <v>0</v>
      </c>
      <c r="D97" s="4">
        <v>2</v>
      </c>
      <c r="E97" s="4">
        <v>0</v>
      </c>
      <c r="F97" s="4">
        <v>0</v>
      </c>
      <c r="G97" s="4" t="s">
        <v>122</v>
      </c>
      <c r="H97" s="4" t="s">
        <v>123</v>
      </c>
      <c r="I97" s="4"/>
      <c r="J97" s="4"/>
      <c r="K97" s="4">
        <v>212</v>
      </c>
      <c r="L97" s="4">
        <v>31</v>
      </c>
      <c r="M97" s="4">
        <v>1</v>
      </c>
      <c r="N97" s="4" t="s">
        <v>3</v>
      </c>
      <c r="O97" s="4">
        <v>2</v>
      </c>
      <c r="P97" s="4"/>
      <c r="Q97" s="4"/>
      <c r="R97" s="4"/>
      <c r="S97" s="4"/>
      <c r="T97" s="4"/>
      <c r="U97" s="4"/>
      <c r="V97" s="4"/>
      <c r="W97" s="4">
        <v>0</v>
      </c>
      <c r="X97" s="4">
        <v>1</v>
      </c>
      <c r="Y97" s="4">
        <v>0</v>
      </c>
      <c r="Z97" s="4"/>
      <c r="AA97" s="4"/>
      <c r="AB97" s="4"/>
    </row>
    <row r="98" spans="1:28" x14ac:dyDescent="0.2">
      <c r="A98" s="4">
        <v>50</v>
      </c>
      <c r="B98" s="4">
        <v>0</v>
      </c>
      <c r="C98" s="4">
        <v>0</v>
      </c>
      <c r="D98" s="4">
        <v>2</v>
      </c>
      <c r="E98" s="4">
        <v>0</v>
      </c>
      <c r="F98" s="4">
        <f>ROUND(0,O98)</f>
        <v>0</v>
      </c>
      <c r="G98" s="4" t="s">
        <v>124</v>
      </c>
      <c r="H98" s="4" t="s">
        <v>125</v>
      </c>
      <c r="I98" s="4"/>
      <c r="J98" s="4"/>
      <c r="K98" s="4">
        <v>212</v>
      </c>
      <c r="L98" s="4">
        <v>32</v>
      </c>
      <c r="M98" s="4">
        <v>1</v>
      </c>
      <c r="N98" s="4" t="s">
        <v>3</v>
      </c>
      <c r="O98" s="4">
        <v>2</v>
      </c>
      <c r="P98" s="4"/>
      <c r="Q98" s="4"/>
      <c r="R98" s="4"/>
      <c r="S98" s="4"/>
      <c r="T98" s="4"/>
      <c r="U98" s="4"/>
      <c r="V98" s="4"/>
      <c r="W98" s="4">
        <v>0</v>
      </c>
      <c r="X98" s="4">
        <v>1</v>
      </c>
      <c r="Y98" s="4">
        <v>0</v>
      </c>
      <c r="Z98" s="4"/>
      <c r="AA98" s="4"/>
      <c r="AB98" s="4"/>
    </row>
    <row r="99" spans="1:28" x14ac:dyDescent="0.2">
      <c r="A99" s="4">
        <v>50</v>
      </c>
      <c r="B99" s="4">
        <v>0</v>
      </c>
      <c r="C99" s="4">
        <v>0</v>
      </c>
      <c r="D99" s="4">
        <v>2</v>
      </c>
      <c r="E99" s="4">
        <v>0</v>
      </c>
      <c r="F99" s="4">
        <v>0</v>
      </c>
      <c r="G99" s="4" t="s">
        <v>126</v>
      </c>
      <c r="H99" s="4" t="s">
        <v>127</v>
      </c>
      <c r="I99" s="4"/>
      <c r="J99" s="4"/>
      <c r="K99" s="4">
        <v>212</v>
      </c>
      <c r="L99" s="4">
        <v>33</v>
      </c>
      <c r="M99" s="4">
        <v>1</v>
      </c>
      <c r="N99" s="4" t="s">
        <v>3</v>
      </c>
      <c r="O99" s="4">
        <v>2</v>
      </c>
      <c r="P99" s="4"/>
      <c r="Q99" s="4"/>
      <c r="R99" s="4"/>
      <c r="S99" s="4"/>
      <c r="T99" s="4"/>
      <c r="U99" s="4"/>
      <c r="V99" s="4"/>
      <c r="W99" s="4">
        <v>0</v>
      </c>
      <c r="X99" s="4">
        <v>1</v>
      </c>
      <c r="Y99" s="4">
        <v>0</v>
      </c>
      <c r="Z99" s="4"/>
      <c r="AA99" s="4"/>
      <c r="AB99" s="4"/>
    </row>
    <row r="100" spans="1:28" x14ac:dyDescent="0.2">
      <c r="A100" s="4">
        <v>50</v>
      </c>
      <c r="B100" s="4">
        <v>0</v>
      </c>
      <c r="C100" s="4">
        <v>0</v>
      </c>
      <c r="D100" s="4">
        <v>2</v>
      </c>
      <c r="E100" s="4">
        <v>0</v>
      </c>
      <c r="F100" s="4">
        <v>0</v>
      </c>
      <c r="G100" s="4" t="s">
        <v>128</v>
      </c>
      <c r="H100" s="4" t="s">
        <v>129</v>
      </c>
      <c r="I100" s="4"/>
      <c r="J100" s="4"/>
      <c r="K100" s="4">
        <v>212</v>
      </c>
      <c r="L100" s="4">
        <v>34</v>
      </c>
      <c r="M100" s="4">
        <v>1</v>
      </c>
      <c r="N100" s="4" t="s">
        <v>3</v>
      </c>
      <c r="O100" s="4">
        <v>2</v>
      </c>
      <c r="P100" s="4"/>
      <c r="Q100" s="4"/>
      <c r="R100" s="4"/>
      <c r="S100" s="4"/>
      <c r="T100" s="4"/>
      <c r="U100" s="4"/>
      <c r="V100" s="4"/>
      <c r="W100" s="4">
        <v>0</v>
      </c>
      <c r="X100" s="4">
        <v>1</v>
      </c>
      <c r="Y100" s="4">
        <v>0</v>
      </c>
      <c r="Z100" s="4"/>
      <c r="AA100" s="4"/>
      <c r="AB100" s="4"/>
    </row>
    <row r="101" spans="1:28" x14ac:dyDescent="0.2">
      <c r="A101" s="4">
        <v>50</v>
      </c>
      <c r="B101" s="4">
        <v>0</v>
      </c>
      <c r="C101" s="4">
        <v>0</v>
      </c>
      <c r="D101" s="4">
        <v>2</v>
      </c>
      <c r="E101" s="4">
        <v>0</v>
      </c>
      <c r="F101" s="4">
        <v>0</v>
      </c>
      <c r="G101" s="4" t="s">
        <v>130</v>
      </c>
      <c r="H101" s="4" t="s">
        <v>131</v>
      </c>
      <c r="I101" s="4"/>
      <c r="J101" s="4"/>
      <c r="K101" s="4">
        <v>212</v>
      </c>
      <c r="L101" s="4">
        <v>35</v>
      </c>
      <c r="M101" s="4">
        <v>3</v>
      </c>
      <c r="N101" s="4" t="s">
        <v>3</v>
      </c>
      <c r="O101" s="4">
        <v>2</v>
      </c>
      <c r="P101" s="4"/>
      <c r="Q101" s="4"/>
      <c r="R101" s="4"/>
      <c r="S101" s="4"/>
      <c r="T101" s="4"/>
      <c r="U101" s="4"/>
      <c r="V101" s="4"/>
      <c r="W101" s="4">
        <v>0</v>
      </c>
      <c r="X101" s="4">
        <v>1</v>
      </c>
      <c r="Y101" s="4">
        <v>0</v>
      </c>
      <c r="Z101" s="4"/>
      <c r="AA101" s="4"/>
      <c r="AB101" s="4"/>
    </row>
    <row r="102" spans="1:28" x14ac:dyDescent="0.2">
      <c r="A102" s="4">
        <v>50</v>
      </c>
      <c r="B102" s="4">
        <v>1</v>
      </c>
      <c r="C102" s="4">
        <v>0</v>
      </c>
      <c r="D102" s="4">
        <v>2</v>
      </c>
      <c r="E102" s="4">
        <v>0</v>
      </c>
      <c r="F102" s="4">
        <f>ROUND(F93*22/100,O102)</f>
        <v>109887.5</v>
      </c>
      <c r="G102" s="4" t="s">
        <v>132</v>
      </c>
      <c r="H102" s="4" t="s">
        <v>133</v>
      </c>
      <c r="I102" s="4"/>
      <c r="J102" s="4"/>
      <c r="K102" s="4">
        <v>212</v>
      </c>
      <c r="L102" s="4">
        <v>36</v>
      </c>
      <c r="M102" s="4">
        <v>1</v>
      </c>
      <c r="N102" s="4" t="s">
        <v>3</v>
      </c>
      <c r="O102" s="4">
        <v>2</v>
      </c>
      <c r="P102" s="4"/>
      <c r="Q102" s="4"/>
      <c r="R102" s="4"/>
      <c r="S102" s="4"/>
      <c r="T102" s="4"/>
      <c r="U102" s="4"/>
      <c r="V102" s="4"/>
      <c r="W102" s="4">
        <v>109887.5</v>
      </c>
      <c r="X102" s="4">
        <v>1</v>
      </c>
      <c r="Y102" s="4">
        <v>109887.5</v>
      </c>
      <c r="Z102" s="4"/>
      <c r="AA102" s="4"/>
      <c r="AB102" s="4"/>
    </row>
    <row r="103" spans="1:28" x14ac:dyDescent="0.2">
      <c r="A103" s="4">
        <v>50</v>
      </c>
      <c r="B103" s="4">
        <v>1</v>
      </c>
      <c r="C103" s="4">
        <v>0</v>
      </c>
      <c r="D103" s="4">
        <v>2</v>
      </c>
      <c r="E103" s="4">
        <v>0</v>
      </c>
      <c r="F103" s="4">
        <f>ROUND(F93+F102,O103)</f>
        <v>609376.13</v>
      </c>
      <c r="G103" s="4" t="s">
        <v>134</v>
      </c>
      <c r="H103" s="4" t="s">
        <v>135</v>
      </c>
      <c r="I103" s="4"/>
      <c r="J103" s="4"/>
      <c r="K103" s="4">
        <v>212</v>
      </c>
      <c r="L103" s="4">
        <v>37</v>
      </c>
      <c r="M103" s="4">
        <v>1</v>
      </c>
      <c r="N103" s="4" t="s">
        <v>3</v>
      </c>
      <c r="O103" s="4">
        <v>2</v>
      </c>
      <c r="P103" s="4"/>
      <c r="Q103" s="4"/>
      <c r="R103" s="4"/>
      <c r="S103" s="4"/>
      <c r="T103" s="4"/>
      <c r="U103" s="4"/>
      <c r="V103" s="4"/>
      <c r="W103" s="4">
        <v>609376.13</v>
      </c>
      <c r="X103" s="4">
        <v>1</v>
      </c>
      <c r="Y103" s="4">
        <v>609376.13</v>
      </c>
      <c r="Z103" s="4"/>
      <c r="AA103" s="4"/>
      <c r="AB103" s="4"/>
    </row>
    <row r="105" spans="1:28" x14ac:dyDescent="0.2">
      <c r="A105" s="5">
        <v>61</v>
      </c>
      <c r="B105" s="5"/>
      <c r="C105" s="5"/>
      <c r="D105" s="5"/>
      <c r="E105" s="5"/>
      <c r="F105" s="5">
        <v>0</v>
      </c>
      <c r="G105" s="5" t="s">
        <v>136</v>
      </c>
      <c r="H105" s="5" t="s">
        <v>137</v>
      </c>
    </row>
    <row r="106" spans="1:28" x14ac:dyDescent="0.2">
      <c r="A106" s="5">
        <v>61</v>
      </c>
      <c r="B106" s="5"/>
      <c r="C106" s="5"/>
      <c r="D106" s="5"/>
      <c r="E106" s="5"/>
      <c r="F106" s="5">
        <v>2</v>
      </c>
      <c r="G106" s="5" t="s">
        <v>138</v>
      </c>
      <c r="H106" s="5" t="s">
        <v>137</v>
      </c>
    </row>
    <row r="109" spans="1:28" x14ac:dyDescent="0.2">
      <c r="A109">
        <v>70</v>
      </c>
      <c r="B109">
        <v>1</v>
      </c>
      <c r="D109">
        <v>1</v>
      </c>
      <c r="E109" t="s">
        <v>139</v>
      </c>
      <c r="F109" t="s">
        <v>140</v>
      </c>
      <c r="G109">
        <v>1</v>
      </c>
      <c r="H109">
        <v>0</v>
      </c>
      <c r="I109" t="s">
        <v>3</v>
      </c>
      <c r="J109">
        <v>1</v>
      </c>
      <c r="K109">
        <v>0</v>
      </c>
      <c r="L109" t="s">
        <v>3</v>
      </c>
      <c r="M109" t="s">
        <v>3</v>
      </c>
      <c r="N109">
        <v>0</v>
      </c>
      <c r="P109" t="s">
        <v>141</v>
      </c>
    </row>
    <row r="110" spans="1:28" x14ac:dyDescent="0.2">
      <c r="A110">
        <v>70</v>
      </c>
      <c r="B110">
        <v>1</v>
      </c>
      <c r="D110">
        <v>2</v>
      </c>
      <c r="E110" t="s">
        <v>142</v>
      </c>
      <c r="F110" t="s">
        <v>143</v>
      </c>
      <c r="G110">
        <v>0</v>
      </c>
      <c r="H110">
        <v>0</v>
      </c>
      <c r="I110" t="s">
        <v>3</v>
      </c>
      <c r="J110">
        <v>1</v>
      </c>
      <c r="K110">
        <v>0</v>
      </c>
      <c r="L110" t="s">
        <v>3</v>
      </c>
      <c r="M110" t="s">
        <v>3</v>
      </c>
      <c r="N110">
        <v>0</v>
      </c>
      <c r="P110" t="s">
        <v>144</v>
      </c>
    </row>
    <row r="111" spans="1:28" x14ac:dyDescent="0.2">
      <c r="A111">
        <v>70</v>
      </c>
      <c r="B111">
        <v>1</v>
      </c>
      <c r="D111">
        <v>3</v>
      </c>
      <c r="E111" t="s">
        <v>145</v>
      </c>
      <c r="F111" t="s">
        <v>146</v>
      </c>
      <c r="G111">
        <v>0</v>
      </c>
      <c r="H111">
        <v>0</v>
      </c>
      <c r="I111" t="s">
        <v>3</v>
      </c>
      <c r="J111">
        <v>1</v>
      </c>
      <c r="K111">
        <v>0</v>
      </c>
      <c r="L111" t="s">
        <v>3</v>
      </c>
      <c r="M111" t="s">
        <v>3</v>
      </c>
      <c r="N111">
        <v>0</v>
      </c>
      <c r="P111" t="s">
        <v>147</v>
      </c>
    </row>
    <row r="112" spans="1:28" x14ac:dyDescent="0.2">
      <c r="A112">
        <v>70</v>
      </c>
      <c r="B112">
        <v>1</v>
      </c>
      <c r="D112">
        <v>4</v>
      </c>
      <c r="E112" t="s">
        <v>148</v>
      </c>
      <c r="F112" t="s">
        <v>149</v>
      </c>
      <c r="G112">
        <v>1</v>
      </c>
      <c r="H112">
        <v>0</v>
      </c>
      <c r="I112" t="s">
        <v>3</v>
      </c>
      <c r="J112">
        <v>2</v>
      </c>
      <c r="K112">
        <v>0</v>
      </c>
      <c r="L112" t="s">
        <v>3</v>
      </c>
      <c r="M112" t="s">
        <v>3</v>
      </c>
      <c r="N112">
        <v>0</v>
      </c>
      <c r="P112" t="s">
        <v>3</v>
      </c>
    </row>
    <row r="113" spans="1:16" x14ac:dyDescent="0.2">
      <c r="A113">
        <v>70</v>
      </c>
      <c r="B113">
        <v>1</v>
      </c>
      <c r="D113">
        <v>5</v>
      </c>
      <c r="E113" t="s">
        <v>150</v>
      </c>
      <c r="F113" t="s">
        <v>151</v>
      </c>
      <c r="G113">
        <v>0</v>
      </c>
      <c r="H113">
        <v>0</v>
      </c>
      <c r="I113" t="s">
        <v>3</v>
      </c>
      <c r="J113">
        <v>2</v>
      </c>
      <c r="K113">
        <v>0</v>
      </c>
      <c r="L113" t="s">
        <v>3</v>
      </c>
      <c r="M113" t="s">
        <v>3</v>
      </c>
      <c r="N113">
        <v>0</v>
      </c>
      <c r="P113" t="s">
        <v>3</v>
      </c>
    </row>
    <row r="114" spans="1:16" x14ac:dyDescent="0.2">
      <c r="A114">
        <v>70</v>
      </c>
      <c r="B114">
        <v>1</v>
      </c>
      <c r="D114">
        <v>6</v>
      </c>
      <c r="E114" t="s">
        <v>152</v>
      </c>
      <c r="F114" t="s">
        <v>153</v>
      </c>
      <c r="G114">
        <v>0</v>
      </c>
      <c r="H114">
        <v>0</v>
      </c>
      <c r="I114" t="s">
        <v>3</v>
      </c>
      <c r="J114">
        <v>2</v>
      </c>
      <c r="K114">
        <v>0</v>
      </c>
      <c r="L114" t="s">
        <v>3</v>
      </c>
      <c r="M114" t="s">
        <v>3</v>
      </c>
      <c r="N114">
        <v>0</v>
      </c>
      <c r="P114" t="s">
        <v>3</v>
      </c>
    </row>
    <row r="115" spans="1:16" x14ac:dyDescent="0.2">
      <c r="A115">
        <v>70</v>
      </c>
      <c r="B115">
        <v>1</v>
      </c>
      <c r="D115">
        <v>7</v>
      </c>
      <c r="E115" t="s">
        <v>154</v>
      </c>
      <c r="F115" t="s">
        <v>155</v>
      </c>
      <c r="G115">
        <v>0</v>
      </c>
      <c r="H115">
        <v>0</v>
      </c>
      <c r="I115" t="s">
        <v>156</v>
      </c>
      <c r="J115">
        <v>0</v>
      </c>
      <c r="K115">
        <v>0</v>
      </c>
      <c r="L115" t="s">
        <v>3</v>
      </c>
      <c r="M115" t="s">
        <v>3</v>
      </c>
      <c r="N115">
        <v>0</v>
      </c>
      <c r="P115" t="s">
        <v>157</v>
      </c>
    </row>
    <row r="116" spans="1:16" x14ac:dyDescent="0.2">
      <c r="A116">
        <v>70</v>
      </c>
      <c r="B116">
        <v>1</v>
      </c>
      <c r="D116">
        <v>8</v>
      </c>
      <c r="E116" t="s">
        <v>158</v>
      </c>
      <c r="F116" t="s">
        <v>159</v>
      </c>
      <c r="G116">
        <v>1</v>
      </c>
      <c r="H116">
        <v>0</v>
      </c>
      <c r="I116" t="s">
        <v>3</v>
      </c>
      <c r="J116">
        <v>5</v>
      </c>
      <c r="K116">
        <v>0</v>
      </c>
      <c r="L116" t="s">
        <v>3</v>
      </c>
      <c r="M116" t="s">
        <v>3</v>
      </c>
      <c r="N116">
        <v>0</v>
      </c>
      <c r="P116" t="s">
        <v>3</v>
      </c>
    </row>
    <row r="117" spans="1:16" x14ac:dyDescent="0.2">
      <c r="A117">
        <v>70</v>
      </c>
      <c r="B117">
        <v>1</v>
      </c>
      <c r="D117">
        <v>9</v>
      </c>
      <c r="E117" t="s">
        <v>160</v>
      </c>
      <c r="F117" t="s">
        <v>161</v>
      </c>
      <c r="G117">
        <v>0</v>
      </c>
      <c r="H117">
        <v>0</v>
      </c>
      <c r="I117" t="s">
        <v>3</v>
      </c>
      <c r="J117">
        <v>5</v>
      </c>
      <c r="K117">
        <v>0</v>
      </c>
      <c r="L117" t="s">
        <v>3</v>
      </c>
      <c r="M117" t="s">
        <v>3</v>
      </c>
      <c r="N117">
        <v>0</v>
      </c>
      <c r="P117" t="s">
        <v>162</v>
      </c>
    </row>
    <row r="118" spans="1:16" x14ac:dyDescent="0.2">
      <c r="A118">
        <v>70</v>
      </c>
      <c r="B118">
        <v>1</v>
      </c>
      <c r="D118">
        <v>10</v>
      </c>
      <c r="E118" t="s">
        <v>163</v>
      </c>
      <c r="F118" t="s">
        <v>164</v>
      </c>
      <c r="G118">
        <v>0</v>
      </c>
      <c r="H118">
        <v>0</v>
      </c>
      <c r="I118" t="s">
        <v>165</v>
      </c>
      <c r="J118">
        <v>5</v>
      </c>
      <c r="K118">
        <v>0</v>
      </c>
      <c r="L118" t="s">
        <v>3</v>
      </c>
      <c r="M118" t="s">
        <v>3</v>
      </c>
      <c r="N118">
        <v>0</v>
      </c>
      <c r="P118" t="s">
        <v>166</v>
      </c>
    </row>
    <row r="119" spans="1:16" x14ac:dyDescent="0.2">
      <c r="A119">
        <v>70</v>
      </c>
      <c r="B119">
        <v>1</v>
      </c>
      <c r="D119">
        <v>11</v>
      </c>
      <c r="E119" t="s">
        <v>167</v>
      </c>
      <c r="F119" t="s">
        <v>168</v>
      </c>
      <c r="G119">
        <v>0</v>
      </c>
      <c r="H119">
        <v>0</v>
      </c>
      <c r="I119" t="s">
        <v>169</v>
      </c>
      <c r="J119">
        <v>0</v>
      </c>
      <c r="K119">
        <v>0</v>
      </c>
      <c r="L119" t="s">
        <v>3</v>
      </c>
      <c r="M119" t="s">
        <v>3</v>
      </c>
      <c r="N119">
        <v>0</v>
      </c>
      <c r="P119" t="s">
        <v>170</v>
      </c>
    </row>
    <row r="120" spans="1:16" x14ac:dyDescent="0.2">
      <c r="A120">
        <v>70</v>
      </c>
      <c r="B120">
        <v>1</v>
      </c>
      <c r="D120">
        <v>12</v>
      </c>
      <c r="E120" t="s">
        <v>171</v>
      </c>
      <c r="F120" t="s">
        <v>172</v>
      </c>
      <c r="G120">
        <v>0</v>
      </c>
      <c r="H120">
        <v>0</v>
      </c>
      <c r="I120" t="s">
        <v>173</v>
      </c>
      <c r="J120">
        <v>0</v>
      </c>
      <c r="K120">
        <v>0</v>
      </c>
      <c r="L120" t="s">
        <v>3</v>
      </c>
      <c r="M120" t="s">
        <v>3</v>
      </c>
      <c r="N120">
        <v>0</v>
      </c>
      <c r="P120" t="s">
        <v>174</v>
      </c>
    </row>
    <row r="121" spans="1:16" x14ac:dyDescent="0.2">
      <c r="A121">
        <v>70</v>
      </c>
      <c r="B121">
        <v>1</v>
      </c>
      <c r="D121">
        <v>13</v>
      </c>
      <c r="E121" t="s">
        <v>175</v>
      </c>
      <c r="F121" t="s">
        <v>176</v>
      </c>
      <c r="G121">
        <v>0</v>
      </c>
      <c r="H121">
        <v>0</v>
      </c>
      <c r="I121" t="s">
        <v>177</v>
      </c>
      <c r="J121">
        <v>0</v>
      </c>
      <c r="K121">
        <v>0</v>
      </c>
      <c r="L121" t="s">
        <v>3</v>
      </c>
      <c r="M121" t="s">
        <v>3</v>
      </c>
      <c r="N121">
        <v>0</v>
      </c>
      <c r="P121" t="s">
        <v>178</v>
      </c>
    </row>
    <row r="122" spans="1:16" x14ac:dyDescent="0.2">
      <c r="A122">
        <v>70</v>
      </c>
      <c r="B122">
        <v>1</v>
      </c>
      <c r="D122">
        <v>14</v>
      </c>
      <c r="E122" t="s">
        <v>179</v>
      </c>
      <c r="F122" t="s">
        <v>180</v>
      </c>
      <c r="G122">
        <v>0</v>
      </c>
      <c r="H122">
        <v>0</v>
      </c>
      <c r="I122" t="s">
        <v>3</v>
      </c>
      <c r="J122">
        <v>0</v>
      </c>
      <c r="K122">
        <v>0</v>
      </c>
      <c r="L122" t="s">
        <v>3</v>
      </c>
      <c r="M122" t="s">
        <v>3</v>
      </c>
      <c r="N122">
        <v>0</v>
      </c>
      <c r="P122" t="s">
        <v>3</v>
      </c>
    </row>
    <row r="123" spans="1:16" x14ac:dyDescent="0.2">
      <c r="A123">
        <v>70</v>
      </c>
      <c r="B123">
        <v>1</v>
      </c>
      <c r="D123">
        <v>15</v>
      </c>
      <c r="E123" t="s">
        <v>181</v>
      </c>
      <c r="F123" t="s">
        <v>182</v>
      </c>
      <c r="G123">
        <v>0</v>
      </c>
      <c r="H123">
        <v>0</v>
      </c>
      <c r="I123" t="s">
        <v>3</v>
      </c>
      <c r="J123">
        <v>0</v>
      </c>
      <c r="K123">
        <v>0</v>
      </c>
      <c r="L123" t="s">
        <v>3</v>
      </c>
      <c r="M123" t="s">
        <v>3</v>
      </c>
      <c r="N123">
        <v>0</v>
      </c>
      <c r="P123" t="s">
        <v>183</v>
      </c>
    </row>
    <row r="124" spans="1:16" x14ac:dyDescent="0.2">
      <c r="A124">
        <v>70</v>
      </c>
      <c r="B124">
        <v>1</v>
      </c>
      <c r="D124">
        <v>16</v>
      </c>
      <c r="E124" t="s">
        <v>184</v>
      </c>
      <c r="F124" t="s">
        <v>185</v>
      </c>
      <c r="G124">
        <v>0</v>
      </c>
      <c r="H124">
        <v>0</v>
      </c>
      <c r="I124" t="s">
        <v>3</v>
      </c>
      <c r="J124">
        <v>3</v>
      </c>
      <c r="K124">
        <v>0</v>
      </c>
      <c r="L124" t="s">
        <v>3</v>
      </c>
      <c r="M124" t="s">
        <v>3</v>
      </c>
      <c r="N124">
        <v>0</v>
      </c>
      <c r="P124" t="s">
        <v>3</v>
      </c>
    </row>
    <row r="125" spans="1:16" x14ac:dyDescent="0.2">
      <c r="A125">
        <v>70</v>
      </c>
      <c r="B125">
        <v>1</v>
      </c>
      <c r="D125">
        <v>17</v>
      </c>
      <c r="E125" t="s">
        <v>186</v>
      </c>
      <c r="F125" t="s">
        <v>187</v>
      </c>
      <c r="G125">
        <v>1</v>
      </c>
      <c r="H125">
        <v>0</v>
      </c>
      <c r="I125" t="s">
        <v>3</v>
      </c>
      <c r="J125">
        <v>3</v>
      </c>
      <c r="K125">
        <v>0</v>
      </c>
      <c r="L125" t="s">
        <v>3</v>
      </c>
      <c r="M125" t="s">
        <v>3</v>
      </c>
      <c r="N125">
        <v>0</v>
      </c>
      <c r="P125" t="s">
        <v>3</v>
      </c>
    </row>
    <row r="126" spans="1:16" x14ac:dyDescent="0.2">
      <c r="A126">
        <v>70</v>
      </c>
      <c r="B126">
        <v>1</v>
      </c>
      <c r="D126">
        <v>1</v>
      </c>
      <c r="E126" t="s">
        <v>188</v>
      </c>
      <c r="F126" t="s">
        <v>189</v>
      </c>
      <c r="G126">
        <v>0.9</v>
      </c>
      <c r="H126">
        <v>1</v>
      </c>
      <c r="I126" t="s">
        <v>190</v>
      </c>
      <c r="J126">
        <v>0</v>
      </c>
      <c r="K126">
        <v>0</v>
      </c>
      <c r="L126" t="s">
        <v>3</v>
      </c>
      <c r="M126" t="s">
        <v>3</v>
      </c>
      <c r="N126">
        <v>0</v>
      </c>
      <c r="P126" t="s">
        <v>191</v>
      </c>
    </row>
    <row r="127" spans="1:16" x14ac:dyDescent="0.2">
      <c r="A127">
        <v>70</v>
      </c>
      <c r="B127">
        <v>1</v>
      </c>
      <c r="D127">
        <v>2</v>
      </c>
      <c r="E127" t="s">
        <v>192</v>
      </c>
      <c r="F127" t="s">
        <v>193</v>
      </c>
      <c r="G127">
        <v>0.85</v>
      </c>
      <c r="H127">
        <v>1</v>
      </c>
      <c r="I127" t="s">
        <v>194</v>
      </c>
      <c r="J127">
        <v>0</v>
      </c>
      <c r="K127">
        <v>0</v>
      </c>
      <c r="L127" t="s">
        <v>3</v>
      </c>
      <c r="M127" t="s">
        <v>3</v>
      </c>
      <c r="N127">
        <v>0</v>
      </c>
      <c r="P127" t="s">
        <v>195</v>
      </c>
    </row>
    <row r="128" spans="1:16" x14ac:dyDescent="0.2">
      <c r="A128">
        <v>70</v>
      </c>
      <c r="B128">
        <v>1</v>
      </c>
      <c r="D128">
        <v>3</v>
      </c>
      <c r="E128" t="s">
        <v>196</v>
      </c>
      <c r="F128" t="s">
        <v>197</v>
      </c>
      <c r="G128">
        <v>1.03</v>
      </c>
      <c r="H128">
        <v>0</v>
      </c>
      <c r="I128" t="s">
        <v>3</v>
      </c>
      <c r="J128">
        <v>0</v>
      </c>
      <c r="K128">
        <v>0</v>
      </c>
      <c r="L128" t="s">
        <v>3</v>
      </c>
      <c r="M128" t="s">
        <v>3</v>
      </c>
      <c r="N128">
        <v>0</v>
      </c>
      <c r="P128" t="s">
        <v>198</v>
      </c>
    </row>
    <row r="129" spans="1:50" x14ac:dyDescent="0.2">
      <c r="A129">
        <v>70</v>
      </c>
      <c r="B129">
        <v>1</v>
      </c>
      <c r="D129">
        <v>4</v>
      </c>
      <c r="E129" t="s">
        <v>199</v>
      </c>
      <c r="F129" t="s">
        <v>200</v>
      </c>
      <c r="G129">
        <v>1.1499999999999999</v>
      </c>
      <c r="H129">
        <v>0</v>
      </c>
      <c r="I129" t="s">
        <v>3</v>
      </c>
      <c r="J129">
        <v>0</v>
      </c>
      <c r="K129">
        <v>0</v>
      </c>
      <c r="L129" t="s">
        <v>3</v>
      </c>
      <c r="M129" t="s">
        <v>3</v>
      </c>
      <c r="N129">
        <v>0</v>
      </c>
      <c r="P129" t="s">
        <v>201</v>
      </c>
    </row>
    <row r="130" spans="1:50" x14ac:dyDescent="0.2">
      <c r="A130">
        <v>70</v>
      </c>
      <c r="B130">
        <v>1</v>
      </c>
      <c r="D130">
        <v>5</v>
      </c>
      <c r="E130" t="s">
        <v>202</v>
      </c>
      <c r="F130" t="s">
        <v>203</v>
      </c>
      <c r="G130">
        <v>7</v>
      </c>
      <c r="H130">
        <v>0</v>
      </c>
      <c r="I130" t="s">
        <v>3</v>
      </c>
      <c r="J130">
        <v>0</v>
      </c>
      <c r="K130">
        <v>0</v>
      </c>
      <c r="L130" t="s">
        <v>3</v>
      </c>
      <c r="M130" t="s">
        <v>3</v>
      </c>
      <c r="N130">
        <v>0</v>
      </c>
      <c r="P130" t="s">
        <v>3</v>
      </c>
    </row>
    <row r="131" spans="1:50" x14ac:dyDescent="0.2">
      <c r="A131">
        <v>70</v>
      </c>
      <c r="B131">
        <v>1</v>
      </c>
      <c r="D131">
        <v>6</v>
      </c>
      <c r="E131" t="s">
        <v>204</v>
      </c>
      <c r="F131" t="s">
        <v>3</v>
      </c>
      <c r="G131">
        <v>2</v>
      </c>
      <c r="H131">
        <v>0</v>
      </c>
      <c r="I131" t="s">
        <v>3</v>
      </c>
      <c r="J131">
        <v>0</v>
      </c>
      <c r="K131">
        <v>0</v>
      </c>
      <c r="L131" t="s">
        <v>3</v>
      </c>
      <c r="M131" t="s">
        <v>3</v>
      </c>
      <c r="N131">
        <v>0</v>
      </c>
      <c r="P131" t="s">
        <v>3</v>
      </c>
    </row>
    <row r="133" spans="1:50" x14ac:dyDescent="0.2">
      <c r="A133">
        <v>-1</v>
      </c>
    </row>
    <row r="135" spans="1:50" x14ac:dyDescent="0.2">
      <c r="A135" s="3">
        <v>75</v>
      </c>
      <c r="B135" s="3" t="s">
        <v>205</v>
      </c>
      <c r="C135" s="3">
        <v>2026</v>
      </c>
      <c r="D135" s="3">
        <v>0</v>
      </c>
      <c r="E135" s="3">
        <v>2</v>
      </c>
      <c r="F135" s="3">
        <v>1</v>
      </c>
      <c r="G135" s="3">
        <v>0</v>
      </c>
      <c r="H135" s="3">
        <v>1</v>
      </c>
      <c r="I135" s="3">
        <v>0</v>
      </c>
      <c r="J135" s="3">
        <v>3</v>
      </c>
      <c r="K135" s="3">
        <v>0</v>
      </c>
      <c r="L135" s="3">
        <v>0</v>
      </c>
      <c r="M135" s="3">
        <v>0</v>
      </c>
      <c r="N135" s="3">
        <v>50279781</v>
      </c>
      <c r="O135" s="3">
        <v>1</v>
      </c>
    </row>
    <row r="136" spans="1:50" x14ac:dyDescent="0.2">
      <c r="A136" s="6">
        <v>2</v>
      </c>
      <c r="B136" s="6" t="s">
        <v>206</v>
      </c>
      <c r="C136" s="6" t="s">
        <v>207</v>
      </c>
      <c r="D136" s="6">
        <v>0</v>
      </c>
      <c r="E136" s="6">
        <v>0</v>
      </c>
      <c r="F136" s="6">
        <v>0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>
        <v>50279782</v>
      </c>
    </row>
    <row r="137" spans="1:50" x14ac:dyDescent="0.2">
      <c r="A137" s="6">
        <v>1</v>
      </c>
      <c r="B137" s="6" t="s">
        <v>208</v>
      </c>
      <c r="C137" s="6" t="s">
        <v>209</v>
      </c>
      <c r="D137" s="6">
        <v>2026</v>
      </c>
      <c r="E137" s="6">
        <v>2</v>
      </c>
      <c r="F137" s="6">
        <v>1</v>
      </c>
      <c r="G137" s="6">
        <v>1</v>
      </c>
      <c r="H137" s="6">
        <v>0</v>
      </c>
      <c r="I137" s="6">
        <v>2</v>
      </c>
      <c r="J137" s="6">
        <v>1</v>
      </c>
      <c r="K137" s="6">
        <v>1</v>
      </c>
      <c r="L137" s="6">
        <v>1</v>
      </c>
      <c r="M137" s="6">
        <v>1</v>
      </c>
      <c r="N137" s="6">
        <v>1</v>
      </c>
      <c r="O137" s="6">
        <v>1</v>
      </c>
      <c r="P137" s="6">
        <v>1</v>
      </c>
      <c r="Q137" s="6">
        <v>1</v>
      </c>
      <c r="R137" s="6" t="s">
        <v>3</v>
      </c>
      <c r="S137" s="6" t="s">
        <v>3</v>
      </c>
      <c r="T137" s="6" t="s">
        <v>3</v>
      </c>
      <c r="U137" s="6" t="s">
        <v>3</v>
      </c>
      <c r="V137" s="6" t="s">
        <v>3</v>
      </c>
      <c r="W137" s="6" t="s">
        <v>3</v>
      </c>
      <c r="X137" s="6" t="s">
        <v>3</v>
      </c>
      <c r="Y137" s="6" t="s">
        <v>3</v>
      </c>
      <c r="Z137" s="6" t="s">
        <v>3</v>
      </c>
      <c r="AA137" s="6" t="s">
        <v>3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>
        <v>50279783</v>
      </c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41" spans="1:50" x14ac:dyDescent="0.2">
      <c r="A141">
        <v>65</v>
      </c>
      <c r="C141">
        <v>1</v>
      </c>
      <c r="D141">
        <v>0</v>
      </c>
      <c r="E141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63"/>
  <sheetViews>
    <sheetView workbookViewId="0"/>
  </sheetViews>
  <sheetFormatPr defaultColWidth="9.125" defaultRowHeight="12.85" x14ac:dyDescent="0.2"/>
  <cols>
    <col min="1" max="256" width="9.125" customWidth="1"/>
  </cols>
  <sheetData>
    <row r="1" spans="1:133" x14ac:dyDescent="0.2">
      <c r="A1">
        <v>0</v>
      </c>
      <c r="B1" t="s">
        <v>0</v>
      </c>
      <c r="D1" t="s">
        <v>210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72064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33" x14ac:dyDescent="0.2">
      <c r="A12" s="1">
        <v>1</v>
      </c>
      <c r="B12" s="1">
        <v>61</v>
      </c>
      <c r="C12" s="1">
        <v>0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17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46073</v>
      </c>
      <c r="CT12" s="1">
        <v>540</v>
      </c>
      <c r="CU12" s="1">
        <v>17</v>
      </c>
      <c r="CV12" s="1" t="s">
        <v>239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50279781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7">
        <v>3</v>
      </c>
      <c r="B16" s="7">
        <v>1</v>
      </c>
      <c r="C16" s="7" t="s">
        <v>14</v>
      </c>
      <c r="D16" s="7" t="s">
        <v>14</v>
      </c>
      <c r="E16" s="8">
        <f>ROUND((Source!F52)/1000,2)</f>
        <v>65.13</v>
      </c>
      <c r="F16" s="8">
        <f>ROUND((Source!F53)/1000,2)</f>
        <v>0</v>
      </c>
      <c r="G16" s="8">
        <f>ROUND((Source!F44)/1000,2)</f>
        <v>0</v>
      </c>
      <c r="H16" s="8">
        <f>ROUND((Source!F54)/1000+(Source!F55)/1000,2)</f>
        <v>434.36</v>
      </c>
      <c r="I16" s="8">
        <f>E16+F16+G16+H16</f>
        <v>499.49</v>
      </c>
      <c r="J16" s="8">
        <f>ROUND((Source!F50+Source!F49)/1000,2)</f>
        <v>13.65</v>
      </c>
      <c r="K16" s="8">
        <v>484.67</v>
      </c>
      <c r="L16" s="8">
        <v>0</v>
      </c>
      <c r="M16" s="8">
        <v>0</v>
      </c>
      <c r="N16" s="8">
        <f>I16+L16+M16</f>
        <v>499.49</v>
      </c>
      <c r="AI16" s="7">
        <v>0</v>
      </c>
      <c r="AJ16" s="7">
        <v>0</v>
      </c>
      <c r="AK16" s="7" t="s">
        <v>3</v>
      </c>
      <c r="AL16" s="7" t="s">
        <v>3</v>
      </c>
      <c r="AM16" s="7" t="s">
        <v>3</v>
      </c>
      <c r="AN16" s="7">
        <v>0</v>
      </c>
      <c r="AO16" s="7" t="s">
        <v>3</v>
      </c>
      <c r="AP16" s="7" t="s">
        <v>3</v>
      </c>
      <c r="AT16" s="8">
        <v>480648.32999999996</v>
      </c>
      <c r="AU16" s="8">
        <v>4021.38</v>
      </c>
      <c r="AV16" s="8">
        <v>0</v>
      </c>
      <c r="AW16" s="8">
        <v>0</v>
      </c>
      <c r="AX16" s="8">
        <v>0</v>
      </c>
      <c r="AY16" s="8">
        <v>462974.56</v>
      </c>
      <c r="AZ16" s="8">
        <v>7376.23</v>
      </c>
      <c r="BA16" s="8">
        <v>6276.16</v>
      </c>
      <c r="BB16" s="8">
        <v>65126.11</v>
      </c>
      <c r="BC16" s="8">
        <v>0</v>
      </c>
      <c r="BD16" s="8">
        <v>434362.52</v>
      </c>
      <c r="BE16" s="8">
        <v>0</v>
      </c>
      <c r="BF16" s="8">
        <v>21.195362500000002</v>
      </c>
      <c r="BG16" s="8">
        <v>18.589749999999999</v>
      </c>
      <c r="BH16" s="8">
        <v>0</v>
      </c>
      <c r="BI16" s="8">
        <v>12560.2</v>
      </c>
      <c r="BJ16" s="8">
        <v>6280.1</v>
      </c>
      <c r="BK16" s="8">
        <v>499488.63</v>
      </c>
    </row>
    <row r="18" spans="1:16" x14ac:dyDescent="0.2">
      <c r="A18">
        <v>51</v>
      </c>
      <c r="E18">
        <v>65.13</v>
      </c>
      <c r="F18">
        <v>0</v>
      </c>
      <c r="G18">
        <v>0</v>
      </c>
      <c r="H18">
        <v>434.36</v>
      </c>
      <c r="I18">
        <v>499.49</v>
      </c>
      <c r="J18">
        <v>13.65</v>
      </c>
      <c r="K18">
        <v>484.67</v>
      </c>
      <c r="L18">
        <v>0</v>
      </c>
      <c r="M18">
        <v>0</v>
      </c>
      <c r="N18">
        <v>499.49</v>
      </c>
    </row>
    <row r="20" spans="1:16" x14ac:dyDescent="0.2">
      <c r="A20" s="4">
        <v>50</v>
      </c>
      <c r="B20" s="4">
        <f>IF(SourceObSm!F20&lt;&gt;0,1,0)</f>
        <v>1</v>
      </c>
      <c r="C20" s="4">
        <v>0</v>
      </c>
      <c r="D20" s="4">
        <v>1</v>
      </c>
      <c r="E20" s="4">
        <v>201</v>
      </c>
      <c r="F20" s="4">
        <v>480648.32999999996</v>
      </c>
      <c r="G20" s="4" t="s">
        <v>62</v>
      </c>
      <c r="H20" s="4" t="s">
        <v>63</v>
      </c>
      <c r="I20" s="4"/>
      <c r="J20" s="4"/>
      <c r="K20" s="4">
        <v>201</v>
      </c>
      <c r="L20" s="4">
        <v>1</v>
      </c>
      <c r="M20" s="4">
        <v>1</v>
      </c>
      <c r="N20" s="4" t="s">
        <v>3</v>
      </c>
      <c r="O20" s="4">
        <v>2</v>
      </c>
      <c r="P20" s="4"/>
    </row>
    <row r="21" spans="1:16" x14ac:dyDescent="0.2">
      <c r="A21" s="4">
        <v>50</v>
      </c>
      <c r="B21" s="4">
        <v>0</v>
      </c>
      <c r="C21" s="4">
        <v>0</v>
      </c>
      <c r="D21" s="4">
        <v>1</v>
      </c>
      <c r="E21" s="4">
        <v>202</v>
      </c>
      <c r="F21" s="4">
        <v>4021.38</v>
      </c>
      <c r="G21" s="4" t="s">
        <v>64</v>
      </c>
      <c r="H21" s="4" t="s">
        <v>65</v>
      </c>
      <c r="I21" s="4"/>
      <c r="J21" s="4"/>
      <c r="K21" s="4">
        <v>202</v>
      </c>
      <c r="L21" s="4">
        <v>2</v>
      </c>
      <c r="M21" s="4">
        <v>3</v>
      </c>
      <c r="N21" s="4" t="s">
        <v>3</v>
      </c>
      <c r="O21" s="4">
        <v>2</v>
      </c>
      <c r="P21" s="4"/>
    </row>
    <row r="22" spans="1:16" x14ac:dyDescent="0.2">
      <c r="A22" s="4">
        <v>50</v>
      </c>
      <c r="B22" s="4">
        <v>0</v>
      </c>
      <c r="C22" s="4">
        <v>0</v>
      </c>
      <c r="D22" s="4">
        <v>1</v>
      </c>
      <c r="E22" s="4">
        <v>222</v>
      </c>
      <c r="F22" s="4">
        <v>0</v>
      </c>
      <c r="G22" s="4" t="s">
        <v>66</v>
      </c>
      <c r="H22" s="4" t="s">
        <v>67</v>
      </c>
      <c r="I22" s="4"/>
      <c r="J22" s="4"/>
      <c r="K22" s="4">
        <v>222</v>
      </c>
      <c r="L22" s="4">
        <v>3</v>
      </c>
      <c r="M22" s="4">
        <v>3</v>
      </c>
      <c r="N22" s="4" t="s">
        <v>3</v>
      </c>
      <c r="O22" s="4">
        <v>2</v>
      </c>
      <c r="P22" s="4"/>
    </row>
    <row r="23" spans="1:16" x14ac:dyDescent="0.2">
      <c r="A23" s="4">
        <v>50</v>
      </c>
      <c r="B23" s="4">
        <v>0</v>
      </c>
      <c r="C23" s="4">
        <v>0</v>
      </c>
      <c r="D23" s="4">
        <v>1</v>
      </c>
      <c r="E23" s="4">
        <v>225</v>
      </c>
      <c r="F23" s="4">
        <v>4021.38</v>
      </c>
      <c r="G23" s="4" t="s">
        <v>68</v>
      </c>
      <c r="H23" s="4" t="s">
        <v>69</v>
      </c>
      <c r="I23" s="4"/>
      <c r="J23" s="4"/>
      <c r="K23" s="4">
        <v>225</v>
      </c>
      <c r="L23" s="4">
        <v>4</v>
      </c>
      <c r="M23" s="4">
        <v>3</v>
      </c>
      <c r="N23" s="4" t="s">
        <v>3</v>
      </c>
      <c r="O23" s="4">
        <v>2</v>
      </c>
      <c r="P23" s="4"/>
    </row>
    <row r="24" spans="1:16" x14ac:dyDescent="0.2">
      <c r="A24" s="4">
        <v>50</v>
      </c>
      <c r="B24" s="4">
        <f>IF(SourceObSm!F24&lt;&gt;0,1,0)</f>
        <v>1</v>
      </c>
      <c r="C24" s="4">
        <v>0</v>
      </c>
      <c r="D24" s="4">
        <v>1</v>
      </c>
      <c r="E24" s="4">
        <v>226</v>
      </c>
      <c r="F24" s="4">
        <v>4021.38</v>
      </c>
      <c r="G24" s="4" t="s">
        <v>70</v>
      </c>
      <c r="H24" s="4" t="s">
        <v>71</v>
      </c>
      <c r="I24" s="4"/>
      <c r="J24" s="4"/>
      <c r="K24" s="4">
        <v>226</v>
      </c>
      <c r="L24" s="4">
        <v>5</v>
      </c>
      <c r="M24" s="4">
        <v>1</v>
      </c>
      <c r="N24" s="4" t="s">
        <v>3</v>
      </c>
      <c r="O24" s="4">
        <v>2</v>
      </c>
      <c r="P24" s="4"/>
    </row>
    <row r="25" spans="1:16" x14ac:dyDescent="0.2">
      <c r="A25" s="4">
        <v>50</v>
      </c>
      <c r="B25" s="4">
        <v>0</v>
      </c>
      <c r="C25" s="4">
        <v>0</v>
      </c>
      <c r="D25" s="4">
        <v>1</v>
      </c>
      <c r="E25" s="4">
        <v>227</v>
      </c>
      <c r="F25" s="4">
        <v>0</v>
      </c>
      <c r="G25" s="4" t="s">
        <v>72</v>
      </c>
      <c r="H25" s="4" t="s">
        <v>73</v>
      </c>
      <c r="I25" s="4"/>
      <c r="J25" s="4"/>
      <c r="K25" s="4">
        <v>227</v>
      </c>
      <c r="L25" s="4">
        <v>6</v>
      </c>
      <c r="M25" s="4">
        <v>3</v>
      </c>
      <c r="N25" s="4" t="s">
        <v>3</v>
      </c>
      <c r="O25" s="4">
        <v>2</v>
      </c>
      <c r="P25" s="4"/>
    </row>
    <row r="26" spans="1:16" x14ac:dyDescent="0.2">
      <c r="A26" s="4">
        <v>50</v>
      </c>
      <c r="B26" s="4">
        <v>0</v>
      </c>
      <c r="C26" s="4">
        <v>0</v>
      </c>
      <c r="D26" s="4">
        <v>1</v>
      </c>
      <c r="E26" s="4">
        <v>228</v>
      </c>
      <c r="F26" s="4">
        <v>4021.38</v>
      </c>
      <c r="G26" s="4" t="s">
        <v>74</v>
      </c>
      <c r="H26" s="4" t="s">
        <v>75</v>
      </c>
      <c r="I26" s="4"/>
      <c r="J26" s="4"/>
      <c r="K26" s="4">
        <v>228</v>
      </c>
      <c r="L26" s="4">
        <v>7</v>
      </c>
      <c r="M26" s="4">
        <v>3</v>
      </c>
      <c r="N26" s="4" t="s">
        <v>3</v>
      </c>
      <c r="O26" s="4">
        <v>2</v>
      </c>
      <c r="P26" s="4"/>
    </row>
    <row r="27" spans="1:16" x14ac:dyDescent="0.2">
      <c r="A27" s="4">
        <v>50</v>
      </c>
      <c r="B27" s="4">
        <v>0</v>
      </c>
      <c r="C27" s="4">
        <v>0</v>
      </c>
      <c r="D27" s="4">
        <v>1</v>
      </c>
      <c r="E27" s="4">
        <v>216</v>
      </c>
      <c r="F27" s="4">
        <v>0</v>
      </c>
      <c r="G27" s="4" t="s">
        <v>76</v>
      </c>
      <c r="H27" s="4" t="s">
        <v>77</v>
      </c>
      <c r="I27" s="4"/>
      <c r="J27" s="4"/>
      <c r="K27" s="4">
        <v>216</v>
      </c>
      <c r="L27" s="4">
        <v>8</v>
      </c>
      <c r="M27" s="4">
        <v>3</v>
      </c>
      <c r="N27" s="4" t="s">
        <v>3</v>
      </c>
      <c r="O27" s="4">
        <v>2</v>
      </c>
      <c r="P27" s="4"/>
    </row>
    <row r="28" spans="1:16" x14ac:dyDescent="0.2">
      <c r="A28" s="4">
        <v>50</v>
      </c>
      <c r="B28" s="4">
        <v>0</v>
      </c>
      <c r="C28" s="4">
        <v>0</v>
      </c>
      <c r="D28" s="4">
        <v>1</v>
      </c>
      <c r="E28" s="4">
        <v>223</v>
      </c>
      <c r="F28" s="4">
        <v>0</v>
      </c>
      <c r="G28" s="4" t="s">
        <v>78</v>
      </c>
      <c r="H28" s="4" t="s">
        <v>79</v>
      </c>
      <c r="I28" s="4"/>
      <c r="J28" s="4"/>
      <c r="K28" s="4">
        <v>223</v>
      </c>
      <c r="L28" s="4">
        <v>9</v>
      </c>
      <c r="M28" s="4">
        <v>3</v>
      </c>
      <c r="N28" s="4" t="s">
        <v>3</v>
      </c>
      <c r="O28" s="4">
        <v>2</v>
      </c>
      <c r="P28" s="4"/>
    </row>
    <row r="29" spans="1:16" x14ac:dyDescent="0.2">
      <c r="A29" s="4">
        <v>50</v>
      </c>
      <c r="B29" s="4">
        <v>0</v>
      </c>
      <c r="C29" s="4">
        <v>0</v>
      </c>
      <c r="D29" s="4">
        <v>1</v>
      </c>
      <c r="E29" s="4">
        <v>229</v>
      </c>
      <c r="F29" s="4">
        <v>0</v>
      </c>
      <c r="G29" s="4" t="s">
        <v>80</v>
      </c>
      <c r="H29" s="4" t="s">
        <v>81</v>
      </c>
      <c r="I29" s="4"/>
      <c r="J29" s="4"/>
      <c r="K29" s="4">
        <v>229</v>
      </c>
      <c r="L29" s="4">
        <v>10</v>
      </c>
      <c r="M29" s="4">
        <v>3</v>
      </c>
      <c r="N29" s="4" t="s">
        <v>3</v>
      </c>
      <c r="O29" s="4">
        <v>2</v>
      </c>
      <c r="P29" s="4"/>
    </row>
    <row r="30" spans="1:16" x14ac:dyDescent="0.2">
      <c r="A30" s="4">
        <v>50</v>
      </c>
      <c r="B30" s="4">
        <f>IF(SourceObSm!F30&lt;&gt;0,1,0)</f>
        <v>1</v>
      </c>
      <c r="C30" s="4">
        <v>0</v>
      </c>
      <c r="D30" s="4">
        <v>1</v>
      </c>
      <c r="E30" s="4">
        <v>203</v>
      </c>
      <c r="F30" s="4">
        <v>462974.56</v>
      </c>
      <c r="G30" s="4" t="s">
        <v>82</v>
      </c>
      <c r="H30" s="4" t="s">
        <v>83</v>
      </c>
      <c r="I30" s="4"/>
      <c r="J30" s="4"/>
      <c r="K30" s="4">
        <v>203</v>
      </c>
      <c r="L30" s="4">
        <v>11</v>
      </c>
      <c r="M30" s="4">
        <v>1</v>
      </c>
      <c r="N30" s="4" t="s">
        <v>3</v>
      </c>
      <c r="O30" s="4">
        <v>2</v>
      </c>
      <c r="P30" s="4"/>
    </row>
    <row r="31" spans="1:16" x14ac:dyDescent="0.2">
      <c r="A31" s="4">
        <v>50</v>
      </c>
      <c r="B31" s="4">
        <v>0</v>
      </c>
      <c r="C31" s="4">
        <v>0</v>
      </c>
      <c r="D31" s="4">
        <v>1</v>
      </c>
      <c r="E31" s="4">
        <v>231</v>
      </c>
      <c r="F31" s="4">
        <v>0</v>
      </c>
      <c r="G31" s="4" t="s">
        <v>84</v>
      </c>
      <c r="H31" s="4" t="s">
        <v>85</v>
      </c>
      <c r="I31" s="4"/>
      <c r="J31" s="4"/>
      <c r="K31" s="4">
        <v>231</v>
      </c>
      <c r="L31" s="4">
        <v>12</v>
      </c>
      <c r="M31" s="4">
        <v>3</v>
      </c>
      <c r="N31" s="4" t="s">
        <v>3</v>
      </c>
      <c r="O31" s="4">
        <v>2</v>
      </c>
      <c r="P31" s="4"/>
    </row>
    <row r="32" spans="1:16" x14ac:dyDescent="0.2">
      <c r="A32" s="4">
        <v>50</v>
      </c>
      <c r="B32" s="4">
        <f>IF(SourceObSm!F32&lt;&gt;0,1,0)</f>
        <v>1</v>
      </c>
      <c r="C32" s="4">
        <v>0</v>
      </c>
      <c r="D32" s="4">
        <v>1</v>
      </c>
      <c r="E32" s="4">
        <v>204</v>
      </c>
      <c r="F32" s="4">
        <v>7376.23</v>
      </c>
      <c r="G32" s="4" t="s">
        <v>86</v>
      </c>
      <c r="H32" s="4" t="s">
        <v>87</v>
      </c>
      <c r="I32" s="4"/>
      <c r="J32" s="4"/>
      <c r="K32" s="4">
        <v>204</v>
      </c>
      <c r="L32" s="4">
        <v>13</v>
      </c>
      <c r="M32" s="4">
        <v>1</v>
      </c>
      <c r="N32" s="4" t="s">
        <v>3</v>
      </c>
      <c r="O32" s="4">
        <v>2</v>
      </c>
      <c r="P32" s="4"/>
    </row>
    <row r="33" spans="1:16" x14ac:dyDescent="0.2">
      <c r="A33" s="4">
        <v>50</v>
      </c>
      <c r="B33" s="4">
        <f>IF(SourceObSm!F33&lt;&gt;0,1,0)</f>
        <v>1</v>
      </c>
      <c r="C33" s="4">
        <v>0</v>
      </c>
      <c r="D33" s="4">
        <v>1</v>
      </c>
      <c r="E33" s="4">
        <v>205</v>
      </c>
      <c r="F33" s="4">
        <v>6276.16</v>
      </c>
      <c r="G33" s="4" t="s">
        <v>88</v>
      </c>
      <c r="H33" s="4" t="s">
        <v>89</v>
      </c>
      <c r="I33" s="4"/>
      <c r="J33" s="4"/>
      <c r="K33" s="4">
        <v>205</v>
      </c>
      <c r="L33" s="4">
        <v>14</v>
      </c>
      <c r="M33" s="4">
        <v>1</v>
      </c>
      <c r="N33" s="4" t="s">
        <v>3</v>
      </c>
      <c r="O33" s="4">
        <v>2</v>
      </c>
      <c r="P33" s="4"/>
    </row>
    <row r="34" spans="1:16" x14ac:dyDescent="0.2">
      <c r="A34" s="4">
        <v>50</v>
      </c>
      <c r="B34" s="4">
        <v>0</v>
      </c>
      <c r="C34" s="4">
        <v>0</v>
      </c>
      <c r="D34" s="4">
        <v>1</v>
      </c>
      <c r="E34" s="4">
        <v>232</v>
      </c>
      <c r="F34" s="4">
        <v>0</v>
      </c>
      <c r="G34" s="4" t="s">
        <v>90</v>
      </c>
      <c r="H34" s="4" t="s">
        <v>91</v>
      </c>
      <c r="I34" s="4"/>
      <c r="J34" s="4"/>
      <c r="K34" s="4">
        <v>232</v>
      </c>
      <c r="L34" s="4">
        <v>15</v>
      </c>
      <c r="M34" s="4">
        <v>3</v>
      </c>
      <c r="N34" s="4" t="s">
        <v>3</v>
      </c>
      <c r="O34" s="4">
        <v>2</v>
      </c>
      <c r="P34" s="4"/>
    </row>
    <row r="35" spans="1:16" x14ac:dyDescent="0.2">
      <c r="A35" s="4">
        <v>50</v>
      </c>
      <c r="B35" s="4">
        <v>0</v>
      </c>
      <c r="C35" s="4">
        <v>0</v>
      </c>
      <c r="D35" s="4">
        <v>1</v>
      </c>
      <c r="E35" s="4">
        <v>214</v>
      </c>
      <c r="F35" s="4">
        <v>65126.11</v>
      </c>
      <c r="G35" s="4" t="s">
        <v>92</v>
      </c>
      <c r="H35" s="4" t="s">
        <v>93</v>
      </c>
      <c r="I35" s="4"/>
      <c r="J35" s="4"/>
      <c r="K35" s="4">
        <v>214</v>
      </c>
      <c r="L35" s="4">
        <v>16</v>
      </c>
      <c r="M35" s="4">
        <v>3</v>
      </c>
      <c r="N35" s="4" t="s">
        <v>3</v>
      </c>
      <c r="O35" s="4">
        <v>2</v>
      </c>
      <c r="P35" s="4"/>
    </row>
    <row r="36" spans="1:16" x14ac:dyDescent="0.2">
      <c r="A36" s="4">
        <v>50</v>
      </c>
      <c r="B36" s="4">
        <v>0</v>
      </c>
      <c r="C36" s="4">
        <v>0</v>
      </c>
      <c r="D36" s="4">
        <v>1</v>
      </c>
      <c r="E36" s="4">
        <v>215</v>
      </c>
      <c r="F36" s="4">
        <v>0</v>
      </c>
      <c r="G36" s="4" t="s">
        <v>94</v>
      </c>
      <c r="H36" s="4" t="s">
        <v>95</v>
      </c>
      <c r="I36" s="4"/>
      <c r="J36" s="4"/>
      <c r="K36" s="4">
        <v>215</v>
      </c>
      <c r="L36" s="4">
        <v>17</v>
      </c>
      <c r="M36" s="4">
        <v>3</v>
      </c>
      <c r="N36" s="4" t="s">
        <v>3</v>
      </c>
      <c r="O36" s="4">
        <v>2</v>
      </c>
      <c r="P36" s="4"/>
    </row>
    <row r="37" spans="1:16" x14ac:dyDescent="0.2">
      <c r="A37" s="4">
        <v>50</v>
      </c>
      <c r="B37" s="4">
        <v>0</v>
      </c>
      <c r="C37" s="4">
        <v>0</v>
      </c>
      <c r="D37" s="4">
        <v>1</v>
      </c>
      <c r="E37" s="4">
        <v>217</v>
      </c>
      <c r="F37" s="4">
        <v>434362.52</v>
      </c>
      <c r="G37" s="4" t="s">
        <v>96</v>
      </c>
      <c r="H37" s="4" t="s">
        <v>97</v>
      </c>
      <c r="I37" s="4"/>
      <c r="J37" s="4"/>
      <c r="K37" s="4">
        <v>217</v>
      </c>
      <c r="L37" s="4">
        <v>18</v>
      </c>
      <c r="M37" s="4">
        <v>3</v>
      </c>
      <c r="N37" s="4" t="s">
        <v>3</v>
      </c>
      <c r="O37" s="4">
        <v>2</v>
      </c>
      <c r="P37" s="4"/>
    </row>
    <row r="38" spans="1:16" x14ac:dyDescent="0.2">
      <c r="A38" s="4">
        <v>50</v>
      </c>
      <c r="B38" s="4">
        <v>0</v>
      </c>
      <c r="C38" s="4">
        <v>0</v>
      </c>
      <c r="D38" s="4">
        <v>1</v>
      </c>
      <c r="E38" s="4">
        <v>230</v>
      </c>
      <c r="F38" s="4">
        <v>0</v>
      </c>
      <c r="G38" s="4" t="s">
        <v>98</v>
      </c>
      <c r="H38" s="4" t="s">
        <v>99</v>
      </c>
      <c r="I38" s="4"/>
      <c r="J38" s="4"/>
      <c r="K38" s="4">
        <v>230</v>
      </c>
      <c r="L38" s="4">
        <v>19</v>
      </c>
      <c r="M38" s="4">
        <v>3</v>
      </c>
      <c r="N38" s="4" t="s">
        <v>3</v>
      </c>
      <c r="O38" s="4">
        <v>2</v>
      </c>
      <c r="P38" s="4"/>
    </row>
    <row r="39" spans="1:16" x14ac:dyDescent="0.2">
      <c r="A39" s="4">
        <v>50</v>
      </c>
      <c r="B39" s="4">
        <v>0</v>
      </c>
      <c r="C39" s="4">
        <v>0</v>
      </c>
      <c r="D39" s="4">
        <v>1</v>
      </c>
      <c r="E39" s="4">
        <v>206</v>
      </c>
      <c r="F39" s="4">
        <v>0</v>
      </c>
      <c r="G39" s="4" t="s">
        <v>100</v>
      </c>
      <c r="H39" s="4" t="s">
        <v>101</v>
      </c>
      <c r="I39" s="4"/>
      <c r="J39" s="4"/>
      <c r="K39" s="4">
        <v>206</v>
      </c>
      <c r="L39" s="4">
        <v>20</v>
      </c>
      <c r="M39" s="4">
        <v>3</v>
      </c>
      <c r="N39" s="4" t="s">
        <v>3</v>
      </c>
      <c r="O39" s="4">
        <v>2</v>
      </c>
      <c r="P39" s="4"/>
    </row>
    <row r="40" spans="1:16" x14ac:dyDescent="0.2">
      <c r="A40" s="4">
        <v>50</v>
      </c>
      <c r="B40" s="4">
        <v>0</v>
      </c>
      <c r="C40" s="4">
        <v>0</v>
      </c>
      <c r="D40" s="4">
        <v>1</v>
      </c>
      <c r="E40" s="4">
        <v>207</v>
      </c>
      <c r="F40" s="4">
        <v>21.195362500000002</v>
      </c>
      <c r="G40" s="4" t="s">
        <v>102</v>
      </c>
      <c r="H40" s="4" t="s">
        <v>103</v>
      </c>
      <c r="I40" s="4"/>
      <c r="J40" s="4"/>
      <c r="K40" s="4">
        <v>207</v>
      </c>
      <c r="L40" s="4">
        <v>21</v>
      </c>
      <c r="M40" s="4">
        <v>3</v>
      </c>
      <c r="N40" s="4" t="s">
        <v>3</v>
      </c>
      <c r="O40" s="4">
        <v>-1</v>
      </c>
      <c r="P40" s="4"/>
    </row>
    <row r="41" spans="1:16" x14ac:dyDescent="0.2">
      <c r="A41" s="4">
        <v>50</v>
      </c>
      <c r="B41" s="4">
        <v>0</v>
      </c>
      <c r="C41" s="4">
        <v>0</v>
      </c>
      <c r="D41" s="4">
        <v>1</v>
      </c>
      <c r="E41" s="4">
        <v>208</v>
      </c>
      <c r="F41" s="4">
        <v>18.589749999999999</v>
      </c>
      <c r="G41" s="4" t="s">
        <v>104</v>
      </c>
      <c r="H41" s="4" t="s">
        <v>105</v>
      </c>
      <c r="I41" s="4"/>
      <c r="J41" s="4"/>
      <c r="K41" s="4">
        <v>208</v>
      </c>
      <c r="L41" s="4">
        <v>22</v>
      </c>
      <c r="M41" s="4">
        <v>3</v>
      </c>
      <c r="N41" s="4" t="s">
        <v>3</v>
      </c>
      <c r="O41" s="4">
        <v>-1</v>
      </c>
      <c r="P41" s="4"/>
    </row>
    <row r="42" spans="1:16" x14ac:dyDescent="0.2">
      <c r="A42" s="4">
        <v>50</v>
      </c>
      <c r="B42" s="4">
        <v>0</v>
      </c>
      <c r="C42" s="4">
        <v>0</v>
      </c>
      <c r="D42" s="4">
        <v>1</v>
      </c>
      <c r="E42" s="4">
        <v>209</v>
      </c>
      <c r="F42" s="4">
        <v>0</v>
      </c>
      <c r="G42" s="4" t="s">
        <v>106</v>
      </c>
      <c r="H42" s="4" t="s">
        <v>107</v>
      </c>
      <c r="I42" s="4"/>
      <c r="J42" s="4"/>
      <c r="K42" s="4">
        <v>209</v>
      </c>
      <c r="L42" s="4">
        <v>23</v>
      </c>
      <c r="M42" s="4">
        <v>3</v>
      </c>
      <c r="N42" s="4" t="s">
        <v>3</v>
      </c>
      <c r="O42" s="4">
        <v>2</v>
      </c>
      <c r="P42" s="4"/>
    </row>
    <row r="43" spans="1:16" x14ac:dyDescent="0.2">
      <c r="A43" s="4">
        <v>50</v>
      </c>
      <c r="B43" s="4">
        <v>0</v>
      </c>
      <c r="C43" s="4">
        <v>0</v>
      </c>
      <c r="D43" s="4">
        <v>1</v>
      </c>
      <c r="E43" s="4">
        <v>233</v>
      </c>
      <c r="F43" s="4">
        <v>0</v>
      </c>
      <c r="G43" s="4" t="s">
        <v>108</v>
      </c>
      <c r="H43" s="4" t="s">
        <v>109</v>
      </c>
      <c r="I43" s="4"/>
      <c r="J43" s="4"/>
      <c r="K43" s="4">
        <v>233</v>
      </c>
      <c r="L43" s="4">
        <v>24</v>
      </c>
      <c r="M43" s="4">
        <v>3</v>
      </c>
      <c r="N43" s="4" t="s">
        <v>3</v>
      </c>
      <c r="O43" s="4">
        <v>2</v>
      </c>
      <c r="P43" s="4"/>
    </row>
    <row r="44" spans="1:16" x14ac:dyDescent="0.2">
      <c r="A44" s="4">
        <v>50</v>
      </c>
      <c r="B44" s="4">
        <f>IF(SourceObSm!F44&lt;&gt;0,1,0)</f>
        <v>1</v>
      </c>
      <c r="C44" s="4">
        <v>0</v>
      </c>
      <c r="D44" s="4">
        <v>1</v>
      </c>
      <c r="E44" s="4">
        <v>210</v>
      </c>
      <c r="F44" s="4">
        <v>12560.2</v>
      </c>
      <c r="G44" s="4" t="s">
        <v>110</v>
      </c>
      <c r="H44" s="4" t="s">
        <v>111</v>
      </c>
      <c r="I44" s="4"/>
      <c r="J44" s="4"/>
      <c r="K44" s="4">
        <v>210</v>
      </c>
      <c r="L44" s="4">
        <v>25</v>
      </c>
      <c r="M44" s="4">
        <v>1</v>
      </c>
      <c r="N44" s="4" t="s">
        <v>3</v>
      </c>
      <c r="O44" s="4">
        <v>2</v>
      </c>
      <c r="P44" s="4"/>
    </row>
    <row r="45" spans="1:16" x14ac:dyDescent="0.2">
      <c r="A45" s="4">
        <v>50</v>
      </c>
      <c r="B45" s="4">
        <f>IF(SourceObSm!F45&lt;&gt;0,1,0)</f>
        <v>1</v>
      </c>
      <c r="C45" s="4">
        <v>0</v>
      </c>
      <c r="D45" s="4">
        <v>1</v>
      </c>
      <c r="E45" s="4">
        <v>211</v>
      </c>
      <c r="F45" s="4">
        <v>6280.1</v>
      </c>
      <c r="G45" s="4" t="s">
        <v>112</v>
      </c>
      <c r="H45" s="4" t="s">
        <v>113</v>
      </c>
      <c r="I45" s="4"/>
      <c r="J45" s="4"/>
      <c r="K45" s="4">
        <v>211</v>
      </c>
      <c r="L45" s="4">
        <v>26</v>
      </c>
      <c r="M45" s="4">
        <v>1</v>
      </c>
      <c r="N45" s="4" t="s">
        <v>3</v>
      </c>
      <c r="O45" s="4">
        <v>2</v>
      </c>
      <c r="P45" s="4"/>
    </row>
    <row r="46" spans="1:16" x14ac:dyDescent="0.2">
      <c r="A46" s="4">
        <v>50</v>
      </c>
      <c r="B46" s="4">
        <f>IF(SourceObSm!F46&lt;&gt;0,1,0)</f>
        <v>1</v>
      </c>
      <c r="C46" s="4">
        <v>0</v>
      </c>
      <c r="D46" s="4">
        <v>1</v>
      </c>
      <c r="E46" s="4">
        <v>224</v>
      </c>
      <c r="F46" s="4">
        <v>499488.63</v>
      </c>
      <c r="G46" s="4" t="s">
        <v>114</v>
      </c>
      <c r="H46" s="4" t="s">
        <v>115</v>
      </c>
      <c r="I46" s="4"/>
      <c r="J46" s="4"/>
      <c r="K46" s="4">
        <v>224</v>
      </c>
      <c r="L46" s="4">
        <v>27</v>
      </c>
      <c r="M46" s="4">
        <v>1</v>
      </c>
      <c r="N46" s="4" t="s">
        <v>3</v>
      </c>
      <c r="O46" s="4">
        <v>2</v>
      </c>
      <c r="P46" s="4"/>
    </row>
    <row r="47" spans="1:16" x14ac:dyDescent="0.2">
      <c r="A47" s="4">
        <v>50</v>
      </c>
      <c r="B47" s="4">
        <f>IF(SourceObSm!F47&lt;&gt;0,1,0)</f>
        <v>0</v>
      </c>
      <c r="C47" s="4">
        <v>0</v>
      </c>
      <c r="D47" s="4">
        <v>2</v>
      </c>
      <c r="E47" s="4">
        <v>0</v>
      </c>
      <c r="F47" s="4">
        <v>0</v>
      </c>
      <c r="G47" s="4" t="s">
        <v>116</v>
      </c>
      <c r="H47" s="4" t="s">
        <v>117</v>
      </c>
      <c r="I47" s="4"/>
      <c r="J47" s="4"/>
      <c r="K47" s="4">
        <v>212</v>
      </c>
      <c r="L47" s="4">
        <v>28</v>
      </c>
      <c r="M47" s="4">
        <v>1</v>
      </c>
      <c r="N47" s="4" t="s">
        <v>3</v>
      </c>
      <c r="O47" s="4">
        <v>2</v>
      </c>
      <c r="P47" s="4"/>
    </row>
    <row r="48" spans="1:16" x14ac:dyDescent="0.2">
      <c r="A48" s="4">
        <v>50</v>
      </c>
      <c r="B48" s="4">
        <f>IF(SourceObSm!F48&lt;&gt;0,1,0)</f>
        <v>0</v>
      </c>
      <c r="C48" s="4">
        <v>0</v>
      </c>
      <c r="D48" s="4">
        <v>2</v>
      </c>
      <c r="E48" s="4">
        <v>0</v>
      </c>
      <c r="F48" s="4">
        <v>0</v>
      </c>
      <c r="G48" s="4" t="s">
        <v>118</v>
      </c>
      <c r="H48" s="4" t="s">
        <v>119</v>
      </c>
      <c r="I48" s="4"/>
      <c r="J48" s="4"/>
      <c r="K48" s="4">
        <v>212</v>
      </c>
      <c r="L48" s="4">
        <v>29</v>
      </c>
      <c r="M48" s="4">
        <v>1</v>
      </c>
      <c r="N48" s="4" t="s">
        <v>3</v>
      </c>
      <c r="O48" s="4">
        <v>-1</v>
      </c>
      <c r="P48" s="4"/>
    </row>
    <row r="49" spans="1:50" x14ac:dyDescent="0.2">
      <c r="A49" s="4">
        <v>50</v>
      </c>
      <c r="B49" s="4">
        <f>IF(SourceObSm!F49&lt;&gt;0,1,0)</f>
        <v>0</v>
      </c>
      <c r="C49" s="4">
        <v>0</v>
      </c>
      <c r="D49" s="4">
        <v>2</v>
      </c>
      <c r="E49" s="4">
        <v>0</v>
      </c>
      <c r="F49" s="4">
        <v>0</v>
      </c>
      <c r="G49" s="4" t="s">
        <v>120</v>
      </c>
      <c r="H49" s="4" t="s">
        <v>121</v>
      </c>
      <c r="I49" s="4"/>
      <c r="J49" s="4"/>
      <c r="K49" s="4">
        <v>212</v>
      </c>
      <c r="L49" s="4">
        <v>30</v>
      </c>
      <c r="M49" s="4">
        <v>1</v>
      </c>
      <c r="N49" s="4" t="s">
        <v>3</v>
      </c>
      <c r="O49" s="4">
        <v>2</v>
      </c>
      <c r="P49" s="4"/>
    </row>
    <row r="50" spans="1:50" x14ac:dyDescent="0.2">
      <c r="A50" s="4">
        <v>50</v>
      </c>
      <c r="B50" s="4">
        <f>IF(SourceObSm!F50&lt;&gt;0,1,0)</f>
        <v>0</v>
      </c>
      <c r="C50" s="4">
        <v>0</v>
      </c>
      <c r="D50" s="4">
        <v>2</v>
      </c>
      <c r="E50" s="4">
        <v>0</v>
      </c>
      <c r="F50" s="4">
        <v>0</v>
      </c>
      <c r="G50" s="4" t="s">
        <v>122</v>
      </c>
      <c r="H50" s="4" t="s">
        <v>123</v>
      </c>
      <c r="I50" s="4"/>
      <c r="J50" s="4"/>
      <c r="K50" s="4">
        <v>212</v>
      </c>
      <c r="L50" s="4">
        <v>31</v>
      </c>
      <c r="M50" s="4">
        <v>1</v>
      </c>
      <c r="N50" s="4" t="s">
        <v>3</v>
      </c>
      <c r="O50" s="4">
        <v>2</v>
      </c>
      <c r="P50" s="4"/>
    </row>
    <row r="51" spans="1:50" x14ac:dyDescent="0.2">
      <c r="A51" s="4">
        <v>50</v>
      </c>
      <c r="B51" s="4">
        <f>IF(SourceObSm!F51&lt;&gt;0,1,0)</f>
        <v>0</v>
      </c>
      <c r="C51" s="4">
        <v>0</v>
      </c>
      <c r="D51" s="4">
        <v>2</v>
      </c>
      <c r="E51" s="4">
        <v>0</v>
      </c>
      <c r="F51" s="4">
        <v>0</v>
      </c>
      <c r="G51" s="4" t="s">
        <v>124</v>
      </c>
      <c r="H51" s="4" t="s">
        <v>125</v>
      </c>
      <c r="I51" s="4"/>
      <c r="J51" s="4"/>
      <c r="K51" s="4">
        <v>212</v>
      </c>
      <c r="L51" s="4">
        <v>32</v>
      </c>
      <c r="M51" s="4">
        <v>1</v>
      </c>
      <c r="N51" s="4" t="s">
        <v>3</v>
      </c>
      <c r="O51" s="4">
        <v>-1</v>
      </c>
      <c r="P51" s="4"/>
    </row>
    <row r="52" spans="1:50" x14ac:dyDescent="0.2">
      <c r="A52" s="4">
        <v>50</v>
      </c>
      <c r="B52" s="4">
        <f>IF(SourceObSm!F52&lt;&gt;0,1,0)</f>
        <v>0</v>
      </c>
      <c r="C52" s="4">
        <v>0</v>
      </c>
      <c r="D52" s="4">
        <v>2</v>
      </c>
      <c r="E52" s="4">
        <v>0</v>
      </c>
      <c r="F52" s="4">
        <v>0</v>
      </c>
      <c r="G52" s="4" t="s">
        <v>126</v>
      </c>
      <c r="H52" s="4" t="s">
        <v>127</v>
      </c>
      <c r="I52" s="4"/>
      <c r="J52" s="4"/>
      <c r="K52" s="4">
        <v>212</v>
      </c>
      <c r="L52" s="4">
        <v>33</v>
      </c>
      <c r="M52" s="4">
        <v>1</v>
      </c>
      <c r="N52" s="4" t="s">
        <v>3</v>
      </c>
      <c r="O52" s="4">
        <v>2</v>
      </c>
      <c r="P52" s="4"/>
    </row>
    <row r="53" spans="1:50" x14ac:dyDescent="0.2">
      <c r="A53" s="4">
        <v>50</v>
      </c>
      <c r="B53" s="4">
        <f>IF(SourceObSm!F53&lt;&gt;0,1,0)</f>
        <v>0</v>
      </c>
      <c r="C53" s="4">
        <v>0</v>
      </c>
      <c r="D53" s="4">
        <v>2</v>
      </c>
      <c r="E53" s="4">
        <v>0</v>
      </c>
      <c r="F53" s="4">
        <v>0</v>
      </c>
      <c r="G53" s="4" t="s">
        <v>128</v>
      </c>
      <c r="H53" s="4" t="s">
        <v>129</v>
      </c>
      <c r="I53" s="4"/>
      <c r="J53" s="4"/>
      <c r="K53" s="4">
        <v>212</v>
      </c>
      <c r="L53" s="4">
        <v>34</v>
      </c>
      <c r="M53" s="4">
        <v>1</v>
      </c>
      <c r="N53" s="4" t="s">
        <v>3</v>
      </c>
      <c r="O53" s="4">
        <v>2</v>
      </c>
      <c r="P53" s="4"/>
    </row>
    <row r="54" spans="1:50" x14ac:dyDescent="0.2">
      <c r="A54" s="4">
        <v>50</v>
      </c>
      <c r="B54" s="4">
        <v>0</v>
      </c>
      <c r="C54" s="4">
        <v>0</v>
      </c>
      <c r="D54" s="4">
        <v>2</v>
      </c>
      <c r="E54" s="4">
        <v>0</v>
      </c>
      <c r="F54" s="4">
        <v>0</v>
      </c>
      <c r="G54" s="4" t="s">
        <v>130</v>
      </c>
      <c r="H54" s="4" t="s">
        <v>131</v>
      </c>
      <c r="I54" s="4"/>
      <c r="J54" s="4"/>
      <c r="K54" s="4">
        <v>212</v>
      </c>
      <c r="L54" s="4">
        <v>35</v>
      </c>
      <c r="M54" s="4">
        <v>3</v>
      </c>
      <c r="N54" s="4" t="s">
        <v>3</v>
      </c>
      <c r="O54" s="4">
        <v>0</v>
      </c>
      <c r="P54" s="4"/>
    </row>
    <row r="55" spans="1:50" x14ac:dyDescent="0.2">
      <c r="A55" s="4">
        <v>50</v>
      </c>
      <c r="B55" s="4">
        <f>IF(SourceObSm!F55&lt;&gt;0,1,0)</f>
        <v>1</v>
      </c>
      <c r="C55" s="4">
        <v>0</v>
      </c>
      <c r="D55" s="4">
        <v>2</v>
      </c>
      <c r="E55" s="4">
        <v>0</v>
      </c>
      <c r="F55" s="4">
        <v>109887.5</v>
      </c>
      <c r="G55" s="4" t="s">
        <v>132</v>
      </c>
      <c r="H55" s="4" t="s">
        <v>133</v>
      </c>
      <c r="I55" s="4"/>
      <c r="J55" s="4"/>
      <c r="K55" s="4">
        <v>212</v>
      </c>
      <c r="L55" s="4">
        <v>36</v>
      </c>
      <c r="M55" s="4">
        <v>1</v>
      </c>
      <c r="N55" s="4" t="s">
        <v>3</v>
      </c>
      <c r="O55" s="4">
        <v>2</v>
      </c>
      <c r="P55" s="4"/>
    </row>
    <row r="56" spans="1:50" x14ac:dyDescent="0.2">
      <c r="A56" s="4">
        <v>50</v>
      </c>
      <c r="B56" s="4">
        <f>IF(SourceObSm!F56&lt;&gt;0,1,0)</f>
        <v>1</v>
      </c>
      <c r="C56" s="4">
        <v>0</v>
      </c>
      <c r="D56" s="4">
        <v>2</v>
      </c>
      <c r="E56" s="4">
        <v>0</v>
      </c>
      <c r="F56" s="4">
        <v>609376.13</v>
      </c>
      <c r="G56" s="4" t="s">
        <v>134</v>
      </c>
      <c r="H56" s="4" t="s">
        <v>135</v>
      </c>
      <c r="I56" s="4"/>
      <c r="J56" s="4"/>
      <c r="K56" s="4">
        <v>212</v>
      </c>
      <c r="L56" s="4">
        <v>37</v>
      </c>
      <c r="M56" s="4">
        <v>1</v>
      </c>
      <c r="N56" s="4" t="s">
        <v>3</v>
      </c>
      <c r="O56" s="4">
        <v>2</v>
      </c>
      <c r="P56" s="4"/>
    </row>
    <row r="58" spans="1:50" x14ac:dyDescent="0.2">
      <c r="A58">
        <v>-1</v>
      </c>
    </row>
    <row r="61" spans="1:50" x14ac:dyDescent="0.2">
      <c r="A61" s="3">
        <v>75</v>
      </c>
      <c r="B61" s="3" t="s">
        <v>205</v>
      </c>
      <c r="C61" s="3">
        <v>2026</v>
      </c>
      <c r="D61" s="3">
        <v>0</v>
      </c>
      <c r="E61" s="3">
        <v>2</v>
      </c>
      <c r="F61" s="3">
        <v>1</v>
      </c>
      <c r="G61" s="3">
        <v>0</v>
      </c>
      <c r="H61" s="3">
        <v>1</v>
      </c>
      <c r="I61" s="3">
        <v>0</v>
      </c>
      <c r="J61" s="3">
        <v>3</v>
      </c>
      <c r="K61" s="3">
        <v>0</v>
      </c>
      <c r="L61" s="3">
        <v>0</v>
      </c>
      <c r="M61" s="3">
        <v>0</v>
      </c>
      <c r="N61" s="3">
        <v>50279781</v>
      </c>
      <c r="O61" s="3">
        <v>1</v>
      </c>
    </row>
    <row r="62" spans="1:50" x14ac:dyDescent="0.2">
      <c r="A62" s="6">
        <v>2</v>
      </c>
      <c r="B62" s="6" t="s">
        <v>206</v>
      </c>
      <c r="C62" s="6" t="s">
        <v>207</v>
      </c>
      <c r="D62" s="6">
        <v>0</v>
      </c>
      <c r="E62" s="6">
        <v>0</v>
      </c>
      <c r="F62" s="6">
        <v>0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>
        <v>50279782</v>
      </c>
    </row>
    <row r="63" spans="1:50" x14ac:dyDescent="0.2">
      <c r="A63" s="6">
        <v>1</v>
      </c>
      <c r="B63" s="6" t="s">
        <v>208</v>
      </c>
      <c r="C63" s="6" t="s">
        <v>209</v>
      </c>
      <c r="D63" s="6">
        <v>2026</v>
      </c>
      <c r="E63" s="6">
        <v>2</v>
      </c>
      <c r="F63" s="6">
        <v>1</v>
      </c>
      <c r="G63" s="6">
        <v>1</v>
      </c>
      <c r="H63" s="6">
        <v>0</v>
      </c>
      <c r="I63" s="6">
        <v>2</v>
      </c>
      <c r="J63" s="6">
        <v>1</v>
      </c>
      <c r="K63" s="6">
        <v>1</v>
      </c>
      <c r="L63" s="6">
        <v>1</v>
      </c>
      <c r="M63" s="6">
        <v>1</v>
      </c>
      <c r="N63" s="6">
        <v>1</v>
      </c>
      <c r="O63" s="6">
        <v>1</v>
      </c>
      <c r="P63" s="6">
        <v>1</v>
      </c>
      <c r="Q63" s="6">
        <v>1</v>
      </c>
      <c r="R63" s="6" t="s">
        <v>3</v>
      </c>
      <c r="S63" s="6" t="s">
        <v>3</v>
      </c>
      <c r="T63" s="6" t="s">
        <v>3</v>
      </c>
      <c r="U63" s="6" t="s">
        <v>3</v>
      </c>
      <c r="V63" s="6" t="s">
        <v>3</v>
      </c>
      <c r="W63" s="6" t="s">
        <v>3</v>
      </c>
      <c r="X63" s="6" t="s">
        <v>3</v>
      </c>
      <c r="Y63" s="6" t="s">
        <v>3</v>
      </c>
      <c r="Z63" s="6" t="s">
        <v>3</v>
      </c>
      <c r="AA63" s="6" t="s">
        <v>3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>
        <v>50279783</v>
      </c>
      <c r="AO63" s="6"/>
      <c r="AP63" s="6"/>
      <c r="AQ63" s="6"/>
      <c r="AR63" s="6"/>
      <c r="AS63" s="6"/>
      <c r="AT63" s="6"/>
      <c r="AU63" s="6"/>
      <c r="AV63" s="6"/>
      <c r="AW63" s="6"/>
      <c r="AX63" s="6"/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4"/>
  <sheetViews>
    <sheetView workbookViewId="0"/>
  </sheetViews>
  <sheetFormatPr defaultColWidth="9.125" defaultRowHeight="12.85" x14ac:dyDescent="0.2"/>
  <cols>
    <col min="1" max="256" width="9.125" customWidth="1"/>
  </cols>
  <sheetData>
    <row r="1" spans="1:119" x14ac:dyDescent="0.2">
      <c r="A1">
        <f>ROW(Source!A24)</f>
        <v>24</v>
      </c>
      <c r="B1">
        <v>50279781</v>
      </c>
      <c r="C1">
        <v>50279846</v>
      </c>
      <c r="D1">
        <v>49188735</v>
      </c>
      <c r="E1">
        <v>117</v>
      </c>
      <c r="F1">
        <v>1</v>
      </c>
      <c r="G1">
        <v>1</v>
      </c>
      <c r="H1">
        <v>1</v>
      </c>
      <c r="I1" t="s">
        <v>211</v>
      </c>
      <c r="J1" t="s">
        <v>3</v>
      </c>
      <c r="K1" t="s">
        <v>212</v>
      </c>
      <c r="L1">
        <v>1191</v>
      </c>
      <c r="N1">
        <v>1013</v>
      </c>
      <c r="O1" t="s">
        <v>213</v>
      </c>
      <c r="P1" t="s">
        <v>213</v>
      </c>
      <c r="Q1">
        <v>1</v>
      </c>
      <c r="W1">
        <v>0</v>
      </c>
      <c r="X1">
        <v>-1417349443</v>
      </c>
      <c r="Y1">
        <f t="shared" ref="Y1:Y7" si="0">(AT1*ROUND((0.15+1),7))</f>
        <v>6.1754999999999995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5.37</v>
      </c>
      <c r="AU1" t="s">
        <v>21</v>
      </c>
      <c r="AV1">
        <v>2</v>
      </c>
      <c r="AW1">
        <v>2</v>
      </c>
      <c r="AX1">
        <v>50280085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V1">
        <v>0</v>
      </c>
      <c r="CW1">
        <v>0</v>
      </c>
      <c r="CX1">
        <f>ROUND(Y1*Source!I24,7)</f>
        <v>8.1825375000000005</v>
      </c>
      <c r="CY1">
        <f>AD1</f>
        <v>0</v>
      </c>
      <c r="CZ1">
        <f>AH1</f>
        <v>0</v>
      </c>
      <c r="DA1">
        <f>AL1</f>
        <v>1</v>
      </c>
      <c r="DB1">
        <f t="shared" ref="DB1:DB7" si="1">ROUND((ROUND(AT1*CZ1,2)*ROUND((0.15+1),7)),6)</f>
        <v>0</v>
      </c>
      <c r="DC1">
        <f t="shared" ref="DC1:DC7" si="2">ROUND((ROUND(AT1*AG1,2)*ROUND((0.15+1),7)),6)</f>
        <v>0</v>
      </c>
      <c r="DD1" t="s">
        <v>3</v>
      </c>
      <c r="DE1" t="s">
        <v>3</v>
      </c>
      <c r="DF1">
        <f t="shared" ref="DF1:DF12" si="3">ROUND(ROUND(AE1,2)*CX1,2)</f>
        <v>0</v>
      </c>
      <c r="DG1">
        <f>ROUND(ROUND(AF1,2)*CX1,2)</f>
        <v>0</v>
      </c>
      <c r="DH1">
        <f t="shared" ref="DH1:DH14" si="4">ROUND(ROUND(AG1,2)*CX1,2)</f>
        <v>0</v>
      </c>
      <c r="DI1">
        <f t="shared" ref="DI1:DI14" si="5">ROUND(ROUND(AH1,2)*CX1,2)</f>
        <v>0</v>
      </c>
      <c r="DJ1">
        <f>DI1</f>
        <v>0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ROW(Source!A24)</f>
        <v>24</v>
      </c>
      <c r="B2">
        <v>50279781</v>
      </c>
      <c r="C2">
        <v>50279846</v>
      </c>
      <c r="D2">
        <v>49194794</v>
      </c>
      <c r="E2">
        <v>1</v>
      </c>
      <c r="F2">
        <v>1</v>
      </c>
      <c r="G2">
        <v>1</v>
      </c>
      <c r="H2">
        <v>2</v>
      </c>
      <c r="I2" t="s">
        <v>214</v>
      </c>
      <c r="J2" t="s">
        <v>215</v>
      </c>
      <c r="K2" t="s">
        <v>216</v>
      </c>
      <c r="L2">
        <v>1368</v>
      </c>
      <c r="N2">
        <v>1011</v>
      </c>
      <c r="O2" t="s">
        <v>32</v>
      </c>
      <c r="P2" t="s">
        <v>32</v>
      </c>
      <c r="Q2">
        <v>1</v>
      </c>
      <c r="W2">
        <v>0</v>
      </c>
      <c r="X2">
        <v>949674486</v>
      </c>
      <c r="Y2">
        <f t="shared" si="0"/>
        <v>0</v>
      </c>
      <c r="AA2">
        <v>0</v>
      </c>
      <c r="AB2">
        <v>1529.27</v>
      </c>
      <c r="AC2">
        <v>533</v>
      </c>
      <c r="AD2">
        <v>0</v>
      </c>
      <c r="AE2">
        <v>0</v>
      </c>
      <c r="AF2">
        <v>1061.99</v>
      </c>
      <c r="AG2">
        <v>533</v>
      </c>
      <c r="AH2">
        <v>0</v>
      </c>
      <c r="AI2">
        <v>1</v>
      </c>
      <c r="AJ2">
        <v>1.44</v>
      </c>
      <c r="AK2">
        <v>1</v>
      </c>
      <c r="AL2">
        <v>1</v>
      </c>
      <c r="AM2">
        <v>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0</v>
      </c>
      <c r="AU2" t="s">
        <v>21</v>
      </c>
      <c r="AV2">
        <v>1</v>
      </c>
      <c r="AW2">
        <v>2</v>
      </c>
      <c r="AX2">
        <v>50280086</v>
      </c>
      <c r="AY2">
        <v>1</v>
      </c>
      <c r="AZ2">
        <v>6144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f>ROUND(Y2*Source!I24*DO2,7)</f>
        <v>0</v>
      </c>
      <c r="CX2">
        <f>ROUND(Y2*Source!I24,7)</f>
        <v>0</v>
      </c>
      <c r="CY2">
        <f>AB2</f>
        <v>1529.27</v>
      </c>
      <c r="CZ2">
        <f>AF2</f>
        <v>1061.99</v>
      </c>
      <c r="DA2">
        <f>AJ2</f>
        <v>1.44</v>
      </c>
      <c r="DB2">
        <f t="shared" si="1"/>
        <v>0</v>
      </c>
      <c r="DC2">
        <f t="shared" si="2"/>
        <v>0</v>
      </c>
      <c r="DD2" t="s">
        <v>3</v>
      </c>
      <c r="DE2" t="s">
        <v>3</v>
      </c>
      <c r="DF2">
        <f t="shared" si="3"/>
        <v>0</v>
      </c>
      <c r="DG2">
        <f>ROUND(ROUND(AF2*AJ2,2)*CX2,2)</f>
        <v>0</v>
      </c>
      <c r="DH2">
        <f t="shared" si="4"/>
        <v>0</v>
      </c>
      <c r="DI2">
        <f t="shared" si="5"/>
        <v>0</v>
      </c>
      <c r="DJ2">
        <f>DG2+DH2</f>
        <v>0</v>
      </c>
      <c r="DK2">
        <v>0</v>
      </c>
      <c r="DL2" t="s">
        <v>217</v>
      </c>
      <c r="DM2">
        <v>6</v>
      </c>
      <c r="DN2" t="s">
        <v>213</v>
      </c>
      <c r="DO2">
        <v>1</v>
      </c>
    </row>
    <row r="3" spans="1:119" x14ac:dyDescent="0.2">
      <c r="A3">
        <f>ROW(Source!A26)</f>
        <v>26</v>
      </c>
      <c r="B3">
        <v>50279781</v>
      </c>
      <c r="C3">
        <v>50279851</v>
      </c>
      <c r="D3">
        <v>49188735</v>
      </c>
      <c r="E3">
        <v>117</v>
      </c>
      <c r="F3">
        <v>1</v>
      </c>
      <c r="G3">
        <v>1</v>
      </c>
      <c r="H3">
        <v>1</v>
      </c>
      <c r="I3" t="s">
        <v>211</v>
      </c>
      <c r="J3" t="s">
        <v>3</v>
      </c>
      <c r="K3" t="s">
        <v>212</v>
      </c>
      <c r="L3">
        <v>1191</v>
      </c>
      <c r="N3">
        <v>1013</v>
      </c>
      <c r="O3" t="s">
        <v>213</v>
      </c>
      <c r="P3" t="s">
        <v>213</v>
      </c>
      <c r="Q3">
        <v>1</v>
      </c>
      <c r="W3">
        <v>0</v>
      </c>
      <c r="X3">
        <v>-1417349443</v>
      </c>
      <c r="Y3">
        <f t="shared" si="0"/>
        <v>2.9784999999999995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2.59</v>
      </c>
      <c r="AU3" t="s">
        <v>21</v>
      </c>
      <c r="AV3">
        <v>2</v>
      </c>
      <c r="AW3">
        <v>2</v>
      </c>
      <c r="AX3">
        <v>50280087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V3">
        <v>0</v>
      </c>
      <c r="CW3">
        <v>0</v>
      </c>
      <c r="CX3">
        <f>ROUND(Y3*Source!I26,7)</f>
        <v>3.9465124999999999</v>
      </c>
      <c r="CY3">
        <f>AD3</f>
        <v>0</v>
      </c>
      <c r="CZ3">
        <f>AH3</f>
        <v>0</v>
      </c>
      <c r="DA3">
        <f>AL3</f>
        <v>1</v>
      </c>
      <c r="DB3">
        <f t="shared" si="1"/>
        <v>0</v>
      </c>
      <c r="DC3">
        <f t="shared" si="2"/>
        <v>0</v>
      </c>
      <c r="DD3" t="s">
        <v>3</v>
      </c>
      <c r="DE3" t="s">
        <v>3</v>
      </c>
      <c r="DF3">
        <f t="shared" si="3"/>
        <v>0</v>
      </c>
      <c r="DG3">
        <f>ROUND(ROUND(AF3,2)*CX3,2)</f>
        <v>0</v>
      </c>
      <c r="DH3">
        <f t="shared" si="4"/>
        <v>0</v>
      </c>
      <c r="DI3">
        <f t="shared" si="5"/>
        <v>0</v>
      </c>
      <c r="DJ3">
        <f>DI3</f>
        <v>0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ROW(Source!A26)</f>
        <v>26</v>
      </c>
      <c r="B4">
        <v>50279781</v>
      </c>
      <c r="C4">
        <v>50279851</v>
      </c>
      <c r="D4">
        <v>49194794</v>
      </c>
      <c r="E4">
        <v>1</v>
      </c>
      <c r="F4">
        <v>1</v>
      </c>
      <c r="G4">
        <v>1</v>
      </c>
      <c r="H4">
        <v>2</v>
      </c>
      <c r="I4" t="s">
        <v>214</v>
      </c>
      <c r="J4" t="s">
        <v>215</v>
      </c>
      <c r="K4" t="s">
        <v>216</v>
      </c>
      <c r="L4">
        <v>1368</v>
      </c>
      <c r="N4">
        <v>1011</v>
      </c>
      <c r="O4" t="s">
        <v>32</v>
      </c>
      <c r="P4" t="s">
        <v>32</v>
      </c>
      <c r="Q4">
        <v>1</v>
      </c>
      <c r="W4">
        <v>0</v>
      </c>
      <c r="X4">
        <v>949674486</v>
      </c>
      <c r="Y4">
        <f t="shared" si="0"/>
        <v>0</v>
      </c>
      <c r="AA4">
        <v>0</v>
      </c>
      <c r="AB4">
        <v>1529.27</v>
      </c>
      <c r="AC4">
        <v>533</v>
      </c>
      <c r="AD4">
        <v>0</v>
      </c>
      <c r="AE4">
        <v>0</v>
      </c>
      <c r="AF4">
        <v>1061.99</v>
      </c>
      <c r="AG4">
        <v>533</v>
      </c>
      <c r="AH4">
        <v>0</v>
      </c>
      <c r="AI4">
        <v>1</v>
      </c>
      <c r="AJ4">
        <v>1.44</v>
      </c>
      <c r="AK4">
        <v>1</v>
      </c>
      <c r="AL4">
        <v>1</v>
      </c>
      <c r="AM4">
        <v>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0</v>
      </c>
      <c r="AU4" t="s">
        <v>21</v>
      </c>
      <c r="AV4">
        <v>1</v>
      </c>
      <c r="AW4">
        <v>2</v>
      </c>
      <c r="AX4">
        <v>50280088</v>
      </c>
      <c r="AY4">
        <v>1</v>
      </c>
      <c r="AZ4">
        <v>6144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f>ROUND(Y4*Source!I26*DO4,7)</f>
        <v>0</v>
      </c>
      <c r="CX4">
        <f>ROUND(Y4*Source!I26,7)</f>
        <v>0</v>
      </c>
      <c r="CY4">
        <f>AB4</f>
        <v>1529.27</v>
      </c>
      <c r="CZ4">
        <f>AF4</f>
        <v>1061.99</v>
      </c>
      <c r="DA4">
        <f>AJ4</f>
        <v>1.44</v>
      </c>
      <c r="DB4">
        <f t="shared" si="1"/>
        <v>0</v>
      </c>
      <c r="DC4">
        <f t="shared" si="2"/>
        <v>0</v>
      </c>
      <c r="DD4" t="s">
        <v>3</v>
      </c>
      <c r="DE4" t="s">
        <v>3</v>
      </c>
      <c r="DF4">
        <f t="shared" si="3"/>
        <v>0</v>
      </c>
      <c r="DG4">
        <f>ROUND(ROUND(AF4*AJ4,2)*CX4,2)</f>
        <v>0</v>
      </c>
      <c r="DH4">
        <f t="shared" si="4"/>
        <v>0</v>
      </c>
      <c r="DI4">
        <f t="shared" si="5"/>
        <v>0</v>
      </c>
      <c r="DJ4">
        <f>DG4+DH4</f>
        <v>0</v>
      </c>
      <c r="DK4">
        <v>0</v>
      </c>
      <c r="DL4" t="s">
        <v>217</v>
      </c>
      <c r="DM4">
        <v>6</v>
      </c>
      <c r="DN4" t="s">
        <v>213</v>
      </c>
      <c r="DO4">
        <v>1</v>
      </c>
    </row>
    <row r="5" spans="1:119" x14ac:dyDescent="0.2">
      <c r="A5">
        <f>ROW(Source!A28)</f>
        <v>28</v>
      </c>
      <c r="B5">
        <v>50279781</v>
      </c>
      <c r="C5">
        <v>50279856</v>
      </c>
      <c r="D5">
        <v>49188735</v>
      </c>
      <c r="E5">
        <v>117</v>
      </c>
      <c r="F5">
        <v>1</v>
      </c>
      <c r="G5">
        <v>1</v>
      </c>
      <c r="H5">
        <v>1</v>
      </c>
      <c r="I5" t="s">
        <v>211</v>
      </c>
      <c r="J5" t="s">
        <v>3</v>
      </c>
      <c r="K5" t="s">
        <v>212</v>
      </c>
      <c r="L5">
        <v>1191</v>
      </c>
      <c r="N5">
        <v>1013</v>
      </c>
      <c r="O5" t="s">
        <v>213</v>
      </c>
      <c r="P5" t="s">
        <v>213</v>
      </c>
      <c r="Q5">
        <v>1</v>
      </c>
      <c r="W5">
        <v>0</v>
      </c>
      <c r="X5">
        <v>-1417349443</v>
      </c>
      <c r="Y5">
        <f t="shared" si="0"/>
        <v>5.6004999999999994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4.87</v>
      </c>
      <c r="AU5" t="s">
        <v>21</v>
      </c>
      <c r="AV5">
        <v>2</v>
      </c>
      <c r="AW5">
        <v>2</v>
      </c>
      <c r="AX5">
        <v>50280062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V5">
        <v>0</v>
      </c>
      <c r="CW5">
        <v>0</v>
      </c>
      <c r="CX5">
        <f>ROUND(Y5*Source!I28,7)</f>
        <v>7.4206624999999997</v>
      </c>
      <c r="CY5">
        <f>AD5</f>
        <v>0</v>
      </c>
      <c r="CZ5">
        <f>AH5</f>
        <v>0</v>
      </c>
      <c r="DA5">
        <f>AL5</f>
        <v>1</v>
      </c>
      <c r="DB5">
        <f t="shared" si="1"/>
        <v>0</v>
      </c>
      <c r="DC5">
        <f t="shared" si="2"/>
        <v>0</v>
      </c>
      <c r="DD5" t="s">
        <v>3</v>
      </c>
      <c r="DE5" t="s">
        <v>3</v>
      </c>
      <c r="DF5">
        <f t="shared" si="3"/>
        <v>0</v>
      </c>
      <c r="DG5">
        <f t="shared" ref="DG5:DG14" si="6">ROUND(ROUND(AF5,2)*CX5,2)</f>
        <v>0</v>
      </c>
      <c r="DH5">
        <f t="shared" si="4"/>
        <v>0</v>
      </c>
      <c r="DI5">
        <f t="shared" si="5"/>
        <v>0</v>
      </c>
      <c r="DJ5">
        <f>DI5</f>
        <v>0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ROW(Source!A28)</f>
        <v>28</v>
      </c>
      <c r="B6">
        <v>50279781</v>
      </c>
      <c r="C6">
        <v>50279856</v>
      </c>
      <c r="D6">
        <v>49194796</v>
      </c>
      <c r="E6">
        <v>1</v>
      </c>
      <c r="F6">
        <v>1</v>
      </c>
      <c r="G6">
        <v>1</v>
      </c>
      <c r="H6">
        <v>2</v>
      </c>
      <c r="I6" t="s">
        <v>218</v>
      </c>
      <c r="J6" t="s">
        <v>219</v>
      </c>
      <c r="K6" t="s">
        <v>220</v>
      </c>
      <c r="L6">
        <v>1368</v>
      </c>
      <c r="N6">
        <v>1011</v>
      </c>
      <c r="O6" t="s">
        <v>32</v>
      </c>
      <c r="P6" t="s">
        <v>32</v>
      </c>
      <c r="Q6">
        <v>1</v>
      </c>
      <c r="W6">
        <v>0</v>
      </c>
      <c r="X6">
        <v>39168807</v>
      </c>
      <c r="Y6">
        <f t="shared" si="0"/>
        <v>0</v>
      </c>
      <c r="AA6">
        <v>0</v>
      </c>
      <c r="AB6">
        <v>2962.7</v>
      </c>
      <c r="AC6">
        <v>533</v>
      </c>
      <c r="AD6">
        <v>0</v>
      </c>
      <c r="AE6">
        <v>0</v>
      </c>
      <c r="AF6">
        <v>2962.7</v>
      </c>
      <c r="AG6">
        <v>533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0</v>
      </c>
      <c r="AU6" t="s">
        <v>21</v>
      </c>
      <c r="AV6">
        <v>1</v>
      </c>
      <c r="AW6">
        <v>2</v>
      </c>
      <c r="AX6">
        <v>50280063</v>
      </c>
      <c r="AY6">
        <v>1</v>
      </c>
      <c r="AZ6">
        <v>6144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f>ROUND(Y6*Source!I28*DO6,7)</f>
        <v>0</v>
      </c>
      <c r="CX6">
        <f>ROUND(Y6*Source!I28,7)</f>
        <v>0</v>
      </c>
      <c r="CY6">
        <f>AB6</f>
        <v>2962.7</v>
      </c>
      <c r="CZ6">
        <f>AF6</f>
        <v>2962.7</v>
      </c>
      <c r="DA6">
        <f>AJ6</f>
        <v>1</v>
      </c>
      <c r="DB6">
        <f t="shared" si="1"/>
        <v>0</v>
      </c>
      <c r="DC6">
        <f t="shared" si="2"/>
        <v>0</v>
      </c>
      <c r="DD6" t="s">
        <v>3</v>
      </c>
      <c r="DE6" t="s">
        <v>3</v>
      </c>
      <c r="DF6">
        <f t="shared" si="3"/>
        <v>0</v>
      </c>
      <c r="DG6">
        <f t="shared" si="6"/>
        <v>0</v>
      </c>
      <c r="DH6">
        <f t="shared" si="4"/>
        <v>0</v>
      </c>
      <c r="DI6">
        <f t="shared" si="5"/>
        <v>0</v>
      </c>
      <c r="DJ6">
        <f>DG6+DH6</f>
        <v>0</v>
      </c>
      <c r="DK6">
        <v>1</v>
      </c>
      <c r="DL6" t="s">
        <v>217</v>
      </c>
      <c r="DM6">
        <v>6</v>
      </c>
      <c r="DN6" t="s">
        <v>213</v>
      </c>
      <c r="DO6">
        <v>1</v>
      </c>
    </row>
    <row r="7" spans="1:119" x14ac:dyDescent="0.2">
      <c r="A7">
        <f>ROW(Source!A28)</f>
        <v>28</v>
      </c>
      <c r="B7">
        <v>50279781</v>
      </c>
      <c r="C7">
        <v>50279856</v>
      </c>
      <c r="D7">
        <v>49195577</v>
      </c>
      <c r="E7">
        <v>1</v>
      </c>
      <c r="F7">
        <v>1</v>
      </c>
      <c r="G7">
        <v>1</v>
      </c>
      <c r="H7">
        <v>2</v>
      </c>
      <c r="I7" t="s">
        <v>221</v>
      </c>
      <c r="J7" t="s">
        <v>222</v>
      </c>
      <c r="K7" t="s">
        <v>223</v>
      </c>
      <c r="L7">
        <v>1368</v>
      </c>
      <c r="N7">
        <v>1011</v>
      </c>
      <c r="O7" t="s">
        <v>32</v>
      </c>
      <c r="P7" t="s">
        <v>32</v>
      </c>
      <c r="Q7">
        <v>1</v>
      </c>
      <c r="W7">
        <v>0</v>
      </c>
      <c r="X7">
        <v>-170101344</v>
      </c>
      <c r="Y7">
        <f t="shared" si="0"/>
        <v>0</v>
      </c>
      <c r="AA7">
        <v>0</v>
      </c>
      <c r="AB7">
        <v>2638.82</v>
      </c>
      <c r="AC7">
        <v>533</v>
      </c>
      <c r="AD7">
        <v>0</v>
      </c>
      <c r="AE7">
        <v>0</v>
      </c>
      <c r="AF7">
        <v>2638.82</v>
      </c>
      <c r="AG7">
        <v>533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0</v>
      </c>
      <c r="AU7" t="s">
        <v>21</v>
      </c>
      <c r="AV7">
        <v>1</v>
      </c>
      <c r="AW7">
        <v>2</v>
      </c>
      <c r="AX7">
        <v>50280064</v>
      </c>
      <c r="AY7">
        <v>1</v>
      </c>
      <c r="AZ7">
        <v>6144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V7">
        <v>0</v>
      </c>
      <c r="CW7">
        <f>ROUND(Y7*Source!I28*DO7,7)</f>
        <v>0</v>
      </c>
      <c r="CX7">
        <f>ROUND(Y7*Source!I28,7)</f>
        <v>0</v>
      </c>
      <c r="CY7">
        <f>AB7</f>
        <v>2638.82</v>
      </c>
      <c r="CZ7">
        <f>AF7</f>
        <v>2638.82</v>
      </c>
      <c r="DA7">
        <f>AJ7</f>
        <v>1</v>
      </c>
      <c r="DB7">
        <f t="shared" si="1"/>
        <v>0</v>
      </c>
      <c r="DC7">
        <f t="shared" si="2"/>
        <v>0</v>
      </c>
      <c r="DD7" t="s">
        <v>3</v>
      </c>
      <c r="DE7" t="s">
        <v>3</v>
      </c>
      <c r="DF7">
        <f t="shared" si="3"/>
        <v>0</v>
      </c>
      <c r="DG7">
        <f t="shared" si="6"/>
        <v>0</v>
      </c>
      <c r="DH7">
        <f t="shared" si="4"/>
        <v>0</v>
      </c>
      <c r="DI7">
        <f t="shared" si="5"/>
        <v>0</v>
      </c>
      <c r="DJ7">
        <f>DG7+DH7</f>
        <v>0</v>
      </c>
      <c r="DK7">
        <v>1</v>
      </c>
      <c r="DL7" t="s">
        <v>217</v>
      </c>
      <c r="DM7">
        <v>6</v>
      </c>
      <c r="DN7" t="s">
        <v>213</v>
      </c>
      <c r="DO7">
        <v>1</v>
      </c>
    </row>
    <row r="8" spans="1:119" x14ac:dyDescent="0.2">
      <c r="A8">
        <f>ROW(Source!A30)</f>
        <v>30</v>
      </c>
      <c r="B8">
        <v>50279781</v>
      </c>
      <c r="C8">
        <v>50279863</v>
      </c>
      <c r="D8">
        <v>49188735</v>
      </c>
      <c r="E8">
        <v>117</v>
      </c>
      <c r="F8">
        <v>1</v>
      </c>
      <c r="G8">
        <v>1</v>
      </c>
      <c r="H8">
        <v>1</v>
      </c>
      <c r="I8" t="s">
        <v>211</v>
      </c>
      <c r="J8" t="s">
        <v>3</v>
      </c>
      <c r="K8" t="s">
        <v>212</v>
      </c>
      <c r="L8">
        <v>1191</v>
      </c>
      <c r="N8">
        <v>1013</v>
      </c>
      <c r="O8" t="s">
        <v>213</v>
      </c>
      <c r="P8" t="s">
        <v>213</v>
      </c>
      <c r="Q8">
        <v>1</v>
      </c>
      <c r="W8">
        <v>0</v>
      </c>
      <c r="X8">
        <v>-1417349443</v>
      </c>
      <c r="Y8">
        <f>(AT8*ROUND(((0.15+1)*5),7))</f>
        <v>3.8525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0.67</v>
      </c>
      <c r="AU8" t="s">
        <v>52</v>
      </c>
      <c r="AV8">
        <v>2</v>
      </c>
      <c r="AW8">
        <v>2</v>
      </c>
      <c r="AX8">
        <v>50280065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V8">
        <v>0</v>
      </c>
      <c r="CW8">
        <v>0</v>
      </c>
      <c r="CX8">
        <f>ROUND(Y8*Source!I30,7)</f>
        <v>5.1045625000000001</v>
      </c>
      <c r="CY8">
        <f>AD8</f>
        <v>0</v>
      </c>
      <c r="CZ8">
        <f>AH8</f>
        <v>0</v>
      </c>
      <c r="DA8">
        <f>AL8</f>
        <v>1</v>
      </c>
      <c r="DB8">
        <f>ROUND((ROUND(AT8*CZ8,2)*ROUND(((0.15+1)*5),7)),6)</f>
        <v>0</v>
      </c>
      <c r="DC8">
        <f>ROUND((ROUND(AT8*AG8,2)*ROUND(((0.15+1)*5),7)),6)</f>
        <v>0</v>
      </c>
      <c r="DD8" t="s">
        <v>3</v>
      </c>
      <c r="DE8" t="s">
        <v>3</v>
      </c>
      <c r="DF8">
        <f t="shared" si="3"/>
        <v>0</v>
      </c>
      <c r="DG8">
        <f t="shared" si="6"/>
        <v>0</v>
      </c>
      <c r="DH8">
        <f t="shared" si="4"/>
        <v>0</v>
      </c>
      <c r="DI8">
        <f t="shared" si="5"/>
        <v>0</v>
      </c>
      <c r="DJ8">
        <f>DI8</f>
        <v>0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ROW(Source!A30)</f>
        <v>30</v>
      </c>
      <c r="B9">
        <v>50279781</v>
      </c>
      <c r="C9">
        <v>50279863</v>
      </c>
      <c r="D9">
        <v>49195577</v>
      </c>
      <c r="E9">
        <v>1</v>
      </c>
      <c r="F9">
        <v>1</v>
      </c>
      <c r="G9">
        <v>1</v>
      </c>
      <c r="H9">
        <v>2</v>
      </c>
      <c r="I9" t="s">
        <v>221</v>
      </c>
      <c r="J9" t="s">
        <v>222</v>
      </c>
      <c r="K9" t="s">
        <v>223</v>
      </c>
      <c r="L9">
        <v>1368</v>
      </c>
      <c r="N9">
        <v>1011</v>
      </c>
      <c r="O9" t="s">
        <v>32</v>
      </c>
      <c r="P9" t="s">
        <v>32</v>
      </c>
      <c r="Q9">
        <v>1</v>
      </c>
      <c r="W9">
        <v>0</v>
      </c>
      <c r="X9">
        <v>-170101344</v>
      </c>
      <c r="Y9">
        <f>(AT9*ROUND(((0.15+1)*5),7))</f>
        <v>0</v>
      </c>
      <c r="AA9">
        <v>0</v>
      </c>
      <c r="AB9">
        <v>2638.82</v>
      </c>
      <c r="AC9">
        <v>533</v>
      </c>
      <c r="AD9">
        <v>0</v>
      </c>
      <c r="AE9">
        <v>0</v>
      </c>
      <c r="AF9">
        <v>2638.82</v>
      </c>
      <c r="AG9">
        <v>533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0</v>
      </c>
      <c r="AU9" t="s">
        <v>52</v>
      </c>
      <c r="AV9">
        <v>1</v>
      </c>
      <c r="AW9">
        <v>2</v>
      </c>
      <c r="AX9">
        <v>50280066</v>
      </c>
      <c r="AY9">
        <v>1</v>
      </c>
      <c r="AZ9">
        <v>6144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f>ROUND(Y9*Source!I30*DO9,7)</f>
        <v>0</v>
      </c>
      <c r="CX9">
        <f>ROUND(Y9*Source!I30,7)</f>
        <v>0</v>
      </c>
      <c r="CY9">
        <f>AB9</f>
        <v>2638.82</v>
      </c>
      <c r="CZ9">
        <f>AF9</f>
        <v>2638.82</v>
      </c>
      <c r="DA9">
        <f>AJ9</f>
        <v>1</v>
      </c>
      <c r="DB9">
        <f>ROUND((ROUND(AT9*CZ9,2)*ROUND(((0.15+1)*5),7)),6)</f>
        <v>0</v>
      </c>
      <c r="DC9">
        <f>ROUND((ROUND(AT9*AG9,2)*ROUND(((0.15+1)*5),7)),6)</f>
        <v>0</v>
      </c>
      <c r="DD9" t="s">
        <v>3</v>
      </c>
      <c r="DE9" t="s">
        <v>3</v>
      </c>
      <c r="DF9">
        <f t="shared" si="3"/>
        <v>0</v>
      </c>
      <c r="DG9">
        <f t="shared" si="6"/>
        <v>0</v>
      </c>
      <c r="DH9">
        <f t="shared" si="4"/>
        <v>0</v>
      </c>
      <c r="DI9">
        <f t="shared" si="5"/>
        <v>0</v>
      </c>
      <c r="DJ9">
        <f>DG9+DH9</f>
        <v>0</v>
      </c>
      <c r="DK9">
        <v>1</v>
      </c>
      <c r="DL9" t="s">
        <v>217</v>
      </c>
      <c r="DM9">
        <v>6</v>
      </c>
      <c r="DN9" t="s">
        <v>213</v>
      </c>
      <c r="DO9">
        <v>1</v>
      </c>
    </row>
    <row r="10" spans="1:119" x14ac:dyDescent="0.2">
      <c r="A10">
        <f>ROW(Source!A32)</f>
        <v>32</v>
      </c>
      <c r="B10">
        <v>50279781</v>
      </c>
      <c r="C10">
        <v>50279869</v>
      </c>
      <c r="D10">
        <v>49188467</v>
      </c>
      <c r="E10">
        <v>117</v>
      </c>
      <c r="F10">
        <v>1</v>
      </c>
      <c r="G10">
        <v>1</v>
      </c>
      <c r="H10">
        <v>1</v>
      </c>
      <c r="I10" t="s">
        <v>224</v>
      </c>
      <c r="J10" t="s">
        <v>3</v>
      </c>
      <c r="K10" t="s">
        <v>225</v>
      </c>
      <c r="L10">
        <v>1191</v>
      </c>
      <c r="N10">
        <v>1013</v>
      </c>
      <c r="O10" t="s">
        <v>213</v>
      </c>
      <c r="P10" t="s">
        <v>213</v>
      </c>
      <c r="Q10">
        <v>1</v>
      </c>
      <c r="W10">
        <v>0</v>
      </c>
      <c r="X10">
        <v>1547839991</v>
      </c>
      <c r="Y10">
        <f>(AT10*ROUND((0.15+1),7))</f>
        <v>15.996499999999999</v>
      </c>
      <c r="AA10">
        <v>0</v>
      </c>
      <c r="AB10">
        <v>0</v>
      </c>
      <c r="AC10">
        <v>0</v>
      </c>
      <c r="AD10">
        <v>296.11</v>
      </c>
      <c r="AE10">
        <v>0</v>
      </c>
      <c r="AF10">
        <v>0</v>
      </c>
      <c r="AG10">
        <v>0</v>
      </c>
      <c r="AH10">
        <v>296.11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3</v>
      </c>
      <c r="AT10">
        <v>13.91</v>
      </c>
      <c r="AU10" t="s">
        <v>21</v>
      </c>
      <c r="AV10">
        <v>1</v>
      </c>
      <c r="AW10">
        <v>2</v>
      </c>
      <c r="AX10">
        <v>50279874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4118.8901000000005</v>
      </c>
      <c r="BN10">
        <v>13.91</v>
      </c>
      <c r="BO10">
        <v>0</v>
      </c>
      <c r="BP10">
        <v>1</v>
      </c>
      <c r="BQ10">
        <v>0</v>
      </c>
      <c r="BR10">
        <v>0</v>
      </c>
      <c r="BS10">
        <v>0</v>
      </c>
      <c r="BT10">
        <v>4736.7236149999999</v>
      </c>
      <c r="BU10">
        <v>15.996499999999999</v>
      </c>
      <c r="BV10">
        <v>0</v>
      </c>
      <c r="BW10">
        <v>1</v>
      </c>
      <c r="CU10">
        <f>ROUND(AT10*Source!I32*AH10*AL10,2)</f>
        <v>5457.53</v>
      </c>
      <c r="CV10">
        <f>ROUND(Y10*Source!I32,7)</f>
        <v>21.195362500000002</v>
      </c>
      <c r="CW10">
        <v>0</v>
      </c>
      <c r="CX10">
        <f>ROUND(Y10*Source!I32,7)</f>
        <v>21.195362500000002</v>
      </c>
      <c r="CY10">
        <f>AD10</f>
        <v>296.11</v>
      </c>
      <c r="CZ10">
        <f>AH10</f>
        <v>296.11</v>
      </c>
      <c r="DA10">
        <f>AL10</f>
        <v>1</v>
      </c>
      <c r="DB10">
        <f>ROUND((ROUND(AT10*CZ10,2)*ROUND((0.15+1),7)),6)</f>
        <v>4736.7235000000001</v>
      </c>
      <c r="DC10">
        <f>ROUND((ROUND(AT10*AG10,2)*ROUND((0.15+1),7)),6)</f>
        <v>0</v>
      </c>
      <c r="DD10" t="s">
        <v>3</v>
      </c>
      <c r="DE10" t="s">
        <v>3</v>
      </c>
      <c r="DF10">
        <f t="shared" si="3"/>
        <v>0</v>
      </c>
      <c r="DG10">
        <f t="shared" si="6"/>
        <v>0</v>
      </c>
      <c r="DH10">
        <f t="shared" si="4"/>
        <v>0</v>
      </c>
      <c r="DI10">
        <f t="shared" si="5"/>
        <v>6276.16</v>
      </c>
      <c r="DJ10">
        <f>DI10</f>
        <v>6276.16</v>
      </c>
      <c r="DK10">
        <v>1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ROW(Source!A32)</f>
        <v>32</v>
      </c>
      <c r="B11">
        <v>50279781</v>
      </c>
      <c r="C11">
        <v>50279869</v>
      </c>
      <c r="D11">
        <v>49188735</v>
      </c>
      <c r="E11">
        <v>117</v>
      </c>
      <c r="F11">
        <v>1</v>
      </c>
      <c r="G11">
        <v>1</v>
      </c>
      <c r="H11">
        <v>1</v>
      </c>
      <c r="I11" t="s">
        <v>211</v>
      </c>
      <c r="J11" t="s">
        <v>3</v>
      </c>
      <c r="K11" t="s">
        <v>212</v>
      </c>
      <c r="L11">
        <v>1191</v>
      </c>
      <c r="N11">
        <v>1013</v>
      </c>
      <c r="O11" t="s">
        <v>213</v>
      </c>
      <c r="P11" t="s">
        <v>213</v>
      </c>
      <c r="Q11">
        <v>1</v>
      </c>
      <c r="W11">
        <v>0</v>
      </c>
      <c r="X11">
        <v>-1417349443</v>
      </c>
      <c r="Y11">
        <f>(AT11*ROUND((0.15+1),7))</f>
        <v>14.029999999999998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12.2</v>
      </c>
      <c r="AU11" t="s">
        <v>21</v>
      </c>
      <c r="AV11">
        <v>2</v>
      </c>
      <c r="AW11">
        <v>2</v>
      </c>
      <c r="AX11">
        <v>50279875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V11">
        <v>0</v>
      </c>
      <c r="CW11">
        <v>0</v>
      </c>
      <c r="CX11">
        <f>ROUND(Y11*Source!I32,7)</f>
        <v>18.589749999999999</v>
      </c>
      <c r="CY11">
        <f>AD11</f>
        <v>0</v>
      </c>
      <c r="CZ11">
        <f>AH11</f>
        <v>0</v>
      </c>
      <c r="DA11">
        <f>AL11</f>
        <v>1</v>
      </c>
      <c r="DB11">
        <f>ROUND((ROUND(AT11*CZ11,2)*ROUND((0.15+1),7)),6)</f>
        <v>0</v>
      </c>
      <c r="DC11">
        <f>ROUND((ROUND(AT11*AG11,2)*ROUND((0.15+1),7)),6)</f>
        <v>0</v>
      </c>
      <c r="DD11" t="s">
        <v>3</v>
      </c>
      <c r="DE11" t="s">
        <v>3</v>
      </c>
      <c r="DF11">
        <f t="shared" si="3"/>
        <v>0</v>
      </c>
      <c r="DG11">
        <f t="shared" si="6"/>
        <v>0</v>
      </c>
      <c r="DH11">
        <f t="shared" si="4"/>
        <v>0</v>
      </c>
      <c r="DI11">
        <f t="shared" si="5"/>
        <v>0</v>
      </c>
      <c r="DJ11">
        <f>DI11</f>
        <v>0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ROW(Source!A32)</f>
        <v>32</v>
      </c>
      <c r="B12">
        <v>50279781</v>
      </c>
      <c r="C12">
        <v>50279869</v>
      </c>
      <c r="D12">
        <v>49196068</v>
      </c>
      <c r="E12">
        <v>1</v>
      </c>
      <c r="F12">
        <v>1</v>
      </c>
      <c r="G12">
        <v>1</v>
      </c>
      <c r="H12">
        <v>2</v>
      </c>
      <c r="I12" t="s">
        <v>226</v>
      </c>
      <c r="J12" t="s">
        <v>227</v>
      </c>
      <c r="K12" t="s">
        <v>228</v>
      </c>
      <c r="L12">
        <v>1368</v>
      </c>
      <c r="N12">
        <v>1011</v>
      </c>
      <c r="O12" t="s">
        <v>32</v>
      </c>
      <c r="P12" t="s">
        <v>32</v>
      </c>
      <c r="Q12">
        <v>1</v>
      </c>
      <c r="W12">
        <v>0</v>
      </c>
      <c r="X12">
        <v>1946144087</v>
      </c>
      <c r="Y12">
        <f>(AT12*ROUND((0.15+1),7))</f>
        <v>14.029999999999998</v>
      </c>
      <c r="AA12">
        <v>0</v>
      </c>
      <c r="AB12">
        <v>1539.13</v>
      </c>
      <c r="AC12">
        <v>396.79</v>
      </c>
      <c r="AD12">
        <v>0</v>
      </c>
      <c r="AE12">
        <v>0</v>
      </c>
      <c r="AF12">
        <v>1539.13</v>
      </c>
      <c r="AG12">
        <v>396.79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12.2</v>
      </c>
      <c r="AU12" t="s">
        <v>21</v>
      </c>
      <c r="AV12">
        <v>1</v>
      </c>
      <c r="AW12">
        <v>2</v>
      </c>
      <c r="AX12">
        <v>50279876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18777.385999999999</v>
      </c>
      <c r="BL12">
        <v>4840.8379999999997</v>
      </c>
      <c r="BM12">
        <v>0</v>
      </c>
      <c r="BN12">
        <v>0</v>
      </c>
      <c r="BO12">
        <v>12.2</v>
      </c>
      <c r="BP12">
        <v>1</v>
      </c>
      <c r="BQ12">
        <v>0</v>
      </c>
      <c r="BR12">
        <v>21593.993899999998</v>
      </c>
      <c r="BS12">
        <v>5566.9636999999993</v>
      </c>
      <c r="BT12">
        <v>0</v>
      </c>
      <c r="BU12">
        <v>0</v>
      </c>
      <c r="BV12">
        <v>14.029999999999998</v>
      </c>
      <c r="BW12">
        <v>1</v>
      </c>
      <c r="CV12">
        <v>0</v>
      </c>
      <c r="CW12">
        <f>ROUND(Y12*Source!I32*DO12,7)</f>
        <v>18.589749999999999</v>
      </c>
      <c r="CX12">
        <f>ROUND(Y12*Source!I32,7)</f>
        <v>18.589749999999999</v>
      </c>
      <c r="CY12">
        <f>AB12</f>
        <v>1539.13</v>
      </c>
      <c r="CZ12">
        <f>AF12</f>
        <v>1539.13</v>
      </c>
      <c r="DA12">
        <f>AJ12</f>
        <v>1</v>
      </c>
      <c r="DB12">
        <f>ROUND((ROUND(AT12*CZ12,2)*ROUND((0.15+1),7)),6)</f>
        <v>21593.998500000002</v>
      </c>
      <c r="DC12">
        <f>ROUND((ROUND(AT12*AG12,2)*ROUND((0.15+1),7)),6)</f>
        <v>5566.9660000000003</v>
      </c>
      <c r="DD12" t="s">
        <v>3</v>
      </c>
      <c r="DE12" t="s">
        <v>3</v>
      </c>
      <c r="DF12">
        <f t="shared" si="3"/>
        <v>0</v>
      </c>
      <c r="DG12">
        <f t="shared" si="6"/>
        <v>28612.04</v>
      </c>
      <c r="DH12">
        <f t="shared" si="4"/>
        <v>7376.23</v>
      </c>
      <c r="DI12">
        <f t="shared" si="5"/>
        <v>0</v>
      </c>
      <c r="DJ12">
        <f>DG12+DH12</f>
        <v>35988.270000000004</v>
      </c>
      <c r="DK12">
        <v>1</v>
      </c>
      <c r="DL12" t="s">
        <v>229</v>
      </c>
      <c r="DM12">
        <v>4</v>
      </c>
      <c r="DN12" t="s">
        <v>213</v>
      </c>
      <c r="DO12">
        <v>1</v>
      </c>
    </row>
    <row r="13" spans="1:119" x14ac:dyDescent="0.2">
      <c r="A13">
        <f>ROW(Source!A32)</f>
        <v>32</v>
      </c>
      <c r="B13">
        <v>50279781</v>
      </c>
      <c r="C13">
        <v>50279869</v>
      </c>
      <c r="D13">
        <v>49262877</v>
      </c>
      <c r="E13">
        <v>1</v>
      </c>
      <c r="F13">
        <v>1</v>
      </c>
      <c r="G13">
        <v>1</v>
      </c>
      <c r="H13">
        <v>3</v>
      </c>
      <c r="I13" t="s">
        <v>230</v>
      </c>
      <c r="J13" t="s">
        <v>231</v>
      </c>
      <c r="K13" t="s">
        <v>232</v>
      </c>
      <c r="L13">
        <v>1339</v>
      </c>
      <c r="N13">
        <v>1007</v>
      </c>
      <c r="O13" t="s">
        <v>233</v>
      </c>
      <c r="P13" t="s">
        <v>233</v>
      </c>
      <c r="Q13">
        <v>1</v>
      </c>
      <c r="W13">
        <v>0</v>
      </c>
      <c r="X13">
        <v>1964556667</v>
      </c>
      <c r="Y13">
        <f>AT13</f>
        <v>100</v>
      </c>
      <c r="AA13">
        <v>30.35</v>
      </c>
      <c r="AB13">
        <v>0</v>
      </c>
      <c r="AC13">
        <v>0</v>
      </c>
      <c r="AD13">
        <v>0</v>
      </c>
      <c r="AE13">
        <v>35.71</v>
      </c>
      <c r="AF13">
        <v>0</v>
      </c>
      <c r="AG13">
        <v>0</v>
      </c>
      <c r="AH13">
        <v>0</v>
      </c>
      <c r="AI13">
        <v>0.85</v>
      </c>
      <c r="AJ13">
        <v>1</v>
      </c>
      <c r="AK13">
        <v>1</v>
      </c>
      <c r="AL13">
        <v>1</v>
      </c>
      <c r="AM13">
        <v>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3</v>
      </c>
      <c r="AT13">
        <v>100</v>
      </c>
      <c r="AU13" t="s">
        <v>3</v>
      </c>
      <c r="AV13">
        <v>0</v>
      </c>
      <c r="AW13">
        <v>2</v>
      </c>
      <c r="AX13">
        <v>50279877</v>
      </c>
      <c r="AY13">
        <v>1</v>
      </c>
      <c r="AZ13">
        <v>0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3571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3571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CV13">
        <v>0</v>
      </c>
      <c r="CW13">
        <v>0</v>
      </c>
      <c r="CX13">
        <f>ROUND(Y13*Source!I32,7)</f>
        <v>132.5</v>
      </c>
      <c r="CY13">
        <f>AA13</f>
        <v>30.35</v>
      </c>
      <c r="CZ13">
        <f>AE13</f>
        <v>35.71</v>
      </c>
      <c r="DA13">
        <f>AI13</f>
        <v>0.85</v>
      </c>
      <c r="DB13">
        <f>ROUND(ROUND(AT13*CZ13,2),6)</f>
        <v>3571</v>
      </c>
      <c r="DC13">
        <f>ROUND(ROUND(AT13*AG13,2),6)</f>
        <v>0</v>
      </c>
      <c r="DD13" t="s">
        <v>3</v>
      </c>
      <c r="DE13" t="s">
        <v>3</v>
      </c>
      <c r="DF13">
        <f>ROUND(ROUND(AE13*AI13,2)*CX13,2)</f>
        <v>4021.38</v>
      </c>
      <c r="DG13">
        <f t="shared" si="6"/>
        <v>0</v>
      </c>
      <c r="DH13">
        <f t="shared" si="4"/>
        <v>0</v>
      </c>
      <c r="DI13">
        <f t="shared" si="5"/>
        <v>0</v>
      </c>
      <c r="DJ13">
        <f>DF13</f>
        <v>4021.38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ROW(Source!A33)</f>
        <v>33</v>
      </c>
      <c r="B14">
        <v>50279781</v>
      </c>
      <c r="C14">
        <v>50280057</v>
      </c>
      <c r="D14">
        <v>0</v>
      </c>
      <c r="E14">
        <v>0</v>
      </c>
      <c r="F14">
        <v>1</v>
      </c>
      <c r="G14">
        <v>1</v>
      </c>
      <c r="H14">
        <v>2</v>
      </c>
      <c r="I14" t="s">
        <v>3</v>
      </c>
      <c r="J14" t="s">
        <v>3</v>
      </c>
      <c r="K14" t="s">
        <v>234</v>
      </c>
      <c r="L14">
        <v>1371</v>
      </c>
      <c r="N14">
        <v>1013</v>
      </c>
      <c r="O14" t="s">
        <v>61</v>
      </c>
      <c r="P14" t="s">
        <v>61</v>
      </c>
      <c r="Q14">
        <v>1</v>
      </c>
      <c r="W14">
        <v>0</v>
      </c>
      <c r="X14">
        <v>-1268781305</v>
      </c>
      <c r="Y14">
        <f>AT14</f>
        <v>1</v>
      </c>
      <c r="AA14">
        <v>0</v>
      </c>
      <c r="AB14">
        <v>30000</v>
      </c>
      <c r="AC14">
        <v>0</v>
      </c>
      <c r="AD14">
        <v>0</v>
      </c>
      <c r="AE14">
        <v>0</v>
      </c>
      <c r="AF14">
        <v>30000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0</v>
      </c>
      <c r="AN14">
        <v>0</v>
      </c>
      <c r="AO14">
        <v>0</v>
      </c>
      <c r="AP14">
        <v>2</v>
      </c>
      <c r="AQ14">
        <v>1</v>
      </c>
      <c r="AR14">
        <v>0</v>
      </c>
      <c r="AS14" t="s">
        <v>3</v>
      </c>
      <c r="AT14">
        <v>1</v>
      </c>
      <c r="AU14" t="s">
        <v>3</v>
      </c>
      <c r="AV14">
        <v>0</v>
      </c>
      <c r="AW14">
        <v>1</v>
      </c>
      <c r="AX14">
        <v>-1</v>
      </c>
      <c r="AY14">
        <v>0</v>
      </c>
      <c r="AZ14">
        <v>0</v>
      </c>
      <c r="BA14" t="s">
        <v>3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30000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0</v>
      </c>
      <c r="BR14">
        <v>30000</v>
      </c>
      <c r="BS14">
        <v>0</v>
      </c>
      <c r="BT14">
        <v>0</v>
      </c>
      <c r="BU14">
        <v>0</v>
      </c>
      <c r="BV14">
        <v>0</v>
      </c>
      <c r="BW14">
        <v>1</v>
      </c>
      <c r="CV14">
        <v>0</v>
      </c>
      <c r="CW14">
        <f>ROUND(Y14*Source!I33*DO14,7)</f>
        <v>0</v>
      </c>
      <c r="CX14">
        <f>ROUND(Y14*Source!I33,7)</f>
        <v>2</v>
      </c>
      <c r="CY14">
        <f>AB14</f>
        <v>30000</v>
      </c>
      <c r="CZ14">
        <f>AF14</f>
        <v>30000</v>
      </c>
      <c r="DA14">
        <f>AJ14</f>
        <v>1</v>
      </c>
      <c r="DB14">
        <f>ROUND(ROUND(AT14*CZ14,2),6)</f>
        <v>30000</v>
      </c>
      <c r="DC14">
        <f>ROUND(ROUND(AT14*AG14,2),6)</f>
        <v>0</v>
      </c>
      <c r="DD14" t="s">
        <v>3</v>
      </c>
      <c r="DE14" t="s">
        <v>3</v>
      </c>
      <c r="DF14">
        <f>ROUND(ROUND(AE14,2)*CX14,2)</f>
        <v>0</v>
      </c>
      <c r="DG14">
        <f t="shared" si="6"/>
        <v>60000</v>
      </c>
      <c r="DH14">
        <f t="shared" si="4"/>
        <v>0</v>
      </c>
      <c r="DI14">
        <f t="shared" si="5"/>
        <v>0</v>
      </c>
      <c r="DJ14">
        <f>DG14+DH14</f>
        <v>60000</v>
      </c>
      <c r="DK14">
        <v>2</v>
      </c>
      <c r="DL14" t="s">
        <v>3</v>
      </c>
      <c r="DM14">
        <v>0</v>
      </c>
      <c r="DN14" t="s">
        <v>3</v>
      </c>
      <c r="DO14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"/>
  <sheetViews>
    <sheetView workbookViewId="0"/>
  </sheetViews>
  <sheetFormatPr defaultColWidth="9.125" defaultRowHeight="12.85" x14ac:dyDescent="0.2"/>
  <cols>
    <col min="1" max="256" width="9.125" customWidth="1"/>
  </cols>
  <sheetData>
    <row r="1" spans="1:44" x14ac:dyDescent="0.2">
      <c r="A1">
        <f>ROW(Source!A24)</f>
        <v>24</v>
      </c>
      <c r="B1">
        <v>50280085</v>
      </c>
      <c r="C1">
        <v>50279846</v>
      </c>
      <c r="D1">
        <v>49188735</v>
      </c>
      <c r="E1">
        <v>117</v>
      </c>
      <c r="F1">
        <v>1</v>
      </c>
      <c r="G1">
        <v>1</v>
      </c>
      <c r="H1">
        <v>1</v>
      </c>
      <c r="I1" t="s">
        <v>211</v>
      </c>
      <c r="J1" t="s">
        <v>3</v>
      </c>
      <c r="K1" t="s">
        <v>212</v>
      </c>
      <c r="L1">
        <v>1191</v>
      </c>
      <c r="N1">
        <v>1013</v>
      </c>
      <c r="O1" t="s">
        <v>213</v>
      </c>
      <c r="P1" t="s">
        <v>213</v>
      </c>
      <c r="Q1">
        <v>1</v>
      </c>
      <c r="X1">
        <v>5.37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2</v>
      </c>
      <c r="AF1" t="s">
        <v>21</v>
      </c>
      <c r="AG1">
        <v>6.1754999999999995</v>
      </c>
      <c r="AH1">
        <v>2</v>
      </c>
      <c r="AI1">
        <v>50280085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ROW(Source!A24)</f>
        <v>24</v>
      </c>
      <c r="B2">
        <v>50280086</v>
      </c>
      <c r="C2">
        <v>50279846</v>
      </c>
      <c r="D2">
        <v>49194794</v>
      </c>
      <c r="E2">
        <v>1</v>
      </c>
      <c r="F2">
        <v>1</v>
      </c>
      <c r="G2">
        <v>1</v>
      </c>
      <c r="H2">
        <v>2</v>
      </c>
      <c r="I2" t="s">
        <v>214</v>
      </c>
      <c r="J2" t="s">
        <v>215</v>
      </c>
      <c r="K2" t="s">
        <v>216</v>
      </c>
      <c r="L2">
        <v>1368</v>
      </c>
      <c r="N2">
        <v>1011</v>
      </c>
      <c r="O2" t="s">
        <v>32</v>
      </c>
      <c r="P2" t="s">
        <v>32</v>
      </c>
      <c r="Q2">
        <v>1</v>
      </c>
      <c r="X2">
        <v>5.37</v>
      </c>
      <c r="Y2">
        <v>0</v>
      </c>
      <c r="Z2">
        <v>1061.99</v>
      </c>
      <c r="AA2">
        <v>533</v>
      </c>
      <c r="AB2">
        <v>0</v>
      </c>
      <c r="AC2">
        <v>0</v>
      </c>
      <c r="AD2">
        <v>1</v>
      </c>
      <c r="AE2">
        <v>0</v>
      </c>
      <c r="AF2" t="s">
        <v>21</v>
      </c>
      <c r="AG2">
        <v>6.1754999999999995</v>
      </c>
      <c r="AH2">
        <v>2</v>
      </c>
      <c r="AI2">
        <v>50280086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ROW(Source!A26)</f>
        <v>26</v>
      </c>
      <c r="B3">
        <v>50280087</v>
      </c>
      <c r="C3">
        <v>50279851</v>
      </c>
      <c r="D3">
        <v>49188735</v>
      </c>
      <c r="E3">
        <v>117</v>
      </c>
      <c r="F3">
        <v>1</v>
      </c>
      <c r="G3">
        <v>1</v>
      </c>
      <c r="H3">
        <v>1</v>
      </c>
      <c r="I3" t="s">
        <v>211</v>
      </c>
      <c r="J3" t="s">
        <v>3</v>
      </c>
      <c r="K3" t="s">
        <v>212</v>
      </c>
      <c r="L3">
        <v>1191</v>
      </c>
      <c r="N3">
        <v>1013</v>
      </c>
      <c r="O3" t="s">
        <v>213</v>
      </c>
      <c r="P3" t="s">
        <v>213</v>
      </c>
      <c r="Q3">
        <v>1</v>
      </c>
      <c r="X3">
        <v>2.59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2</v>
      </c>
      <c r="AF3" t="s">
        <v>21</v>
      </c>
      <c r="AG3">
        <v>2.9784999999999995</v>
      </c>
      <c r="AH3">
        <v>2</v>
      </c>
      <c r="AI3">
        <v>50280087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ROW(Source!A26)</f>
        <v>26</v>
      </c>
      <c r="B4">
        <v>50280088</v>
      </c>
      <c r="C4">
        <v>50279851</v>
      </c>
      <c r="D4">
        <v>49194794</v>
      </c>
      <c r="E4">
        <v>1</v>
      </c>
      <c r="F4">
        <v>1</v>
      </c>
      <c r="G4">
        <v>1</v>
      </c>
      <c r="H4">
        <v>2</v>
      </c>
      <c r="I4" t="s">
        <v>214</v>
      </c>
      <c r="J4" t="s">
        <v>215</v>
      </c>
      <c r="K4" t="s">
        <v>216</v>
      </c>
      <c r="L4">
        <v>1368</v>
      </c>
      <c r="N4">
        <v>1011</v>
      </c>
      <c r="O4" t="s">
        <v>32</v>
      </c>
      <c r="P4" t="s">
        <v>32</v>
      </c>
      <c r="Q4">
        <v>1</v>
      </c>
      <c r="X4">
        <v>2.59</v>
      </c>
      <c r="Y4">
        <v>0</v>
      </c>
      <c r="Z4">
        <v>1061.99</v>
      </c>
      <c r="AA4">
        <v>533</v>
      </c>
      <c r="AB4">
        <v>0</v>
      </c>
      <c r="AC4">
        <v>0</v>
      </c>
      <c r="AD4">
        <v>1</v>
      </c>
      <c r="AE4">
        <v>0</v>
      </c>
      <c r="AF4" t="s">
        <v>21</v>
      </c>
      <c r="AG4">
        <v>2.9784999999999995</v>
      </c>
      <c r="AH4">
        <v>2</v>
      </c>
      <c r="AI4">
        <v>50280088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ROW(Source!A28)</f>
        <v>28</v>
      </c>
      <c r="B5">
        <v>50280062</v>
      </c>
      <c r="C5">
        <v>50279856</v>
      </c>
      <c r="D5">
        <v>49188735</v>
      </c>
      <c r="E5">
        <v>117</v>
      </c>
      <c r="F5">
        <v>1</v>
      </c>
      <c r="G5">
        <v>1</v>
      </c>
      <c r="H5">
        <v>1</v>
      </c>
      <c r="I5" t="s">
        <v>211</v>
      </c>
      <c r="J5" t="s">
        <v>3</v>
      </c>
      <c r="K5" t="s">
        <v>212</v>
      </c>
      <c r="L5">
        <v>1191</v>
      </c>
      <c r="N5">
        <v>1013</v>
      </c>
      <c r="O5" t="s">
        <v>213</v>
      </c>
      <c r="P5" t="s">
        <v>213</v>
      </c>
      <c r="Q5">
        <v>1</v>
      </c>
      <c r="X5">
        <v>4.87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2</v>
      </c>
      <c r="AF5" t="s">
        <v>21</v>
      </c>
      <c r="AG5">
        <v>5.6004999999999994</v>
      </c>
      <c r="AH5">
        <v>2</v>
      </c>
      <c r="AI5">
        <v>50280062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ROW(Source!A28)</f>
        <v>28</v>
      </c>
      <c r="B6">
        <v>50280063</v>
      </c>
      <c r="C6">
        <v>50279856</v>
      </c>
      <c r="D6">
        <v>49194796</v>
      </c>
      <c r="E6">
        <v>1</v>
      </c>
      <c r="F6">
        <v>1</v>
      </c>
      <c r="G6">
        <v>1</v>
      </c>
      <c r="H6">
        <v>2</v>
      </c>
      <c r="I6" t="s">
        <v>218</v>
      </c>
      <c r="J6" t="s">
        <v>219</v>
      </c>
      <c r="K6" t="s">
        <v>220</v>
      </c>
      <c r="L6">
        <v>1368</v>
      </c>
      <c r="N6">
        <v>1011</v>
      </c>
      <c r="O6" t="s">
        <v>32</v>
      </c>
      <c r="P6" t="s">
        <v>32</v>
      </c>
      <c r="Q6">
        <v>1</v>
      </c>
      <c r="X6">
        <v>4.0999999999999996</v>
      </c>
      <c r="Y6">
        <v>0</v>
      </c>
      <c r="Z6">
        <v>2962.7</v>
      </c>
      <c r="AA6">
        <v>533</v>
      </c>
      <c r="AB6">
        <v>0</v>
      </c>
      <c r="AC6">
        <v>0</v>
      </c>
      <c r="AD6">
        <v>1</v>
      </c>
      <c r="AE6">
        <v>0</v>
      </c>
      <c r="AF6" t="s">
        <v>21</v>
      </c>
      <c r="AG6">
        <v>4.714999999999999</v>
      </c>
      <c r="AH6">
        <v>2</v>
      </c>
      <c r="AI6">
        <v>50280063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ROW(Source!A28)</f>
        <v>28</v>
      </c>
      <c r="B7">
        <v>50280064</v>
      </c>
      <c r="C7">
        <v>50279856</v>
      </c>
      <c r="D7">
        <v>49195577</v>
      </c>
      <c r="E7">
        <v>1</v>
      </c>
      <c r="F7">
        <v>1</v>
      </c>
      <c r="G7">
        <v>1</v>
      </c>
      <c r="H7">
        <v>2</v>
      </c>
      <c r="I7" t="s">
        <v>221</v>
      </c>
      <c r="J7" t="s">
        <v>222</v>
      </c>
      <c r="K7" t="s">
        <v>223</v>
      </c>
      <c r="L7">
        <v>1368</v>
      </c>
      <c r="N7">
        <v>1011</v>
      </c>
      <c r="O7" t="s">
        <v>32</v>
      </c>
      <c r="P7" t="s">
        <v>32</v>
      </c>
      <c r="Q7">
        <v>1</v>
      </c>
      <c r="X7">
        <v>0.77</v>
      </c>
      <c r="Y7">
        <v>0</v>
      </c>
      <c r="Z7">
        <v>2638.82</v>
      </c>
      <c r="AA7">
        <v>533</v>
      </c>
      <c r="AB7">
        <v>0</v>
      </c>
      <c r="AC7">
        <v>0</v>
      </c>
      <c r="AD7">
        <v>1</v>
      </c>
      <c r="AE7">
        <v>0</v>
      </c>
      <c r="AF7" t="s">
        <v>21</v>
      </c>
      <c r="AG7">
        <v>0.88549999999999995</v>
      </c>
      <c r="AH7">
        <v>2</v>
      </c>
      <c r="AI7">
        <v>50280064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ROW(Source!A30)</f>
        <v>30</v>
      </c>
      <c r="B8">
        <v>50280065</v>
      </c>
      <c r="C8">
        <v>50279863</v>
      </c>
      <c r="D8">
        <v>49188735</v>
      </c>
      <c r="E8">
        <v>117</v>
      </c>
      <c r="F8">
        <v>1</v>
      </c>
      <c r="G8">
        <v>1</v>
      </c>
      <c r="H8">
        <v>1</v>
      </c>
      <c r="I8" t="s">
        <v>211</v>
      </c>
      <c r="J8" t="s">
        <v>3</v>
      </c>
      <c r="K8" t="s">
        <v>212</v>
      </c>
      <c r="L8">
        <v>1191</v>
      </c>
      <c r="N8">
        <v>1013</v>
      </c>
      <c r="O8" t="s">
        <v>213</v>
      </c>
      <c r="P8" t="s">
        <v>213</v>
      </c>
      <c r="Q8">
        <v>1</v>
      </c>
      <c r="X8">
        <v>0.67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2</v>
      </c>
      <c r="AF8" t="s">
        <v>52</v>
      </c>
      <c r="AG8">
        <v>3.8525</v>
      </c>
      <c r="AH8">
        <v>2</v>
      </c>
      <c r="AI8">
        <v>50280065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ROW(Source!A30)</f>
        <v>30</v>
      </c>
      <c r="B9">
        <v>50280066</v>
      </c>
      <c r="C9">
        <v>50279863</v>
      </c>
      <c r="D9">
        <v>49195577</v>
      </c>
      <c r="E9">
        <v>1</v>
      </c>
      <c r="F9">
        <v>1</v>
      </c>
      <c r="G9">
        <v>1</v>
      </c>
      <c r="H9">
        <v>2</v>
      </c>
      <c r="I9" t="s">
        <v>221</v>
      </c>
      <c r="J9" t="s">
        <v>222</v>
      </c>
      <c r="K9" t="s">
        <v>223</v>
      </c>
      <c r="L9">
        <v>1368</v>
      </c>
      <c r="N9">
        <v>1011</v>
      </c>
      <c r="O9" t="s">
        <v>32</v>
      </c>
      <c r="P9" t="s">
        <v>32</v>
      </c>
      <c r="Q9">
        <v>1</v>
      </c>
      <c r="X9">
        <v>0.67</v>
      </c>
      <c r="Y9">
        <v>0</v>
      </c>
      <c r="Z9">
        <v>2638.82</v>
      </c>
      <c r="AA9">
        <v>533</v>
      </c>
      <c r="AB9">
        <v>0</v>
      </c>
      <c r="AC9">
        <v>0</v>
      </c>
      <c r="AD9">
        <v>1</v>
      </c>
      <c r="AE9">
        <v>0</v>
      </c>
      <c r="AF9" t="s">
        <v>52</v>
      </c>
      <c r="AG9">
        <v>3.8525</v>
      </c>
      <c r="AH9">
        <v>2</v>
      </c>
      <c r="AI9">
        <v>50280066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ROW(Source!A32)</f>
        <v>32</v>
      </c>
      <c r="B10">
        <v>50279874</v>
      </c>
      <c r="C10">
        <v>50279869</v>
      </c>
      <c r="D10">
        <v>49188467</v>
      </c>
      <c r="E10">
        <v>117</v>
      </c>
      <c r="F10">
        <v>1</v>
      </c>
      <c r="G10">
        <v>1</v>
      </c>
      <c r="H10">
        <v>1</v>
      </c>
      <c r="I10" t="s">
        <v>224</v>
      </c>
      <c r="J10" t="s">
        <v>3</v>
      </c>
      <c r="K10" t="s">
        <v>225</v>
      </c>
      <c r="L10">
        <v>1191</v>
      </c>
      <c r="N10">
        <v>1013</v>
      </c>
      <c r="O10" t="s">
        <v>213</v>
      </c>
      <c r="P10" t="s">
        <v>213</v>
      </c>
      <c r="Q10">
        <v>1</v>
      </c>
      <c r="X10">
        <v>13.91</v>
      </c>
      <c r="Y10">
        <v>0</v>
      </c>
      <c r="Z10">
        <v>0</v>
      </c>
      <c r="AA10">
        <v>0</v>
      </c>
      <c r="AB10">
        <v>296.11</v>
      </c>
      <c r="AC10">
        <v>0</v>
      </c>
      <c r="AD10">
        <v>1</v>
      </c>
      <c r="AE10">
        <v>1</v>
      </c>
      <c r="AF10" t="s">
        <v>21</v>
      </c>
      <c r="AG10">
        <v>15.996499999999999</v>
      </c>
      <c r="AH10">
        <v>2</v>
      </c>
      <c r="AI10">
        <v>50279870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ROW(Source!A32)</f>
        <v>32</v>
      </c>
      <c r="B11">
        <v>50279875</v>
      </c>
      <c r="C11">
        <v>50279869</v>
      </c>
      <c r="D11">
        <v>49188735</v>
      </c>
      <c r="E11">
        <v>117</v>
      </c>
      <c r="F11">
        <v>1</v>
      </c>
      <c r="G11">
        <v>1</v>
      </c>
      <c r="H11">
        <v>1</v>
      </c>
      <c r="I11" t="s">
        <v>211</v>
      </c>
      <c r="J11" t="s">
        <v>3</v>
      </c>
      <c r="K11" t="s">
        <v>212</v>
      </c>
      <c r="L11">
        <v>1191</v>
      </c>
      <c r="N11">
        <v>1013</v>
      </c>
      <c r="O11" t="s">
        <v>213</v>
      </c>
      <c r="P11" t="s">
        <v>213</v>
      </c>
      <c r="Q11">
        <v>1</v>
      </c>
      <c r="X11">
        <v>12.2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2</v>
      </c>
      <c r="AF11" t="s">
        <v>21</v>
      </c>
      <c r="AG11">
        <v>14.029999999999998</v>
      </c>
      <c r="AH11">
        <v>2</v>
      </c>
      <c r="AI11">
        <v>50279871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ROW(Source!A32)</f>
        <v>32</v>
      </c>
      <c r="B12">
        <v>50279876</v>
      </c>
      <c r="C12">
        <v>50279869</v>
      </c>
      <c r="D12">
        <v>49196068</v>
      </c>
      <c r="E12">
        <v>1</v>
      </c>
      <c r="F12">
        <v>1</v>
      </c>
      <c r="G12">
        <v>1</v>
      </c>
      <c r="H12">
        <v>2</v>
      </c>
      <c r="I12" t="s">
        <v>226</v>
      </c>
      <c r="J12" t="s">
        <v>227</v>
      </c>
      <c r="K12" t="s">
        <v>228</v>
      </c>
      <c r="L12">
        <v>1368</v>
      </c>
      <c r="N12">
        <v>1011</v>
      </c>
      <c r="O12" t="s">
        <v>32</v>
      </c>
      <c r="P12" t="s">
        <v>32</v>
      </c>
      <c r="Q12">
        <v>1</v>
      </c>
      <c r="X12">
        <v>12.2</v>
      </c>
      <c r="Y12">
        <v>0</v>
      </c>
      <c r="Z12">
        <v>1539.13</v>
      </c>
      <c r="AA12">
        <v>396.79</v>
      </c>
      <c r="AB12">
        <v>0</v>
      </c>
      <c r="AC12">
        <v>0</v>
      </c>
      <c r="AD12">
        <v>1</v>
      </c>
      <c r="AE12">
        <v>0</v>
      </c>
      <c r="AF12" t="s">
        <v>21</v>
      </c>
      <c r="AG12">
        <v>14.029999999999998</v>
      </c>
      <c r="AH12">
        <v>2</v>
      </c>
      <c r="AI12">
        <v>50279872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ROW(Source!A32)</f>
        <v>32</v>
      </c>
      <c r="B13">
        <v>50279877</v>
      </c>
      <c r="C13">
        <v>50279869</v>
      </c>
      <c r="D13">
        <v>49262877</v>
      </c>
      <c r="E13">
        <v>1</v>
      </c>
      <c r="F13">
        <v>1</v>
      </c>
      <c r="G13">
        <v>1</v>
      </c>
      <c r="H13">
        <v>3</v>
      </c>
      <c r="I13" t="s">
        <v>230</v>
      </c>
      <c r="J13" t="s">
        <v>231</v>
      </c>
      <c r="K13" t="s">
        <v>232</v>
      </c>
      <c r="L13">
        <v>1339</v>
      </c>
      <c r="N13">
        <v>1007</v>
      </c>
      <c r="O13" t="s">
        <v>233</v>
      </c>
      <c r="P13" t="s">
        <v>233</v>
      </c>
      <c r="Q13">
        <v>1</v>
      </c>
      <c r="X13">
        <v>100</v>
      </c>
      <c r="Y13">
        <v>35.71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100</v>
      </c>
      <c r="AH13">
        <v>2</v>
      </c>
      <c r="AI13">
        <v>50279873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/>
  </sheetViews>
  <sheetFormatPr defaultColWidth="9.125" defaultRowHeight="12.85" x14ac:dyDescent="0.2"/>
  <cols>
    <col min="1" max="256" width="9.125" customWidth="1"/>
  </cols>
  <sheetData>
    <row r="1" spans="1:21" x14ac:dyDescent="0.2">
      <c r="A1">
        <v>24</v>
      </c>
      <c r="B1">
        <v>1</v>
      </c>
      <c r="C1" t="s">
        <v>3</v>
      </c>
      <c r="D1" t="s">
        <v>3</v>
      </c>
      <c r="E1" t="s">
        <v>235</v>
      </c>
      <c r="F1" t="s">
        <v>235</v>
      </c>
      <c r="G1" t="s">
        <v>235</v>
      </c>
      <c r="H1" t="s">
        <v>3</v>
      </c>
      <c r="I1" t="s">
        <v>235</v>
      </c>
      <c r="J1" t="s">
        <v>235</v>
      </c>
      <c r="K1" t="s">
        <v>3</v>
      </c>
      <c r="L1" t="s">
        <v>3</v>
      </c>
      <c r="M1" t="s">
        <v>3</v>
      </c>
      <c r="N1" t="s">
        <v>3</v>
      </c>
      <c r="O1" t="s">
        <v>235</v>
      </c>
      <c r="P1" t="s">
        <v>3</v>
      </c>
      <c r="Q1" t="s">
        <v>3</v>
      </c>
      <c r="R1" t="s">
        <v>3</v>
      </c>
      <c r="S1" t="s">
        <v>236</v>
      </c>
      <c r="T1" t="s">
        <v>237</v>
      </c>
      <c r="U1" t="s">
        <v>238</v>
      </c>
    </row>
    <row r="2" spans="1:21" x14ac:dyDescent="0.2">
      <c r="A2">
        <v>28</v>
      </c>
      <c r="B2">
        <v>1</v>
      </c>
      <c r="C2" t="s">
        <v>3</v>
      </c>
      <c r="D2" t="s">
        <v>3</v>
      </c>
      <c r="E2" t="s">
        <v>235</v>
      </c>
      <c r="F2" t="s">
        <v>235</v>
      </c>
      <c r="G2" t="s">
        <v>235</v>
      </c>
      <c r="H2" t="s">
        <v>3</v>
      </c>
      <c r="I2" t="s">
        <v>235</v>
      </c>
      <c r="J2" t="s">
        <v>235</v>
      </c>
      <c r="K2" t="s">
        <v>3</v>
      </c>
      <c r="L2" t="s">
        <v>3</v>
      </c>
      <c r="M2" t="s">
        <v>3</v>
      </c>
      <c r="N2" t="s">
        <v>3</v>
      </c>
      <c r="O2" t="s">
        <v>235</v>
      </c>
      <c r="P2" t="s">
        <v>3</v>
      </c>
      <c r="Q2" t="s">
        <v>3</v>
      </c>
      <c r="R2" t="s">
        <v>3</v>
      </c>
      <c r="S2" t="s">
        <v>236</v>
      </c>
      <c r="T2" t="s">
        <v>237</v>
      </c>
      <c r="U2" t="s">
        <v>238</v>
      </c>
    </row>
    <row r="3" spans="1:21" x14ac:dyDescent="0.2">
      <c r="A3">
        <v>32</v>
      </c>
      <c r="B3">
        <v>1</v>
      </c>
      <c r="C3" t="s">
        <v>3</v>
      </c>
      <c r="D3" t="s">
        <v>3</v>
      </c>
      <c r="E3" t="s">
        <v>235</v>
      </c>
      <c r="F3" t="s">
        <v>235</v>
      </c>
      <c r="G3" t="s">
        <v>235</v>
      </c>
      <c r="H3" t="s">
        <v>3</v>
      </c>
      <c r="I3" t="s">
        <v>235</v>
      </c>
      <c r="J3" t="s">
        <v>235</v>
      </c>
      <c r="K3" t="s">
        <v>3</v>
      </c>
      <c r="L3" t="s">
        <v>3</v>
      </c>
      <c r="M3" t="s">
        <v>3</v>
      </c>
      <c r="N3" t="s">
        <v>3</v>
      </c>
      <c r="O3" t="s">
        <v>235</v>
      </c>
      <c r="P3" t="s">
        <v>3</v>
      </c>
      <c r="Q3" t="s">
        <v>3</v>
      </c>
      <c r="R3" t="s">
        <v>3</v>
      </c>
      <c r="S3" t="s">
        <v>236</v>
      </c>
      <c r="T3" t="s">
        <v>237</v>
      </c>
      <c r="U3" t="s">
        <v>238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25" defaultRowHeight="12.85" x14ac:dyDescent="0.2"/>
  <cols>
    <col min="1" max="256" width="9.1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72064</v>
      </c>
      <c r="M1">
        <v>10</v>
      </c>
      <c r="N1">
        <v>12</v>
      </c>
      <c r="O1">
        <v>0</v>
      </c>
      <c r="P1">
        <v>0</v>
      </c>
      <c r="Q1">
        <v>3</v>
      </c>
    </row>
    <row r="12" spans="1:103" x14ac:dyDescent="0.2">
      <c r="F12" t="str">
        <f>Source!F12</f>
        <v>Новый объект_(Копия)_(Копия)_(Копия)_(Копия)</v>
      </c>
      <c r="G12" t="str">
        <f>Source!G12</f>
        <v>МОДУЛЬ засыпка песком внутренней площадки катки Пересчет 06,08,2026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Смета по ФСНБ 421+557прРИМ</vt:lpstr>
      <vt:lpstr>RV_DATA</vt:lpstr>
      <vt:lpstr>Расчет стоимости ресурсов</vt:lpstr>
      <vt:lpstr>Source</vt:lpstr>
      <vt:lpstr>SourceObSm</vt:lpstr>
      <vt:lpstr>SmtRes</vt:lpstr>
      <vt:lpstr>EtalonRes</vt:lpstr>
      <vt:lpstr>SrcPoprs</vt:lpstr>
      <vt:lpstr>SrcKA</vt:lpstr>
      <vt:lpstr>'Расчет стоимости ресурсов'!Заголовки_для_печати</vt:lpstr>
      <vt:lpstr>'Смета по ФСНБ 421+557прРИМ'!Заголовки_для_печати</vt:lpstr>
      <vt:lpstr>'Расчет стоимости ресурсов'!Область_печати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Кильдеева Ольга Владимировна</dc:creator>
  <cp:lastModifiedBy>Рутковская Татьяна Сергеевна</cp:lastModifiedBy>
  <cp:lastPrinted>2026-08-11T11:52:12Z</cp:lastPrinted>
  <dcterms:created xsi:type="dcterms:W3CDTF">2026-08-06T12:02:52Z</dcterms:created>
  <dcterms:modified xsi:type="dcterms:W3CDTF">2026-08-11T11:52:53Z</dcterms:modified>
</cp:coreProperties>
</file>