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ochkoa\Desktop\7+010\2. Стартовые СК км 7+010\"/>
    </mc:Choice>
  </mc:AlternateContent>
  <xr:revisionPtr revIDLastSave="0" documentId="13_ncr:1_{6E872FA0-75A0-4844-94A8-76E0166F0A5F}" xr6:coauthVersionLast="45" xr6:coauthVersionMax="47" xr10:uidLastSave="{00000000-0000-0000-0000-000000000000}"/>
  <bookViews>
    <workbookView xWindow="-120" yWindow="-120" windowWidth="29040" windowHeight="15840" tabRatio="466" firstSheet="1" activeTab="1" xr2:uid="{00000000-000D-0000-FFFF-FFFF00000000}"/>
  </bookViews>
  <sheets>
    <sheet name="Расчет Ф4" sheetId="15" state="hidden" r:id="rId1"/>
    <sheet name="Расчет Ф7" sheetId="14" r:id="rId2"/>
  </sheets>
  <definedNames>
    <definedName name="_xlnm.Print_Area" localSheetId="0">'Расчет Ф4'!$A$1:$H$75</definedName>
    <definedName name="_xlnm.Print_Area" localSheetId="1">'Расчет Ф7'!$A$1:$O$103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0" i="14" l="1"/>
  <c r="B33" i="14" l="1"/>
  <c r="P57" i="14" l="1"/>
  <c r="Q57" i="14" s="1"/>
  <c r="P58" i="14"/>
  <c r="Q58" i="14" s="1"/>
  <c r="F41" i="14"/>
  <c r="F42" i="14"/>
  <c r="F38" i="14"/>
  <c r="F39" i="14"/>
  <c r="F37" i="14"/>
  <c r="P56" i="14" l="1"/>
  <c r="K50" i="15" l="1"/>
  <c r="K44" i="15"/>
  <c r="K32" i="15"/>
  <c r="K14" i="15"/>
  <c r="K13" i="15"/>
  <c r="K34" i="15"/>
  <c r="K33" i="15"/>
  <c r="K49" i="15"/>
  <c r="K48" i="15"/>
  <c r="K47" i="15"/>
  <c r="K46" i="15"/>
  <c r="K45" i="15"/>
  <c r="K43" i="15"/>
  <c r="K42" i="15"/>
  <c r="K41" i="15"/>
  <c r="K40" i="15"/>
  <c r="K39" i="15"/>
  <c r="C38" i="15" l="1"/>
  <c r="J63" i="15" l="1"/>
  <c r="K63" i="15" s="1"/>
  <c r="J62" i="15"/>
  <c r="K62" i="15" s="1"/>
  <c r="J61" i="15"/>
  <c r="K61" i="15" s="1"/>
  <c r="J29" i="15"/>
  <c r="K29" i="15" s="1"/>
  <c r="J28" i="15"/>
  <c r="K28" i="15" s="1"/>
  <c r="J27" i="15"/>
  <c r="K27" i="15" s="1"/>
  <c r="B12" i="15"/>
  <c r="L50" i="15"/>
  <c r="L49" i="15"/>
  <c r="L48" i="15"/>
  <c r="E49" i="15" l="1"/>
  <c r="G49" i="15" s="1"/>
  <c r="E50" i="15"/>
  <c r="G50" i="15" s="1"/>
  <c r="E48" i="15"/>
  <c r="G48" i="15" s="1"/>
  <c r="L61" i="15"/>
  <c r="E61" i="15" s="1"/>
  <c r="G61" i="15" s="1"/>
  <c r="L63" i="15"/>
  <c r="E63" i="15" s="1"/>
  <c r="G63" i="15" s="1"/>
  <c r="L62" i="15"/>
  <c r="E62" i="15" s="1"/>
  <c r="G62" i="15" s="1"/>
  <c r="L27" i="15"/>
  <c r="L28" i="15"/>
  <c r="L29" i="15"/>
  <c r="C50" i="14"/>
  <c r="Q56" i="14" s="1"/>
  <c r="R56" i="14" l="1"/>
  <c r="S56" i="14" s="1"/>
  <c r="D56" i="14" s="1"/>
  <c r="C52" i="14"/>
  <c r="R58" i="14" s="1"/>
  <c r="D58" i="14" s="1"/>
  <c r="C60" i="14" l="1"/>
  <c r="C61" i="14"/>
  <c r="C51" i="14"/>
  <c r="R57" i="14" s="1"/>
  <c r="D57" i="14" s="1"/>
  <c r="J60" i="15" l="1"/>
  <c r="K60" i="15" s="1"/>
  <c r="J59" i="15"/>
  <c r="K59" i="15" s="1"/>
  <c r="J58" i="15"/>
  <c r="K58" i="15" s="1"/>
  <c r="J57" i="15"/>
  <c r="K57" i="15" s="1"/>
  <c r="J56" i="15"/>
  <c r="K56" i="15" s="1"/>
  <c r="J55" i="15"/>
  <c r="K55" i="15" s="1"/>
  <c r="J54" i="15"/>
  <c r="K54" i="15" s="1"/>
  <c r="J53" i="15"/>
  <c r="K53" i="15" s="1"/>
  <c r="J26" i="15"/>
  <c r="K26" i="15" s="1"/>
  <c r="J25" i="15"/>
  <c r="K25" i="15" s="1"/>
  <c r="J24" i="15"/>
  <c r="K24" i="15" s="1"/>
  <c r="J23" i="15"/>
  <c r="K23" i="15" s="1"/>
  <c r="J22" i="15"/>
  <c r="K22" i="15" s="1"/>
  <c r="J21" i="15"/>
  <c r="K21" i="15" s="1"/>
  <c r="J20" i="15"/>
  <c r="K20" i="15" s="1"/>
  <c r="J19" i="15"/>
  <c r="K19" i="15" s="1"/>
  <c r="L60" i="15" l="1"/>
  <c r="L56" i="15"/>
  <c r="L53" i="15"/>
  <c r="L57" i="15"/>
  <c r="L58" i="15"/>
  <c r="L54" i="15"/>
  <c r="L55" i="15"/>
  <c r="L59" i="15"/>
  <c r="L26" i="15"/>
  <c r="L19" i="15"/>
  <c r="L23" i="15"/>
  <c r="L22" i="15"/>
  <c r="L20" i="15"/>
  <c r="L24" i="15"/>
  <c r="L21" i="15"/>
  <c r="L25" i="15"/>
  <c r="L45" i="15" l="1"/>
  <c r="E58" i="15" l="1"/>
  <c r="G58" i="15" s="1"/>
  <c r="J31" i="15" l="1"/>
  <c r="J35" i="15" s="1"/>
  <c r="K35" i="15" l="1"/>
  <c r="E59" i="15" l="1"/>
  <c r="G59" i="15" s="1"/>
  <c r="E60" i="15"/>
  <c r="G60" i="15" s="1"/>
  <c r="E30" i="15" l="1"/>
  <c r="J17" i="15" l="1"/>
  <c r="K17" i="15" s="1"/>
  <c r="L14" i="15"/>
  <c r="J30" i="15" l="1"/>
  <c r="L35" i="15" l="1"/>
  <c r="F35" i="15" s="1"/>
  <c r="L17" i="15"/>
  <c r="E54" i="15"/>
  <c r="G54" i="15" s="1"/>
  <c r="L34" i="15"/>
  <c r="L33" i="15"/>
  <c r="L47" i="15"/>
  <c r="L46" i="15"/>
  <c r="L44" i="15"/>
  <c r="L43" i="15"/>
  <c r="L42" i="15"/>
  <c r="L41" i="15"/>
  <c r="L40" i="15"/>
  <c r="L39" i="15"/>
  <c r="E56" i="15"/>
  <c r="G56" i="15" s="1"/>
  <c r="J52" i="15"/>
  <c r="K52" i="15" s="1"/>
  <c r="J18" i="15"/>
  <c r="K18" i="15" s="1"/>
  <c r="J16" i="15"/>
  <c r="K16" i="15" s="1"/>
  <c r="J15" i="15" l="1"/>
  <c r="J51" i="15"/>
  <c r="L13" i="15"/>
  <c r="E39" i="15"/>
  <c r="G39" i="15" s="1"/>
  <c r="K51" i="15"/>
  <c r="E41" i="15"/>
  <c r="E40" i="15"/>
  <c r="E43" i="15"/>
  <c r="E44" i="15"/>
  <c r="E57" i="15"/>
  <c r="G57" i="15" s="1"/>
  <c r="L18" i="15"/>
  <c r="E55" i="15"/>
  <c r="G55" i="15" s="1"/>
  <c r="J68" i="15" l="1"/>
  <c r="K15" i="15"/>
  <c r="K12" i="15" s="1"/>
  <c r="J38" i="15"/>
  <c r="J37" i="15" s="1"/>
  <c r="J12" i="15"/>
  <c r="B16" i="14"/>
  <c r="E53" i="15"/>
  <c r="L16" i="15"/>
  <c r="L15" i="15" s="1"/>
  <c r="L52" i="15"/>
  <c r="E52" i="15" s="1"/>
  <c r="G53" i="15" l="1"/>
  <c r="L51" i="15"/>
  <c r="L12" i="15"/>
  <c r="G52" i="15"/>
  <c r="E51" i="15" l="1"/>
  <c r="F15" i="15"/>
  <c r="F12" i="15" s="1"/>
  <c r="B15" i="14"/>
  <c r="B14" i="14" s="1"/>
  <c r="B13" i="14" s="1"/>
  <c r="F51" i="15"/>
  <c r="F38" i="15" s="1"/>
  <c r="F37" i="15" s="1"/>
  <c r="G67" i="15"/>
  <c r="G44" i="15"/>
  <c r="G43" i="15"/>
  <c r="G40" i="15"/>
  <c r="B38" i="15"/>
  <c r="B37" i="15" s="1"/>
  <c r="D30" i="15"/>
  <c r="C30" i="15"/>
  <c r="L32" i="15" l="1"/>
  <c r="L31" i="15" s="1"/>
  <c r="F31" i="15" s="1"/>
  <c r="F30" i="15" s="1"/>
  <c r="K31" i="15"/>
  <c r="K30" i="15" s="1"/>
  <c r="G41" i="15"/>
  <c r="E15" i="15" l="1"/>
  <c r="L38" i="15"/>
  <c r="L37" i="15" s="1"/>
  <c r="G31" i="15"/>
  <c r="B30" i="15"/>
  <c r="B11" i="15" s="1"/>
  <c r="B66" i="15" s="1"/>
  <c r="L30" i="15"/>
  <c r="K38" i="15"/>
  <c r="K37" i="15" s="1"/>
  <c r="G15" i="15" l="1"/>
  <c r="G51" i="15"/>
  <c r="J11" i="15"/>
  <c r="J66" i="15" s="1"/>
  <c r="J69" i="15" s="1"/>
  <c r="K11" i="15"/>
  <c r="K66" i="15" s="1"/>
  <c r="K69" i="15" s="1"/>
  <c r="G35" i="15"/>
  <c r="L11" i="15"/>
  <c r="F11" i="15" l="1"/>
  <c r="F66" i="15" s="1"/>
  <c r="G30" i="15"/>
  <c r="L66" i="15"/>
  <c r="L69" i="15" s="1"/>
  <c r="E16" i="14" l="1"/>
  <c r="D15" i="14"/>
  <c r="D14" i="14" s="1"/>
  <c r="D13" i="14" s="1"/>
  <c r="C15" i="14"/>
  <c r="C14" i="14" s="1"/>
  <c r="C13" i="14" s="1"/>
  <c r="F15" i="14" l="1"/>
  <c r="F16" i="14"/>
  <c r="E15" i="14"/>
  <c r="E14" i="14" s="1"/>
  <c r="E13" i="14" s="1"/>
  <c r="G16" i="14" l="1"/>
  <c r="G15" i="14" l="1"/>
  <c r="G14" i="14" s="1"/>
  <c r="G13" i="14" s="1"/>
  <c r="E42" i="15" l="1"/>
  <c r="G42" i="15" l="1"/>
  <c r="D38" i="15" l="1"/>
  <c r="E46" i="15"/>
  <c r="G46" i="15" s="1"/>
  <c r="D37" i="15" l="1"/>
  <c r="E47" i="15"/>
  <c r="G47" i="15" s="1"/>
  <c r="E45" i="15" l="1"/>
  <c r="E38" i="15" s="1"/>
  <c r="E37" i="15" s="1"/>
  <c r="C37" i="15"/>
  <c r="G45" i="15" l="1"/>
  <c r="G38" i="15" s="1"/>
  <c r="C13" i="15" l="1"/>
  <c r="C14" i="15"/>
  <c r="G37" i="15"/>
  <c r="D14" i="15"/>
  <c r="D13" i="15"/>
  <c r="E14" i="15" l="1"/>
  <c r="C12" i="15"/>
  <c r="C11" i="15" s="1"/>
  <c r="C66" i="15" s="1"/>
  <c r="D12" i="15"/>
  <c r="D11" i="15" s="1"/>
  <c r="D65" i="15"/>
  <c r="C65" i="15"/>
  <c r="E65" i="15"/>
  <c r="E13" i="15"/>
  <c r="G13" i="15" s="1"/>
  <c r="E12" i="15" l="1"/>
  <c r="E11" i="15" s="1"/>
  <c r="E66" i="15" s="1"/>
  <c r="D66" i="15"/>
  <c r="G14" i="15"/>
  <c r="G12" i="15" l="1"/>
  <c r="G11" i="15" s="1"/>
  <c r="G66" i="15" l="1"/>
  <c r="D36" i="15"/>
  <c r="C36" i="15"/>
  <c r="E36" i="15"/>
  <c r="H16" i="14" l="1"/>
  <c r="I16" i="14" s="1"/>
  <c r="H15" i="14"/>
  <c r="K16" i="14" l="1"/>
  <c r="L16" i="14"/>
  <c r="K15" i="14" l="1"/>
  <c r="K14" i="14" s="1"/>
  <c r="K13" i="14" s="1"/>
  <c r="L15" i="14"/>
  <c r="L14" i="14" s="1"/>
  <c r="L13" i="14" s="1"/>
  <c r="J16" i="14"/>
  <c r="I15" i="14"/>
  <c r="I14" i="14" s="1"/>
  <c r="I13" i="14" s="1"/>
  <c r="J15" i="14" l="1"/>
  <c r="J14" i="14" s="1"/>
  <c r="J13" i="14" s="1"/>
  <c r="M16" i="14"/>
  <c r="M15" i="14" l="1"/>
  <c r="M14" i="14" s="1"/>
  <c r="M13" i="14" s="1"/>
  <c r="O16" i="14"/>
  <c r="N16" i="14" l="1"/>
  <c r="N15" i="14" s="1"/>
  <c r="N14" i="14" s="1"/>
  <c r="N13" i="14" s="1"/>
  <c r="O15" i="14"/>
  <c r="O14" i="14" s="1"/>
  <c r="O13" i="14" s="1"/>
</calcChain>
</file>

<file path=xl/sharedStrings.xml><?xml version="1.0" encoding="utf-8"?>
<sst xmlns="http://schemas.openxmlformats.org/spreadsheetml/2006/main" count="142" uniqueCount="103">
  <si>
    <t>Стоимость всего</t>
  </si>
  <si>
    <t>Затраты заказчика</t>
  </si>
  <si>
    <t>тыс. руб.</t>
  </si>
  <si>
    <t>Подлежит выполнению до конца строительства в ценах соответствующих лет</t>
  </si>
  <si>
    <t>РАСЧЕТ</t>
  </si>
  <si>
    <t xml:space="preserve">стоимости вновь начинаемого объекта дорожных работ   </t>
  </si>
  <si>
    <t>Стоимость в ценах соответствующих лет</t>
  </si>
  <si>
    <t xml:space="preserve">Наименование объекта: </t>
  </si>
  <si>
    <t xml:space="preserve">Заказчик:          </t>
  </si>
  <si>
    <t>в том числе по годам</t>
  </si>
  <si>
    <t>Экономия</t>
  </si>
  <si>
    <t>Индекс фактической инфляции</t>
  </si>
  <si>
    <t xml:space="preserve">Индекс прогнозной инфляции на период выполнения работ </t>
  </si>
  <si>
    <t xml:space="preserve">НМЦК с учетом индекса прогнозной инфляции на период выполнения работ </t>
  </si>
  <si>
    <t>-</t>
  </si>
  <si>
    <t>Итого ИФИ</t>
  </si>
  <si>
    <t>Строительный контроль</t>
  </si>
  <si>
    <r>
      <t xml:space="preserve">   </t>
    </r>
    <r>
      <rPr>
        <b/>
        <sz val="14"/>
        <rFont val="Times New Roman"/>
        <family val="1"/>
        <charset val="204"/>
      </rPr>
      <t>индексируемые:</t>
    </r>
  </si>
  <si>
    <t>Приложение №4</t>
  </si>
  <si>
    <t>СПРАВКА</t>
  </si>
  <si>
    <t>о затратах заказчика и затратах подрядчика в составе сводного сметного расчета</t>
  </si>
  <si>
    <t>Заказчик:</t>
  </si>
  <si>
    <t>ФКУ Упрдор «Кавказ»</t>
  </si>
  <si>
    <t>Наименование объекта:</t>
  </si>
  <si>
    <t>Наименование затрат</t>
  </si>
  <si>
    <t>Обоснование</t>
  </si>
  <si>
    <r>
      <t xml:space="preserve">    </t>
    </r>
    <r>
      <rPr>
        <b/>
        <sz val="11"/>
        <color theme="1"/>
        <rFont val="Times New Roman"/>
        <family val="1"/>
        <charset val="204"/>
      </rPr>
      <t xml:space="preserve"> с К</t>
    </r>
  </si>
  <si>
    <t>НДС</t>
  </si>
  <si>
    <t>ВСЕГО</t>
  </si>
  <si>
    <t>1.Затраты заказчика</t>
  </si>
  <si>
    <t>-индексируемые</t>
  </si>
  <si>
    <t xml:space="preserve">Строительный контроль </t>
  </si>
  <si>
    <t>Непредвиденные затраты</t>
  </si>
  <si>
    <t>Строительный контроль 3%</t>
  </si>
  <si>
    <t>Рабочая документация 3%</t>
  </si>
  <si>
    <t>-неиндексируемые</t>
  </si>
  <si>
    <t>ПИР+Экспертиза</t>
  </si>
  <si>
    <t>Непредвиденные затраты 3%</t>
  </si>
  <si>
    <t>2.Затраты подрядчика</t>
  </si>
  <si>
    <t>Возвратные суммы (справочно)</t>
  </si>
  <si>
    <t>Изыскания</t>
  </si>
  <si>
    <t xml:space="preserve">Проектные работы </t>
  </si>
  <si>
    <t>Экспертиза</t>
  </si>
  <si>
    <t xml:space="preserve">Исполнитель: Толочко А.В.                           </t>
  </si>
  <si>
    <t>Рабочая документация</t>
  </si>
  <si>
    <t>Начальная (максимальная) цена контракта с учетом коэффициента оптимизации</t>
  </si>
  <si>
    <t>Федеральное казенное учреждение "Управление федеральных автомобильных дорог "Кавказ" Федерального дорожного агентства" (ФКУ Упрдор "Кавказ")</t>
  </si>
  <si>
    <t>Подготовительные работы</t>
  </si>
  <si>
    <t>1. Расчет индекса фактической инфляции</t>
  </si>
  <si>
    <t>2. Расчет доли сметной стоимости строительства для Заказчика и Подрядчика</t>
  </si>
  <si>
    <t>3. Расчет индекса прогнозной инфляции, мес</t>
  </si>
  <si>
    <t>Индекс-дефлятор "инвестиции в основной капитал" Минэкономразвития России на 2026 год</t>
  </si>
  <si>
    <t>Индекс-дефлятор "инвестиции в основной капитал" Минэкономразвития России на 2027 год</t>
  </si>
  <si>
    <t>=</t>
  </si>
  <si>
    <t xml:space="preserve">Кмес на 2026 год  = </t>
  </si>
  <si>
    <t>4. Расчет индекса прогнозной инфляции на период строительства</t>
  </si>
  <si>
    <t>ИПИ заказчик</t>
  </si>
  <si>
    <t>ИПИ подрядчик</t>
  </si>
  <si>
    <t>Стоимость остатка работ в ценах утверждения ПСД</t>
  </si>
  <si>
    <t>(тыс. руб.)</t>
  </si>
  <si>
    <t>Исполнитель: Толочко А.В., 71-171</t>
  </si>
  <si>
    <t xml:space="preserve">К на 2026 год: </t>
  </si>
  <si>
    <t>Капитальный ремонт моста через р. Соленая на км 7+010 автомобильной дороги А-162 Владикавказ-Алагир, Республика Северная Осетия-Алания</t>
  </si>
  <si>
    <t>Организация движения на время производства работ</t>
  </si>
  <si>
    <t>Временная объездная дорога</t>
  </si>
  <si>
    <t>Устройство временного моста</t>
  </si>
  <si>
    <t>Компенсационные мероприятия на временный отвод участка</t>
  </si>
  <si>
    <t>Капитальный ремонт моста</t>
  </si>
  <si>
    <t>Устройство подходов</t>
  </si>
  <si>
    <t>Обустройство моста и подходов</t>
  </si>
  <si>
    <t>Временные здания и сооружения</t>
  </si>
  <si>
    <t>Дополнительные затраты, связанные с производством работ в зимнее время</t>
  </si>
  <si>
    <t>Затраты на реализацию природоохранных мероприятий и компенсационных выплат</t>
  </si>
  <si>
    <t>Расчет стоимости работ по мониторингу окружающей среды в период капитального ремонта моста</t>
  </si>
  <si>
    <t>Стоимость работ в ценах на дату определения НМЦК (март 2026 год)</t>
  </si>
  <si>
    <t>* - С НДС 22%</t>
  </si>
  <si>
    <r>
      <t xml:space="preserve">Срок строительства по проектной документации - </t>
    </r>
    <r>
      <rPr>
        <b/>
        <sz val="16"/>
        <rFont val="Times New Roman"/>
        <family val="1"/>
        <charset val="204"/>
      </rPr>
      <t>7 мес.</t>
    </r>
  </si>
  <si>
    <r>
      <t xml:space="preserve">Дата окончания работ - </t>
    </r>
    <r>
      <rPr>
        <b/>
        <sz val="16"/>
        <rFont val="Times New Roman"/>
        <family val="1"/>
        <charset val="204"/>
      </rPr>
      <t>ноябрь 2028</t>
    </r>
  </si>
  <si>
    <t>Доля сметной стоимости, подлежащая выполнению Подрядчиком в 2027 году (1 мес/7 мес)</t>
  </si>
  <si>
    <t>Доля сметной стоимости, подлежащая выполнению Подрядчиком в 2028 году (0 мес/7 мес)</t>
  </si>
  <si>
    <t>Доля сметной стоимости, подлежащая выполнению Заказчиком в 2028 году (0 мес/7 мес)</t>
  </si>
  <si>
    <t>Доля сметной стоимости, подлежащая выполнению Заказчиком в 2027 году (1 мес/7 мес)</t>
  </si>
  <si>
    <t>Индекс-дефлятор "инвестиции в основной капитал" Минэкономразвития России на 2028 год</t>
  </si>
  <si>
    <t xml:space="preserve">Кмес на 2027 год  = </t>
  </si>
  <si>
    <t>Кмес на 2028 год  =</t>
  </si>
  <si>
    <t>Приложение № 7</t>
  </si>
  <si>
    <t>Дата определения НМЦК - март 2026 год</t>
  </si>
  <si>
    <t>К на 2027 год:                       (¹²√1,055)³ * [¹²√1,041 + (¹²√1,041)¹] / 2  =</t>
  </si>
  <si>
    <t>К на 2028 год:    (¹²√1,055)³ * (¹²√1,041)¹ * [¹²√1,041 + ¹²√1,041] / 2  =</t>
  </si>
  <si>
    <r>
      <t xml:space="preserve">Дата начала работ - </t>
    </r>
    <r>
      <rPr>
        <b/>
        <sz val="16"/>
        <rFont val="Times New Roman"/>
        <family val="1"/>
        <charset val="204"/>
      </rPr>
      <t>май 2026</t>
    </r>
  </si>
  <si>
    <t>Распределение затрат по годам, тыс. руб. в ценах 2 кв. 2025 г.           
         (в уровне цен утвержденной проектной документации)</t>
  </si>
  <si>
    <t>Доля сметной стоимости, подлежащая выполнению Подрядчиком в 2026 году (7 мес/7 мес)</t>
  </si>
  <si>
    <t>Доля сметной стоимости, подлежащая выполнению Заказчиком в 2026 году (7 мес/7 мес)</t>
  </si>
  <si>
    <t>(1,000*1,0182) =</t>
  </si>
  <si>
    <t>Выполнено на  01.01.2026 г.</t>
  </si>
  <si>
    <t>Стоимость работ в ценах на дату утверждения ПСД в ценах 2 кв. 2025 г.*</t>
  </si>
  <si>
    <t>(расшифровка подписи, печать)</t>
  </si>
  <si>
    <t>До 01.01.2026</t>
  </si>
  <si>
    <t>(должность)</t>
  </si>
  <si>
    <t>(подпись)</t>
  </si>
  <si>
    <t>Начальник ОДС</t>
  </si>
  <si>
    <t>А.В. Толочко</t>
  </si>
  <si>
    <t xml:space="preserve">                                                                                                                                     (должность)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</si>
</sst>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₽_-;\-* #,##0.00\ _₽_-;_-* &quot;-&quot;??\ _₽_-;_-@_-"/>
    <numFmt numFmtId="165" formatCode="_-* #,##0.00_р_._-;\-* #,##0.00_р_._-;_-* &quot;-&quot;??_р_._-;_-@_-"/>
    <numFmt numFmtId="166" formatCode="0.000"/>
    <numFmt numFmtId="167" formatCode="#,##0.000"/>
    <numFmt numFmtId="168" formatCode="#,##0.00000"/>
    <numFmt numFmtId="169" formatCode="0.00000"/>
    <numFmt numFmtId="170" formatCode="0.0000"/>
    <numFmt numFmtId="171" formatCode="_-* #,##0.0000_р_._-;\-* #,##0.0000_р_._-;_-* &quot;-&quot;??_р_._-;_-@_-"/>
    <numFmt numFmtId="172" formatCode="#,##0.0000"/>
    <numFmt numFmtId="173" formatCode="#,##0.00000000"/>
  </numFmts>
  <fonts count="34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Arial Cyr"/>
      <charset val="204"/>
    </font>
    <font>
      <sz val="11"/>
      <color theme="1"/>
      <name val="Calibri"/>
      <family val="2"/>
      <scheme val="minor"/>
    </font>
    <font>
      <sz val="16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u/>
      <sz val="20"/>
      <name val="Arial Cyr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3"/>
      <name val="Times New Roman"/>
      <family val="1"/>
      <charset val="204"/>
    </font>
    <font>
      <i/>
      <sz val="11"/>
      <color theme="3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1"/>
      <name val="Times New Roman"/>
      <family val="1"/>
      <charset val="204"/>
    </font>
    <font>
      <sz val="16"/>
      <color theme="1"/>
      <name val="Times New Roman"/>
      <family val="1"/>
      <charset val="204"/>
    </font>
    <font>
      <u/>
      <sz val="18"/>
      <color theme="1"/>
      <name val="Times New Roman"/>
      <family val="1"/>
      <charset val="204"/>
    </font>
    <font>
      <sz val="2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5" fontId="3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3" fillId="0" borderId="0"/>
  </cellStyleXfs>
  <cellXfs count="261">
    <xf numFmtId="0" fontId="0" fillId="0" borderId="0" xfId="0"/>
    <xf numFmtId="0" fontId="3" fillId="0" borderId="0" xfId="0" applyFont="1"/>
    <xf numFmtId="0" fontId="7" fillId="0" borderId="0" xfId="0" applyFont="1"/>
    <xf numFmtId="0" fontId="4" fillId="0" borderId="0" xfId="0" applyFont="1"/>
    <xf numFmtId="0" fontId="2" fillId="0" borderId="0" xfId="0" applyFont="1" applyAlignment="1">
      <alignment horizontal="left" vertical="top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wrapText="1"/>
    </xf>
    <xf numFmtId="0" fontId="3" fillId="2" borderId="0" xfId="0" applyFont="1" applyFill="1"/>
    <xf numFmtId="167" fontId="8" fillId="2" borderId="5" xfId="0" applyNumberFormat="1" applyFont="1" applyFill="1" applyBorder="1" applyAlignment="1">
      <alignment horizontal="center" vertical="center" wrapText="1"/>
    </xf>
    <xf numFmtId="167" fontId="8" fillId="2" borderId="6" xfId="0" applyNumberFormat="1" applyFont="1" applyFill="1" applyBorder="1" applyAlignment="1">
      <alignment horizontal="center" vertical="center" wrapText="1"/>
    </xf>
    <xf numFmtId="167" fontId="2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3" fillId="0" borderId="0" xfId="0" applyFont="1"/>
    <xf numFmtId="0" fontId="11" fillId="0" borderId="0" xfId="0" applyFont="1"/>
    <xf numFmtId="164" fontId="12" fillId="0" borderId="0" xfId="0" applyNumberFormat="1" applyFont="1" applyAlignment="1">
      <alignment horizontal="left" vertical="top" wrapText="1"/>
    </xf>
    <xf numFmtId="169" fontId="12" fillId="0" borderId="0" xfId="0" applyNumberFormat="1" applyFont="1" applyAlignment="1">
      <alignment horizontal="left" vertical="top" wrapText="1"/>
    </xf>
    <xf numFmtId="0" fontId="12" fillId="0" borderId="0" xfId="0" applyFont="1" applyAlignment="1">
      <alignment horizontal="left" vertical="center" wrapText="1"/>
    </xf>
    <xf numFmtId="0" fontId="16" fillId="0" borderId="0" xfId="0" applyFont="1"/>
    <xf numFmtId="167" fontId="8" fillId="3" borderId="5" xfId="0" applyNumberFormat="1" applyFont="1" applyFill="1" applyBorder="1" applyAlignment="1">
      <alignment horizontal="center" vertical="center" wrapText="1"/>
    </xf>
    <xf numFmtId="167" fontId="8" fillId="3" borderId="6" xfId="0" applyNumberFormat="1" applyFont="1" applyFill="1" applyBorder="1" applyAlignment="1">
      <alignment horizontal="center" vertical="center" wrapText="1"/>
    </xf>
    <xf numFmtId="168" fontId="8" fillId="3" borderId="5" xfId="0" applyNumberFormat="1" applyFont="1" applyFill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167" fontId="2" fillId="0" borderId="14" xfId="0" applyNumberFormat="1" applyFont="1" applyBorder="1" applyAlignment="1">
      <alignment horizontal="center" vertical="center" wrapText="1"/>
    </xf>
    <xf numFmtId="17" fontId="12" fillId="0" borderId="0" xfId="0" applyNumberFormat="1" applyFont="1" applyAlignment="1">
      <alignment vertical="top"/>
    </xf>
    <xf numFmtId="17" fontId="10" fillId="0" borderId="1" xfId="0" applyNumberFormat="1" applyFont="1" applyBorder="1" applyAlignment="1">
      <alignment horizontal="left" vertical="top" wrapText="1"/>
    </xf>
    <xf numFmtId="0" fontId="16" fillId="0" borderId="0" xfId="2" applyFont="1"/>
    <xf numFmtId="0" fontId="18" fillId="0" borderId="0" xfId="2" applyFont="1" applyAlignment="1">
      <alignment horizontal="right"/>
    </xf>
    <xf numFmtId="0" fontId="2" fillId="0" borderId="0" xfId="2" applyFont="1" applyAlignment="1">
      <alignment horizontal="left" vertical="top"/>
    </xf>
    <xf numFmtId="0" fontId="17" fillId="0" borderId="0" xfId="2" applyFont="1"/>
    <xf numFmtId="0" fontId="23" fillId="0" borderId="0" xfId="2" applyFont="1" applyAlignment="1">
      <alignment horizontal="center" vertical="center"/>
    </xf>
    <xf numFmtId="0" fontId="22" fillId="0" borderId="16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wrapText="1"/>
    </xf>
    <xf numFmtId="0" fontId="16" fillId="0" borderId="1" xfId="2" applyFont="1" applyBorder="1"/>
    <xf numFmtId="0" fontId="22" fillId="6" borderId="4" xfId="2" applyFont="1" applyFill="1" applyBorder="1" applyAlignment="1">
      <alignment horizontal="left" vertical="top" wrapText="1"/>
    </xf>
    <xf numFmtId="170" fontId="16" fillId="6" borderId="27" xfId="2" applyNumberFormat="1" applyFont="1" applyFill="1" applyBorder="1"/>
    <xf numFmtId="166" fontId="16" fillId="0" borderId="0" xfId="2" applyNumberFormat="1" applyFont="1"/>
    <xf numFmtId="0" fontId="17" fillId="7" borderId="10" xfId="2" applyFont="1" applyFill="1" applyBorder="1" applyAlignment="1">
      <alignment horizontal="center" vertical="top" wrapText="1"/>
    </xf>
    <xf numFmtId="170" fontId="17" fillId="7" borderId="11" xfId="2" applyNumberFormat="1" applyFont="1" applyFill="1" applyBorder="1" applyAlignment="1">
      <alignment horizontal="center" vertical="center" wrapText="1"/>
    </xf>
    <xf numFmtId="0" fontId="17" fillId="2" borderId="10" xfId="2" applyFont="1" applyFill="1" applyBorder="1" applyAlignment="1">
      <alignment horizontal="left" vertical="top" wrapText="1"/>
    </xf>
    <xf numFmtId="166" fontId="17" fillId="2" borderId="1" xfId="2" applyNumberFormat="1" applyFont="1" applyFill="1" applyBorder="1" applyAlignment="1">
      <alignment horizontal="center" vertical="center" wrapText="1"/>
    </xf>
    <xf numFmtId="170" fontId="17" fillId="2" borderId="11" xfId="2" applyNumberFormat="1" applyFont="1" applyFill="1" applyBorder="1" applyAlignment="1">
      <alignment horizontal="center" vertical="center" wrapText="1"/>
    </xf>
    <xf numFmtId="0" fontId="16" fillId="2" borderId="0" xfId="2" applyFont="1" applyFill="1"/>
    <xf numFmtId="0" fontId="23" fillId="2" borderId="10" xfId="2" applyFont="1" applyFill="1" applyBorder="1" applyAlignment="1">
      <alignment horizontal="left" vertical="top" wrapText="1"/>
    </xf>
    <xf numFmtId="166" fontId="23" fillId="2" borderId="1" xfId="2" applyNumberFormat="1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top" wrapText="1"/>
    </xf>
    <xf numFmtId="170" fontId="17" fillId="4" borderId="11" xfId="2" applyNumberFormat="1" applyFont="1" applyFill="1" applyBorder="1" applyAlignment="1">
      <alignment horizontal="center" vertical="center" wrapText="1"/>
    </xf>
    <xf numFmtId="0" fontId="16" fillId="4" borderId="0" xfId="2" applyFont="1" applyFill="1"/>
    <xf numFmtId="166" fontId="2" fillId="2" borderId="1" xfId="2" applyNumberFormat="1" applyFont="1" applyFill="1" applyBorder="1" applyAlignment="1">
      <alignment horizontal="center" vertical="center" wrapText="1"/>
    </xf>
    <xf numFmtId="0" fontId="23" fillId="2" borderId="20" xfId="2" applyFont="1" applyFill="1" applyBorder="1" applyAlignment="1">
      <alignment horizontal="left" vertical="top" wrapText="1"/>
    </xf>
    <xf numFmtId="166" fontId="23" fillId="2" borderId="19" xfId="2" applyNumberFormat="1" applyFont="1" applyFill="1" applyBorder="1" applyAlignment="1">
      <alignment horizontal="center" vertical="center" wrapText="1"/>
    </xf>
    <xf numFmtId="170" fontId="17" fillId="2" borderId="21" xfId="2" applyNumberFormat="1" applyFont="1" applyFill="1" applyBorder="1" applyAlignment="1">
      <alignment horizontal="center" vertical="center" wrapText="1"/>
    </xf>
    <xf numFmtId="0" fontId="24" fillId="6" borderId="0" xfId="2" applyFont="1" applyFill="1"/>
    <xf numFmtId="0" fontId="17" fillId="8" borderId="13" xfId="2" applyFont="1" applyFill="1" applyBorder="1" applyAlignment="1">
      <alignment horizontal="center" vertical="top" wrapText="1"/>
    </xf>
    <xf numFmtId="170" fontId="17" fillId="8" borderId="14" xfId="2" applyNumberFormat="1" applyFont="1" applyFill="1" applyBorder="1" applyAlignment="1">
      <alignment horizontal="center" vertical="center" wrapText="1"/>
    </xf>
    <xf numFmtId="0" fontId="16" fillId="8" borderId="0" xfId="2" applyFont="1" applyFill="1"/>
    <xf numFmtId="0" fontId="2" fillId="2" borderId="10" xfId="2" applyFont="1" applyFill="1" applyBorder="1" applyAlignment="1">
      <alignment wrapText="1"/>
    </xf>
    <xf numFmtId="170" fontId="17" fillId="0" borderId="11" xfId="2" applyNumberFormat="1" applyFont="1" applyBorder="1" applyAlignment="1">
      <alignment horizontal="center" vertical="center" wrapText="1"/>
    </xf>
    <xf numFmtId="170" fontId="17" fillId="0" borderId="12" xfId="2" applyNumberFormat="1" applyFont="1" applyBorder="1" applyAlignment="1">
      <alignment horizontal="center" vertical="center" wrapText="1"/>
    </xf>
    <xf numFmtId="0" fontId="16" fillId="0" borderId="1" xfId="2" applyFont="1" applyBorder="1" applyAlignment="1">
      <alignment wrapText="1"/>
    </xf>
    <xf numFmtId="0" fontId="16" fillId="0" borderId="25" xfId="2" applyFont="1" applyBorder="1"/>
    <xf numFmtId="0" fontId="19" fillId="0" borderId="0" xfId="2" applyFont="1"/>
    <xf numFmtId="2" fontId="16" fillId="0" borderId="0" xfId="2" applyNumberFormat="1" applyFont="1"/>
    <xf numFmtId="0" fontId="16" fillId="0" borderId="0" xfId="2" applyFont="1" applyAlignment="1">
      <alignment wrapText="1"/>
    </xf>
    <xf numFmtId="0" fontId="18" fillId="0" borderId="0" xfId="0" applyFont="1" applyAlignment="1">
      <alignment horizontal="left" wrapText="1"/>
    </xf>
    <xf numFmtId="0" fontId="12" fillId="0" borderId="0" xfId="0" applyFont="1" applyAlignment="1">
      <alignment horizontal="left" indent="15"/>
    </xf>
    <xf numFmtId="0" fontId="12" fillId="0" borderId="0" xfId="0" applyFont="1"/>
    <xf numFmtId="0" fontId="13" fillId="2" borderId="0" xfId="0" applyFont="1" applyFill="1"/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top" wrapText="1"/>
    </xf>
    <xf numFmtId="0" fontId="17" fillId="0" borderId="0" xfId="2" applyFont="1" applyAlignment="1">
      <alignment horizontal="center"/>
    </xf>
    <xf numFmtId="167" fontId="9" fillId="0" borderId="0" xfId="0" applyNumberFormat="1" applyFont="1" applyAlignment="1">
      <alignment horizontal="center" vertical="center" wrapText="1"/>
    </xf>
    <xf numFmtId="0" fontId="9" fillId="0" borderId="0" xfId="0" applyFont="1"/>
    <xf numFmtId="166" fontId="23" fillId="2" borderId="28" xfId="2" applyNumberFormat="1" applyFont="1" applyFill="1" applyBorder="1" applyAlignment="1">
      <alignment horizontal="center" vertical="center" wrapText="1"/>
    </xf>
    <xf numFmtId="0" fontId="2" fillId="2" borderId="20" xfId="2" applyFont="1" applyFill="1" applyBorder="1" applyAlignment="1">
      <alignment horizontal="center" vertical="top" wrapText="1"/>
    </xf>
    <xf numFmtId="170" fontId="2" fillId="2" borderId="21" xfId="2" applyNumberFormat="1" applyFont="1" applyFill="1" applyBorder="1" applyAlignment="1">
      <alignment horizontal="center" vertical="center" wrapText="1"/>
    </xf>
    <xf numFmtId="0" fontId="6" fillId="2" borderId="0" xfId="2" applyFont="1" applyFill="1"/>
    <xf numFmtId="0" fontId="23" fillId="0" borderId="4" xfId="2" applyFont="1" applyBorder="1" applyAlignment="1">
      <alignment horizontal="left" vertical="top" wrapText="1"/>
    </xf>
    <xf numFmtId="0" fontId="16" fillId="2" borderId="6" xfId="2" applyFont="1" applyFill="1" applyBorder="1"/>
    <xf numFmtId="0" fontId="12" fillId="0" borderId="0" xfId="0" applyFont="1" applyAlignment="1">
      <alignment horizontal="center"/>
    </xf>
    <xf numFmtId="17" fontId="12" fillId="0" borderId="0" xfId="0" applyNumberFormat="1" applyFont="1" applyAlignment="1">
      <alignment horizontal="left" vertical="top" wrapText="1"/>
    </xf>
    <xf numFmtId="167" fontId="2" fillId="0" borderId="8" xfId="0" applyNumberFormat="1" applyFont="1" applyBorder="1" applyAlignment="1">
      <alignment horizontal="center" vertical="center" wrapText="1"/>
    </xf>
    <xf numFmtId="167" fontId="22" fillId="6" borderId="5" xfId="2" applyNumberFormat="1" applyFont="1" applyFill="1" applyBorder="1" applyAlignment="1">
      <alignment horizontal="center" vertical="center" wrapText="1"/>
    </xf>
    <xf numFmtId="167" fontId="24" fillId="6" borderId="1" xfId="2" applyNumberFormat="1" applyFont="1" applyFill="1" applyBorder="1" applyAlignment="1">
      <alignment wrapText="1"/>
    </xf>
    <xf numFmtId="167" fontId="17" fillId="7" borderId="3" xfId="2" applyNumberFormat="1" applyFont="1" applyFill="1" applyBorder="1" applyAlignment="1">
      <alignment horizontal="center" vertical="center" wrapText="1"/>
    </xf>
    <xf numFmtId="167" fontId="24" fillId="8" borderId="1" xfId="2" applyNumberFormat="1" applyFont="1" applyFill="1" applyBorder="1" applyAlignment="1">
      <alignment wrapText="1"/>
    </xf>
    <xf numFmtId="167" fontId="17" fillId="2" borderId="1" xfId="2" applyNumberFormat="1" applyFont="1" applyFill="1" applyBorder="1" applyAlignment="1">
      <alignment horizontal="center" vertical="center" wrapText="1"/>
    </xf>
    <xf numFmtId="167" fontId="27" fillId="9" borderId="1" xfId="2" applyNumberFormat="1" applyFont="1" applyFill="1" applyBorder="1" applyAlignment="1">
      <alignment wrapText="1"/>
    </xf>
    <xf numFmtId="167" fontId="27" fillId="9" borderId="1" xfId="2" applyNumberFormat="1" applyFont="1" applyFill="1" applyBorder="1"/>
    <xf numFmtId="167" fontId="16" fillId="0" borderId="1" xfId="2" applyNumberFormat="1" applyFont="1" applyBorder="1" applyAlignment="1">
      <alignment wrapText="1"/>
    </xf>
    <xf numFmtId="167" fontId="24" fillId="5" borderId="1" xfId="2" applyNumberFormat="1" applyFont="1" applyFill="1" applyBorder="1" applyAlignment="1">
      <alignment wrapText="1"/>
    </xf>
    <xf numFmtId="0" fontId="23" fillId="6" borderId="10" xfId="2" applyFont="1" applyFill="1" applyBorder="1" applyAlignment="1">
      <alignment horizontal="left" vertical="top" wrapText="1"/>
    </xf>
    <xf numFmtId="167" fontId="28" fillId="6" borderId="1" xfId="2" applyNumberFormat="1" applyFont="1" applyFill="1" applyBorder="1" applyAlignment="1">
      <alignment wrapText="1"/>
    </xf>
    <xf numFmtId="167" fontId="28" fillId="6" borderId="1" xfId="2" applyNumberFormat="1" applyFont="1" applyFill="1" applyBorder="1"/>
    <xf numFmtId="0" fontId="9" fillId="6" borderId="10" xfId="2" applyFont="1" applyFill="1" applyBorder="1" applyAlignment="1">
      <alignment wrapText="1"/>
    </xf>
    <xf numFmtId="167" fontId="26" fillId="6" borderId="1" xfId="2" applyNumberFormat="1" applyFont="1" applyFill="1" applyBorder="1" applyAlignment="1">
      <alignment wrapText="1"/>
    </xf>
    <xf numFmtId="167" fontId="26" fillId="6" borderId="1" xfId="2" applyNumberFormat="1" applyFont="1" applyFill="1" applyBorder="1"/>
    <xf numFmtId="167" fontId="16" fillId="0" borderId="1" xfId="2" applyNumberFormat="1" applyFont="1" applyBorder="1"/>
    <xf numFmtId="167" fontId="8" fillId="6" borderId="5" xfId="2" applyNumberFormat="1" applyFont="1" applyFill="1" applyBorder="1" applyAlignment="1">
      <alignment horizontal="center" vertical="center" wrapText="1"/>
    </xf>
    <xf numFmtId="167" fontId="22" fillId="6" borderId="26" xfId="2" applyNumberFormat="1" applyFont="1" applyFill="1" applyBorder="1" applyAlignment="1">
      <alignment horizontal="center" vertical="center" wrapText="1"/>
    </xf>
    <xf numFmtId="167" fontId="17" fillId="8" borderId="3" xfId="2" applyNumberFormat="1" applyFont="1" applyFill="1" applyBorder="1" applyAlignment="1">
      <alignment horizontal="center" vertical="center" wrapText="1"/>
    </xf>
    <xf numFmtId="167" fontId="16" fillId="8" borderId="1" xfId="2" applyNumberFormat="1" applyFont="1" applyFill="1" applyBorder="1" applyAlignment="1">
      <alignment wrapText="1"/>
    </xf>
    <xf numFmtId="167" fontId="17" fillId="0" borderId="1" xfId="2" applyNumberFormat="1" applyFont="1" applyBorder="1" applyAlignment="1">
      <alignment horizontal="center" vertical="center" wrapText="1"/>
    </xf>
    <xf numFmtId="167" fontId="2" fillId="0" borderId="1" xfId="2" applyNumberFormat="1" applyFont="1" applyBorder="1" applyAlignment="1">
      <alignment horizontal="center" vertical="center" wrapText="1"/>
    </xf>
    <xf numFmtId="167" fontId="6" fillId="9" borderId="1" xfId="2" applyNumberFormat="1" applyFont="1" applyFill="1" applyBorder="1" applyAlignment="1">
      <alignment wrapText="1"/>
    </xf>
    <xf numFmtId="167" fontId="16" fillId="9" borderId="1" xfId="2" applyNumberFormat="1" applyFont="1" applyFill="1" applyBorder="1" applyAlignment="1">
      <alignment wrapText="1"/>
    </xf>
    <xf numFmtId="167" fontId="6" fillId="9" borderId="1" xfId="2" applyNumberFormat="1" applyFont="1" applyFill="1" applyBorder="1"/>
    <xf numFmtId="167" fontId="2" fillId="2" borderId="1" xfId="2" applyNumberFormat="1" applyFont="1" applyFill="1" applyBorder="1" applyAlignment="1">
      <alignment horizontal="center" vertical="center" wrapText="1"/>
    </xf>
    <xf numFmtId="167" fontId="17" fillId="7" borderId="1" xfId="2" applyNumberFormat="1" applyFont="1" applyFill="1" applyBorder="1" applyAlignment="1">
      <alignment horizontal="center" vertical="center" wrapText="1"/>
    </xf>
    <xf numFmtId="167" fontId="24" fillId="7" borderId="1" xfId="2" applyNumberFormat="1" applyFont="1" applyFill="1" applyBorder="1" applyAlignment="1">
      <alignment wrapText="1"/>
    </xf>
    <xf numFmtId="167" fontId="2" fillId="2" borderId="28" xfId="2" applyNumberFormat="1" applyFont="1" applyFill="1" applyBorder="1" applyAlignment="1">
      <alignment horizontal="center" vertical="center" wrapText="1"/>
    </xf>
    <xf numFmtId="168" fontId="2" fillId="2" borderId="1" xfId="2" applyNumberFormat="1" applyFont="1" applyFill="1" applyBorder="1" applyAlignment="1">
      <alignment horizontal="center" vertical="center" wrapText="1"/>
    </xf>
    <xf numFmtId="167" fontId="2" fillId="2" borderId="19" xfId="2" applyNumberFormat="1" applyFont="1" applyFill="1" applyBorder="1" applyAlignment="1">
      <alignment horizontal="center" vertical="center" wrapText="1"/>
    </xf>
    <xf numFmtId="166" fontId="6" fillId="0" borderId="1" xfId="2" applyNumberFormat="1" applyFont="1" applyBorder="1" applyAlignment="1">
      <alignment wrapText="1"/>
    </xf>
    <xf numFmtId="166" fontId="6" fillId="0" borderId="1" xfId="2" applyNumberFormat="1" applyFont="1" applyBorder="1"/>
    <xf numFmtId="167" fontId="17" fillId="2" borderId="5" xfId="2" applyNumberFormat="1" applyFont="1" applyFill="1" applyBorder="1" applyAlignment="1">
      <alignment horizontal="center" vertical="center" wrapText="1"/>
    </xf>
    <xf numFmtId="167" fontId="23" fillId="2" borderId="5" xfId="2" applyNumberFormat="1" applyFont="1" applyFill="1" applyBorder="1" applyAlignment="1">
      <alignment horizontal="center" vertical="center" wrapText="1"/>
    </xf>
    <xf numFmtId="167" fontId="29" fillId="0" borderId="0" xfId="2" applyNumberFormat="1" applyFont="1"/>
    <xf numFmtId="167" fontId="17" fillId="4" borderId="1" xfId="2" applyNumberFormat="1" applyFont="1" applyFill="1" applyBorder="1" applyAlignment="1">
      <alignment horizontal="center" vertical="center" wrapText="1"/>
    </xf>
    <xf numFmtId="167" fontId="30" fillId="6" borderId="1" xfId="2" applyNumberFormat="1" applyFont="1" applyFill="1" applyBorder="1" applyAlignment="1">
      <alignment wrapText="1"/>
    </xf>
    <xf numFmtId="167" fontId="2" fillId="0" borderId="30" xfId="0" applyNumberFormat="1" applyFont="1" applyBorder="1" applyAlignment="1">
      <alignment horizontal="center" vertical="center" wrapText="1"/>
    </xf>
    <xf numFmtId="172" fontId="8" fillId="2" borderId="5" xfId="0" applyNumberFormat="1" applyFont="1" applyFill="1" applyBorder="1" applyAlignment="1">
      <alignment horizontal="center" vertical="center" wrapText="1"/>
    </xf>
    <xf numFmtId="172" fontId="2" fillId="0" borderId="8" xfId="0" applyNumberFormat="1" applyFont="1" applyBorder="1" applyAlignment="1">
      <alignment horizontal="center" vertical="center" wrapText="1"/>
    </xf>
    <xf numFmtId="170" fontId="12" fillId="0" borderId="0" xfId="0" applyNumberFormat="1" applyFont="1" applyAlignment="1">
      <alignment horizontal="left" vertical="top" wrapText="1"/>
    </xf>
    <xf numFmtId="170" fontId="10" fillId="0" borderId="0" xfId="0" applyNumberFormat="1" applyFont="1" applyAlignment="1">
      <alignment horizontal="left" wrapText="1"/>
    </xf>
    <xf numFmtId="0" fontId="12" fillId="2" borderId="0" xfId="0" applyFont="1" applyFill="1" applyAlignment="1">
      <alignment horizontal="left" vertical="top" wrapText="1"/>
    </xf>
    <xf numFmtId="0" fontId="12" fillId="0" borderId="0" xfId="0" applyFont="1" applyAlignment="1">
      <alignment horizontal="center" vertical="top" wrapText="1"/>
    </xf>
    <xf numFmtId="168" fontId="2" fillId="2" borderId="19" xfId="2" applyNumberFormat="1" applyFont="1" applyFill="1" applyBorder="1" applyAlignment="1">
      <alignment horizontal="center" vertical="center" wrapText="1"/>
    </xf>
    <xf numFmtId="169" fontId="2" fillId="2" borderId="3" xfId="2" applyNumberFormat="1" applyFont="1" applyFill="1" applyBorder="1" applyAlignment="1">
      <alignment horizontal="center" vertical="center" wrapText="1"/>
    </xf>
    <xf numFmtId="169" fontId="2" fillId="2" borderId="28" xfId="2" applyNumberFormat="1" applyFont="1" applyFill="1" applyBorder="1" applyAlignment="1">
      <alignment horizontal="center" vertical="center" wrapText="1"/>
    </xf>
    <xf numFmtId="167" fontId="16" fillId="0" borderId="0" xfId="2" applyNumberFormat="1" applyFont="1"/>
    <xf numFmtId="0" fontId="21" fillId="0" borderId="25" xfId="0" applyFont="1" applyBorder="1"/>
    <xf numFmtId="0" fontId="20" fillId="0" borderId="0" xfId="0" applyFont="1"/>
    <xf numFmtId="17" fontId="12" fillId="0" borderId="0" xfId="0" applyNumberFormat="1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167" fontId="8" fillId="3" borderId="26" xfId="0" applyNumberFormat="1" applyFont="1" applyFill="1" applyBorder="1" applyAlignment="1">
      <alignment horizontal="center" vertical="center" wrapText="1"/>
    </xf>
    <xf numFmtId="167" fontId="8" fillId="0" borderId="26" xfId="0" applyNumberFormat="1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top" wrapText="1"/>
    </xf>
    <xf numFmtId="0" fontId="8" fillId="3" borderId="38" xfId="0" applyFont="1" applyFill="1" applyBorder="1" applyAlignment="1">
      <alignment vertical="top" wrapText="1"/>
    </xf>
    <xf numFmtId="0" fontId="2" fillId="2" borderId="38" xfId="0" applyFont="1" applyFill="1" applyBorder="1" applyAlignment="1">
      <alignment vertical="top" wrapText="1"/>
    </xf>
    <xf numFmtId="0" fontId="2" fillId="0" borderId="39" xfId="0" applyFont="1" applyBorder="1" applyAlignment="1">
      <alignment vertical="top" wrapText="1"/>
    </xf>
    <xf numFmtId="0" fontId="12" fillId="0" borderId="0" xfId="0" applyFont="1" applyFill="1" applyAlignment="1">
      <alignment vertical="top" wrapText="1"/>
    </xf>
    <xf numFmtId="17" fontId="2" fillId="0" borderId="0" xfId="0" applyNumberFormat="1" applyFont="1" applyAlignment="1">
      <alignment horizontal="left" vertical="top" wrapText="1"/>
    </xf>
    <xf numFmtId="167" fontId="16" fillId="8" borderId="0" xfId="2" applyNumberFormat="1" applyFont="1" applyFill="1"/>
    <xf numFmtId="167" fontId="8" fillId="3" borderId="40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17" fontId="10" fillId="0" borderId="0" xfId="0" applyNumberFormat="1" applyFont="1" applyAlignment="1">
      <alignment horizontal="left" vertical="top" wrapText="1"/>
    </xf>
    <xf numFmtId="17" fontId="12" fillId="0" borderId="0" xfId="0" applyNumberFormat="1" applyFont="1" applyAlignment="1">
      <alignment horizontal="left" vertical="top" wrapText="1"/>
    </xf>
    <xf numFmtId="17" fontId="12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170" fontId="31" fillId="0" borderId="0" xfId="0" applyNumberFormat="1" applyFont="1" applyAlignment="1">
      <alignment horizontal="center" vertical="center" wrapText="1"/>
    </xf>
    <xf numFmtId="17" fontId="12" fillId="0" borderId="0" xfId="0" applyNumberFormat="1" applyFont="1" applyAlignment="1">
      <alignment wrapText="1"/>
    </xf>
    <xf numFmtId="0" fontId="8" fillId="0" borderId="0" xfId="0" applyFont="1" applyAlignment="1">
      <alignment vertical="top" wrapText="1"/>
    </xf>
    <xf numFmtId="0" fontId="2" fillId="0" borderId="0" xfId="0" applyFont="1" applyAlignment="1">
      <alignment horizontal="right" wrapText="1"/>
    </xf>
    <xf numFmtId="173" fontId="5" fillId="2" borderId="27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170" fontId="12" fillId="10" borderId="1" xfId="0" applyNumberFormat="1" applyFont="1" applyFill="1" applyBorder="1" applyAlignment="1">
      <alignment horizontal="left" vertical="top" wrapText="1"/>
    </xf>
    <xf numFmtId="0" fontId="11" fillId="10" borderId="1" xfId="0" applyFont="1" applyFill="1" applyBorder="1"/>
    <xf numFmtId="166" fontId="7" fillId="0" borderId="0" xfId="0" applyNumberFormat="1" applyFont="1"/>
    <xf numFmtId="0" fontId="12" fillId="0" borderId="0" xfId="0" applyFont="1" applyAlignment="1">
      <alignment horizontal="left" vertical="top" wrapText="1"/>
    </xf>
    <xf numFmtId="17" fontId="12" fillId="0" borderId="0" xfId="0" applyNumberFormat="1" applyFont="1" applyAlignment="1">
      <alignment horizontal="left" vertical="top" wrapText="1"/>
    </xf>
    <xf numFmtId="17" fontId="12" fillId="0" borderId="0" xfId="0" applyNumberFormat="1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17" fontId="10" fillId="0" borderId="0" xfId="0" applyNumberFormat="1" applyFont="1" applyBorder="1" applyAlignment="1">
      <alignment horizontal="left" vertical="top" wrapText="1"/>
    </xf>
    <xf numFmtId="171" fontId="10" fillId="0" borderId="0" xfId="1" applyNumberFormat="1" applyFont="1" applyFill="1" applyBorder="1" applyAlignment="1">
      <alignment horizontal="right" vertical="top" wrapText="1"/>
    </xf>
    <xf numFmtId="17" fontId="12" fillId="0" borderId="1" xfId="0" applyNumberFormat="1" applyFont="1" applyBorder="1" applyAlignment="1">
      <alignment horizontal="left" vertical="top" wrapText="1"/>
    </xf>
    <xf numFmtId="171" fontId="12" fillId="0" borderId="1" xfId="1" applyNumberFormat="1" applyFont="1" applyFill="1" applyBorder="1" applyAlignment="1">
      <alignment horizontal="right" vertical="top" wrapText="1"/>
    </xf>
    <xf numFmtId="166" fontId="10" fillId="10" borderId="0" xfId="0" applyNumberFormat="1" applyFont="1" applyFill="1" applyAlignment="1">
      <alignment horizontal="left" vertical="top" wrapText="1"/>
    </xf>
    <xf numFmtId="17" fontId="12" fillId="10" borderId="0" xfId="0" applyNumberFormat="1" applyFont="1" applyFill="1" applyAlignment="1">
      <alignment vertical="top"/>
    </xf>
    <xf numFmtId="0" fontId="11" fillId="10" borderId="0" xfId="0" applyFont="1" applyFill="1"/>
    <xf numFmtId="170" fontId="12" fillId="0" borderId="0" xfId="0" applyNumberFormat="1" applyFont="1" applyAlignment="1">
      <alignment wrapText="1"/>
    </xf>
    <xf numFmtId="170" fontId="12" fillId="0" borderId="0" xfId="0" applyNumberFormat="1" applyFont="1" applyAlignment="1">
      <alignment horizontal="center" wrapText="1"/>
    </xf>
    <xf numFmtId="170" fontId="12" fillId="10" borderId="0" xfId="0" applyNumberFormat="1" applyFont="1" applyFill="1" applyAlignment="1">
      <alignment horizontal="left" vertical="center" wrapText="1"/>
    </xf>
    <xf numFmtId="0" fontId="12" fillId="10" borderId="0" xfId="0" applyFont="1" applyFill="1" applyAlignment="1">
      <alignment horizontal="left" vertical="top" wrapText="1"/>
    </xf>
    <xf numFmtId="0" fontId="12" fillId="10" borderId="0" xfId="0" applyFont="1" applyFill="1" applyAlignment="1">
      <alignment horizontal="left" vertical="center" wrapText="1"/>
    </xf>
    <xf numFmtId="0" fontId="15" fillId="10" borderId="0" xfId="0" applyFont="1" applyFill="1" applyAlignment="1">
      <alignment horizontal="left" vertical="top" wrapText="1"/>
    </xf>
    <xf numFmtId="17" fontId="12" fillId="10" borderId="0" xfId="0" applyNumberFormat="1" applyFont="1" applyFill="1" applyAlignment="1">
      <alignment horizontal="left" vertical="center" wrapText="1"/>
    </xf>
    <xf numFmtId="0" fontId="12" fillId="10" borderId="0" xfId="0" applyFont="1" applyFill="1" applyAlignment="1">
      <alignment horizontal="center" vertical="center" wrapText="1"/>
    </xf>
    <xf numFmtId="170" fontId="31" fillId="10" borderId="0" xfId="0" applyNumberFormat="1" applyFont="1" applyFill="1" applyAlignment="1">
      <alignment horizontal="center" vertical="center" wrapText="1"/>
    </xf>
    <xf numFmtId="170" fontId="12" fillId="10" borderId="0" xfId="0" applyNumberFormat="1" applyFont="1" applyFill="1" applyAlignment="1">
      <alignment horizontal="left" vertical="top" wrapText="1"/>
    </xf>
    <xf numFmtId="164" fontId="12" fillId="10" borderId="0" xfId="0" applyNumberFormat="1" applyFont="1" applyFill="1" applyAlignment="1">
      <alignment horizontal="left" vertical="top" wrapText="1"/>
    </xf>
    <xf numFmtId="166" fontId="10" fillId="9" borderId="0" xfId="0" applyNumberFormat="1" applyFont="1" applyFill="1" applyAlignment="1">
      <alignment horizontal="left" vertical="top" wrapText="1"/>
    </xf>
    <xf numFmtId="0" fontId="10" fillId="0" borderId="0" xfId="0" applyFont="1" applyAlignment="1">
      <alignment vertical="top" wrapText="1"/>
    </xf>
    <xf numFmtId="17" fontId="10" fillId="0" borderId="0" xfId="0" applyNumberFormat="1" applyFont="1" applyAlignment="1">
      <alignment vertical="top" wrapText="1"/>
    </xf>
    <xf numFmtId="0" fontId="12" fillId="0" borderId="0" xfId="0" applyFont="1" applyFill="1" applyAlignment="1">
      <alignment horizontal="left" vertical="top" wrapText="1"/>
    </xf>
    <xf numFmtId="0" fontId="32" fillId="0" borderId="0" xfId="2" applyFont="1" applyAlignment="1">
      <alignment horizontal="center"/>
    </xf>
    <xf numFmtId="0" fontId="16" fillId="0" borderId="0" xfId="2" applyFont="1" applyBorder="1"/>
    <xf numFmtId="0" fontId="19" fillId="0" borderId="0" xfId="2" applyFont="1" applyBorder="1"/>
    <xf numFmtId="0" fontId="11" fillId="0" borderId="0" xfId="0" applyFont="1" applyFill="1"/>
    <xf numFmtId="171" fontId="10" fillId="0" borderId="1" xfId="1" applyNumberFormat="1" applyFont="1" applyFill="1" applyBorder="1" applyAlignment="1">
      <alignment horizontal="right" vertical="top" wrapText="1"/>
    </xf>
    <xf numFmtId="166" fontId="10" fillId="0" borderId="0" xfId="0" applyNumberFormat="1" applyFont="1" applyFill="1" applyAlignment="1">
      <alignment horizontal="left" vertical="top" wrapText="1"/>
    </xf>
    <xf numFmtId="17" fontId="12" fillId="0" borderId="0" xfId="0" applyNumberFormat="1" applyFont="1" applyFill="1" applyAlignment="1">
      <alignment vertical="top"/>
    </xf>
    <xf numFmtId="17" fontId="12" fillId="0" borderId="0" xfId="0" applyNumberFormat="1" applyFont="1" applyFill="1" applyAlignment="1">
      <alignment horizontal="left" vertical="center" wrapText="1"/>
    </xf>
    <xf numFmtId="17" fontId="12" fillId="0" borderId="0" xfId="0" applyNumberFormat="1" applyFont="1" applyFill="1" applyAlignment="1">
      <alignment horizontal="left" vertical="top" wrapText="1"/>
    </xf>
    <xf numFmtId="170" fontId="12" fillId="0" borderId="0" xfId="0" applyNumberFormat="1" applyFont="1" applyFill="1" applyAlignment="1">
      <alignment horizontal="left" vertical="center" wrapText="1"/>
    </xf>
    <xf numFmtId="164" fontId="12" fillId="0" borderId="0" xfId="0" applyNumberFormat="1" applyFont="1" applyFill="1" applyAlignment="1">
      <alignment horizontal="left" vertical="top" wrapText="1"/>
    </xf>
    <xf numFmtId="0" fontId="15" fillId="0" borderId="0" xfId="0" applyFont="1" applyFill="1" applyAlignment="1">
      <alignment horizontal="left" vertical="top" wrapText="1"/>
    </xf>
    <xf numFmtId="170" fontId="12" fillId="0" borderId="1" xfId="0" applyNumberFormat="1" applyFont="1" applyFill="1" applyBorder="1" applyAlignment="1">
      <alignment horizontal="left" vertical="top" wrapText="1"/>
    </xf>
    <xf numFmtId="0" fontId="16" fillId="0" borderId="0" xfId="2" applyFont="1" applyAlignment="1">
      <alignment horizontal="center"/>
    </xf>
    <xf numFmtId="0" fontId="25" fillId="0" borderId="2" xfId="2" applyFont="1" applyBorder="1" applyAlignment="1">
      <alignment horizontal="center" vertical="center"/>
    </xf>
    <xf numFmtId="0" fontId="14" fillId="0" borderId="3" xfId="2" applyBorder="1" applyAlignment="1">
      <alignment vertical="center"/>
    </xf>
    <xf numFmtId="0" fontId="19" fillId="0" borderId="0" xfId="2" applyFont="1" applyBorder="1" applyAlignment="1">
      <alignment horizontal="right"/>
    </xf>
    <xf numFmtId="0" fontId="22" fillId="0" borderId="0" xfId="2" applyFont="1" applyAlignment="1">
      <alignment horizontal="center"/>
    </xf>
    <xf numFmtId="0" fontId="17" fillId="0" borderId="0" xfId="2" applyFont="1" applyAlignment="1">
      <alignment horizontal="center"/>
    </xf>
    <xf numFmtId="0" fontId="17" fillId="0" borderId="0" xfId="2" applyFont="1" applyAlignment="1">
      <alignment horizontal="left" vertical="top" wrapText="1"/>
    </xf>
    <xf numFmtId="0" fontId="22" fillId="0" borderId="7" xfId="2" applyFont="1" applyBorder="1" applyAlignment="1">
      <alignment horizontal="center" vertical="center" wrapText="1"/>
    </xf>
    <xf numFmtId="0" fontId="22" fillId="0" borderId="15" xfId="2" applyFont="1" applyBorder="1" applyAlignment="1">
      <alignment horizontal="center" vertical="center" wrapText="1"/>
    </xf>
    <xf numFmtId="0" fontId="22" fillId="0" borderId="8" xfId="2" applyFont="1" applyBorder="1" applyAlignment="1">
      <alignment horizontal="center" vertical="center" wrapText="1"/>
    </xf>
    <xf numFmtId="0" fontId="22" fillId="0" borderId="9" xfId="2" applyFont="1" applyBorder="1" applyAlignment="1">
      <alignment horizontal="center" vertical="center" wrapText="1"/>
    </xf>
    <xf numFmtId="0" fontId="22" fillId="0" borderId="17" xfId="2" applyFont="1" applyBorder="1" applyAlignment="1">
      <alignment horizontal="center" vertical="center" wrapText="1"/>
    </xf>
    <xf numFmtId="0" fontId="32" fillId="0" borderId="0" xfId="2" applyFont="1" applyAlignment="1">
      <alignment horizontal="right"/>
    </xf>
    <xf numFmtId="0" fontId="16" fillId="0" borderId="0" xfId="2" applyFont="1" applyAlignment="1">
      <alignment horizontal="center" vertical="top"/>
    </xf>
    <xf numFmtId="0" fontId="16" fillId="0" borderId="2" xfId="2" applyFont="1" applyBorder="1" applyAlignment="1">
      <alignment horizontal="center" vertical="center" wrapText="1"/>
    </xf>
    <xf numFmtId="0" fontId="16" fillId="0" borderId="3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/>
    </xf>
    <xf numFmtId="0" fontId="16" fillId="0" borderId="41" xfId="0" applyFont="1" applyBorder="1" applyAlignment="1">
      <alignment horizontal="center" vertical="top"/>
    </xf>
    <xf numFmtId="0" fontId="33" fillId="0" borderId="25" xfId="0" applyFont="1" applyBorder="1" applyAlignment="1">
      <alignment horizontal="center"/>
    </xf>
    <xf numFmtId="0" fontId="16" fillId="0" borderId="0" xfId="0" applyFont="1" applyBorder="1" applyAlignment="1">
      <alignment horizontal="center" vertical="top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right" vertical="top" wrapText="1"/>
    </xf>
    <xf numFmtId="0" fontId="12" fillId="0" borderId="0" xfId="0" applyFont="1" applyFill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2" borderId="0" xfId="0" applyFont="1" applyFill="1" applyAlignment="1">
      <alignment horizontal="left" vertical="top" wrapText="1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top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18" fillId="2" borderId="31" xfId="0" applyFont="1" applyFill="1" applyBorder="1" applyAlignment="1">
      <alignment horizontal="center" vertical="center" wrapText="1"/>
    </xf>
    <xf numFmtId="0" fontId="18" fillId="2" borderId="32" xfId="0" applyFont="1" applyFill="1" applyBorder="1" applyAlignment="1">
      <alignment horizontal="center" vertical="center" wrapText="1"/>
    </xf>
    <xf numFmtId="0" fontId="18" fillId="2" borderId="35" xfId="0" applyFont="1" applyFill="1" applyBorder="1" applyAlignment="1">
      <alignment horizontal="center" vertical="center" wrapText="1"/>
    </xf>
    <xf numFmtId="17" fontId="12" fillId="10" borderId="0" xfId="0" applyNumberFormat="1" applyFont="1" applyFill="1" applyAlignment="1">
      <alignment horizontal="left" vertical="center" wrapText="1"/>
    </xf>
    <xf numFmtId="17" fontId="10" fillId="0" borderId="0" xfId="0" applyNumberFormat="1" applyFont="1" applyAlignment="1">
      <alignment horizontal="left" vertical="top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17" fontId="12" fillId="0" borderId="0" xfId="0" applyNumberFormat="1" applyFont="1" applyAlignment="1">
      <alignment horizontal="left" vertical="top"/>
    </xf>
    <xf numFmtId="17" fontId="12" fillId="10" borderId="0" xfId="0" applyNumberFormat="1" applyFont="1" applyFill="1" applyAlignment="1">
      <alignment horizontal="left" vertical="top"/>
    </xf>
    <xf numFmtId="17" fontId="2" fillId="0" borderId="0" xfId="0" applyNumberFormat="1" applyFont="1" applyAlignment="1">
      <alignment horizontal="left" vertical="top" wrapText="1"/>
    </xf>
    <xf numFmtId="0" fontId="10" fillId="0" borderId="25" xfId="0" applyFont="1" applyBorder="1" applyAlignment="1">
      <alignment horizontal="left" vertical="top" wrapText="1"/>
    </xf>
    <xf numFmtId="0" fontId="5" fillId="2" borderId="37" xfId="0" applyFont="1" applyFill="1" applyBorder="1" applyAlignment="1">
      <alignment horizontal="center" vertical="center" wrapText="1"/>
    </xf>
    <xf numFmtId="17" fontId="12" fillId="9" borderId="0" xfId="0" applyNumberFormat="1" applyFont="1" applyFill="1" applyAlignment="1">
      <alignment horizontal="left" vertical="top" wrapText="1"/>
    </xf>
    <xf numFmtId="17" fontId="12" fillId="10" borderId="0" xfId="0" applyNumberFormat="1" applyFont="1" applyFill="1" applyAlignment="1">
      <alignment horizontal="left" vertical="top" wrapText="1"/>
    </xf>
    <xf numFmtId="17" fontId="12" fillId="0" borderId="0" xfId="0" applyNumberFormat="1" applyFont="1" applyFill="1" applyAlignment="1">
      <alignment horizontal="left" vertical="top" wrapText="1"/>
    </xf>
  </cellXfs>
  <cellStyles count="5">
    <cellStyle name="Обычный" xfId="0" builtinId="0"/>
    <cellStyle name="Обычный 2" xfId="2" xr:uid="{00000000-0005-0000-0000-000001000000}"/>
    <cellStyle name="Обычный 2 2" xfId="4" xr:uid="{72940F45-4410-4869-B2B8-7C40DEEE0588}"/>
    <cellStyle name="Финансовый" xfId="1" builtinId="3"/>
    <cellStyle name="Финансовый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2843892</xdr:colOff>
      <xdr:row>55</xdr:row>
      <xdr:rowOff>33618</xdr:rowOff>
    </xdr:from>
    <xdr:ext cx="3358564" cy="58270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290B0A92-15FD-4C73-A166-2091A0C17471}"/>
                </a:ext>
              </a:extLst>
            </xdr:cNvPr>
            <xdr:cNvSpPr txBox="1"/>
          </xdr:nvSpPr>
          <xdr:spPr>
            <a:xfrm>
              <a:off x="2843892" y="21764225"/>
              <a:ext cx="3358564" cy="58270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ru-RU" sz="1800" i="1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+mn-ea"/>
                          <a:cs typeface="Times New Roman" pitchFamily="18" charset="0"/>
                        </a:rPr>
                      </m:ctrlPr>
                    </m:sSubPr>
                    <m:e>
                      <m:r>
                        <a:rPr lang="ru-RU" sz="1800" b="0" i="1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+mn-ea"/>
                          <a:cs typeface="Times New Roman" pitchFamily="18" charset="0"/>
                        </a:rPr>
                        <m:t>К</m:t>
                      </m:r>
                    </m:e>
                    <m:sub>
                      <m:r>
                        <a:rPr lang="ru-RU" sz="1800" b="0" i="1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+mn-ea"/>
                          <a:cs typeface="Times New Roman" pitchFamily="18" charset="0"/>
                        </a:rPr>
                        <m:t>инфл.пер.</m:t>
                      </m:r>
                    </m:sub>
                  </m:sSub>
                  <m:r>
                    <a:rPr lang="ru-RU" sz="1800" b="0" i="1">
                      <a:solidFill>
                        <a:schemeClr val="tx1"/>
                      </a:solidFill>
                      <a:latin typeface="Cambria Math" panose="02040503050406030204" pitchFamily="18" charset="0"/>
                      <a:ea typeface="+mn-ea"/>
                      <a:cs typeface="Times New Roman" pitchFamily="18" charset="0"/>
                    </a:rPr>
                    <m:t>=(</m:t>
                  </m:r>
                  <m:f>
                    <m:fPr>
                      <m:ctrlPr>
                        <a:rPr lang="ru-RU" sz="1800" b="0" i="1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+mn-ea"/>
                          <a:cs typeface="Times New Roman" pitchFamily="18" charset="0"/>
                        </a:rPr>
                      </m:ctrlPr>
                    </m:fPr>
                    <m:num>
                      <m:sSup>
                        <m:sSupPr>
                          <m:ctrlPr>
                            <a:rPr lang="ru-RU" sz="1800" b="0" i="1">
                              <a:solidFill>
                                <a:schemeClr val="tx1"/>
                              </a:solidFill>
                              <a:latin typeface="Cambria Math" panose="02040503050406030204" pitchFamily="18" charset="0"/>
                              <a:ea typeface="+mn-ea"/>
                              <a:cs typeface="Times New Roman" pitchFamily="18" charset="0"/>
                            </a:rPr>
                          </m:ctrlPr>
                        </m:sSupPr>
                        <m:e>
                          <m:r>
                            <a:rPr lang="en-US" sz="1800" b="0" i="1">
                              <a:solidFill>
                                <a:schemeClr val="tx1"/>
                              </a:solidFill>
                              <a:latin typeface="Cambria Math" panose="02040503050406030204" pitchFamily="18" charset="0"/>
                              <a:ea typeface="+mn-ea"/>
                              <a:cs typeface="Times New Roman" pitchFamily="18" charset="0"/>
                            </a:rPr>
                            <m:t>1,0</m:t>
                          </m:r>
                          <m:r>
                            <a:rPr lang="ru-RU" sz="1800" b="0" i="1">
                              <a:solidFill>
                                <a:schemeClr val="tx1"/>
                              </a:solidFill>
                              <a:latin typeface="Cambria Math" panose="02040503050406030204" pitchFamily="18" charset="0"/>
                              <a:ea typeface="+mn-ea"/>
                              <a:cs typeface="Times New Roman" pitchFamily="18" charset="0"/>
                            </a:rPr>
                            <m:t>045</m:t>
                          </m:r>
                        </m:e>
                        <m:sup>
                          <m:r>
                            <a:rPr lang="en-US" sz="1800" b="0" i="1">
                              <a:solidFill>
                                <a:schemeClr val="tx1"/>
                              </a:solidFill>
                              <a:latin typeface="Cambria Math" panose="02040503050406030204" pitchFamily="18" charset="0"/>
                              <a:ea typeface="+mn-ea"/>
                              <a:cs typeface="Times New Roman" pitchFamily="18" charset="0"/>
                            </a:rPr>
                            <m:t>1</m:t>
                          </m:r>
                          <m:r>
                            <a:rPr lang="ru-RU" sz="1800" b="0" i="1">
                              <a:solidFill>
                                <a:schemeClr val="tx1"/>
                              </a:solidFill>
                              <a:latin typeface="Cambria Math" panose="02040503050406030204" pitchFamily="18" charset="0"/>
                              <a:ea typeface="+mn-ea"/>
                              <a:cs typeface="Times New Roman" pitchFamily="18" charset="0"/>
                            </a:rPr>
                            <m:t>1</m:t>
                          </m:r>
                          <m:r>
                            <a:rPr lang="en-US" sz="1800" b="0" i="1">
                              <a:solidFill>
                                <a:schemeClr val="tx1"/>
                              </a:solidFill>
                              <a:latin typeface="Cambria Math" panose="02040503050406030204" pitchFamily="18" charset="0"/>
                              <a:ea typeface="+mn-ea"/>
                              <a:cs typeface="Times New Roman" pitchFamily="18" charset="0"/>
                            </a:rPr>
                            <m:t>−</m:t>
                          </m:r>
                          <m:r>
                            <a:rPr lang="ru-RU" sz="1800" b="0" i="1">
                              <a:solidFill>
                                <a:schemeClr val="tx1"/>
                              </a:solidFill>
                              <a:latin typeface="Cambria Math" panose="02040503050406030204" pitchFamily="18" charset="0"/>
                              <a:ea typeface="+mn-ea"/>
                              <a:cs typeface="Times New Roman" pitchFamily="18" charset="0"/>
                            </a:rPr>
                            <m:t>3</m:t>
                          </m:r>
                        </m:sup>
                      </m:sSup>
                      <m:r>
                        <a:rPr lang="en-US" sz="1800" b="0" i="1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+mn-ea"/>
                          <a:cs typeface="Times New Roman" pitchFamily="18" charset="0"/>
                        </a:rPr>
                        <m:t>−1</m:t>
                      </m:r>
                    </m:num>
                    <m:den>
                      <m:r>
                        <a:rPr lang="en-US" sz="1800" b="0" i="1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+mn-ea"/>
                          <a:cs typeface="Times New Roman" pitchFamily="18" charset="0"/>
                        </a:rPr>
                        <m:t>2</m:t>
                      </m:r>
                    </m:den>
                  </m:f>
                </m:oMath>
              </a14:m>
              <a:r>
                <a:rPr lang="en-US" sz="1800">
                  <a:solidFill>
                    <a:schemeClr val="tx1"/>
                  </a:solidFill>
                  <a:latin typeface="Times New Roman" pitchFamily="18" charset="0"/>
                  <a:ea typeface="+mn-ea"/>
                  <a:cs typeface="Times New Roman" pitchFamily="18" charset="0"/>
                </a:rPr>
                <a:t>) + 1</a:t>
              </a:r>
              <a:r>
                <a:rPr lang="ru-RU" sz="1800">
                  <a:solidFill>
                    <a:schemeClr val="tx1"/>
                  </a:solidFill>
                  <a:latin typeface="Times New Roman" pitchFamily="18" charset="0"/>
                  <a:ea typeface="+mn-ea"/>
                  <a:cs typeface="Times New Roman" pitchFamily="18" charset="0"/>
                </a:rPr>
                <a:t> =</a:t>
              </a:r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290B0A92-15FD-4C73-A166-2091A0C17471}"/>
                </a:ext>
              </a:extLst>
            </xdr:cNvPr>
            <xdr:cNvSpPr txBox="1"/>
          </xdr:nvSpPr>
          <xdr:spPr>
            <a:xfrm>
              <a:off x="2843892" y="21764225"/>
              <a:ext cx="3358564" cy="58270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ru-RU" sz="1800" b="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Times New Roman" pitchFamily="18" charset="0"/>
                </a:rPr>
                <a:t>К_(инфл.пер.)=((〖</a:t>
              </a:r>
              <a:r>
                <a:rPr lang="en-US" sz="1800" b="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Times New Roman" pitchFamily="18" charset="0"/>
                </a:rPr>
                <a:t>1,0</a:t>
              </a:r>
              <a:r>
                <a:rPr lang="ru-RU" sz="1800" b="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Times New Roman" pitchFamily="18" charset="0"/>
                </a:rPr>
                <a:t>045〗^(</a:t>
              </a:r>
              <a:r>
                <a:rPr lang="en-US" sz="1800" b="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Times New Roman" pitchFamily="18" charset="0"/>
                </a:rPr>
                <a:t>1</a:t>
              </a:r>
              <a:r>
                <a:rPr lang="ru-RU" sz="1800" b="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Times New Roman" pitchFamily="18" charset="0"/>
                </a:rPr>
                <a:t>1</a:t>
              </a:r>
              <a:r>
                <a:rPr lang="en-US" sz="1800" b="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Times New Roman" pitchFamily="18" charset="0"/>
                </a:rPr>
                <a:t>−</a:t>
              </a:r>
              <a:r>
                <a:rPr lang="ru-RU" sz="1800" b="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Times New Roman" pitchFamily="18" charset="0"/>
                </a:rPr>
                <a:t>3)</a:t>
              </a:r>
              <a:r>
                <a:rPr lang="en-US" sz="1800" b="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Times New Roman" pitchFamily="18" charset="0"/>
                </a:rPr>
                <a:t>−1</a:t>
              </a:r>
              <a:r>
                <a:rPr lang="ru-RU" sz="1800" b="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Times New Roman" pitchFamily="18" charset="0"/>
                </a:rPr>
                <a:t>)/</a:t>
              </a:r>
              <a:r>
                <a:rPr lang="en-US" sz="1800" b="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Times New Roman" pitchFamily="18" charset="0"/>
                </a:rPr>
                <a:t>2</a:t>
              </a:r>
              <a:r>
                <a:rPr lang="en-US" sz="1800">
                  <a:solidFill>
                    <a:schemeClr val="tx1"/>
                  </a:solidFill>
                  <a:latin typeface="Times New Roman" pitchFamily="18" charset="0"/>
                  <a:ea typeface="+mn-ea"/>
                  <a:cs typeface="Times New Roman" pitchFamily="18" charset="0"/>
                </a:rPr>
                <a:t>) + 1</a:t>
              </a:r>
              <a:r>
                <a:rPr lang="ru-RU" sz="1800">
                  <a:solidFill>
                    <a:schemeClr val="tx1"/>
                  </a:solidFill>
                  <a:latin typeface="Times New Roman" pitchFamily="18" charset="0"/>
                  <a:ea typeface="+mn-ea"/>
                  <a:cs typeface="Times New Roman" pitchFamily="18" charset="0"/>
                </a:rPr>
                <a:t> =</a:t>
              </a:r>
            </a:p>
          </xdr:txBody>
        </xdr:sp>
      </mc:Fallback>
    </mc:AlternateContent>
    <xdr:clientData/>
  </xdr:oneCellAnchor>
  <xdr:oneCellAnchor>
    <xdr:from>
      <xdr:col>0</xdr:col>
      <xdr:colOff>1945821</xdr:colOff>
      <xdr:row>49</xdr:row>
      <xdr:rowOff>0</xdr:rowOff>
    </xdr:from>
    <xdr:ext cx="1384789" cy="32657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145A9354-1AF2-40FD-9C75-4A93BC1213CC}"/>
                </a:ext>
              </a:extLst>
            </xdr:cNvPr>
            <xdr:cNvSpPr txBox="1"/>
          </xdr:nvSpPr>
          <xdr:spPr>
            <a:xfrm>
              <a:off x="1945821" y="11770179"/>
              <a:ext cx="1384789" cy="3265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ad>
                      <m:radPr>
                        <m:ctrlPr>
                          <a:rPr lang="ru-RU" sz="1400" i="1">
                            <a:latin typeface="Cambria Math" panose="02040503050406030204" pitchFamily="18" charset="0"/>
                          </a:rPr>
                        </m:ctrlPr>
                      </m:radPr>
                      <m:deg>
                        <m:r>
                          <m:rPr>
                            <m:brk m:alnAt="7"/>
                          </m:rPr>
                          <a:rPr lang="ru-RU" sz="1400" b="0" i="1">
                            <a:latin typeface="Cambria Math"/>
                          </a:rPr>
                          <m:t>1</m:t>
                        </m:r>
                        <m:r>
                          <a:rPr lang="ru-RU" sz="1400" b="0" i="1">
                            <a:latin typeface="Cambria Math"/>
                          </a:rPr>
                          <m:t>2</m:t>
                        </m:r>
                      </m:deg>
                      <m:e>
                        <m:r>
                          <a:rPr lang="ru-RU" sz="1400" b="0" i="1">
                            <a:latin typeface="Cambria Math"/>
                          </a:rPr>
                          <m:t>1,0</m:t>
                        </m:r>
                        <m:r>
                          <a:rPr lang="ru-RU" sz="1400" b="0" i="1">
                            <a:latin typeface="Cambria Math" panose="02040503050406030204" pitchFamily="18" charset="0"/>
                          </a:rPr>
                          <m:t>55</m:t>
                        </m:r>
                      </m:e>
                    </m:rad>
                  </m:oMath>
                </m:oMathPara>
              </a14:m>
              <a:endParaRPr lang="ru-RU" sz="1400"/>
            </a:p>
            <a:p>
              <a:endParaRPr lang="ru-RU" sz="14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145A9354-1AF2-40FD-9C75-4A93BC1213CC}"/>
                </a:ext>
              </a:extLst>
            </xdr:cNvPr>
            <xdr:cNvSpPr txBox="1"/>
          </xdr:nvSpPr>
          <xdr:spPr>
            <a:xfrm>
              <a:off x="1945821" y="11770179"/>
              <a:ext cx="1384789" cy="3265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ru-RU" sz="1400" i="0">
                  <a:latin typeface="Cambria Math" panose="02040503050406030204" pitchFamily="18" charset="0"/>
                </a:rPr>
                <a:t>√(</a:t>
              </a:r>
              <a:r>
                <a:rPr lang="ru-RU" sz="1400" b="0" i="0">
                  <a:latin typeface="Cambria Math"/>
                </a:rPr>
                <a:t>12</a:t>
              </a:r>
              <a:r>
                <a:rPr lang="ru-RU" sz="1400" b="0" i="0">
                  <a:latin typeface="Cambria Math" panose="02040503050406030204" pitchFamily="18" charset="0"/>
                </a:rPr>
                <a:t>&amp;</a:t>
              </a:r>
              <a:r>
                <a:rPr lang="ru-RU" sz="1400" b="0" i="0">
                  <a:latin typeface="Cambria Math"/>
                </a:rPr>
                <a:t>1,0</a:t>
              </a:r>
              <a:r>
                <a:rPr lang="ru-RU" sz="1400" b="0" i="0">
                  <a:latin typeface="Cambria Math" panose="02040503050406030204" pitchFamily="18" charset="0"/>
                </a:rPr>
                <a:t>55)</a:t>
              </a:r>
              <a:endParaRPr lang="ru-RU" sz="1400"/>
            </a:p>
            <a:p>
              <a:endParaRPr lang="ru-RU" sz="14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75"/>
  <sheetViews>
    <sheetView view="pageBreakPreview" topLeftCell="A39" zoomScale="70" zoomScaleNormal="55" zoomScaleSheetLayoutView="70" workbookViewId="0">
      <selection activeCell="C72" sqref="C72"/>
    </sheetView>
  </sheetViews>
  <sheetFormatPr defaultColWidth="8.85546875" defaultRowHeight="15" x14ac:dyDescent="0.25"/>
  <cols>
    <col min="1" max="1" width="68.28515625" style="28" customWidth="1"/>
    <col min="2" max="2" width="25" style="28" customWidth="1"/>
    <col min="3" max="3" width="21.42578125" style="28" customWidth="1"/>
    <col min="4" max="7" width="25" style="28" customWidth="1"/>
    <col min="8" max="8" width="28.5703125" style="28" customWidth="1"/>
    <col min="9" max="9" width="10.5703125" style="28" customWidth="1"/>
    <col min="10" max="10" width="12.85546875" style="28" bestFit="1" customWidth="1"/>
    <col min="11" max="11" width="12" style="28" bestFit="1" customWidth="1"/>
    <col min="12" max="12" width="12.42578125" style="28" bestFit="1" customWidth="1"/>
    <col min="13" max="13" width="4.140625" style="28" customWidth="1"/>
    <col min="14" max="14" width="11.7109375" style="28" bestFit="1" customWidth="1"/>
    <col min="15" max="16384" width="8.85546875" style="28"/>
  </cols>
  <sheetData>
    <row r="1" spans="1:12" ht="15.75" x14ac:dyDescent="0.25">
      <c r="H1" s="29" t="s">
        <v>18</v>
      </c>
    </row>
    <row r="2" spans="1:12" ht="21" customHeight="1" x14ac:dyDescent="0.3">
      <c r="A2" s="209" t="s">
        <v>19</v>
      </c>
      <c r="B2" s="209"/>
      <c r="C2" s="209"/>
      <c r="D2" s="209"/>
      <c r="E2" s="209"/>
      <c r="F2" s="209"/>
      <c r="G2" s="209"/>
      <c r="H2" s="209"/>
    </row>
    <row r="3" spans="1:12" ht="21" customHeight="1" x14ac:dyDescent="0.3">
      <c r="A3" s="210" t="s">
        <v>20</v>
      </c>
      <c r="B3" s="210"/>
      <c r="C3" s="210"/>
      <c r="D3" s="210"/>
      <c r="E3" s="210"/>
      <c r="F3" s="210"/>
      <c r="G3" s="210"/>
      <c r="H3" s="210"/>
    </row>
    <row r="4" spans="1:12" ht="18" customHeight="1" x14ac:dyDescent="0.3">
      <c r="A4" s="75"/>
      <c r="B4" s="75"/>
      <c r="C4" s="75"/>
      <c r="D4" s="75"/>
      <c r="E4" s="75"/>
      <c r="F4" s="75"/>
      <c r="G4" s="75"/>
      <c r="H4" s="75"/>
    </row>
    <row r="5" spans="1:12" ht="18.75" x14ac:dyDescent="0.3">
      <c r="A5" s="30" t="s">
        <v>21</v>
      </c>
      <c r="B5" s="31" t="s">
        <v>22</v>
      </c>
      <c r="C5" s="31"/>
      <c r="D5" s="31"/>
      <c r="E5" s="31"/>
      <c r="F5" s="31"/>
      <c r="G5" s="31"/>
      <c r="H5" s="31"/>
    </row>
    <row r="6" spans="1:12" ht="29.25" customHeight="1" x14ac:dyDescent="0.25">
      <c r="A6" s="30" t="s">
        <v>23</v>
      </c>
      <c r="B6" s="211" t="s">
        <v>62</v>
      </c>
      <c r="C6" s="211"/>
      <c r="D6" s="211"/>
      <c r="E6" s="211"/>
      <c r="F6" s="211"/>
      <c r="G6" s="211"/>
      <c r="H6" s="211"/>
    </row>
    <row r="7" spans="1:12" ht="18.75" customHeight="1" thickBot="1" x14ac:dyDescent="0.3">
      <c r="H7" s="32" t="s">
        <v>2</v>
      </c>
    </row>
    <row r="8" spans="1:12" ht="40.5" customHeight="1" x14ac:dyDescent="0.25">
      <c r="A8" s="212" t="s">
        <v>24</v>
      </c>
      <c r="B8" s="214" t="s">
        <v>90</v>
      </c>
      <c r="C8" s="214"/>
      <c r="D8" s="214"/>
      <c r="E8" s="214"/>
      <c r="F8" s="214"/>
      <c r="G8" s="214"/>
      <c r="H8" s="215" t="s">
        <v>25</v>
      </c>
      <c r="J8" s="219" t="s">
        <v>26</v>
      </c>
      <c r="K8" s="221" t="s">
        <v>27</v>
      </c>
      <c r="L8" s="206" t="s">
        <v>28</v>
      </c>
    </row>
    <row r="9" spans="1:12" ht="19.5" customHeight="1" thickBot="1" x14ac:dyDescent="0.3">
      <c r="A9" s="213"/>
      <c r="B9" s="33" t="s">
        <v>97</v>
      </c>
      <c r="C9" s="33">
        <v>2026</v>
      </c>
      <c r="D9" s="33">
        <v>2027</v>
      </c>
      <c r="E9" s="33">
        <v>2028</v>
      </c>
      <c r="F9" s="33" t="s">
        <v>10</v>
      </c>
      <c r="G9" s="33" t="s">
        <v>28</v>
      </c>
      <c r="H9" s="216"/>
      <c r="J9" s="220"/>
      <c r="K9" s="221"/>
      <c r="L9" s="207"/>
    </row>
    <row r="10" spans="1:12" ht="15.75" thickBot="1" x14ac:dyDescent="0.3">
      <c r="A10" s="34">
        <v>1</v>
      </c>
      <c r="B10" s="35">
        <v>2</v>
      </c>
      <c r="C10" s="35">
        <v>3</v>
      </c>
      <c r="D10" s="35">
        <v>4</v>
      </c>
      <c r="E10" s="35">
        <v>5</v>
      </c>
      <c r="F10" s="35">
        <v>6</v>
      </c>
      <c r="G10" s="35">
        <v>7</v>
      </c>
      <c r="H10" s="36">
        <v>8</v>
      </c>
      <c r="J10" s="37"/>
      <c r="K10" s="37"/>
      <c r="L10" s="38"/>
    </row>
    <row r="11" spans="1:12" ht="19.5" thickBot="1" x14ac:dyDescent="0.3">
      <c r="A11" s="39" t="s">
        <v>29</v>
      </c>
      <c r="B11" s="87">
        <f t="shared" ref="B11:G11" si="0">B12+B30</f>
        <v>6765.8630000000003</v>
      </c>
      <c r="C11" s="87">
        <f t="shared" si="0"/>
        <v>0</v>
      </c>
      <c r="D11" s="87">
        <f t="shared" si="0"/>
        <v>0</v>
      </c>
      <c r="E11" s="87">
        <f t="shared" si="0"/>
        <v>11035.535</v>
      </c>
      <c r="F11" s="87">
        <f t="shared" si="0"/>
        <v>7410.6829999999991</v>
      </c>
      <c r="G11" s="87">
        <f t="shared" si="0"/>
        <v>25212.080999999998</v>
      </c>
      <c r="H11" s="40"/>
      <c r="I11" s="41"/>
      <c r="J11" s="88">
        <f>J12+J30</f>
        <v>20665.642</v>
      </c>
      <c r="K11" s="88">
        <f>K12+K30</f>
        <v>4546.4390000000003</v>
      </c>
      <c r="L11" s="88">
        <f>L12+L30</f>
        <v>25212.080999999998</v>
      </c>
    </row>
    <row r="12" spans="1:12" ht="18.75" x14ac:dyDescent="0.25">
      <c r="A12" s="42" t="s">
        <v>30</v>
      </c>
      <c r="B12" s="89">
        <f>B15+B14+B13</f>
        <v>0</v>
      </c>
      <c r="C12" s="89">
        <f t="shared" ref="C12:G12" si="1">C15+C14+C13</f>
        <v>0</v>
      </c>
      <c r="D12" s="89">
        <f t="shared" si="1"/>
        <v>0</v>
      </c>
      <c r="E12" s="89">
        <f t="shared" si="1"/>
        <v>11035.535</v>
      </c>
      <c r="F12" s="89">
        <f t="shared" si="1"/>
        <v>2272.7739999999999</v>
      </c>
      <c r="G12" s="89">
        <f t="shared" si="1"/>
        <v>13308.308999999999</v>
      </c>
      <c r="H12" s="43"/>
      <c r="J12" s="90">
        <f>J13+J14+J15</f>
        <v>10908.453</v>
      </c>
      <c r="K12" s="90">
        <f t="shared" ref="K12:L12" si="2">K13+K14+K15</f>
        <v>2399.8559999999998</v>
      </c>
      <c r="L12" s="90">
        <f t="shared" si="2"/>
        <v>13308.308999999999</v>
      </c>
    </row>
    <row r="13" spans="1:12" s="47" customFormat="1" ht="18.75" x14ac:dyDescent="0.25">
      <c r="A13" s="44" t="s">
        <v>31</v>
      </c>
      <c r="B13" s="91">
        <v>0</v>
      </c>
      <c r="C13" s="91">
        <f>ROUND(L13*C38/G38,3)</f>
        <v>0</v>
      </c>
      <c r="D13" s="91">
        <f>ROUND(L13*D38/G38,2)</f>
        <v>0</v>
      </c>
      <c r="E13" s="91">
        <f>L13-C13-D13</f>
        <v>2770.181</v>
      </c>
      <c r="F13" s="91">
        <v>0</v>
      </c>
      <c r="G13" s="91">
        <f>SUM(B13:F13)</f>
        <v>2770.181</v>
      </c>
      <c r="H13" s="46"/>
      <c r="J13" s="92">
        <v>2270.64</v>
      </c>
      <c r="K13" s="92">
        <f>ROUND(J13*0.22,3)</f>
        <v>499.541</v>
      </c>
      <c r="L13" s="93">
        <f>ROUND(J13+K13,3)</f>
        <v>2770.181</v>
      </c>
    </row>
    <row r="14" spans="1:12" s="47" customFormat="1" ht="18.75" x14ac:dyDescent="0.25">
      <c r="A14" s="44" t="s">
        <v>44</v>
      </c>
      <c r="B14" s="91">
        <v>0</v>
      </c>
      <c r="C14" s="91">
        <f>ROUND(L14*C38/G38,3)</f>
        <v>0</v>
      </c>
      <c r="D14" s="91">
        <f>ROUND(L14*D38/G38,2)</f>
        <v>0</v>
      </c>
      <c r="E14" s="91">
        <f>L14-C14-D14</f>
        <v>8265.3539999999994</v>
      </c>
      <c r="F14" s="91">
        <v>0</v>
      </c>
      <c r="G14" s="91">
        <f>SUM(B14:F14)</f>
        <v>8265.3539999999994</v>
      </c>
      <c r="H14" s="46"/>
      <c r="J14" s="92">
        <v>6774.88</v>
      </c>
      <c r="K14" s="92">
        <f>ROUND(J14*0.22,3)</f>
        <v>1490.4739999999999</v>
      </c>
      <c r="L14" s="93">
        <f>ROUND(J14+K14,3)</f>
        <v>8265.3539999999994</v>
      </c>
    </row>
    <row r="15" spans="1:12" s="47" customFormat="1" ht="18.75" x14ac:dyDescent="0.25">
      <c r="A15" s="44" t="s">
        <v>32</v>
      </c>
      <c r="B15" s="91">
        <v>0</v>
      </c>
      <c r="C15" s="91">
        <v>0</v>
      </c>
      <c r="D15" s="91">
        <v>0</v>
      </c>
      <c r="E15" s="91">
        <f>L15-C15-D15-F15</f>
        <v>0</v>
      </c>
      <c r="F15" s="91">
        <f>L15</f>
        <v>2272.7739999999999</v>
      </c>
      <c r="G15" s="91">
        <f>SUM(B15:F15)</f>
        <v>2272.7739999999999</v>
      </c>
      <c r="H15" s="46"/>
      <c r="J15" s="95">
        <f>SUM(J16:J29)</f>
        <v>1862.9329999999995</v>
      </c>
      <c r="K15" s="95">
        <f t="shared" ref="K15:L15" si="3">SUM(K16:K29)</f>
        <v>409.84100000000001</v>
      </c>
      <c r="L15" s="95">
        <f t="shared" si="3"/>
        <v>2272.7739999999999</v>
      </c>
    </row>
    <row r="16" spans="1:12" s="47" customFormat="1" ht="18.75" hidden="1" x14ac:dyDescent="0.25">
      <c r="A16" s="96" t="s">
        <v>33</v>
      </c>
      <c r="B16" s="49"/>
      <c r="C16" s="49"/>
      <c r="D16" s="49"/>
      <c r="E16" s="49"/>
      <c r="F16" s="49"/>
      <c r="G16" s="49"/>
      <c r="H16" s="46"/>
      <c r="J16" s="97">
        <f>ROUND(J13*0.03,3)</f>
        <v>68.119</v>
      </c>
      <c r="K16" s="97">
        <f>ROUND(J16*0.22,3)</f>
        <v>14.986000000000001</v>
      </c>
      <c r="L16" s="98">
        <f>ROUND(J16+K16,3)</f>
        <v>83.105000000000004</v>
      </c>
    </row>
    <row r="17" spans="1:12" s="47" customFormat="1" ht="18.75" hidden="1" x14ac:dyDescent="0.25">
      <c r="A17" s="96" t="s">
        <v>34</v>
      </c>
      <c r="B17" s="49"/>
      <c r="C17" s="49"/>
      <c r="D17" s="49"/>
      <c r="E17" s="49"/>
      <c r="F17" s="49"/>
      <c r="G17" s="49"/>
      <c r="H17" s="46"/>
      <c r="J17" s="97">
        <f>ROUND(J14*0.03,3)</f>
        <v>203.24600000000001</v>
      </c>
      <c r="K17" s="97">
        <f t="shared" ref="K17:K29" si="4">ROUND(J17*0.22,3)</f>
        <v>44.713999999999999</v>
      </c>
      <c r="L17" s="98">
        <f>ROUND(J17+K17,3)</f>
        <v>247.96</v>
      </c>
    </row>
    <row r="18" spans="1:12" s="47" customFormat="1" ht="18.75" hidden="1" x14ac:dyDescent="0.3">
      <c r="A18" s="99" t="s">
        <v>63</v>
      </c>
      <c r="B18" s="49"/>
      <c r="C18" s="49"/>
      <c r="D18" s="49"/>
      <c r="E18" s="49"/>
      <c r="F18" s="49"/>
      <c r="G18" s="49"/>
      <c r="H18" s="46"/>
      <c r="J18" s="124">
        <f t="shared" ref="J18:J29" si="5">ROUND(J39*0.015,3)</f>
        <v>10.641</v>
      </c>
      <c r="K18" s="124">
        <f t="shared" si="4"/>
        <v>2.3410000000000002</v>
      </c>
      <c r="L18" s="124">
        <f t="shared" ref="L18" si="6">ROUND(J18+K18,3)</f>
        <v>12.981999999999999</v>
      </c>
    </row>
    <row r="19" spans="1:12" s="47" customFormat="1" ht="18.75" hidden="1" x14ac:dyDescent="0.3">
      <c r="A19" s="99" t="s">
        <v>47</v>
      </c>
      <c r="B19" s="49"/>
      <c r="C19" s="49"/>
      <c r="D19" s="49"/>
      <c r="E19" s="49"/>
      <c r="F19" s="49"/>
      <c r="G19" s="49"/>
      <c r="H19" s="46"/>
      <c r="J19" s="124">
        <f t="shared" si="5"/>
        <v>1.08</v>
      </c>
      <c r="K19" s="124">
        <f t="shared" si="4"/>
        <v>0.23799999999999999</v>
      </c>
      <c r="L19" s="124">
        <f t="shared" ref="L19:L26" si="7">ROUND(J19+K19,3)</f>
        <v>1.3180000000000001</v>
      </c>
    </row>
    <row r="20" spans="1:12" s="47" customFormat="1" ht="18.75" hidden="1" x14ac:dyDescent="0.3">
      <c r="A20" s="99" t="s">
        <v>64</v>
      </c>
      <c r="B20" s="49"/>
      <c r="C20" s="49"/>
      <c r="D20" s="49"/>
      <c r="E20" s="49"/>
      <c r="F20" s="49"/>
      <c r="G20" s="49"/>
      <c r="H20" s="46"/>
      <c r="J20" s="124">
        <f t="shared" si="5"/>
        <v>154.27600000000001</v>
      </c>
      <c r="K20" s="124">
        <f t="shared" si="4"/>
        <v>33.941000000000003</v>
      </c>
      <c r="L20" s="124">
        <f t="shared" si="7"/>
        <v>188.21700000000001</v>
      </c>
    </row>
    <row r="21" spans="1:12" s="47" customFormat="1" ht="18.75" hidden="1" x14ac:dyDescent="0.3">
      <c r="A21" s="99" t="s">
        <v>65</v>
      </c>
      <c r="B21" s="49"/>
      <c r="C21" s="49"/>
      <c r="D21" s="49"/>
      <c r="E21" s="49"/>
      <c r="F21" s="49"/>
      <c r="G21" s="49"/>
      <c r="H21" s="46"/>
      <c r="J21" s="124">
        <f t="shared" si="5"/>
        <v>139.428</v>
      </c>
      <c r="K21" s="124">
        <f>ROUNDDOWN(J21*0.22,2)</f>
        <v>30.67</v>
      </c>
      <c r="L21" s="124">
        <f t="shared" si="7"/>
        <v>170.09800000000001</v>
      </c>
    </row>
    <row r="22" spans="1:12" s="47" customFormat="1" ht="37.5" hidden="1" x14ac:dyDescent="0.3">
      <c r="A22" s="99" t="s">
        <v>66</v>
      </c>
      <c r="B22" s="49"/>
      <c r="C22" s="49"/>
      <c r="D22" s="49"/>
      <c r="E22" s="49"/>
      <c r="F22" s="49"/>
      <c r="G22" s="49"/>
      <c r="H22" s="46"/>
      <c r="J22" s="124">
        <f t="shared" si="5"/>
        <v>4.1779999999999999</v>
      </c>
      <c r="K22" s="124">
        <f t="shared" si="4"/>
        <v>0.91900000000000004</v>
      </c>
      <c r="L22" s="124">
        <f t="shared" si="7"/>
        <v>5.0970000000000004</v>
      </c>
    </row>
    <row r="23" spans="1:12" s="47" customFormat="1" ht="18.75" hidden="1" x14ac:dyDescent="0.3">
      <c r="A23" s="99" t="s">
        <v>67</v>
      </c>
      <c r="B23" s="49"/>
      <c r="C23" s="49"/>
      <c r="D23" s="49"/>
      <c r="E23" s="49"/>
      <c r="F23" s="49"/>
      <c r="G23" s="49"/>
      <c r="H23" s="46"/>
      <c r="J23" s="124">
        <f t="shared" si="5"/>
        <v>1082.913</v>
      </c>
      <c r="K23" s="124">
        <f t="shared" si="4"/>
        <v>238.24100000000001</v>
      </c>
      <c r="L23" s="124">
        <f t="shared" si="7"/>
        <v>1321.154</v>
      </c>
    </row>
    <row r="24" spans="1:12" s="47" customFormat="1" ht="18.75" hidden="1" x14ac:dyDescent="0.3">
      <c r="A24" s="99" t="s">
        <v>68</v>
      </c>
      <c r="B24" s="49"/>
      <c r="C24" s="49"/>
      <c r="D24" s="49"/>
      <c r="E24" s="49"/>
      <c r="F24" s="49"/>
      <c r="G24" s="49"/>
      <c r="H24" s="46"/>
      <c r="J24" s="124">
        <f t="shared" si="5"/>
        <v>111.245</v>
      </c>
      <c r="K24" s="124">
        <f t="shared" si="4"/>
        <v>24.474</v>
      </c>
      <c r="L24" s="124">
        <f t="shared" si="7"/>
        <v>135.71899999999999</v>
      </c>
    </row>
    <row r="25" spans="1:12" s="47" customFormat="1" ht="18.75" hidden="1" x14ac:dyDescent="0.3">
      <c r="A25" s="99" t="s">
        <v>69</v>
      </c>
      <c r="B25" s="49"/>
      <c r="C25" s="49"/>
      <c r="D25" s="49"/>
      <c r="E25" s="49"/>
      <c r="F25" s="49"/>
      <c r="G25" s="49"/>
      <c r="H25" s="46"/>
      <c r="J25" s="124">
        <f t="shared" si="5"/>
        <v>21.532</v>
      </c>
      <c r="K25" s="124">
        <f t="shared" si="4"/>
        <v>4.7370000000000001</v>
      </c>
      <c r="L25" s="124">
        <f t="shared" si="7"/>
        <v>26.268999999999998</v>
      </c>
    </row>
    <row r="26" spans="1:12" s="47" customFormat="1" ht="18.75" hidden="1" x14ac:dyDescent="0.3">
      <c r="A26" s="99" t="s">
        <v>70</v>
      </c>
      <c r="B26" s="49"/>
      <c r="C26" s="49"/>
      <c r="D26" s="49"/>
      <c r="E26" s="49"/>
      <c r="F26" s="49"/>
      <c r="G26" s="49"/>
      <c r="H26" s="46"/>
      <c r="J26" s="124">
        <f t="shared" si="5"/>
        <v>50.03</v>
      </c>
      <c r="K26" s="124">
        <f t="shared" si="4"/>
        <v>11.007</v>
      </c>
      <c r="L26" s="124">
        <f t="shared" si="7"/>
        <v>61.036999999999999</v>
      </c>
    </row>
    <row r="27" spans="1:12" s="47" customFormat="1" ht="37.5" hidden="1" x14ac:dyDescent="0.3">
      <c r="A27" s="99" t="s">
        <v>71</v>
      </c>
      <c r="B27" s="49"/>
      <c r="C27" s="49"/>
      <c r="D27" s="49"/>
      <c r="E27" s="49"/>
      <c r="F27" s="49"/>
      <c r="G27" s="49"/>
      <c r="H27" s="46"/>
      <c r="J27" s="124">
        <f t="shared" si="5"/>
        <v>15.797000000000001</v>
      </c>
      <c r="K27" s="124">
        <f t="shared" si="4"/>
        <v>3.4750000000000001</v>
      </c>
      <c r="L27" s="124">
        <f t="shared" ref="L27:L29" si="8">ROUND(J27+K27,3)</f>
        <v>19.271999999999998</v>
      </c>
    </row>
    <row r="28" spans="1:12" s="47" customFormat="1" ht="37.5" hidden="1" x14ac:dyDescent="0.3">
      <c r="A28" s="99" t="s">
        <v>72</v>
      </c>
      <c r="B28" s="49"/>
      <c r="C28" s="49"/>
      <c r="D28" s="49"/>
      <c r="E28" s="49"/>
      <c r="F28" s="49"/>
      <c r="G28" s="49"/>
      <c r="H28" s="46"/>
      <c r="J28" s="97">
        <f t="shared" si="5"/>
        <v>6.0999999999999999E-2</v>
      </c>
      <c r="K28" s="97">
        <f t="shared" si="4"/>
        <v>1.2999999999999999E-2</v>
      </c>
      <c r="L28" s="97">
        <f t="shared" si="8"/>
        <v>7.3999999999999996E-2</v>
      </c>
    </row>
    <row r="29" spans="1:12" s="47" customFormat="1" ht="56.25" hidden="1" x14ac:dyDescent="0.3">
      <c r="A29" s="99" t="s">
        <v>73</v>
      </c>
      <c r="B29" s="49"/>
      <c r="C29" s="49"/>
      <c r="D29" s="49"/>
      <c r="E29" s="49"/>
      <c r="F29" s="49"/>
      <c r="G29" s="49"/>
      <c r="H29" s="46"/>
      <c r="J29" s="97">
        <f t="shared" si="5"/>
        <v>0.38700000000000001</v>
      </c>
      <c r="K29" s="97">
        <f t="shared" si="4"/>
        <v>8.5000000000000006E-2</v>
      </c>
      <c r="L29" s="97">
        <f t="shared" si="8"/>
        <v>0.47199999999999998</v>
      </c>
    </row>
    <row r="30" spans="1:12" s="52" customFormat="1" ht="18.75" x14ac:dyDescent="0.25">
      <c r="A30" s="50" t="s">
        <v>35</v>
      </c>
      <c r="B30" s="123">
        <f t="shared" ref="B30:G30" si="9">SUM(B31:B35)</f>
        <v>6765.8630000000003</v>
      </c>
      <c r="C30" s="123">
        <f t="shared" si="9"/>
        <v>0</v>
      </c>
      <c r="D30" s="123">
        <f t="shared" si="9"/>
        <v>0</v>
      </c>
      <c r="E30" s="123">
        <f t="shared" si="9"/>
        <v>0</v>
      </c>
      <c r="F30" s="123">
        <f t="shared" si="9"/>
        <v>5137.9089999999997</v>
      </c>
      <c r="G30" s="123">
        <f t="shared" si="9"/>
        <v>11903.771999999999</v>
      </c>
      <c r="H30" s="51"/>
      <c r="J30" s="90">
        <f>J31+J35</f>
        <v>9757.1890000000003</v>
      </c>
      <c r="K30" s="90">
        <f>K31+K35</f>
        <v>2146.5830000000001</v>
      </c>
      <c r="L30" s="90">
        <f>L31+L35</f>
        <v>11903.771999999999</v>
      </c>
    </row>
    <row r="31" spans="1:12" s="47" customFormat="1" ht="18.75" x14ac:dyDescent="0.25">
      <c r="A31" s="44" t="s">
        <v>36</v>
      </c>
      <c r="B31" s="91">
        <v>6765.8630000000003</v>
      </c>
      <c r="C31" s="112">
        <v>0</v>
      </c>
      <c r="D31" s="112">
        <v>0</v>
      </c>
      <c r="E31" s="112">
        <v>0</v>
      </c>
      <c r="F31" s="91">
        <f>L31-B31</f>
        <v>4791.1969999999992</v>
      </c>
      <c r="G31" s="91">
        <f>SUM(B31:F31)</f>
        <v>11557.06</v>
      </c>
      <c r="H31" s="46"/>
      <c r="J31" s="92">
        <f>J32+J33+J34</f>
        <v>9473</v>
      </c>
      <c r="K31" s="92">
        <f t="shared" ref="K31:L31" si="10">K32+K33+K34</f>
        <v>2084.06</v>
      </c>
      <c r="L31" s="92">
        <f t="shared" si="10"/>
        <v>11557.06</v>
      </c>
    </row>
    <row r="32" spans="1:12" s="47" customFormat="1" ht="18.75" x14ac:dyDescent="0.25">
      <c r="A32" s="44" t="s">
        <v>40</v>
      </c>
      <c r="B32" s="45"/>
      <c r="C32" s="53"/>
      <c r="D32" s="53"/>
      <c r="E32" s="53"/>
      <c r="F32" s="45"/>
      <c r="G32" s="45"/>
      <c r="H32" s="46"/>
      <c r="J32" s="92">
        <v>3663.51</v>
      </c>
      <c r="K32" s="92">
        <f>ROUND(J32*0.22,3)</f>
        <v>805.97199999999998</v>
      </c>
      <c r="L32" s="93">
        <f>ROUND(J32+K32,3)</f>
        <v>4469.482</v>
      </c>
    </row>
    <row r="33" spans="1:14" s="47" customFormat="1" ht="18.75" x14ac:dyDescent="0.25">
      <c r="A33" s="44" t="s">
        <v>41</v>
      </c>
      <c r="B33" s="45"/>
      <c r="C33" s="53"/>
      <c r="D33" s="53"/>
      <c r="E33" s="53"/>
      <c r="F33" s="45"/>
      <c r="G33" s="45"/>
      <c r="H33" s="46"/>
      <c r="J33" s="92">
        <v>4516.59</v>
      </c>
      <c r="K33" s="92">
        <f t="shared" ref="K33:K34" si="11">ROUND(J33*0.22,3)</f>
        <v>993.65</v>
      </c>
      <c r="L33" s="93">
        <f t="shared" ref="L33:L34" si="12">ROUND(J33+K33,3)</f>
        <v>5510.24</v>
      </c>
    </row>
    <row r="34" spans="1:14" s="47" customFormat="1" ht="18.75" x14ac:dyDescent="0.25">
      <c r="A34" s="44" t="s">
        <v>42</v>
      </c>
      <c r="B34" s="45"/>
      <c r="C34" s="53"/>
      <c r="D34" s="53"/>
      <c r="E34" s="53"/>
      <c r="F34" s="45"/>
      <c r="G34" s="45"/>
      <c r="H34" s="46"/>
      <c r="J34" s="92">
        <v>1292.9000000000001</v>
      </c>
      <c r="K34" s="92">
        <f t="shared" si="11"/>
        <v>284.43799999999999</v>
      </c>
      <c r="L34" s="93">
        <f t="shared" si="12"/>
        <v>1577.338</v>
      </c>
    </row>
    <row r="35" spans="1:14" s="47" customFormat="1" ht="18.75" x14ac:dyDescent="0.25">
      <c r="A35" s="48" t="s">
        <v>37</v>
      </c>
      <c r="B35" s="49">
        <v>0</v>
      </c>
      <c r="C35" s="49">
        <v>0</v>
      </c>
      <c r="D35" s="49">
        <v>0</v>
      </c>
      <c r="E35" s="49">
        <v>0</v>
      </c>
      <c r="F35" s="49">
        <f>L35</f>
        <v>346.71199999999999</v>
      </c>
      <c r="G35" s="49">
        <f>SUM(B35:F35)</f>
        <v>346.71199999999999</v>
      </c>
      <c r="H35" s="46"/>
      <c r="J35" s="109">
        <f>ROUND(J31*0.03,3)-0.001</f>
        <v>284.18900000000002</v>
      </c>
      <c r="K35" s="109">
        <f>ROUND(J35*0.22,3)+0.001</f>
        <v>62.522999999999996</v>
      </c>
      <c r="L35" s="109">
        <f>ROUND(J35+K35,3)</f>
        <v>346.71199999999999</v>
      </c>
    </row>
    <row r="36" spans="1:14" s="47" customFormat="1" ht="19.5" thickBot="1" x14ac:dyDescent="0.3">
      <c r="A36" s="54"/>
      <c r="B36" s="55"/>
      <c r="C36" s="133">
        <f>ROUND(C11/(G11-B11-F11),5)</f>
        <v>0</v>
      </c>
      <c r="D36" s="133">
        <f>ROUND(D11/(G11-B11-F11),5)</f>
        <v>0</v>
      </c>
      <c r="E36" s="134">
        <f>ROUND(E11/(G11-B11-F11),5)</f>
        <v>1</v>
      </c>
      <c r="F36" s="78"/>
      <c r="G36" s="55"/>
      <c r="H36" s="56"/>
      <c r="J36" s="94"/>
      <c r="K36" s="94"/>
      <c r="L36" s="102"/>
    </row>
    <row r="37" spans="1:14" s="57" customFormat="1" ht="19.5" thickBot="1" x14ac:dyDescent="0.3">
      <c r="A37" s="39" t="s">
        <v>38</v>
      </c>
      <c r="B37" s="87">
        <f t="shared" ref="B37:G37" si="13">B38+B64</f>
        <v>0</v>
      </c>
      <c r="C37" s="103">
        <f t="shared" si="13"/>
        <v>0</v>
      </c>
      <c r="D37" s="103">
        <f t="shared" si="13"/>
        <v>0</v>
      </c>
      <c r="E37" s="103">
        <f t="shared" si="13"/>
        <v>131389.24899999998</v>
      </c>
      <c r="F37" s="104">
        <f t="shared" si="13"/>
        <v>0</v>
      </c>
      <c r="G37" s="87">
        <f t="shared" si="13"/>
        <v>131389.24899999998</v>
      </c>
      <c r="H37" s="40"/>
      <c r="J37" s="88">
        <f>ROUND(J38+J64,3)</f>
        <v>107696.10799999999</v>
      </c>
      <c r="K37" s="88">
        <f>K38</f>
        <v>23693.140999999996</v>
      </c>
      <c r="L37" s="88">
        <f>ROUND(L38+L64,3)</f>
        <v>131389.24900000001</v>
      </c>
    </row>
    <row r="38" spans="1:14" s="60" customFormat="1" ht="18.75" x14ac:dyDescent="0.25">
      <c r="A38" s="58" t="s">
        <v>30</v>
      </c>
      <c r="B38" s="105">
        <f t="shared" ref="B38:G38" si="14">SUM(B39:B51)</f>
        <v>0</v>
      </c>
      <c r="C38" s="105">
        <f>SUM(C39:C51)</f>
        <v>0</v>
      </c>
      <c r="D38" s="105">
        <f t="shared" si="14"/>
        <v>0</v>
      </c>
      <c r="E38" s="105">
        <f t="shared" si="14"/>
        <v>131389.24899999998</v>
      </c>
      <c r="F38" s="105">
        <f t="shared" si="14"/>
        <v>0</v>
      </c>
      <c r="G38" s="105">
        <f t="shared" si="14"/>
        <v>131389.24899999998</v>
      </c>
      <c r="H38" s="59"/>
      <c r="J38" s="106">
        <f>SUM(J39:J51)</f>
        <v>107696.10799999998</v>
      </c>
      <c r="K38" s="106">
        <f>SUM(K39:K51)</f>
        <v>23693.140999999996</v>
      </c>
      <c r="L38" s="106">
        <f>SUM(L39:L51)</f>
        <v>131389.24899999998</v>
      </c>
      <c r="N38" s="149"/>
    </row>
    <row r="39" spans="1:14" s="47" customFormat="1" ht="18.75" x14ac:dyDescent="0.3">
      <c r="A39" s="61" t="s">
        <v>63</v>
      </c>
      <c r="B39" s="107">
        <v>0</v>
      </c>
      <c r="C39" s="108">
        <v>0</v>
      </c>
      <c r="D39" s="108">
        <v>0</v>
      </c>
      <c r="E39" s="108">
        <f t="shared" ref="E39:E51" si="15">ROUND(L39-C39-D39,3)</f>
        <v>865.46799999999996</v>
      </c>
      <c r="F39" s="107">
        <v>0</v>
      </c>
      <c r="G39" s="107">
        <f>SUM(B39:F39)</f>
        <v>865.46799999999996</v>
      </c>
      <c r="H39" s="62"/>
      <c r="J39" s="109">
        <v>709.4</v>
      </c>
      <c r="K39" s="109">
        <f>ROUND(J39*0.22,3)</f>
        <v>156.06800000000001</v>
      </c>
      <c r="L39" s="109">
        <f>ROUND(J39+K39,3)</f>
        <v>865.46799999999996</v>
      </c>
    </row>
    <row r="40" spans="1:14" s="47" customFormat="1" ht="18.75" x14ac:dyDescent="0.3">
      <c r="A40" s="61" t="s">
        <v>47</v>
      </c>
      <c r="B40" s="107">
        <v>0</v>
      </c>
      <c r="C40" s="108">
        <v>0</v>
      </c>
      <c r="D40" s="108">
        <v>0</v>
      </c>
      <c r="E40" s="108">
        <f t="shared" si="15"/>
        <v>87.84</v>
      </c>
      <c r="F40" s="107">
        <v>0</v>
      </c>
      <c r="G40" s="107">
        <f t="shared" ref="G40:G51" si="16">SUM(B40:F40)</f>
        <v>87.84</v>
      </c>
      <c r="H40" s="62"/>
      <c r="J40" s="109">
        <v>72</v>
      </c>
      <c r="K40" s="109">
        <f t="shared" ref="K40:K49" si="17">ROUND(J40*0.22,3)</f>
        <v>15.84</v>
      </c>
      <c r="L40" s="109">
        <f t="shared" ref="L40:L50" si="18">ROUND(J40+K40,3)</f>
        <v>87.84</v>
      </c>
    </row>
    <row r="41" spans="1:14" s="47" customFormat="1" ht="18.75" x14ac:dyDescent="0.3">
      <c r="A41" s="61" t="s">
        <v>64</v>
      </c>
      <c r="B41" s="107">
        <v>0</v>
      </c>
      <c r="C41" s="108">
        <v>0</v>
      </c>
      <c r="D41" s="108">
        <v>0</v>
      </c>
      <c r="E41" s="108">
        <f t="shared" si="15"/>
        <v>12547.798000000001</v>
      </c>
      <c r="F41" s="107">
        <v>0</v>
      </c>
      <c r="G41" s="107">
        <f t="shared" si="16"/>
        <v>12547.798000000001</v>
      </c>
      <c r="H41" s="62"/>
      <c r="J41" s="109">
        <v>10285.08</v>
      </c>
      <c r="K41" s="109">
        <f t="shared" si="17"/>
        <v>2262.7179999999998</v>
      </c>
      <c r="L41" s="109">
        <f t="shared" si="18"/>
        <v>12547.798000000001</v>
      </c>
    </row>
    <row r="42" spans="1:14" s="47" customFormat="1" ht="18.75" x14ac:dyDescent="0.3">
      <c r="A42" s="61" t="s">
        <v>65</v>
      </c>
      <c r="B42" s="107">
        <v>0</v>
      </c>
      <c r="C42" s="108">
        <v>0</v>
      </c>
      <c r="D42" s="108">
        <v>0</v>
      </c>
      <c r="E42" s="108">
        <f t="shared" si="15"/>
        <v>11340.181</v>
      </c>
      <c r="F42" s="107">
        <v>0</v>
      </c>
      <c r="G42" s="107">
        <f t="shared" si="16"/>
        <v>11340.181</v>
      </c>
      <c r="H42" s="62"/>
      <c r="J42" s="109">
        <v>9295.23</v>
      </c>
      <c r="K42" s="110">
        <f t="shared" si="17"/>
        <v>2044.951</v>
      </c>
      <c r="L42" s="111">
        <f t="shared" si="18"/>
        <v>11340.181</v>
      </c>
    </row>
    <row r="43" spans="1:14" s="47" customFormat="1" ht="37.5" x14ac:dyDescent="0.3">
      <c r="A43" s="61" t="s">
        <v>66</v>
      </c>
      <c r="B43" s="107">
        <v>0</v>
      </c>
      <c r="C43" s="108">
        <v>0</v>
      </c>
      <c r="D43" s="108">
        <v>0</v>
      </c>
      <c r="E43" s="108">
        <f t="shared" si="15"/>
        <v>339.80700000000002</v>
      </c>
      <c r="F43" s="107">
        <v>0</v>
      </c>
      <c r="G43" s="107">
        <f t="shared" ref="G43" si="19">SUM(B43:F43)</f>
        <v>339.80700000000002</v>
      </c>
      <c r="H43" s="62"/>
      <c r="J43" s="109">
        <v>278.52999999999997</v>
      </c>
      <c r="K43" s="109">
        <f t="shared" si="17"/>
        <v>61.277000000000001</v>
      </c>
      <c r="L43" s="109">
        <f t="shared" si="18"/>
        <v>339.80700000000002</v>
      </c>
    </row>
    <row r="44" spans="1:14" s="47" customFormat="1" ht="18.75" x14ac:dyDescent="0.3">
      <c r="A44" s="61" t="s">
        <v>67</v>
      </c>
      <c r="B44" s="107">
        <v>0</v>
      </c>
      <c r="C44" s="108">
        <v>0</v>
      </c>
      <c r="D44" s="108">
        <v>0</v>
      </c>
      <c r="E44" s="108">
        <f t="shared" si="15"/>
        <v>88076.948000000004</v>
      </c>
      <c r="F44" s="107">
        <v>0</v>
      </c>
      <c r="G44" s="107">
        <f t="shared" si="16"/>
        <v>88076.948000000004</v>
      </c>
      <c r="H44" s="62"/>
      <c r="J44" s="109">
        <v>72194.22</v>
      </c>
      <c r="K44" s="109">
        <f>ROUND(J44*0.22,3)</f>
        <v>15882.727999999999</v>
      </c>
      <c r="L44" s="109">
        <f t="shared" si="18"/>
        <v>88076.948000000004</v>
      </c>
    </row>
    <row r="45" spans="1:14" s="47" customFormat="1" ht="18.75" x14ac:dyDescent="0.3">
      <c r="A45" s="61" t="s">
        <v>68</v>
      </c>
      <c r="B45" s="91">
        <v>0</v>
      </c>
      <c r="C45" s="112">
        <v>0</v>
      </c>
      <c r="D45" s="108">
        <v>0</v>
      </c>
      <c r="E45" s="108">
        <f t="shared" si="15"/>
        <v>9047.8860000000004</v>
      </c>
      <c r="F45" s="91">
        <v>0</v>
      </c>
      <c r="G45" s="91">
        <f t="shared" si="16"/>
        <v>9047.8860000000004</v>
      </c>
      <c r="H45" s="46"/>
      <c r="J45" s="109">
        <v>7416.3</v>
      </c>
      <c r="K45" s="109">
        <f t="shared" si="17"/>
        <v>1631.586</v>
      </c>
      <c r="L45" s="109">
        <f t="shared" si="18"/>
        <v>9047.8860000000004</v>
      </c>
    </row>
    <row r="46" spans="1:14" s="47" customFormat="1" ht="18.75" x14ac:dyDescent="0.3">
      <c r="A46" s="61" t="s">
        <v>69</v>
      </c>
      <c r="B46" s="91">
        <v>0</v>
      </c>
      <c r="C46" s="112">
        <v>0</v>
      </c>
      <c r="D46" s="108">
        <v>0</v>
      </c>
      <c r="E46" s="108">
        <f t="shared" si="15"/>
        <v>1751.249</v>
      </c>
      <c r="F46" s="91">
        <v>0</v>
      </c>
      <c r="G46" s="91">
        <f t="shared" si="16"/>
        <v>1751.249</v>
      </c>
      <c r="H46" s="46"/>
      <c r="J46" s="109">
        <v>1435.45</v>
      </c>
      <c r="K46" s="109">
        <f t="shared" si="17"/>
        <v>315.79899999999998</v>
      </c>
      <c r="L46" s="109">
        <f t="shared" si="18"/>
        <v>1751.249</v>
      </c>
    </row>
    <row r="47" spans="1:14" s="47" customFormat="1" ht="18.75" x14ac:dyDescent="0.3">
      <c r="A47" s="61" t="s">
        <v>70</v>
      </c>
      <c r="B47" s="91">
        <v>0</v>
      </c>
      <c r="C47" s="112">
        <v>0</v>
      </c>
      <c r="D47" s="108">
        <v>0</v>
      </c>
      <c r="E47" s="108">
        <f t="shared" si="15"/>
        <v>4069.078</v>
      </c>
      <c r="F47" s="91">
        <v>0</v>
      </c>
      <c r="G47" s="91">
        <f>SUM(B47:F47)</f>
        <v>4069.078</v>
      </c>
      <c r="H47" s="46"/>
      <c r="J47" s="109">
        <v>3335.31</v>
      </c>
      <c r="K47" s="109">
        <f t="shared" si="17"/>
        <v>733.76800000000003</v>
      </c>
      <c r="L47" s="109">
        <f t="shared" si="18"/>
        <v>4069.078</v>
      </c>
    </row>
    <row r="48" spans="1:14" s="47" customFormat="1" ht="37.5" x14ac:dyDescent="0.3">
      <c r="A48" s="61" t="s">
        <v>71</v>
      </c>
      <c r="B48" s="91">
        <v>0</v>
      </c>
      <c r="C48" s="112">
        <v>0</v>
      </c>
      <c r="D48" s="108">
        <v>0</v>
      </c>
      <c r="E48" s="108">
        <f t="shared" si="15"/>
        <v>1284.8430000000001</v>
      </c>
      <c r="F48" s="91">
        <v>0</v>
      </c>
      <c r="G48" s="91">
        <f t="shared" ref="G48:G50" si="20">SUM(B48:F48)</f>
        <v>1284.8430000000001</v>
      </c>
      <c r="H48" s="46"/>
      <c r="J48" s="109">
        <v>1053.1500000000001</v>
      </c>
      <c r="K48" s="109">
        <f t="shared" si="17"/>
        <v>231.69300000000001</v>
      </c>
      <c r="L48" s="109">
        <f t="shared" si="18"/>
        <v>1284.8430000000001</v>
      </c>
    </row>
    <row r="49" spans="1:12" s="47" customFormat="1" ht="37.5" x14ac:dyDescent="0.3">
      <c r="A49" s="61" t="s">
        <v>72</v>
      </c>
      <c r="B49" s="91">
        <v>0</v>
      </c>
      <c r="C49" s="112">
        <v>0</v>
      </c>
      <c r="D49" s="108">
        <v>0</v>
      </c>
      <c r="E49" s="108">
        <f t="shared" si="15"/>
        <v>4.9779999999999998</v>
      </c>
      <c r="F49" s="91">
        <v>0</v>
      </c>
      <c r="G49" s="91">
        <f t="shared" si="20"/>
        <v>4.9779999999999998</v>
      </c>
      <c r="H49" s="46"/>
      <c r="J49" s="92">
        <v>4.08</v>
      </c>
      <c r="K49" s="92">
        <f t="shared" si="17"/>
        <v>0.89800000000000002</v>
      </c>
      <c r="L49" s="92">
        <f t="shared" si="18"/>
        <v>4.9779999999999998</v>
      </c>
    </row>
    <row r="50" spans="1:12" s="47" customFormat="1" ht="37.5" x14ac:dyDescent="0.3">
      <c r="A50" s="61" t="s">
        <v>73</v>
      </c>
      <c r="B50" s="91">
        <v>0</v>
      </c>
      <c r="C50" s="112">
        <v>0</v>
      </c>
      <c r="D50" s="108">
        <v>0</v>
      </c>
      <c r="E50" s="108">
        <f t="shared" si="15"/>
        <v>31.46</v>
      </c>
      <c r="F50" s="91">
        <v>0</v>
      </c>
      <c r="G50" s="91">
        <f t="shared" si="20"/>
        <v>31.46</v>
      </c>
      <c r="H50" s="46"/>
      <c r="J50" s="92">
        <v>25.79</v>
      </c>
      <c r="K50" s="92">
        <f>ROUNDDOWN(J50*0.22,2)</f>
        <v>5.67</v>
      </c>
      <c r="L50" s="92">
        <f t="shared" si="18"/>
        <v>31.46</v>
      </c>
    </row>
    <row r="51" spans="1:12" ht="18.75" x14ac:dyDescent="0.25">
      <c r="A51" s="44" t="s">
        <v>32</v>
      </c>
      <c r="B51" s="91">
        <v>0</v>
      </c>
      <c r="C51" s="112">
        <v>0</v>
      </c>
      <c r="D51" s="112">
        <v>0</v>
      </c>
      <c r="E51" s="108">
        <f t="shared" si="15"/>
        <v>1941.713</v>
      </c>
      <c r="F51" s="107">
        <f>L51-C51-D51-E51</f>
        <v>0</v>
      </c>
      <c r="G51" s="91">
        <f t="shared" si="16"/>
        <v>1941.713</v>
      </c>
      <c r="H51" s="62"/>
      <c r="J51" s="95">
        <f>SUM(J52:J63)</f>
        <v>1591.5679999999998</v>
      </c>
      <c r="K51" s="95">
        <f t="shared" ref="K51:L51" si="21">SUM(K52:K63)</f>
        <v>350.14500000000004</v>
      </c>
      <c r="L51" s="95">
        <f t="shared" si="21"/>
        <v>1941.713</v>
      </c>
    </row>
    <row r="52" spans="1:12" ht="18.75" hidden="1" x14ac:dyDescent="0.3">
      <c r="A52" s="99" t="s">
        <v>63</v>
      </c>
      <c r="B52" s="91">
        <v>0</v>
      </c>
      <c r="C52" s="112">
        <v>12.141</v>
      </c>
      <c r="D52" s="108">
        <v>0</v>
      </c>
      <c r="E52" s="108">
        <f t="shared" ref="E52:E63" si="22">ROUND(L52-C52-D52,3)</f>
        <v>0.84099999999999997</v>
      </c>
      <c r="F52" s="107">
        <v>0</v>
      </c>
      <c r="G52" s="91">
        <f t="shared" ref="G52:G60" si="23">SUM(B52:F52)</f>
        <v>12.981999999999999</v>
      </c>
      <c r="H52" s="63"/>
      <c r="J52" s="100">
        <f t="shared" ref="J52:J60" si="24">ROUND(J39*0.015,3)</f>
        <v>10.641</v>
      </c>
      <c r="K52" s="100">
        <f>ROUND(J52*0.22,3)</f>
        <v>2.3410000000000002</v>
      </c>
      <c r="L52" s="100">
        <f>ROUND(J52+K52,3)</f>
        <v>12.981999999999999</v>
      </c>
    </row>
    <row r="53" spans="1:12" ht="18.75" hidden="1" x14ac:dyDescent="0.3">
      <c r="A53" s="99" t="s">
        <v>47</v>
      </c>
      <c r="B53" s="91">
        <v>0</v>
      </c>
      <c r="C53" s="112">
        <v>1.399</v>
      </c>
      <c r="D53" s="108">
        <v>0</v>
      </c>
      <c r="E53" s="108">
        <f t="shared" si="22"/>
        <v>-8.1000000000000003E-2</v>
      </c>
      <c r="F53" s="107">
        <v>0</v>
      </c>
      <c r="G53" s="91">
        <f t="shared" si="23"/>
        <v>1.3180000000000001</v>
      </c>
      <c r="H53" s="63"/>
      <c r="J53" s="124">
        <f t="shared" si="24"/>
        <v>1.08</v>
      </c>
      <c r="K53" s="124">
        <f t="shared" ref="K53:K63" si="25">ROUND(J53*0.22,3)</f>
        <v>0.23799999999999999</v>
      </c>
      <c r="L53" s="124">
        <f t="shared" ref="L53:L60" si="26">ROUND(J53+K53,3)</f>
        <v>1.3180000000000001</v>
      </c>
    </row>
    <row r="54" spans="1:12" ht="18.75" hidden="1" x14ac:dyDescent="0.3">
      <c r="A54" s="99" t="s">
        <v>64</v>
      </c>
      <c r="B54" s="91">
        <v>0</v>
      </c>
      <c r="C54" s="112">
        <v>205.09200000000001</v>
      </c>
      <c r="D54" s="108">
        <v>0</v>
      </c>
      <c r="E54" s="108">
        <f t="shared" si="22"/>
        <v>-16.875</v>
      </c>
      <c r="F54" s="107">
        <v>0</v>
      </c>
      <c r="G54" s="91">
        <f t="shared" si="23"/>
        <v>188.21700000000001</v>
      </c>
      <c r="H54" s="63"/>
      <c r="J54" s="124">
        <f t="shared" si="24"/>
        <v>154.27600000000001</v>
      </c>
      <c r="K54" s="124">
        <f t="shared" si="25"/>
        <v>33.941000000000003</v>
      </c>
      <c r="L54" s="124">
        <f t="shared" si="26"/>
        <v>188.21700000000001</v>
      </c>
    </row>
    <row r="55" spans="1:12" ht="18.75" hidden="1" x14ac:dyDescent="0.3">
      <c r="A55" s="99" t="s">
        <v>65</v>
      </c>
      <c r="B55" s="91">
        <v>0</v>
      </c>
      <c r="C55" s="112">
        <v>178.136</v>
      </c>
      <c r="D55" s="108">
        <v>0</v>
      </c>
      <c r="E55" s="108">
        <f t="shared" si="22"/>
        <v>-8.0340000000000007</v>
      </c>
      <c r="F55" s="107">
        <v>0</v>
      </c>
      <c r="G55" s="91">
        <f t="shared" si="23"/>
        <v>170.102</v>
      </c>
      <c r="H55" s="63"/>
      <c r="J55" s="100">
        <f t="shared" si="24"/>
        <v>139.428</v>
      </c>
      <c r="K55" s="100">
        <f t="shared" si="25"/>
        <v>30.673999999999999</v>
      </c>
      <c r="L55" s="101">
        <f t="shared" si="26"/>
        <v>170.102</v>
      </c>
    </row>
    <row r="56" spans="1:12" ht="37.5" hidden="1" x14ac:dyDescent="0.3">
      <c r="A56" s="99" t="s">
        <v>66</v>
      </c>
      <c r="B56" s="91">
        <v>0</v>
      </c>
      <c r="C56" s="112">
        <v>5.3840000000000003</v>
      </c>
      <c r="D56" s="108">
        <v>0</v>
      </c>
      <c r="E56" s="108">
        <f t="shared" si="22"/>
        <v>-0.28699999999999998</v>
      </c>
      <c r="F56" s="107">
        <v>0</v>
      </c>
      <c r="G56" s="91">
        <f t="shared" si="23"/>
        <v>5.0970000000000004</v>
      </c>
      <c r="H56" s="63"/>
      <c r="J56" s="100">
        <f t="shared" si="24"/>
        <v>4.1779999999999999</v>
      </c>
      <c r="K56" s="100">
        <f t="shared" si="25"/>
        <v>0.91900000000000004</v>
      </c>
      <c r="L56" s="101">
        <f t="shared" si="26"/>
        <v>5.0970000000000004</v>
      </c>
    </row>
    <row r="57" spans="1:12" ht="18.75" hidden="1" x14ac:dyDescent="0.3">
      <c r="A57" s="99" t="s">
        <v>67</v>
      </c>
      <c r="B57" s="91">
        <v>0</v>
      </c>
      <c r="C57" s="112">
        <v>1349.546</v>
      </c>
      <c r="D57" s="108">
        <v>0</v>
      </c>
      <c r="E57" s="108">
        <f t="shared" si="22"/>
        <v>-28.391999999999999</v>
      </c>
      <c r="F57" s="107">
        <v>0</v>
      </c>
      <c r="G57" s="91">
        <f t="shared" si="23"/>
        <v>1321.154</v>
      </c>
      <c r="H57" s="63"/>
      <c r="J57" s="124">
        <f t="shared" si="24"/>
        <v>1082.913</v>
      </c>
      <c r="K57" s="124">
        <f t="shared" si="25"/>
        <v>238.24100000000001</v>
      </c>
      <c r="L57" s="124">
        <f t="shared" si="26"/>
        <v>1321.154</v>
      </c>
    </row>
    <row r="58" spans="1:12" ht="18.75" hidden="1" x14ac:dyDescent="0.3">
      <c r="A58" s="99" t="s">
        <v>68</v>
      </c>
      <c r="B58" s="91">
        <v>0</v>
      </c>
      <c r="C58" s="112">
        <v>146.07900000000001</v>
      </c>
      <c r="D58" s="108">
        <v>0</v>
      </c>
      <c r="E58" s="108">
        <f t="shared" si="22"/>
        <v>-10.36</v>
      </c>
      <c r="F58" s="107">
        <v>0</v>
      </c>
      <c r="G58" s="91">
        <f t="shared" si="23"/>
        <v>135.71899999999999</v>
      </c>
      <c r="H58" s="63"/>
      <c r="J58" s="124">
        <f t="shared" si="24"/>
        <v>111.245</v>
      </c>
      <c r="K58" s="124">
        <f t="shared" si="25"/>
        <v>24.474</v>
      </c>
      <c r="L58" s="124">
        <f t="shared" si="26"/>
        <v>135.71899999999999</v>
      </c>
    </row>
    <row r="59" spans="1:12" ht="18.75" hidden="1" x14ac:dyDescent="0.3">
      <c r="A59" s="99" t="s">
        <v>69</v>
      </c>
      <c r="B59" s="91">
        <v>0</v>
      </c>
      <c r="C59" s="112">
        <v>26.5</v>
      </c>
      <c r="D59" s="108">
        <v>0</v>
      </c>
      <c r="E59" s="108">
        <f t="shared" si="22"/>
        <v>-0.23100000000000001</v>
      </c>
      <c r="F59" s="107">
        <v>0</v>
      </c>
      <c r="G59" s="91">
        <f t="shared" si="23"/>
        <v>26.268999999999998</v>
      </c>
      <c r="H59" s="63"/>
      <c r="J59" s="124">
        <f t="shared" si="24"/>
        <v>21.532</v>
      </c>
      <c r="K59" s="124">
        <f t="shared" si="25"/>
        <v>4.7370000000000001</v>
      </c>
      <c r="L59" s="124">
        <f t="shared" si="26"/>
        <v>26.268999999999998</v>
      </c>
    </row>
    <row r="60" spans="1:12" ht="18.75" hidden="1" x14ac:dyDescent="0.3">
      <c r="A60" s="99" t="s">
        <v>70</v>
      </c>
      <c r="B60" s="91">
        <v>0</v>
      </c>
      <c r="C60" s="112">
        <v>63.112000000000002</v>
      </c>
      <c r="D60" s="108">
        <v>0</v>
      </c>
      <c r="E60" s="108">
        <f t="shared" si="22"/>
        <v>-2.0750000000000002</v>
      </c>
      <c r="F60" s="107">
        <v>0</v>
      </c>
      <c r="G60" s="91">
        <f t="shared" si="23"/>
        <v>61.036999999999999</v>
      </c>
      <c r="H60" s="63"/>
      <c r="J60" s="124">
        <f t="shared" si="24"/>
        <v>50.03</v>
      </c>
      <c r="K60" s="124">
        <f t="shared" si="25"/>
        <v>11.007</v>
      </c>
      <c r="L60" s="124">
        <f t="shared" si="26"/>
        <v>61.036999999999999</v>
      </c>
    </row>
    <row r="61" spans="1:12" ht="37.5" hidden="1" x14ac:dyDescent="0.3">
      <c r="A61" s="99" t="s">
        <v>71</v>
      </c>
      <c r="B61" s="91">
        <v>0</v>
      </c>
      <c r="C61" s="112">
        <v>19.812000000000001</v>
      </c>
      <c r="D61" s="108">
        <v>0</v>
      </c>
      <c r="E61" s="108">
        <f t="shared" si="22"/>
        <v>-0.54</v>
      </c>
      <c r="F61" s="107">
        <v>0</v>
      </c>
      <c r="G61" s="91">
        <f t="shared" ref="G61:G63" si="27">SUM(B61:F61)</f>
        <v>19.272000000000002</v>
      </c>
      <c r="H61" s="63"/>
      <c r="J61" s="124">
        <f t="shared" ref="J61:J63" si="28">ROUND(J48*0.015,3)</f>
        <v>15.797000000000001</v>
      </c>
      <c r="K61" s="124">
        <f t="shared" si="25"/>
        <v>3.4750000000000001</v>
      </c>
      <c r="L61" s="124">
        <f t="shared" ref="L61:L63" si="29">ROUND(J61+K61,3)</f>
        <v>19.271999999999998</v>
      </c>
    </row>
    <row r="62" spans="1:12" ht="37.5" hidden="1" x14ac:dyDescent="0.3">
      <c r="A62" s="99" t="s">
        <v>72</v>
      </c>
      <c r="B62" s="91">
        <v>0</v>
      </c>
      <c r="C62" s="112">
        <v>7.3999999999999996E-2</v>
      </c>
      <c r="D62" s="108">
        <v>0</v>
      </c>
      <c r="E62" s="108">
        <f t="shared" si="22"/>
        <v>0</v>
      </c>
      <c r="F62" s="107">
        <v>0</v>
      </c>
      <c r="G62" s="91">
        <f t="shared" si="27"/>
        <v>7.3999999999999996E-2</v>
      </c>
      <c r="H62" s="63"/>
      <c r="J62" s="97">
        <f t="shared" si="28"/>
        <v>6.0999999999999999E-2</v>
      </c>
      <c r="K62" s="97">
        <f t="shared" si="25"/>
        <v>1.2999999999999999E-2</v>
      </c>
      <c r="L62" s="97">
        <f t="shared" si="29"/>
        <v>7.3999999999999996E-2</v>
      </c>
    </row>
    <row r="63" spans="1:12" ht="56.25" hidden="1" x14ac:dyDescent="0.3">
      <c r="A63" s="99" t="s">
        <v>73</v>
      </c>
      <c r="B63" s="91">
        <v>0</v>
      </c>
      <c r="C63" s="112">
        <v>0.47199999999999998</v>
      </c>
      <c r="D63" s="108">
        <v>0</v>
      </c>
      <c r="E63" s="108">
        <f t="shared" si="22"/>
        <v>0</v>
      </c>
      <c r="F63" s="107">
        <v>0</v>
      </c>
      <c r="G63" s="91">
        <f t="shared" si="27"/>
        <v>0.47199999999999998</v>
      </c>
      <c r="H63" s="63"/>
      <c r="J63" s="97">
        <f t="shared" si="28"/>
        <v>0.38700000000000001</v>
      </c>
      <c r="K63" s="97">
        <f t="shared" si="25"/>
        <v>8.5000000000000006E-2</v>
      </c>
      <c r="L63" s="97">
        <f t="shared" si="29"/>
        <v>0.47199999999999998</v>
      </c>
    </row>
    <row r="64" spans="1:12" ht="18.75" x14ac:dyDescent="0.25">
      <c r="A64" s="42" t="s">
        <v>35</v>
      </c>
      <c r="B64" s="113">
        <v>0</v>
      </c>
      <c r="C64" s="113">
        <v>0</v>
      </c>
      <c r="D64" s="113">
        <v>0</v>
      </c>
      <c r="E64" s="113"/>
      <c r="F64" s="113">
        <v>0</v>
      </c>
      <c r="G64" s="113">
        <v>0</v>
      </c>
      <c r="H64" s="43"/>
      <c r="J64" s="114">
        <v>0</v>
      </c>
      <c r="K64" s="114">
        <v>0</v>
      </c>
      <c r="L64" s="114">
        <v>0</v>
      </c>
    </row>
    <row r="65" spans="1:12" s="81" customFormat="1" ht="19.5" thickBot="1" x14ac:dyDescent="0.3">
      <c r="A65" s="79"/>
      <c r="B65" s="115"/>
      <c r="C65" s="116">
        <f>ROUND(C37/(G37-B37-F37),5)</f>
        <v>0</v>
      </c>
      <c r="D65" s="116">
        <f>ROUND(D37/(G37-B37-F37),5)</f>
        <v>0</v>
      </c>
      <c r="E65" s="132">
        <f>ROUND(E37/(G37-B37-F37),5)</f>
        <v>1</v>
      </c>
      <c r="F65" s="117"/>
      <c r="G65" s="117"/>
      <c r="H65" s="80"/>
      <c r="J65" s="118"/>
      <c r="K65" s="118"/>
      <c r="L65" s="119"/>
    </row>
    <row r="66" spans="1:12" ht="19.5" thickBot="1" x14ac:dyDescent="0.3">
      <c r="A66" s="39" t="s">
        <v>28</v>
      </c>
      <c r="B66" s="104">
        <f t="shared" ref="B66:G66" si="30">B37+B11</f>
        <v>6765.8630000000003</v>
      </c>
      <c r="C66" s="103">
        <f>C37+C11</f>
        <v>0</v>
      </c>
      <c r="D66" s="103">
        <f t="shared" si="30"/>
        <v>0</v>
      </c>
      <c r="E66" s="103">
        <f t="shared" si="30"/>
        <v>142424.78399999999</v>
      </c>
      <c r="F66" s="87">
        <f t="shared" si="30"/>
        <v>7410.6829999999991</v>
      </c>
      <c r="G66" s="87">
        <f t="shared" si="30"/>
        <v>156601.32999999999</v>
      </c>
      <c r="H66" s="40"/>
      <c r="J66" s="88">
        <f>J11+J37</f>
        <v>128361.75</v>
      </c>
      <c r="K66" s="88">
        <f>K11+K37</f>
        <v>28239.579999999994</v>
      </c>
      <c r="L66" s="88">
        <f>L11+L37</f>
        <v>156601.33000000002</v>
      </c>
    </row>
    <row r="67" spans="1:12" ht="19.5" thickBot="1" x14ac:dyDescent="0.3">
      <c r="A67" s="82" t="s">
        <v>39</v>
      </c>
      <c r="B67" s="120">
        <v>0</v>
      </c>
      <c r="C67" s="121">
        <v>0</v>
      </c>
      <c r="D67" s="121">
        <v>0</v>
      </c>
      <c r="E67" s="121">
        <v>58.73</v>
      </c>
      <c r="F67" s="121">
        <v>0</v>
      </c>
      <c r="G67" s="121">
        <f t="shared" ref="G67" si="31">SUM(B67:F67)</f>
        <v>58.73</v>
      </c>
      <c r="H67" s="83"/>
      <c r="J67" s="64"/>
      <c r="K67" s="64"/>
      <c r="L67" s="38"/>
    </row>
    <row r="68" spans="1:12" ht="21.75" customHeight="1" x14ac:dyDescent="0.25">
      <c r="J68" s="122">
        <f>3738.69-J15-J35-J51</f>
        <v>0</v>
      </c>
    </row>
    <row r="69" spans="1:12" ht="49.5" customHeight="1" x14ac:dyDescent="0.35">
      <c r="A69" s="208"/>
      <c r="B69" s="208"/>
      <c r="C69" s="208"/>
      <c r="D69" s="193"/>
      <c r="E69" s="193"/>
      <c r="F69" s="194"/>
      <c r="H69" s="135"/>
      <c r="J69" s="41">
        <f>128361.75-J66</f>
        <v>0</v>
      </c>
      <c r="K69" s="41">
        <f>28239.58-K66</f>
        <v>0</v>
      </c>
      <c r="L69" s="41">
        <f>156601.33-L66</f>
        <v>0</v>
      </c>
    </row>
    <row r="70" spans="1:12" ht="23.25" x14ac:dyDescent="0.35">
      <c r="A70" s="217" t="s">
        <v>100</v>
      </c>
      <c r="B70" s="217"/>
      <c r="C70" s="66"/>
      <c r="D70" s="65"/>
      <c r="F70" s="192" t="s">
        <v>101</v>
      </c>
      <c r="H70" s="135"/>
    </row>
    <row r="71" spans="1:12" x14ac:dyDescent="0.25">
      <c r="A71" s="218" t="s">
        <v>102</v>
      </c>
      <c r="B71" s="218"/>
      <c r="C71" s="67"/>
      <c r="E71" s="218" t="s">
        <v>96</v>
      </c>
      <c r="F71" s="218"/>
      <c r="G71" s="218"/>
      <c r="H71" s="135"/>
    </row>
    <row r="72" spans="1:12" x14ac:dyDescent="0.25">
      <c r="F72" s="67"/>
    </row>
    <row r="73" spans="1:12" x14ac:dyDescent="0.25">
      <c r="C73" s="205"/>
    </row>
    <row r="74" spans="1:12" x14ac:dyDescent="0.25">
      <c r="A74" s="68"/>
    </row>
    <row r="75" spans="1:12" x14ac:dyDescent="0.25">
      <c r="A75" s="68" t="s">
        <v>43</v>
      </c>
    </row>
  </sheetData>
  <mergeCells count="13">
    <mergeCell ref="A70:B70"/>
    <mergeCell ref="A71:B71"/>
    <mergeCell ref="E71:G71"/>
    <mergeCell ref="J8:J9"/>
    <mergeCell ref="K8:K9"/>
    <mergeCell ref="L8:L9"/>
    <mergeCell ref="A69:C69"/>
    <mergeCell ref="A2:H2"/>
    <mergeCell ref="A3:H3"/>
    <mergeCell ref="B6:H6"/>
    <mergeCell ref="A8:A9"/>
    <mergeCell ref="B8:G8"/>
    <mergeCell ref="H8:H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117"/>
  <sheetViews>
    <sheetView tabSelected="1" view="pageBreakPreview" zoomScale="70" zoomScaleNormal="84" zoomScaleSheetLayoutView="70" workbookViewId="0">
      <selection activeCell="A9" sqref="A9:A11"/>
    </sheetView>
  </sheetViews>
  <sheetFormatPr defaultRowHeight="12.75" x14ac:dyDescent="0.2"/>
  <cols>
    <col min="1" max="1" width="51.7109375" style="1" customWidth="1"/>
    <col min="2" max="2" width="24.28515625" style="1" customWidth="1"/>
    <col min="3" max="3" width="18.140625" style="1" customWidth="1"/>
    <col min="4" max="4" width="17.28515625" style="1" customWidth="1"/>
    <col min="5" max="5" width="20" style="1" customWidth="1"/>
    <col min="6" max="6" width="17.5703125" style="1" customWidth="1"/>
    <col min="7" max="7" width="19.42578125" style="1" customWidth="1"/>
    <col min="8" max="8" width="17.5703125" style="1" customWidth="1"/>
    <col min="9" max="9" width="18.140625" style="1" customWidth="1"/>
    <col min="10" max="10" width="75.5703125" style="1" hidden="1" customWidth="1"/>
    <col min="11" max="11" width="18" style="1" hidden="1" customWidth="1"/>
    <col min="12" max="13" width="20.28515625" style="1" hidden="1" customWidth="1"/>
    <col min="14" max="14" width="18.5703125" style="1" customWidth="1"/>
    <col min="15" max="15" width="20.85546875" style="1" customWidth="1"/>
    <col min="16" max="16" width="12.5703125" style="1" bestFit="1" customWidth="1"/>
    <col min="17" max="18" width="9.85546875" style="1" bestFit="1" customWidth="1"/>
    <col min="19" max="16384" width="9.140625" style="1"/>
  </cols>
  <sheetData>
    <row r="1" spans="1:16" ht="94.5" customHeight="1" x14ac:dyDescent="0.3">
      <c r="A1" s="70"/>
      <c r="B1" s="71"/>
      <c r="C1" s="71"/>
      <c r="D1" s="71"/>
      <c r="E1" s="71"/>
      <c r="F1" s="71"/>
      <c r="G1" s="71"/>
      <c r="H1" s="71"/>
      <c r="I1" s="227" t="s">
        <v>85</v>
      </c>
      <c r="J1" s="227"/>
      <c r="K1" s="227"/>
      <c r="L1" s="227"/>
      <c r="M1" s="227"/>
      <c r="N1" s="227"/>
      <c r="O1" s="227"/>
    </row>
    <row r="2" spans="1:16" ht="18" customHeight="1" x14ac:dyDescent="0.3">
      <c r="A2" s="84"/>
      <c r="B2" s="71"/>
      <c r="C2" s="71"/>
      <c r="D2" s="71"/>
      <c r="E2" s="71"/>
      <c r="F2" s="71"/>
      <c r="G2" s="71"/>
      <c r="H2" s="71"/>
      <c r="I2" s="13"/>
      <c r="J2" s="13"/>
      <c r="K2" s="230"/>
      <c r="L2" s="230"/>
      <c r="M2" s="130"/>
      <c r="N2" s="72"/>
      <c r="O2" s="13"/>
    </row>
    <row r="3" spans="1:16" ht="20.25" x14ac:dyDescent="0.3">
      <c r="A3" s="231" t="s">
        <v>4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</row>
    <row r="4" spans="1:16" ht="20.25" x14ac:dyDescent="0.3">
      <c r="A4" s="232" t="s">
        <v>5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</row>
    <row r="5" spans="1:16" ht="10.5" customHeight="1" x14ac:dyDescent="0.3">
      <c r="A5" s="233"/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131"/>
      <c r="N5" s="13"/>
      <c r="O5" s="13"/>
    </row>
    <row r="6" spans="1:16" ht="51.75" customHeight="1" x14ac:dyDescent="0.2">
      <c r="A6" s="73" t="s">
        <v>8</v>
      </c>
      <c r="B6" s="226" t="s">
        <v>46</v>
      </c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</row>
    <row r="7" spans="1:16" ht="59.25" customHeight="1" x14ac:dyDescent="0.2">
      <c r="A7" s="74" t="s">
        <v>7</v>
      </c>
      <c r="B7" s="229" t="s">
        <v>62</v>
      </c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</row>
    <row r="8" spans="1:16" s="3" customFormat="1" ht="19.5" thickBot="1" x14ac:dyDescent="0.3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6"/>
      <c r="M8" s="6"/>
      <c r="O8" s="160" t="s">
        <v>59</v>
      </c>
    </row>
    <row r="9" spans="1:16" s="2" customFormat="1" ht="15.75" customHeight="1" thickBot="1" x14ac:dyDescent="0.25">
      <c r="A9" s="239"/>
      <c r="B9" s="234" t="s">
        <v>95</v>
      </c>
      <c r="C9" s="242" t="s">
        <v>94</v>
      </c>
      <c r="D9" s="237" t="s">
        <v>10</v>
      </c>
      <c r="E9" s="247" t="s">
        <v>58</v>
      </c>
      <c r="F9" s="247" t="s">
        <v>11</v>
      </c>
      <c r="G9" s="234" t="s">
        <v>74</v>
      </c>
      <c r="H9" s="247" t="s">
        <v>12</v>
      </c>
      <c r="I9" s="247" t="s">
        <v>13</v>
      </c>
      <c r="J9" s="237" t="s">
        <v>45</v>
      </c>
      <c r="K9" s="250" t="s">
        <v>9</v>
      </c>
      <c r="L9" s="251"/>
      <c r="M9" s="252"/>
      <c r="N9" s="247" t="s">
        <v>6</v>
      </c>
      <c r="O9" s="234" t="s">
        <v>3</v>
      </c>
    </row>
    <row r="10" spans="1:16" s="2" customFormat="1" ht="59.25" customHeight="1" thickBot="1" x14ac:dyDescent="0.25">
      <c r="A10" s="240"/>
      <c r="B10" s="235"/>
      <c r="C10" s="243"/>
      <c r="D10" s="257"/>
      <c r="E10" s="248"/>
      <c r="F10" s="248"/>
      <c r="G10" s="235"/>
      <c r="H10" s="248"/>
      <c r="I10" s="248"/>
      <c r="J10" s="238"/>
      <c r="K10" s="237">
        <v>2026</v>
      </c>
      <c r="L10" s="237">
        <v>2027</v>
      </c>
      <c r="M10" s="237">
        <v>2028</v>
      </c>
      <c r="N10" s="248"/>
      <c r="O10" s="235"/>
    </row>
    <row r="11" spans="1:16" s="2" customFormat="1" ht="49.5" customHeight="1" thickBot="1" x14ac:dyDescent="0.25">
      <c r="A11" s="241"/>
      <c r="B11" s="236"/>
      <c r="C11" s="244"/>
      <c r="D11" s="238"/>
      <c r="E11" s="249"/>
      <c r="F11" s="249"/>
      <c r="G11" s="236"/>
      <c r="H11" s="249"/>
      <c r="I11" s="249"/>
      <c r="J11" s="161">
        <v>1</v>
      </c>
      <c r="K11" s="238"/>
      <c r="L11" s="238"/>
      <c r="M11" s="238"/>
      <c r="N11" s="249"/>
      <c r="O11" s="236"/>
    </row>
    <row r="12" spans="1:16" s="2" customFormat="1" ht="19.5" thickBot="1" x14ac:dyDescent="0.25">
      <c r="A12" s="143">
        <v>1</v>
      </c>
      <c r="B12" s="140">
        <v>2</v>
      </c>
      <c r="C12" s="23">
        <v>3</v>
      </c>
      <c r="D12" s="23">
        <v>4</v>
      </c>
      <c r="E12" s="24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10</v>
      </c>
      <c r="L12" s="23">
        <v>11</v>
      </c>
      <c r="M12" s="23">
        <v>12</v>
      </c>
      <c r="N12" s="23">
        <v>10</v>
      </c>
      <c r="O12" s="139">
        <v>11</v>
      </c>
      <c r="P12" s="165"/>
    </row>
    <row r="13" spans="1:16" ht="19.5" thickBot="1" x14ac:dyDescent="0.25">
      <c r="A13" s="144" t="s">
        <v>0</v>
      </c>
      <c r="B13" s="141">
        <f>B14</f>
        <v>2770.181</v>
      </c>
      <c r="C13" s="19">
        <f t="shared" ref="C13:E14" si="0">C14</f>
        <v>0</v>
      </c>
      <c r="D13" s="19">
        <f t="shared" si="0"/>
        <v>0</v>
      </c>
      <c r="E13" s="19">
        <f t="shared" si="0"/>
        <v>2770.181</v>
      </c>
      <c r="F13" s="19" t="s">
        <v>14</v>
      </c>
      <c r="G13" s="19">
        <f>G14</f>
        <v>2852.1779999999999</v>
      </c>
      <c r="H13" s="19" t="s">
        <v>14</v>
      </c>
      <c r="I13" s="19">
        <f t="shared" ref="I13:O14" si="1">I14</f>
        <v>2904.0880000000002</v>
      </c>
      <c r="J13" s="19">
        <f t="shared" si="1"/>
        <v>2904.0880000000002</v>
      </c>
      <c r="K13" s="19">
        <f t="shared" si="1"/>
        <v>0</v>
      </c>
      <c r="L13" s="19">
        <f t="shared" si="1"/>
        <v>0</v>
      </c>
      <c r="M13" s="19">
        <f t="shared" si="1"/>
        <v>2904.0880000000002</v>
      </c>
      <c r="N13" s="19">
        <f t="shared" si="1"/>
        <v>2904.0880000000002</v>
      </c>
      <c r="O13" s="20">
        <f t="shared" si="1"/>
        <v>2904.0880000000002</v>
      </c>
      <c r="P13" s="150"/>
    </row>
    <row r="14" spans="1:16" ht="19.5" thickBot="1" x14ac:dyDescent="0.25">
      <c r="A14" s="144" t="s">
        <v>1</v>
      </c>
      <c r="B14" s="141">
        <f>B15</f>
        <v>2770.181</v>
      </c>
      <c r="C14" s="19">
        <f t="shared" si="0"/>
        <v>0</v>
      </c>
      <c r="D14" s="19">
        <f t="shared" si="0"/>
        <v>0</v>
      </c>
      <c r="E14" s="19">
        <f t="shared" si="0"/>
        <v>2770.181</v>
      </c>
      <c r="F14" s="21" t="s">
        <v>14</v>
      </c>
      <c r="G14" s="19">
        <f>G15</f>
        <v>2852.1779999999999</v>
      </c>
      <c r="H14" s="21"/>
      <c r="I14" s="19">
        <f t="shared" si="1"/>
        <v>2904.0880000000002</v>
      </c>
      <c r="J14" s="19">
        <f t="shared" si="1"/>
        <v>2904.0880000000002</v>
      </c>
      <c r="K14" s="19">
        <f t="shared" si="1"/>
        <v>0</v>
      </c>
      <c r="L14" s="19">
        <f t="shared" si="1"/>
        <v>0</v>
      </c>
      <c r="M14" s="19">
        <f t="shared" si="1"/>
        <v>2904.0880000000002</v>
      </c>
      <c r="N14" s="19">
        <f t="shared" si="1"/>
        <v>2904.0880000000002</v>
      </c>
      <c r="O14" s="20">
        <f t="shared" si="1"/>
        <v>2904.0880000000002</v>
      </c>
    </row>
    <row r="15" spans="1:16" s="7" customFormat="1" ht="19.5" thickBot="1" x14ac:dyDescent="0.25">
      <c r="A15" s="145" t="s">
        <v>17</v>
      </c>
      <c r="B15" s="142">
        <f>SUM(B16:B16)</f>
        <v>2770.181</v>
      </c>
      <c r="C15" s="22">
        <f>SUM(C16:C16)</f>
        <v>0</v>
      </c>
      <c r="D15" s="22">
        <f>SUM(D16:D16)</f>
        <v>0</v>
      </c>
      <c r="E15" s="22">
        <f>SUM(E16:E16)</f>
        <v>2770.181</v>
      </c>
      <c r="F15" s="126">
        <f>$B$33</f>
        <v>1.0296000000000001</v>
      </c>
      <c r="G15" s="8">
        <f>SUM(G16:G16)</f>
        <v>2852.1779999999999</v>
      </c>
      <c r="H15" s="126">
        <f>$C$61</f>
        <v>1.0182</v>
      </c>
      <c r="I15" s="8">
        <f>SUM(I16:I16)</f>
        <v>2904.0880000000002</v>
      </c>
      <c r="J15" s="8">
        <f>SUM(J16:J16)</f>
        <v>2904.0880000000002</v>
      </c>
      <c r="K15" s="8">
        <f>SUM(K16:K16)</f>
        <v>0</v>
      </c>
      <c r="L15" s="8">
        <f>SUM(L16:L16)</f>
        <v>0</v>
      </c>
      <c r="M15" s="8">
        <f>SUM(M16:M16)</f>
        <v>2904.0880000000002</v>
      </c>
      <c r="N15" s="8">
        <f>SUM(N16:N16)</f>
        <v>2904.0880000000002</v>
      </c>
      <c r="O15" s="9">
        <f>SUM(O16:O16)</f>
        <v>2904.0880000000002</v>
      </c>
    </row>
    <row r="16" spans="1:16" ht="18.75" x14ac:dyDescent="0.2">
      <c r="A16" s="146" t="s">
        <v>16</v>
      </c>
      <c r="B16" s="125">
        <f>'Расчет Ф4'!L13</f>
        <v>2770.181</v>
      </c>
      <c r="C16" s="10">
        <v>0</v>
      </c>
      <c r="D16" s="10">
        <v>0</v>
      </c>
      <c r="E16" s="10">
        <f>B16-D16-C16</f>
        <v>2770.181</v>
      </c>
      <c r="F16" s="127">
        <f>$B$33</f>
        <v>1.0296000000000001</v>
      </c>
      <c r="G16" s="86">
        <f>ROUND(E16*F16,3)</f>
        <v>2852.1779999999999</v>
      </c>
      <c r="H16" s="127">
        <f>$C$61</f>
        <v>1.0182</v>
      </c>
      <c r="I16" s="86">
        <f>ROUND(H16*G16,3)</f>
        <v>2904.0880000000002</v>
      </c>
      <c r="J16" s="86">
        <f>ROUND(I16*$J$11,3)</f>
        <v>2904.0880000000002</v>
      </c>
      <c r="K16" s="86">
        <f>ROUND('Расчет Ф4'!C13*F16*H16*$J$11,3)</f>
        <v>0</v>
      </c>
      <c r="L16" s="86">
        <f>ROUND('Расчет Ф4'!D13*'Расчет Ф7'!F16*'Расчет Ф7'!H16*$J$11,3)</f>
        <v>0</v>
      </c>
      <c r="M16" s="10">
        <f t="shared" ref="M16" si="2">J16-K16-L16</f>
        <v>2904.0880000000002</v>
      </c>
      <c r="N16" s="10">
        <f>O16+C16</f>
        <v>2904.0880000000002</v>
      </c>
      <c r="O16" s="25">
        <f t="shared" ref="O16" si="3">L16+K16+M16</f>
        <v>2904.0880000000002</v>
      </c>
    </row>
    <row r="17" spans="1:18" ht="18.75" x14ac:dyDescent="0.3">
      <c r="A17" s="159" t="s">
        <v>75</v>
      </c>
      <c r="B17" s="76"/>
      <c r="C17" s="76"/>
      <c r="D17" s="76"/>
      <c r="E17" s="76"/>
      <c r="F17" s="76"/>
      <c r="G17" s="76"/>
      <c r="H17" s="76"/>
      <c r="I17" s="76"/>
      <c r="J17" s="76"/>
      <c r="K17" s="77"/>
      <c r="L17" s="77"/>
      <c r="M17" s="77"/>
      <c r="N17" s="77"/>
      <c r="O17" s="77"/>
    </row>
    <row r="18" spans="1:18" s="14" customFormat="1" ht="20.25" customHeight="1" x14ac:dyDescent="0.2">
      <c r="A18" s="228" t="s">
        <v>86</v>
      </c>
      <c r="B18" s="228"/>
      <c r="C18" s="147"/>
      <c r="D18" s="147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8" s="14" customFormat="1" ht="20.25" customHeight="1" x14ac:dyDescent="0.2">
      <c r="A19" s="228" t="s">
        <v>76</v>
      </c>
      <c r="B19" s="228"/>
      <c r="C19" s="147"/>
      <c r="D19" s="147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8" s="195" customFormat="1" ht="20.25" customHeight="1" x14ac:dyDescent="0.2">
      <c r="A20" s="147" t="s">
        <v>89</v>
      </c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</row>
    <row r="21" spans="1:18" s="14" customFormat="1" ht="20.25" customHeight="1" x14ac:dyDescent="0.2">
      <c r="A21" s="147" t="s">
        <v>77</v>
      </c>
      <c r="B21" s="147"/>
      <c r="C21" s="147"/>
      <c r="D21" s="151"/>
      <c r="E21" s="74"/>
      <c r="F21" s="74"/>
      <c r="G21" s="74"/>
      <c r="H21" s="74"/>
      <c r="I21" s="15"/>
      <c r="J21" s="15"/>
      <c r="K21" s="74"/>
      <c r="L21" s="74"/>
      <c r="M21" s="74"/>
      <c r="N21" s="74"/>
      <c r="O21" s="74"/>
    </row>
    <row r="22" spans="1:18" s="14" customFormat="1" ht="20.25" x14ac:dyDescent="0.2">
      <c r="A22" s="74"/>
      <c r="B22" s="74"/>
      <c r="C22" s="74"/>
      <c r="D22" s="74"/>
      <c r="E22" s="74"/>
      <c r="F22" s="74"/>
      <c r="G22" s="74"/>
      <c r="H22" s="74"/>
      <c r="I22" s="15"/>
      <c r="J22" s="15"/>
      <c r="K22" s="74"/>
      <c r="L22" s="74"/>
      <c r="M22" s="74"/>
      <c r="N22" s="74"/>
      <c r="O22" s="74"/>
    </row>
    <row r="23" spans="1:18" s="14" customFormat="1" ht="20.25" customHeight="1" x14ac:dyDescent="0.2">
      <c r="A23" s="256" t="s">
        <v>48</v>
      </c>
      <c r="B23" s="256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</row>
    <row r="24" spans="1:18" s="14" customFormat="1" ht="20.25" x14ac:dyDescent="0.2">
      <c r="A24" s="172">
        <v>45839</v>
      </c>
      <c r="B24" s="173">
        <v>1.0018</v>
      </c>
      <c r="C24" s="168"/>
      <c r="D24" s="169"/>
      <c r="E24" s="169"/>
      <c r="F24" s="169"/>
      <c r="G24" s="169"/>
      <c r="H24" s="169"/>
      <c r="I24" s="15"/>
      <c r="J24" s="15"/>
      <c r="K24" s="169"/>
      <c r="L24" s="169"/>
      <c r="M24" s="169"/>
      <c r="N24" s="169"/>
      <c r="O24" s="169"/>
    </row>
    <row r="25" spans="1:18" s="14" customFormat="1" ht="20.25" x14ac:dyDescent="0.2">
      <c r="A25" s="172">
        <v>45870</v>
      </c>
      <c r="B25" s="173">
        <v>0.99809999999999999</v>
      </c>
      <c r="C25" s="168"/>
      <c r="D25" s="169"/>
      <c r="E25" s="169"/>
      <c r="F25" s="169"/>
      <c r="G25" s="169"/>
      <c r="H25" s="169"/>
      <c r="I25" s="15"/>
      <c r="J25" s="15"/>
      <c r="K25" s="169"/>
      <c r="L25" s="169"/>
      <c r="M25" s="169"/>
      <c r="N25" s="169"/>
      <c r="O25" s="169"/>
    </row>
    <row r="26" spans="1:18" s="14" customFormat="1" ht="20.25" x14ac:dyDescent="0.2">
      <c r="A26" s="172">
        <v>45901</v>
      </c>
      <c r="B26" s="173">
        <v>1.0127999999999999</v>
      </c>
      <c r="C26" s="168"/>
      <c r="D26" s="169"/>
      <c r="E26" s="169"/>
      <c r="F26" s="169"/>
      <c r="G26" s="169"/>
      <c r="H26" s="169"/>
      <c r="I26" s="15"/>
      <c r="J26" s="15"/>
      <c r="K26" s="169"/>
      <c r="L26" s="169"/>
      <c r="M26" s="169"/>
      <c r="N26" s="169"/>
      <c r="O26" s="169"/>
    </row>
    <row r="27" spans="1:18" s="14" customFormat="1" ht="20.25" x14ac:dyDescent="0.2">
      <c r="A27" s="172">
        <v>45931</v>
      </c>
      <c r="B27" s="173">
        <v>1.0018</v>
      </c>
      <c r="C27" s="168"/>
      <c r="D27" s="169"/>
      <c r="E27" s="169"/>
      <c r="F27" s="169"/>
      <c r="G27" s="169"/>
      <c r="H27" s="169"/>
      <c r="I27" s="15"/>
      <c r="J27" s="15"/>
      <c r="K27" s="169"/>
      <c r="L27" s="169"/>
      <c r="M27" s="169"/>
      <c r="N27" s="169"/>
      <c r="O27" s="169"/>
    </row>
    <row r="28" spans="1:18" s="14" customFormat="1" ht="20.25" x14ac:dyDescent="0.2">
      <c r="A28" s="172">
        <v>45962</v>
      </c>
      <c r="B28" s="173">
        <v>1.0066999999999999</v>
      </c>
      <c r="C28" s="168"/>
      <c r="D28" s="169"/>
      <c r="E28" s="169"/>
      <c r="F28" s="169"/>
      <c r="G28" s="169"/>
      <c r="H28" s="169"/>
      <c r="I28" s="15"/>
      <c r="J28" s="15"/>
      <c r="K28" s="169"/>
      <c r="L28" s="169"/>
      <c r="M28" s="169"/>
      <c r="N28" s="169"/>
      <c r="O28" s="169"/>
    </row>
    <row r="29" spans="1:18" s="14" customFormat="1" ht="20.25" x14ac:dyDescent="0.2">
      <c r="A29" s="172">
        <v>45992</v>
      </c>
      <c r="B29" s="173">
        <v>1.0009999999999999</v>
      </c>
      <c r="C29" s="168"/>
      <c r="D29" s="169"/>
      <c r="E29" s="169"/>
      <c r="F29" s="169"/>
      <c r="G29" s="169"/>
      <c r="H29" s="169"/>
      <c r="I29" s="15"/>
      <c r="J29" s="15"/>
      <c r="K29" s="169"/>
      <c r="L29" s="169"/>
      <c r="M29" s="169"/>
      <c r="N29" s="169"/>
      <c r="O29" s="169"/>
    </row>
    <row r="30" spans="1:18" s="14" customFormat="1" ht="20.25" x14ac:dyDescent="0.2">
      <c r="A30" s="172">
        <v>46023</v>
      </c>
      <c r="B30" s="173">
        <v>1.0071000000000001</v>
      </c>
      <c r="C30" s="168"/>
      <c r="D30" s="169"/>
      <c r="E30" s="169"/>
      <c r="F30" s="169"/>
      <c r="G30" s="169"/>
      <c r="H30" s="169"/>
      <c r="I30" s="15"/>
      <c r="J30" s="15"/>
      <c r="K30" s="169"/>
      <c r="L30" s="169"/>
      <c r="M30" s="169"/>
      <c r="N30" s="169"/>
      <c r="O30" s="169"/>
    </row>
    <row r="31" spans="1:18" s="14" customFormat="1" ht="20.25" x14ac:dyDescent="0.2">
      <c r="A31" s="172">
        <v>46054</v>
      </c>
      <c r="B31" s="173">
        <v>1</v>
      </c>
      <c r="C31" s="168"/>
      <c r="D31" s="169"/>
      <c r="E31" s="169"/>
      <c r="F31" s="169"/>
      <c r="G31" s="169"/>
      <c r="H31" s="169"/>
      <c r="I31" s="15"/>
      <c r="J31" s="15"/>
      <c r="K31" s="169"/>
      <c r="L31" s="169"/>
      <c r="M31" s="169"/>
      <c r="N31" s="169"/>
      <c r="O31" s="169"/>
    </row>
    <row r="32" spans="1:18" s="14" customFormat="1" ht="20.25" x14ac:dyDescent="0.2">
      <c r="A32" s="172">
        <v>46082</v>
      </c>
      <c r="B32" s="173">
        <v>1</v>
      </c>
      <c r="C32" s="168"/>
      <c r="D32" s="169"/>
      <c r="E32" s="169"/>
      <c r="F32" s="169"/>
      <c r="G32" s="169"/>
      <c r="H32" s="169"/>
      <c r="I32" s="15"/>
      <c r="J32" s="15"/>
      <c r="K32" s="169"/>
      <c r="L32" s="169"/>
      <c r="M32" s="169"/>
      <c r="N32" s="169"/>
      <c r="O32" s="169"/>
    </row>
    <row r="33" spans="1:15" s="14" customFormat="1" ht="20.25" x14ac:dyDescent="0.2">
      <c r="A33" s="27" t="s">
        <v>15</v>
      </c>
      <c r="B33" s="196">
        <f>ROUND(B24*B25*B26*B27*B28*B29*B30*B31*B32,4)</f>
        <v>1.0296000000000001</v>
      </c>
      <c r="C33" s="85"/>
      <c r="D33" s="74"/>
      <c r="E33" s="74"/>
      <c r="F33" s="74"/>
      <c r="G33" s="74"/>
      <c r="H33" s="74"/>
      <c r="I33" s="15"/>
      <c r="J33" s="15"/>
      <c r="K33" s="74"/>
      <c r="L33" s="74"/>
      <c r="M33" s="74"/>
      <c r="N33" s="74"/>
      <c r="O33" s="74"/>
    </row>
    <row r="34" spans="1:15" s="14" customFormat="1" ht="20.25" x14ac:dyDescent="0.2">
      <c r="A34" s="170"/>
      <c r="B34" s="171"/>
      <c r="C34" s="167"/>
      <c r="D34" s="166"/>
      <c r="E34" s="166"/>
      <c r="F34" s="166"/>
      <c r="G34" s="166"/>
      <c r="H34" s="166"/>
      <c r="I34" s="15"/>
      <c r="J34" s="15"/>
      <c r="K34" s="166"/>
      <c r="L34" s="166"/>
      <c r="M34" s="166"/>
      <c r="N34" s="166"/>
      <c r="O34" s="166"/>
    </row>
    <row r="35" spans="1:15" s="14" customFormat="1" ht="20.25" customHeight="1" x14ac:dyDescent="0.2">
      <c r="A35" s="246" t="s">
        <v>49</v>
      </c>
      <c r="B35" s="246"/>
      <c r="C35" s="246"/>
      <c r="D35" s="246"/>
      <c r="E35" s="246"/>
      <c r="F35" s="190"/>
      <c r="G35" s="190"/>
      <c r="H35" s="190"/>
      <c r="I35" s="190"/>
      <c r="J35" s="190"/>
      <c r="K35" s="190"/>
      <c r="L35" s="190"/>
      <c r="M35" s="190"/>
      <c r="N35" s="190"/>
      <c r="O35" s="190"/>
    </row>
    <row r="36" spans="1:15" s="14" customFormat="1" ht="20.25" x14ac:dyDescent="0.2">
      <c r="A36" s="85"/>
      <c r="B36" s="85"/>
      <c r="C36" s="85"/>
      <c r="D36" s="85"/>
      <c r="E36" s="85"/>
      <c r="F36" s="85"/>
      <c r="G36" s="85"/>
      <c r="H36" s="85"/>
      <c r="I36" s="85"/>
      <c r="J36" s="138"/>
      <c r="K36" s="85"/>
      <c r="L36" s="85"/>
      <c r="M36" s="85"/>
      <c r="N36" s="85"/>
      <c r="O36" s="85"/>
    </row>
    <row r="37" spans="1:15" s="195" customFormat="1" ht="20.25" customHeight="1" x14ac:dyDescent="0.2">
      <c r="A37" s="260" t="s">
        <v>91</v>
      </c>
      <c r="B37" s="260"/>
      <c r="C37" s="260"/>
      <c r="D37" s="260"/>
      <c r="E37" s="260"/>
      <c r="F37" s="197">
        <f>7/7</f>
        <v>1</v>
      </c>
      <c r="G37" s="198"/>
      <c r="H37" s="198"/>
      <c r="I37" s="198"/>
      <c r="J37" s="198"/>
      <c r="K37" s="198"/>
      <c r="L37" s="198"/>
      <c r="M37" s="197"/>
    </row>
    <row r="38" spans="1:15" s="176" customFormat="1" ht="20.25" hidden="1" customHeight="1" x14ac:dyDescent="0.2">
      <c r="A38" s="258" t="s">
        <v>78</v>
      </c>
      <c r="B38" s="258"/>
      <c r="C38" s="258"/>
      <c r="D38" s="258"/>
      <c r="E38" s="258"/>
      <c r="F38" s="188">
        <f>0/7</f>
        <v>0</v>
      </c>
      <c r="G38" s="175"/>
      <c r="H38" s="175"/>
      <c r="I38" s="175"/>
      <c r="J38" s="175"/>
      <c r="K38" s="175"/>
      <c r="L38" s="175"/>
      <c r="M38" s="174"/>
    </row>
    <row r="39" spans="1:15" s="176" customFormat="1" ht="20.25" hidden="1" customHeight="1" x14ac:dyDescent="0.2">
      <c r="A39" s="258" t="s">
        <v>79</v>
      </c>
      <c r="B39" s="258"/>
      <c r="C39" s="258"/>
      <c r="D39" s="258"/>
      <c r="E39" s="258"/>
      <c r="F39" s="188">
        <f>0/7</f>
        <v>0</v>
      </c>
      <c r="G39" s="175"/>
      <c r="H39" s="175"/>
      <c r="I39" s="175"/>
      <c r="J39" s="175"/>
      <c r="K39" s="175"/>
      <c r="L39" s="175"/>
      <c r="M39" s="174"/>
    </row>
    <row r="40" spans="1:15" s="195" customFormat="1" ht="20.25" customHeight="1" x14ac:dyDescent="0.2">
      <c r="A40" s="260" t="s">
        <v>92</v>
      </c>
      <c r="B40" s="260"/>
      <c r="C40" s="260"/>
      <c r="D40" s="260"/>
      <c r="E40" s="260"/>
      <c r="F40" s="197">
        <f>7/7</f>
        <v>1</v>
      </c>
      <c r="G40" s="198"/>
      <c r="H40" s="198"/>
      <c r="I40" s="198"/>
      <c r="J40" s="198"/>
      <c r="K40" s="198"/>
      <c r="L40" s="198"/>
      <c r="M40" s="197"/>
    </row>
    <row r="41" spans="1:15" s="176" customFormat="1" ht="20.25" hidden="1" customHeight="1" x14ac:dyDescent="0.2">
      <c r="A41" s="259" t="s">
        <v>81</v>
      </c>
      <c r="B41" s="259"/>
      <c r="C41" s="259"/>
      <c r="D41" s="259"/>
      <c r="E41" s="259"/>
      <c r="F41" s="174">
        <f>0/7</f>
        <v>0</v>
      </c>
      <c r="G41" s="175"/>
      <c r="H41" s="175"/>
      <c r="I41" s="175"/>
      <c r="J41" s="175"/>
      <c r="K41" s="175"/>
      <c r="L41" s="175"/>
      <c r="M41" s="174"/>
    </row>
    <row r="42" spans="1:15" s="176" customFormat="1" ht="20.25" hidden="1" customHeight="1" x14ac:dyDescent="0.2">
      <c r="A42" s="259" t="s">
        <v>80</v>
      </c>
      <c r="B42" s="259"/>
      <c r="C42" s="259"/>
      <c r="D42" s="259"/>
      <c r="E42" s="259"/>
      <c r="F42" s="174">
        <f>0/7</f>
        <v>0</v>
      </c>
      <c r="G42" s="175"/>
      <c r="H42" s="175"/>
      <c r="I42" s="175"/>
      <c r="J42" s="175"/>
      <c r="K42" s="175"/>
      <c r="L42" s="175"/>
      <c r="M42" s="174"/>
    </row>
    <row r="43" spans="1:15" s="14" customFormat="1" ht="20.25" x14ac:dyDescent="0.2">
      <c r="A43" s="255"/>
      <c r="B43" s="255"/>
      <c r="C43" s="255"/>
      <c r="D43" s="255"/>
      <c r="E43" s="255"/>
      <c r="F43" s="85"/>
      <c r="G43" s="16"/>
      <c r="H43" s="85"/>
      <c r="I43" s="85"/>
      <c r="J43" s="138"/>
      <c r="K43" s="85"/>
      <c r="L43" s="85"/>
      <c r="M43" s="85"/>
      <c r="N43" s="85"/>
      <c r="O43" s="148"/>
    </row>
    <row r="44" spans="1:15" s="14" customFormat="1" ht="20.25" x14ac:dyDescent="0.2">
      <c r="A44" s="246" t="s">
        <v>50</v>
      </c>
      <c r="B44" s="246"/>
      <c r="C44" s="246"/>
      <c r="D44" s="246"/>
      <c r="E44" s="246"/>
      <c r="F44" s="246"/>
      <c r="G44" s="246"/>
      <c r="H44" s="246"/>
      <c r="I44" s="246"/>
      <c r="J44" s="246"/>
      <c r="K44" s="246"/>
      <c r="L44" s="246"/>
      <c r="M44" s="246"/>
      <c r="N44" s="246"/>
      <c r="O44" s="246"/>
    </row>
    <row r="45" spans="1:15" s="14" customFormat="1" ht="20.25" x14ac:dyDescent="0.2">
      <c r="A45" s="153"/>
      <c r="B45" s="153"/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</row>
    <row r="46" spans="1:15" s="14" customFormat="1" ht="20.25" x14ac:dyDescent="0.2">
      <c r="A46" s="253" t="s">
        <v>51</v>
      </c>
      <c r="B46" s="253"/>
      <c r="C46" s="253"/>
      <c r="D46" s="253"/>
      <c r="E46" s="253"/>
      <c r="F46" s="162">
        <v>1.0549999999999999</v>
      </c>
      <c r="G46" s="128"/>
      <c r="H46" s="74"/>
      <c r="I46" s="15"/>
      <c r="J46" s="15"/>
      <c r="K46" s="26"/>
      <c r="L46" s="74"/>
      <c r="M46" s="74"/>
      <c r="N46" s="74"/>
      <c r="O46" s="74"/>
    </row>
    <row r="47" spans="1:15" s="176" customFormat="1" ht="20.25" hidden="1" x14ac:dyDescent="0.2">
      <c r="A47" s="254" t="s">
        <v>52</v>
      </c>
      <c r="B47" s="254"/>
      <c r="C47" s="254"/>
      <c r="D47" s="254"/>
      <c r="E47" s="254"/>
      <c r="F47" s="180">
        <v>1.0409999999999999</v>
      </c>
      <c r="G47" s="186"/>
      <c r="H47" s="180"/>
      <c r="I47" s="187"/>
      <c r="J47" s="187"/>
      <c r="K47" s="175"/>
      <c r="L47" s="180"/>
      <c r="M47" s="180"/>
      <c r="N47" s="180"/>
      <c r="O47" s="180"/>
    </row>
    <row r="48" spans="1:15" s="176" customFormat="1" ht="20.25" hidden="1" x14ac:dyDescent="0.2">
      <c r="A48" s="254" t="s">
        <v>82</v>
      </c>
      <c r="B48" s="254"/>
      <c r="C48" s="254"/>
      <c r="D48" s="254"/>
      <c r="E48" s="254"/>
      <c r="F48" s="180">
        <v>1.0409999999999999</v>
      </c>
      <c r="G48" s="186"/>
      <c r="H48" s="180"/>
      <c r="I48" s="187"/>
      <c r="J48" s="187"/>
      <c r="K48" s="175"/>
      <c r="L48" s="180"/>
      <c r="M48" s="180"/>
      <c r="N48" s="180"/>
      <c r="O48" s="180"/>
    </row>
    <row r="49" spans="1:19" s="14" customFormat="1" ht="20.25" x14ac:dyDescent="0.2">
      <c r="A49" s="85"/>
      <c r="B49" s="74"/>
      <c r="C49" s="85"/>
      <c r="D49" s="74"/>
      <c r="E49" s="74"/>
      <c r="F49" s="74"/>
      <c r="G49" s="74"/>
      <c r="N49" s="74"/>
      <c r="O49" s="74"/>
    </row>
    <row r="50" spans="1:19" s="14" customFormat="1" ht="27.75" customHeight="1" x14ac:dyDescent="0.2">
      <c r="A50" s="155" t="s">
        <v>54</v>
      </c>
      <c r="B50" s="156" t="s">
        <v>53</v>
      </c>
      <c r="C50" s="157">
        <f>F46^(1/12)</f>
        <v>1.004471698917043</v>
      </c>
      <c r="D50" s="152"/>
      <c r="E50" s="152"/>
      <c r="F50" s="152"/>
      <c r="G50" s="152"/>
      <c r="N50" s="152"/>
      <c r="O50" s="152"/>
    </row>
    <row r="51" spans="1:19" s="176" customFormat="1" ht="27.75" hidden="1" customHeight="1" x14ac:dyDescent="0.2">
      <c r="A51" s="183" t="s">
        <v>83</v>
      </c>
      <c r="B51" s="184" t="s">
        <v>53</v>
      </c>
      <c r="C51" s="185">
        <f>F47^(1/12)</f>
        <v>1.0033540948994528</v>
      </c>
      <c r="D51" s="180"/>
      <c r="E51" s="180"/>
      <c r="F51" s="180"/>
      <c r="G51" s="180"/>
      <c r="N51" s="180"/>
      <c r="O51" s="180"/>
    </row>
    <row r="52" spans="1:19" s="176" customFormat="1" ht="27" hidden="1" customHeight="1" x14ac:dyDescent="0.2">
      <c r="A52" s="183" t="s">
        <v>84</v>
      </c>
      <c r="B52" s="184" t="s">
        <v>53</v>
      </c>
      <c r="C52" s="185">
        <f>F48^(1/12)</f>
        <v>1.0033540948994528</v>
      </c>
      <c r="D52" s="180"/>
      <c r="E52" s="180"/>
      <c r="F52" s="180"/>
      <c r="G52" s="180"/>
      <c r="N52" s="180"/>
      <c r="O52" s="180"/>
    </row>
    <row r="53" spans="1:19" s="14" customFormat="1" ht="20.25" x14ac:dyDescent="0.2">
      <c r="A53" s="154"/>
      <c r="B53" s="152"/>
      <c r="C53" s="154"/>
      <c r="D53" s="152"/>
      <c r="E53" s="152"/>
      <c r="F53" s="152"/>
      <c r="G53" s="152"/>
      <c r="N53" s="152"/>
      <c r="O53" s="152"/>
    </row>
    <row r="54" spans="1:19" s="14" customFormat="1" ht="20.25" x14ac:dyDescent="0.2">
      <c r="A54" s="246" t="s">
        <v>55</v>
      </c>
      <c r="B54" s="246"/>
      <c r="C54" s="246"/>
      <c r="D54" s="246"/>
      <c r="E54" s="246"/>
      <c r="F54" s="246"/>
      <c r="G54" s="246"/>
      <c r="H54" s="246"/>
      <c r="I54" s="246"/>
      <c r="J54" s="246"/>
      <c r="K54" s="246"/>
      <c r="L54" s="246"/>
      <c r="M54" s="246"/>
      <c r="N54" s="246"/>
      <c r="O54" s="246"/>
    </row>
    <row r="55" spans="1:19" s="14" customFormat="1" ht="20.25" x14ac:dyDescent="0.2">
      <c r="A55" s="154"/>
      <c r="B55" s="152"/>
      <c r="C55" s="154"/>
      <c r="D55" s="152"/>
      <c r="E55" s="152"/>
      <c r="F55" s="152"/>
      <c r="G55" s="152"/>
      <c r="N55" s="152"/>
      <c r="O55" s="152"/>
    </row>
    <row r="56" spans="1:19" s="195" customFormat="1" ht="47.25" customHeight="1" x14ac:dyDescent="0.2">
      <c r="A56" s="199" t="s">
        <v>61</v>
      </c>
      <c r="B56" s="200"/>
      <c r="D56" s="201">
        <f>S56</f>
        <v>1.0182</v>
      </c>
      <c r="E56" s="191"/>
      <c r="H56" s="191"/>
      <c r="I56" s="202"/>
      <c r="J56" s="202"/>
      <c r="K56" s="191"/>
      <c r="L56" s="191"/>
      <c r="M56" s="191"/>
      <c r="N56" s="191"/>
      <c r="O56" s="203"/>
      <c r="P56" s="204">
        <f>POWER(F46,1/12)</f>
        <v>1.004471698917043</v>
      </c>
      <c r="Q56" s="204">
        <f>POWER(C50,(11-3))</f>
        <v>1.0363385173034481</v>
      </c>
      <c r="R56" s="204">
        <f>((Q56-1)/2)+1</f>
        <v>1.0181692586517239</v>
      </c>
      <c r="S56" s="204">
        <f>ROUND(R56,4)</f>
        <v>1.0182</v>
      </c>
    </row>
    <row r="57" spans="1:19" s="176" customFormat="1" ht="40.5" hidden="1" customHeight="1" x14ac:dyDescent="0.2">
      <c r="A57" s="245" t="s">
        <v>87</v>
      </c>
      <c r="B57" s="245"/>
      <c r="C57" s="245"/>
      <c r="D57" s="179">
        <f>R57</f>
        <v>1.0398000000000001</v>
      </c>
      <c r="E57" s="180"/>
      <c r="F57" s="181"/>
      <c r="O57" s="182"/>
      <c r="P57" s="163">
        <f>POWER(F47,1/12)</f>
        <v>1.0033540948994528</v>
      </c>
      <c r="Q57" s="163">
        <f>POWER(P57,(12-11))</f>
        <v>1.0033540948994528</v>
      </c>
      <c r="R57" s="163">
        <f>ROUND(Q56*(C51+Q57)/2,4)</f>
        <v>1.0398000000000001</v>
      </c>
      <c r="S57" s="164"/>
    </row>
    <row r="58" spans="1:19" s="176" customFormat="1" ht="27" hidden="1" customHeight="1" x14ac:dyDescent="0.2">
      <c r="A58" s="245" t="s">
        <v>88</v>
      </c>
      <c r="B58" s="245"/>
      <c r="C58" s="245"/>
      <c r="D58" s="179">
        <f>R58</f>
        <v>1.0432999999999999</v>
      </c>
      <c r="E58" s="180"/>
      <c r="F58" s="181"/>
      <c r="O58" s="182"/>
      <c r="P58" s="163">
        <f>POWER(F48,1/12)</f>
        <v>1.0033540948994528</v>
      </c>
      <c r="Q58" s="163">
        <f>POWER(P58,(12-11))</f>
        <v>1.0033540948994528</v>
      </c>
      <c r="R58" s="163">
        <f>ROUND(Q56*Q57*(C52+C52)/2,4)</f>
        <v>1.0432999999999999</v>
      </c>
      <c r="S58" s="164"/>
    </row>
    <row r="59" spans="1:19" s="14" customFormat="1" ht="20.25" customHeight="1" x14ac:dyDescent="0.2">
      <c r="A59" s="85"/>
      <c r="B59" s="85"/>
      <c r="C59" s="85"/>
      <c r="D59" s="74"/>
      <c r="E59" s="74"/>
      <c r="F59" s="74"/>
      <c r="G59" s="17"/>
      <c r="H59" s="74"/>
      <c r="I59" s="15"/>
      <c r="J59" s="15"/>
      <c r="K59" s="16"/>
      <c r="L59" s="74"/>
      <c r="M59" s="74"/>
      <c r="N59" s="11"/>
      <c r="O59" s="11"/>
    </row>
    <row r="60" spans="1:19" s="14" customFormat="1" ht="20.25" customHeight="1" x14ac:dyDescent="0.3">
      <c r="A60" s="158" t="s">
        <v>57</v>
      </c>
      <c r="B60" s="178" t="s">
        <v>93</v>
      </c>
      <c r="C60" s="129">
        <f>ROUND((F37*D56),4)</f>
        <v>1.0182</v>
      </c>
      <c r="D60" s="177"/>
      <c r="E60" s="177"/>
    </row>
    <row r="61" spans="1:19" s="14" customFormat="1" ht="20.25" customHeight="1" x14ac:dyDescent="0.3">
      <c r="A61" s="12" t="s">
        <v>56</v>
      </c>
      <c r="B61" s="178" t="s">
        <v>93</v>
      </c>
      <c r="C61" s="129">
        <f>ROUND((F40*D56),4)</f>
        <v>1.0182</v>
      </c>
      <c r="D61" s="177"/>
      <c r="E61" s="177"/>
      <c r="I61" s="15"/>
      <c r="J61" s="15"/>
      <c r="K61" s="74"/>
      <c r="L61" s="74"/>
      <c r="M61" s="74"/>
      <c r="N61" s="74"/>
      <c r="O61" s="74"/>
    </row>
    <row r="62" spans="1:19" s="14" customFormat="1" ht="20.25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</row>
    <row r="63" spans="1:19" s="14" customFormat="1" ht="20.25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</row>
    <row r="64" spans="1:19" s="14" customFormat="1" ht="20.25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</row>
    <row r="65" spans="1:15" s="14" customFormat="1" ht="26.25" x14ac:dyDescent="0.4">
      <c r="A65" s="222" t="s">
        <v>100</v>
      </c>
      <c r="B65" s="222"/>
      <c r="C65" s="222"/>
      <c r="D65" s="222"/>
      <c r="E65" s="137"/>
      <c r="F65" s="136"/>
      <c r="G65" s="136"/>
      <c r="H65" s="137"/>
      <c r="I65" s="224" t="s">
        <v>101</v>
      </c>
      <c r="J65" s="224"/>
      <c r="K65" s="224"/>
      <c r="L65" s="224"/>
      <c r="M65" s="224"/>
      <c r="N65" s="224"/>
      <c r="O65" s="12"/>
    </row>
    <row r="66" spans="1:15" ht="15" x14ac:dyDescent="0.25">
      <c r="A66" s="223" t="s">
        <v>98</v>
      </c>
      <c r="B66" s="223"/>
      <c r="C66" s="223"/>
      <c r="D66" s="223"/>
      <c r="E66" s="18"/>
      <c r="F66" s="223" t="s">
        <v>99</v>
      </c>
      <c r="G66" s="223"/>
      <c r="H66" s="18"/>
      <c r="I66" s="225" t="s">
        <v>96</v>
      </c>
      <c r="J66" s="225"/>
      <c r="K66" s="225"/>
      <c r="L66" s="225"/>
      <c r="M66" s="225"/>
      <c r="N66" s="225"/>
      <c r="O66"/>
    </row>
    <row r="67" spans="1:15" s="14" customFormat="1" ht="15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</row>
    <row r="68" spans="1:15" s="14" customFormat="1" ht="15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</row>
    <row r="69" spans="1:15" s="14" customFormat="1" ht="15" x14ac:dyDescent="0.2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</row>
    <row r="70" spans="1:15" s="14" customFormat="1" ht="15" x14ac:dyDescent="0.2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</row>
    <row r="71" spans="1:15" s="14" customFormat="1" ht="15" x14ac:dyDescent="0.2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</row>
    <row r="72" spans="1:15" s="14" customFormat="1" ht="15" x14ac:dyDescent="0.2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</row>
    <row r="73" spans="1:15" s="14" customFormat="1" ht="15" x14ac:dyDescent="0.2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</row>
    <row r="74" spans="1:15" s="14" customFormat="1" ht="15" x14ac:dyDescent="0.2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</row>
    <row r="75" spans="1:15" s="14" customFormat="1" ht="15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</row>
    <row r="76" spans="1:15" s="14" customFormat="1" ht="15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</row>
    <row r="77" spans="1:15" s="14" customFormat="1" ht="15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</row>
    <row r="78" spans="1:15" s="14" customFormat="1" ht="15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</row>
    <row r="79" spans="1:15" s="14" customFormat="1" ht="15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</row>
    <row r="80" spans="1:15" s="14" customFormat="1" ht="15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</row>
    <row r="81" spans="1:15" s="14" customFormat="1" ht="15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</row>
    <row r="82" spans="1:15" s="14" customFormat="1" ht="15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</row>
    <row r="83" spans="1:15" s="14" customFormat="1" ht="15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</row>
    <row r="84" spans="1:15" s="14" customFormat="1" ht="15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</row>
    <row r="85" spans="1:15" s="14" customFormat="1" ht="15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</row>
    <row r="86" spans="1:15" s="14" customFormat="1" ht="15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</row>
    <row r="87" spans="1:15" s="14" customFormat="1" ht="15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</row>
    <row r="88" spans="1:15" s="14" customFormat="1" ht="15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</row>
    <row r="89" spans="1:15" s="14" customFormat="1" ht="15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</row>
    <row r="90" spans="1:15" s="14" customFormat="1" ht="15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</row>
    <row r="91" spans="1:15" s="14" customFormat="1" ht="15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</row>
    <row r="92" spans="1:15" s="14" customFormat="1" ht="15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</row>
    <row r="93" spans="1:15" s="14" customFormat="1" ht="15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</row>
    <row r="94" spans="1:15" s="14" customFormat="1" ht="15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</row>
    <row r="95" spans="1:15" s="14" customFormat="1" ht="15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</row>
    <row r="96" spans="1:15" s="14" customFormat="1" ht="15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</row>
    <row r="97" spans="1:15" s="14" customFormat="1" ht="15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</row>
    <row r="98" spans="1:15" s="14" customFormat="1" ht="15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</row>
    <row r="99" spans="1:15" s="14" customFormat="1" ht="15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</row>
    <row r="100" spans="1:15" s="14" customFormat="1" ht="15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</row>
    <row r="101" spans="1:15" s="14" customFormat="1" ht="15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</row>
    <row r="102" spans="1:15" s="14" customFormat="1" ht="15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</row>
    <row r="103" spans="1:15" s="14" customFormat="1" ht="15.75" x14ac:dyDescent="0.25">
      <c r="A103" s="69" t="s">
        <v>60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</row>
    <row r="104" spans="1:15" ht="20.25" x14ac:dyDescent="0.2">
      <c r="B104" s="128"/>
      <c r="C104" s="128"/>
      <c r="D104" s="128"/>
      <c r="E104" s="128"/>
      <c r="F104" s="128"/>
      <c r="G104" s="128"/>
      <c r="H104" s="128"/>
    </row>
    <row r="105" spans="1:15" ht="20.25" x14ac:dyDescent="0.2">
      <c r="B105" s="128"/>
      <c r="C105" s="128"/>
      <c r="D105" s="128"/>
      <c r="E105" s="128"/>
      <c r="F105" s="128"/>
      <c r="G105" s="128"/>
      <c r="H105" s="128"/>
    </row>
    <row r="106" spans="1:15" ht="20.25" x14ac:dyDescent="0.2">
      <c r="B106" s="128"/>
      <c r="C106" s="128"/>
      <c r="D106" s="128"/>
      <c r="E106" s="128"/>
      <c r="F106" s="128"/>
      <c r="G106" s="128"/>
      <c r="H106" s="128"/>
    </row>
    <row r="107" spans="1:15" ht="20.25" x14ac:dyDescent="0.2">
      <c r="B107" s="128"/>
      <c r="C107" s="128"/>
      <c r="D107" s="128"/>
      <c r="E107" s="128"/>
      <c r="F107" s="128"/>
      <c r="G107" s="128"/>
      <c r="H107" s="128"/>
    </row>
    <row r="108" spans="1:15" ht="20.25" x14ac:dyDescent="0.2">
      <c r="B108" s="128"/>
      <c r="C108" s="128"/>
      <c r="D108" s="128"/>
      <c r="E108" s="128"/>
      <c r="F108" s="128"/>
      <c r="G108" s="128"/>
      <c r="H108" s="128"/>
    </row>
    <row r="109" spans="1:15" ht="20.25" x14ac:dyDescent="0.3">
      <c r="B109" s="128"/>
      <c r="C109" s="71"/>
      <c r="D109" s="71"/>
      <c r="E109" s="128"/>
      <c r="F109" s="128"/>
      <c r="G109" s="128"/>
      <c r="H109" s="128"/>
    </row>
    <row r="110" spans="1:15" ht="20.25" x14ac:dyDescent="0.2">
      <c r="B110" s="128"/>
      <c r="C110" s="128"/>
      <c r="D110" s="128"/>
      <c r="E110" s="128"/>
      <c r="F110" s="128"/>
      <c r="G110" s="128"/>
      <c r="H110" s="128"/>
    </row>
    <row r="111" spans="1:15" ht="20.25" x14ac:dyDescent="0.2">
      <c r="B111" s="128"/>
      <c r="C111" s="128"/>
      <c r="D111" s="128"/>
      <c r="E111" s="128"/>
      <c r="F111" s="128"/>
      <c r="G111" s="128"/>
      <c r="H111" s="128"/>
    </row>
    <row r="112" spans="1:15" ht="20.25" x14ac:dyDescent="0.2">
      <c r="B112" s="128"/>
      <c r="C112" s="128"/>
      <c r="D112" s="128"/>
      <c r="E112" s="128"/>
      <c r="F112" s="128"/>
      <c r="G112" s="128"/>
      <c r="H112" s="128"/>
    </row>
    <row r="113" spans="2:8" ht="20.25" x14ac:dyDescent="0.2">
      <c r="B113" s="128"/>
      <c r="C113" s="128"/>
      <c r="D113" s="128"/>
      <c r="E113" s="128"/>
      <c r="F113" s="128"/>
      <c r="G113" s="128"/>
      <c r="H113" s="128"/>
    </row>
    <row r="114" spans="2:8" ht="20.25" x14ac:dyDescent="0.2">
      <c r="B114" s="128"/>
      <c r="C114" s="128"/>
      <c r="D114" s="128"/>
      <c r="E114" s="128"/>
      <c r="F114" s="128"/>
      <c r="G114" s="128"/>
      <c r="H114" s="128"/>
    </row>
    <row r="115" spans="2:8" ht="20.25" x14ac:dyDescent="0.2">
      <c r="B115" s="128"/>
      <c r="C115" s="128"/>
      <c r="D115" s="128"/>
      <c r="E115" s="128"/>
      <c r="F115" s="128"/>
      <c r="G115" s="128"/>
      <c r="H115" s="128"/>
    </row>
    <row r="116" spans="2:8" ht="20.25" x14ac:dyDescent="0.2">
      <c r="B116" s="128"/>
      <c r="C116" s="128"/>
      <c r="D116" s="128"/>
      <c r="E116" s="128"/>
      <c r="F116" s="128"/>
      <c r="G116" s="128"/>
      <c r="H116" s="128"/>
    </row>
    <row r="117" spans="2:8" ht="20.25" x14ac:dyDescent="0.2">
      <c r="B117" s="128"/>
      <c r="C117" s="128"/>
      <c r="D117" s="128"/>
      <c r="E117" s="128"/>
      <c r="F117" s="128"/>
      <c r="G117" s="128"/>
      <c r="H117" s="128"/>
    </row>
  </sheetData>
  <mergeCells count="46">
    <mergeCell ref="A43:E43"/>
    <mergeCell ref="A23:B23"/>
    <mergeCell ref="A35:E35"/>
    <mergeCell ref="D9:D11"/>
    <mergeCell ref="E9:E11"/>
    <mergeCell ref="A39:E39"/>
    <mergeCell ref="A42:E42"/>
    <mergeCell ref="A37:E37"/>
    <mergeCell ref="A38:E38"/>
    <mergeCell ref="A40:E40"/>
    <mergeCell ref="A41:E41"/>
    <mergeCell ref="A57:C57"/>
    <mergeCell ref="A58:C58"/>
    <mergeCell ref="A54:O54"/>
    <mergeCell ref="F9:F11"/>
    <mergeCell ref="G9:G11"/>
    <mergeCell ref="H9:H11"/>
    <mergeCell ref="I9:I11"/>
    <mergeCell ref="N9:N11"/>
    <mergeCell ref="K9:M9"/>
    <mergeCell ref="M10:M11"/>
    <mergeCell ref="J9:J10"/>
    <mergeCell ref="A46:E46"/>
    <mergeCell ref="A48:E48"/>
    <mergeCell ref="A47:E47"/>
    <mergeCell ref="A18:B18"/>
    <mergeCell ref="A44:O44"/>
    <mergeCell ref="B6:O6"/>
    <mergeCell ref="I1:O1"/>
    <mergeCell ref="A19:B19"/>
    <mergeCell ref="B7:O7"/>
    <mergeCell ref="K2:L2"/>
    <mergeCell ref="A3:O3"/>
    <mergeCell ref="A4:O4"/>
    <mergeCell ref="A5:L5"/>
    <mergeCell ref="O9:O11"/>
    <mergeCell ref="K10:K11"/>
    <mergeCell ref="L10:L11"/>
    <mergeCell ref="A9:A11"/>
    <mergeCell ref="B9:B11"/>
    <mergeCell ref="C9:C11"/>
    <mergeCell ref="A65:D65"/>
    <mergeCell ref="A66:D66"/>
    <mergeCell ref="F66:G66"/>
    <mergeCell ref="I65:N65"/>
    <mergeCell ref="I66:N66"/>
  </mergeCells>
  <printOptions horizontalCentered="1"/>
  <pageMargins left="0" right="0" top="0" bottom="0" header="0.31496062992125984" footer="0.31496062992125984"/>
  <pageSetup paperSize="9" scale="42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Расчет Ф4</vt:lpstr>
      <vt:lpstr>Расчет Ф7</vt:lpstr>
      <vt:lpstr>'Расчет Ф4'!Область_печати</vt:lpstr>
      <vt:lpstr>'Расчет Ф7'!Область_печати</vt:lpstr>
    </vt:vector>
  </TitlesOfParts>
  <Company>ГУ "Дагестанавтодор"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Гаджимирзаев Зиябутдин</dc:creator>
  <cp:lastModifiedBy>Антон Толочко</cp:lastModifiedBy>
  <cp:lastPrinted>2026-04-09T06:39:09Z</cp:lastPrinted>
  <dcterms:created xsi:type="dcterms:W3CDTF">2006-01-12T06:57:39Z</dcterms:created>
  <dcterms:modified xsi:type="dcterms:W3CDTF">2026-04-09T16:31:17Z</dcterms:modified>
</cp:coreProperties>
</file>