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.mgutu.loc\общие документы\Отдел контрактной службы\ЗАКУПКИ 2026\223-ФЗ Ед. поставщик\Москва\Берёзка\Ремонт 1 этажа фасада, ул. Народного Ополчения\"/>
    </mc:Choice>
  </mc:AlternateContent>
  <bookViews>
    <workbookView xWindow="0" yWindow="0" windowWidth="14280" windowHeight="9750"/>
  </bookViews>
  <sheets>
    <sheet name="Смета по ФСНБ 421+557прРИМ" sheetId="7" r:id="rId1"/>
    <sheet name="Дефектная ведомость" sheetId="8" r:id="rId2"/>
    <sheet name="Source" sheetId="1" r:id="rId3"/>
    <sheet name="SourceObSm" sheetId="2" r:id="rId4"/>
    <sheet name="SmtRes" sheetId="3" r:id="rId5"/>
    <sheet name="EtalonRes" sheetId="4" r:id="rId6"/>
    <sheet name="SrcPoprs" sheetId="5" r:id="rId7"/>
    <sheet name="SrcKA" sheetId="6" r:id="rId8"/>
  </sheets>
  <definedNames>
    <definedName name="_xlnm.Print_Titles" localSheetId="1">'Дефектная ведомость'!$18:$18</definedName>
    <definedName name="_xlnm.Print_Titles" localSheetId="0">'Смета по ФСНБ 421+557прРИМ'!$59:$59</definedName>
    <definedName name="_xlnm.Print_Area" localSheetId="1">'Дефектная ведомость'!$A$1:$E$33</definedName>
    <definedName name="_xlnm.Print_Area" localSheetId="0">'Смета по ФСНБ 421+557прРИМ'!$A$1:$L$337</definedName>
  </definedNames>
  <calcPr calcId="162913" iterate="1"/>
</workbook>
</file>

<file path=xl/calcChain.xml><?xml version="1.0" encoding="utf-8"?>
<calcChain xmlns="http://schemas.openxmlformats.org/spreadsheetml/2006/main">
  <c r="D28" i="8" l="1"/>
  <c r="C28" i="8"/>
  <c r="B28" i="8"/>
  <c r="D27" i="8"/>
  <c r="C27" i="8"/>
  <c r="B27" i="8"/>
  <c r="C26" i="8"/>
  <c r="B26" i="8"/>
  <c r="C25" i="8"/>
  <c r="B25" i="8"/>
  <c r="C24" i="8"/>
  <c r="B24" i="8"/>
  <c r="C23" i="8"/>
  <c r="B23" i="8"/>
  <c r="C22" i="8"/>
  <c r="B22" i="8"/>
  <c r="C21" i="8"/>
  <c r="B21" i="8"/>
  <c r="A20" i="8"/>
  <c r="A19" i="8"/>
  <c r="A12" i="8"/>
  <c r="A11" i="8"/>
  <c r="A1" i="8"/>
  <c r="H335" i="7"/>
  <c r="H332" i="7"/>
  <c r="C335" i="7"/>
  <c r="C332" i="7"/>
  <c r="L327" i="7"/>
  <c r="C327" i="7"/>
  <c r="L323" i="7"/>
  <c r="L322" i="7"/>
  <c r="L316" i="7"/>
  <c r="L319" i="7"/>
  <c r="L318" i="7"/>
  <c r="L311" i="7"/>
  <c r="L307" i="7"/>
  <c r="L295" i="7"/>
  <c r="L294" i="7"/>
  <c r="L293" i="7"/>
  <c r="L292" i="7"/>
  <c r="L291" i="7"/>
  <c r="L290" i="7"/>
  <c r="L288" i="7" s="1"/>
  <c r="L287" i="7"/>
  <c r="L286" i="7"/>
  <c r="L284" i="7"/>
  <c r="L281" i="7"/>
  <c r="L276" i="7"/>
  <c r="L275" i="7"/>
  <c r="L274" i="7"/>
  <c r="L269" i="7"/>
  <c r="L268" i="7"/>
  <c r="L266" i="7" s="1"/>
  <c r="L264" i="7"/>
  <c r="L263" i="7"/>
  <c r="L262" i="7"/>
  <c r="L261" i="7"/>
  <c r="L260" i="7"/>
  <c r="L259" i="7"/>
  <c r="L256" i="7"/>
  <c r="L255" i="7"/>
  <c r="L253" i="7"/>
  <c r="L251" i="7" s="1"/>
  <c r="L250" i="7"/>
  <c r="L240" i="7"/>
  <c r="L236" i="7"/>
  <c r="L219" i="7"/>
  <c r="L218" i="7"/>
  <c r="L215" i="7"/>
  <c r="L214" i="7"/>
  <c r="L212" i="7"/>
  <c r="L211" i="7"/>
  <c r="L209" i="7" s="1"/>
  <c r="L204" i="7"/>
  <c r="L200" i="7"/>
  <c r="AU190" i="7"/>
  <c r="AS190" i="7"/>
  <c r="AP190" i="7"/>
  <c r="AE190" i="7"/>
  <c r="AD190" i="7"/>
  <c r="J189" i="7"/>
  <c r="E189" i="7"/>
  <c r="G189" i="7"/>
  <c r="D189" i="7"/>
  <c r="C189" i="7"/>
  <c r="AU188" i="7"/>
  <c r="AS188" i="7"/>
  <c r="AP188" i="7"/>
  <c r="AE188" i="7"/>
  <c r="AD188" i="7"/>
  <c r="J187" i="7"/>
  <c r="E187" i="7"/>
  <c r="G187" i="7"/>
  <c r="D187" i="7"/>
  <c r="C187" i="7"/>
  <c r="G185" i="7"/>
  <c r="E185" i="7"/>
  <c r="G184" i="7"/>
  <c r="E184" i="7"/>
  <c r="I182" i="7"/>
  <c r="H182" i="7"/>
  <c r="J182" i="7" s="1"/>
  <c r="E182" i="7"/>
  <c r="D182" i="7"/>
  <c r="C182" i="7"/>
  <c r="B182" i="7"/>
  <c r="E180" i="7"/>
  <c r="D180" i="7"/>
  <c r="C180" i="7"/>
  <c r="B180" i="7"/>
  <c r="I179" i="7"/>
  <c r="I178" i="7"/>
  <c r="I176" i="7"/>
  <c r="I175" i="7"/>
  <c r="J174" i="7"/>
  <c r="E174" i="7"/>
  <c r="I172" i="7"/>
  <c r="D166" i="7"/>
  <c r="C166" i="7"/>
  <c r="G164" i="7"/>
  <c r="F164" i="7"/>
  <c r="E164" i="7"/>
  <c r="G163" i="7"/>
  <c r="F163" i="7"/>
  <c r="E163" i="7"/>
  <c r="I161" i="7"/>
  <c r="H161" i="7"/>
  <c r="E161" i="7"/>
  <c r="D161" i="7"/>
  <c r="C161" i="7"/>
  <c r="B161" i="7"/>
  <c r="I160" i="7"/>
  <c r="H160" i="7"/>
  <c r="E160" i="7"/>
  <c r="D160" i="7"/>
  <c r="C160" i="7"/>
  <c r="B160" i="7"/>
  <c r="I159" i="7"/>
  <c r="H159" i="7"/>
  <c r="E159" i="7"/>
  <c r="D159" i="7"/>
  <c r="C159" i="7"/>
  <c r="B159" i="7"/>
  <c r="E157" i="7"/>
  <c r="D157" i="7"/>
  <c r="C157" i="7"/>
  <c r="B157" i="7"/>
  <c r="I156" i="7"/>
  <c r="F156" i="7"/>
  <c r="I155" i="7"/>
  <c r="F155" i="7"/>
  <c r="I154" i="7"/>
  <c r="F154" i="7"/>
  <c r="I153" i="7"/>
  <c r="J150" i="7"/>
  <c r="F150" i="7"/>
  <c r="E150" i="7"/>
  <c r="I149" i="7"/>
  <c r="F149" i="7"/>
  <c r="J148" i="7"/>
  <c r="F148" i="7"/>
  <c r="E148" i="7"/>
  <c r="F147" i="7"/>
  <c r="F144" i="7"/>
  <c r="D140" i="7"/>
  <c r="C140" i="7"/>
  <c r="G138" i="7"/>
  <c r="E138" i="7"/>
  <c r="G137" i="7"/>
  <c r="E137" i="7"/>
  <c r="I135" i="7"/>
  <c r="H135" i="7"/>
  <c r="E135" i="7"/>
  <c r="D135" i="7"/>
  <c r="C135" i="7"/>
  <c r="B135" i="7"/>
  <c r="E133" i="7"/>
  <c r="D133" i="7"/>
  <c r="C133" i="7"/>
  <c r="B133" i="7"/>
  <c r="I132" i="7"/>
  <c r="I131" i="7"/>
  <c r="I130" i="7"/>
  <c r="J128" i="7"/>
  <c r="E128" i="7"/>
  <c r="J126" i="7"/>
  <c r="E126" i="7"/>
  <c r="I125" i="7"/>
  <c r="D119" i="7"/>
  <c r="C119" i="7"/>
  <c r="G117" i="7"/>
  <c r="F117" i="7"/>
  <c r="E117" i="7"/>
  <c r="G116" i="7"/>
  <c r="F116" i="7"/>
  <c r="E116" i="7"/>
  <c r="I114" i="7"/>
  <c r="H114" i="7"/>
  <c r="E114" i="7"/>
  <c r="D114" i="7"/>
  <c r="C114" i="7"/>
  <c r="B114" i="7"/>
  <c r="I113" i="7"/>
  <c r="H113" i="7"/>
  <c r="E113" i="7"/>
  <c r="D113" i="7"/>
  <c r="C113" i="7"/>
  <c r="B113" i="7"/>
  <c r="E111" i="7"/>
  <c r="D111" i="7"/>
  <c r="C111" i="7"/>
  <c r="B111" i="7"/>
  <c r="E110" i="7"/>
  <c r="D110" i="7"/>
  <c r="C110" i="7"/>
  <c r="B110" i="7"/>
  <c r="I108" i="7"/>
  <c r="J106" i="7"/>
  <c r="F106" i="7"/>
  <c r="E106" i="7"/>
  <c r="F105" i="7"/>
  <c r="I104" i="7"/>
  <c r="F104" i="7"/>
  <c r="F101" i="7"/>
  <c r="D97" i="7"/>
  <c r="C97" i="7"/>
  <c r="G95" i="7"/>
  <c r="E95" i="7"/>
  <c r="G94" i="7"/>
  <c r="E94" i="7"/>
  <c r="H92" i="7"/>
  <c r="F92" i="7"/>
  <c r="E92" i="7"/>
  <c r="D92" i="7"/>
  <c r="C92" i="7"/>
  <c r="B92" i="7"/>
  <c r="I90" i="7"/>
  <c r="F90" i="7"/>
  <c r="J88" i="7"/>
  <c r="F88" i="7"/>
  <c r="E88" i="7"/>
  <c r="F87" i="7"/>
  <c r="I86" i="7"/>
  <c r="F86" i="7"/>
  <c r="F83" i="7"/>
  <c r="D80" i="7"/>
  <c r="G78" i="7"/>
  <c r="E78" i="7"/>
  <c r="G77" i="7"/>
  <c r="E77" i="7"/>
  <c r="H75" i="7"/>
  <c r="E75" i="7"/>
  <c r="D75" i="7"/>
  <c r="C75" i="7"/>
  <c r="B75" i="7"/>
  <c r="I73" i="7"/>
  <c r="I72" i="7"/>
  <c r="J70" i="7"/>
  <c r="E70" i="7"/>
  <c r="I68" i="7"/>
  <c r="D62" i="7"/>
  <c r="C62" i="7"/>
  <c r="A35" i="7"/>
  <c r="A33" i="7"/>
  <c r="A30" i="7"/>
  <c r="F24" i="7"/>
  <c r="F22" i="7"/>
  <c r="CO14" i="7"/>
  <c r="F14" i="7"/>
  <c r="CO12" i="7"/>
  <c r="F12" i="7"/>
  <c r="H6" i="7"/>
  <c r="B6" i="7"/>
  <c r="A1" i="7"/>
  <c r="L282" i="7" l="1"/>
  <c r="L328" i="7"/>
  <c r="L329" i="7" s="1"/>
  <c r="L257" i="7"/>
  <c r="L248" i="7" s="1"/>
  <c r="L246" i="7" s="1"/>
  <c r="J90" i="7"/>
  <c r="J159" i="7"/>
  <c r="J113" i="7"/>
  <c r="J114" i="7"/>
  <c r="J135" i="7"/>
  <c r="J160" i="7"/>
  <c r="J161" i="7"/>
  <c r="L279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1" i="3"/>
  <c r="Y1" i="3"/>
  <c r="CY1" i="3"/>
  <c r="CZ1" i="3"/>
  <c r="DA1" i="3"/>
  <c r="DC1" i="3"/>
  <c r="A2" i="3"/>
  <c r="Y2" i="3"/>
  <c r="CY2" i="3"/>
  <c r="CZ2" i="3"/>
  <c r="DA2" i="3"/>
  <c r="DB2" i="3"/>
  <c r="DC2" i="3"/>
  <c r="A3" i="3"/>
  <c r="Y3" i="3"/>
  <c r="CY3" i="3"/>
  <c r="CZ3" i="3"/>
  <c r="DA3" i="3"/>
  <c r="DC3" i="3"/>
  <c r="A4" i="3"/>
  <c r="Y4" i="3"/>
  <c r="CY4" i="3"/>
  <c r="CZ4" i="3"/>
  <c r="J69" i="7" s="1"/>
  <c r="DA4" i="3"/>
  <c r="DB4" i="3"/>
  <c r="DC4" i="3"/>
  <c r="A5" i="3"/>
  <c r="Y5" i="3"/>
  <c r="CY5" i="3"/>
  <c r="CZ5" i="3"/>
  <c r="DA5" i="3"/>
  <c r="DC5" i="3"/>
  <c r="A6" i="3"/>
  <c r="Y6" i="3"/>
  <c r="CY6" i="3"/>
  <c r="CZ6" i="3"/>
  <c r="DA6" i="3"/>
  <c r="DC6" i="3"/>
  <c r="A7" i="3"/>
  <c r="Y7" i="3"/>
  <c r="CY7" i="3"/>
  <c r="CZ7" i="3"/>
  <c r="DB7" i="3" s="1"/>
  <c r="DA7" i="3"/>
  <c r="DC7" i="3"/>
  <c r="A8" i="3"/>
  <c r="Y8" i="3"/>
  <c r="CY8" i="3"/>
  <c r="CZ8" i="3"/>
  <c r="J83" i="7" s="1"/>
  <c r="DA8" i="3"/>
  <c r="DC8" i="3"/>
  <c r="A9" i="3"/>
  <c r="Y9" i="3"/>
  <c r="CY9" i="3"/>
  <c r="CZ9" i="3"/>
  <c r="DB9" i="3" s="1"/>
  <c r="DA9" i="3"/>
  <c r="DC9" i="3"/>
  <c r="A10" i="3"/>
  <c r="Y10" i="3"/>
  <c r="CY10" i="3"/>
  <c r="CZ10" i="3"/>
  <c r="DA10" i="3"/>
  <c r="DC10" i="3"/>
  <c r="A11" i="3"/>
  <c r="Y11" i="3"/>
  <c r="CY11" i="3"/>
  <c r="CZ11" i="3"/>
  <c r="J87" i="7" s="1"/>
  <c r="DA11" i="3"/>
  <c r="DB11" i="3"/>
  <c r="DC11" i="3"/>
  <c r="A12" i="3"/>
  <c r="Y12" i="3"/>
  <c r="CY12" i="3"/>
  <c r="CZ12" i="3"/>
  <c r="H90" i="7" s="1"/>
  <c r="DA12" i="3"/>
  <c r="DB12" i="3"/>
  <c r="DC12" i="3"/>
  <c r="A13" i="3"/>
  <c r="Y13" i="3"/>
  <c r="CY13" i="3"/>
  <c r="CZ13" i="3"/>
  <c r="DB13" i="3" s="1"/>
  <c r="DA13" i="3"/>
  <c r="DC13" i="3"/>
  <c r="A14" i="3"/>
  <c r="Y14" i="3"/>
  <c r="CY14" i="3"/>
  <c r="CZ14" i="3"/>
  <c r="DA14" i="3"/>
  <c r="DC14" i="3"/>
  <c r="A15" i="3"/>
  <c r="Y15" i="3"/>
  <c r="CY15" i="3"/>
  <c r="CZ15" i="3"/>
  <c r="DB15" i="3" s="1"/>
  <c r="DA15" i="3"/>
  <c r="DC15" i="3"/>
  <c r="A16" i="3"/>
  <c r="Y16" i="3"/>
  <c r="CY16" i="3"/>
  <c r="CZ16" i="3"/>
  <c r="DA16" i="3"/>
  <c r="DC16" i="3"/>
  <c r="A17" i="3"/>
  <c r="Y17" i="3"/>
  <c r="CW17" i="3" s="1"/>
  <c r="CY17" i="3"/>
  <c r="CZ17" i="3"/>
  <c r="J105" i="7" s="1"/>
  <c r="DA17" i="3"/>
  <c r="DB17" i="3"/>
  <c r="DC17" i="3"/>
  <c r="A18" i="3"/>
  <c r="Y18" i="3"/>
  <c r="CY18" i="3"/>
  <c r="CZ18" i="3"/>
  <c r="H108" i="7" s="1"/>
  <c r="J108" i="7" s="1"/>
  <c r="DA18" i="3"/>
  <c r="DC18" i="3"/>
  <c r="A19" i="3"/>
  <c r="Y19" i="3"/>
  <c r="CY19" i="3"/>
  <c r="CZ19" i="3"/>
  <c r="J109" i="7" s="1"/>
  <c r="DA19" i="3"/>
  <c r="DC19" i="3"/>
  <c r="A20" i="3"/>
  <c r="Y20" i="3"/>
  <c r="CY20" i="3"/>
  <c r="CZ20" i="3"/>
  <c r="DB20" i="3" s="1"/>
  <c r="DA20" i="3"/>
  <c r="DC20" i="3"/>
  <c r="A21" i="3"/>
  <c r="Y21" i="3"/>
  <c r="CY21" i="3"/>
  <c r="CZ21" i="3"/>
  <c r="DB21" i="3" s="1"/>
  <c r="DA21" i="3"/>
  <c r="DC21" i="3"/>
  <c r="A22" i="3"/>
  <c r="Y22" i="3"/>
  <c r="CY22" i="3"/>
  <c r="CZ22" i="3"/>
  <c r="J122" i="7" s="1"/>
  <c r="DA22" i="3"/>
  <c r="DB22" i="3"/>
  <c r="DC22" i="3"/>
  <c r="A23" i="3"/>
  <c r="Y23" i="3"/>
  <c r="CY23" i="3"/>
  <c r="CZ23" i="3"/>
  <c r="DA23" i="3"/>
  <c r="DB23" i="3"/>
  <c r="DC23" i="3"/>
  <c r="A24" i="3"/>
  <c r="Y24" i="3"/>
  <c r="CY24" i="3"/>
  <c r="CZ24" i="3"/>
  <c r="DA24" i="3"/>
  <c r="DC24" i="3"/>
  <c r="A25" i="3"/>
  <c r="Y25" i="3"/>
  <c r="CY25" i="3"/>
  <c r="CZ25" i="3"/>
  <c r="J127" i="7" s="1"/>
  <c r="DA25" i="3"/>
  <c r="DB25" i="3"/>
  <c r="DC25" i="3"/>
  <c r="A26" i="3"/>
  <c r="Y26" i="3"/>
  <c r="CY26" i="3"/>
  <c r="CZ26" i="3"/>
  <c r="H130" i="7" s="1"/>
  <c r="J130" i="7" s="1"/>
  <c r="DA26" i="3"/>
  <c r="DB26" i="3"/>
  <c r="DC26" i="3"/>
  <c r="A27" i="3"/>
  <c r="Y27" i="3"/>
  <c r="CY27" i="3"/>
  <c r="CZ27" i="3"/>
  <c r="H131" i="7" s="1"/>
  <c r="J131" i="7" s="1"/>
  <c r="DA27" i="3"/>
  <c r="DC27" i="3"/>
  <c r="A28" i="3"/>
  <c r="Y28" i="3"/>
  <c r="CY28" i="3"/>
  <c r="CZ28" i="3"/>
  <c r="DB28" i="3" s="1"/>
  <c r="DA28" i="3"/>
  <c r="DC28" i="3"/>
  <c r="A29" i="3"/>
  <c r="Y29" i="3"/>
  <c r="CY29" i="3"/>
  <c r="CZ29" i="3"/>
  <c r="DA29" i="3"/>
  <c r="DC29" i="3"/>
  <c r="A30" i="3"/>
  <c r="Y30" i="3"/>
  <c r="CX30" i="3" s="1"/>
  <c r="CU30" i="3"/>
  <c r="CV30" i="3"/>
  <c r="U37" i="1" s="1"/>
  <c r="CY30" i="3"/>
  <c r="CZ30" i="3"/>
  <c r="DA30" i="3"/>
  <c r="DB30" i="3"/>
  <c r="DC30" i="3"/>
  <c r="A31" i="3"/>
  <c r="Y31" i="3"/>
  <c r="CX31" i="3" s="1"/>
  <c r="CY31" i="3"/>
  <c r="CZ31" i="3"/>
  <c r="DB31" i="3" s="1"/>
  <c r="DA31" i="3"/>
  <c r="DC31" i="3"/>
  <c r="A32" i="3"/>
  <c r="Y32" i="3"/>
  <c r="CW32" i="3"/>
  <c r="CX32" i="3"/>
  <c r="DI32" i="3" s="1"/>
  <c r="CY32" i="3"/>
  <c r="CZ32" i="3"/>
  <c r="DB32" i="3" s="1"/>
  <c r="DA32" i="3"/>
  <c r="DC32" i="3"/>
  <c r="A33" i="3"/>
  <c r="Y33" i="3"/>
  <c r="CW33" i="3" s="1"/>
  <c r="V37" i="1" s="1"/>
  <c r="CY33" i="3"/>
  <c r="CZ33" i="3"/>
  <c r="DB33" i="3" s="1"/>
  <c r="DA33" i="3"/>
  <c r="DC33" i="3"/>
  <c r="A34" i="3"/>
  <c r="Y34" i="3"/>
  <c r="CX34" i="3" s="1"/>
  <c r="CY34" i="3"/>
  <c r="CZ34" i="3"/>
  <c r="DB34" i="3" s="1"/>
  <c r="DA34" i="3"/>
  <c r="DC34" i="3"/>
  <c r="A35" i="3"/>
  <c r="Y35" i="3"/>
  <c r="CX35" i="3" s="1"/>
  <c r="CY35" i="3"/>
  <c r="CZ35" i="3"/>
  <c r="DB35" i="3" s="1"/>
  <c r="DA35" i="3"/>
  <c r="DC35" i="3"/>
  <c r="A36" i="3"/>
  <c r="Y36" i="3"/>
  <c r="CX36" i="3" s="1"/>
  <c r="CY36" i="3"/>
  <c r="CZ36" i="3"/>
  <c r="DB36" i="3" s="1"/>
  <c r="DA36" i="3"/>
  <c r="DC36" i="3"/>
  <c r="A37" i="3"/>
  <c r="Y37" i="3"/>
  <c r="CX37" i="3" s="1"/>
  <c r="DH37" i="3" s="1"/>
  <c r="CY37" i="3"/>
  <c r="CZ37" i="3"/>
  <c r="DB37" i="3" s="1"/>
  <c r="DA37" i="3"/>
  <c r="DC37" i="3"/>
  <c r="A38" i="3"/>
  <c r="Y38" i="3"/>
  <c r="CX38" i="3"/>
  <c r="DH38" i="3" s="1"/>
  <c r="CY38" i="3"/>
  <c r="CZ38" i="3"/>
  <c r="DA38" i="3"/>
  <c r="DB38" i="3"/>
  <c r="DC38" i="3"/>
  <c r="A39" i="3"/>
  <c r="Y39" i="3"/>
  <c r="CX39" i="3"/>
  <c r="CY39" i="3"/>
  <c r="CZ39" i="3"/>
  <c r="DB39" i="3" s="1"/>
  <c r="DA39" i="3"/>
  <c r="DC39" i="3"/>
  <c r="DF39" i="3"/>
  <c r="DJ39" i="3" s="1"/>
  <c r="A40" i="3"/>
  <c r="Y40" i="3"/>
  <c r="CY40" i="3"/>
  <c r="CZ40" i="3"/>
  <c r="DA40" i="3"/>
  <c r="DC40" i="3"/>
  <c r="A41" i="3"/>
  <c r="Y41" i="3"/>
  <c r="CY41" i="3"/>
  <c r="CZ41" i="3"/>
  <c r="DB41" i="3" s="1"/>
  <c r="DA41" i="3"/>
  <c r="DC41" i="3"/>
  <c r="A42" i="3"/>
  <c r="Y42" i="3"/>
  <c r="CY42" i="3"/>
  <c r="CZ42" i="3"/>
  <c r="J147" i="7" s="1"/>
  <c r="DA42" i="3"/>
  <c r="DC42" i="3"/>
  <c r="A43" i="3"/>
  <c r="Y43" i="3"/>
  <c r="CY43" i="3"/>
  <c r="CZ43" i="3"/>
  <c r="H149" i="7" s="1"/>
  <c r="J149" i="7" s="1"/>
  <c r="DA43" i="3"/>
  <c r="DC43" i="3"/>
  <c r="A44" i="3"/>
  <c r="Y44" i="3"/>
  <c r="CY44" i="3"/>
  <c r="CZ44" i="3"/>
  <c r="DA44" i="3"/>
  <c r="DC44" i="3"/>
  <c r="A45" i="3"/>
  <c r="Y45" i="3"/>
  <c r="CY45" i="3"/>
  <c r="CZ45" i="3"/>
  <c r="DA45" i="3"/>
  <c r="DC45" i="3"/>
  <c r="A46" i="3"/>
  <c r="Y46" i="3"/>
  <c r="CY46" i="3"/>
  <c r="CZ46" i="3"/>
  <c r="H154" i="7" s="1"/>
  <c r="J154" i="7" s="1"/>
  <c r="DA46" i="3"/>
  <c r="DB46" i="3"/>
  <c r="DC46" i="3"/>
  <c r="A47" i="3"/>
  <c r="Y47" i="3"/>
  <c r="CY47" i="3"/>
  <c r="CZ47" i="3"/>
  <c r="DA47" i="3"/>
  <c r="DB47" i="3"/>
  <c r="DC47" i="3"/>
  <c r="A48" i="3"/>
  <c r="Y48" i="3"/>
  <c r="CY48" i="3"/>
  <c r="CZ48" i="3"/>
  <c r="DB48" i="3" s="1"/>
  <c r="DA48" i="3"/>
  <c r="DC48" i="3"/>
  <c r="A49" i="3"/>
  <c r="Y49" i="3"/>
  <c r="CY49" i="3"/>
  <c r="CZ49" i="3"/>
  <c r="H155" i="7" s="1"/>
  <c r="J155" i="7" s="1"/>
  <c r="DA49" i="3"/>
  <c r="DC49" i="3"/>
  <c r="A50" i="3"/>
  <c r="Y50" i="3"/>
  <c r="CY50" i="3"/>
  <c r="CZ50" i="3"/>
  <c r="DA50" i="3"/>
  <c r="DC50" i="3"/>
  <c r="A51" i="3"/>
  <c r="Y51" i="3"/>
  <c r="CY51" i="3"/>
  <c r="CZ51" i="3"/>
  <c r="DB51" i="3" s="1"/>
  <c r="DA51" i="3"/>
  <c r="DC51" i="3"/>
  <c r="A52" i="3"/>
  <c r="Y52" i="3"/>
  <c r="CV52" i="3" s="1"/>
  <c r="U45" i="1" s="1"/>
  <c r="G168" i="7" s="1"/>
  <c r="CY52" i="3"/>
  <c r="CZ52" i="3"/>
  <c r="J169" i="7" s="1"/>
  <c r="DA52" i="3"/>
  <c r="DC52" i="3"/>
  <c r="A53" i="3"/>
  <c r="Y53" i="3"/>
  <c r="CY53" i="3"/>
  <c r="CZ53" i="3"/>
  <c r="DA53" i="3"/>
  <c r="DB53" i="3"/>
  <c r="DC53" i="3"/>
  <c r="A54" i="3"/>
  <c r="Y54" i="3"/>
  <c r="CY54" i="3"/>
  <c r="CZ54" i="3"/>
  <c r="DA54" i="3"/>
  <c r="DC54" i="3"/>
  <c r="A55" i="3"/>
  <c r="Y55" i="3"/>
  <c r="CY55" i="3"/>
  <c r="CZ55" i="3"/>
  <c r="J173" i="7" s="1"/>
  <c r="DA55" i="3"/>
  <c r="DC55" i="3"/>
  <c r="A56" i="3"/>
  <c r="Y56" i="3"/>
  <c r="CY56" i="3"/>
  <c r="CZ56" i="3"/>
  <c r="H175" i="7" s="1"/>
  <c r="J175" i="7" s="1"/>
  <c r="DA56" i="3"/>
  <c r="DB56" i="3"/>
  <c r="DC56" i="3"/>
  <c r="A57" i="3"/>
  <c r="Y57" i="3"/>
  <c r="CY57" i="3"/>
  <c r="CZ57" i="3"/>
  <c r="DA57" i="3"/>
  <c r="DC57" i="3"/>
  <c r="A58" i="3"/>
  <c r="Y58" i="3"/>
  <c r="CY58" i="3"/>
  <c r="CZ58" i="3"/>
  <c r="H178" i="7" s="1"/>
  <c r="J178" i="7" s="1"/>
  <c r="DA58" i="3"/>
  <c r="DC58" i="3"/>
  <c r="A59" i="3"/>
  <c r="Y59" i="3"/>
  <c r="CY59" i="3"/>
  <c r="CZ59" i="3"/>
  <c r="DA59" i="3"/>
  <c r="DB59" i="3"/>
  <c r="DC59" i="3"/>
  <c r="A60" i="3"/>
  <c r="Y60" i="3"/>
  <c r="CY60" i="3"/>
  <c r="CZ60" i="3"/>
  <c r="H179" i="7" s="1"/>
  <c r="J179" i="7" s="1"/>
  <c r="DA60" i="3"/>
  <c r="DB60" i="3"/>
  <c r="DC60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C28" i="1"/>
  <c r="D28" i="1"/>
  <c r="I28" i="1"/>
  <c r="K28" i="1"/>
  <c r="E62" i="7" s="1"/>
  <c r="AC28" i="1"/>
  <c r="AE28" i="1"/>
  <c r="AD28" i="1" s="1"/>
  <c r="AF28" i="1"/>
  <c r="AG28" i="1"/>
  <c r="CU28" i="1" s="1"/>
  <c r="T28" i="1" s="1"/>
  <c r="AH28" i="1"/>
  <c r="AI28" i="1"/>
  <c r="AJ28" i="1"/>
  <c r="CX28" i="1" s="1"/>
  <c r="W28" i="1" s="1"/>
  <c r="CQ28" i="1"/>
  <c r="CR28" i="1"/>
  <c r="CS28" i="1"/>
  <c r="CT28" i="1"/>
  <c r="CV28" i="1"/>
  <c r="CW28" i="1"/>
  <c r="GL28" i="1"/>
  <c r="GO28" i="1"/>
  <c r="GP28" i="1"/>
  <c r="GV28" i="1"/>
  <c r="HC28" i="1" s="1"/>
  <c r="GX28" i="1" s="1"/>
  <c r="AC29" i="1"/>
  <c r="AD29" i="1"/>
  <c r="AE29" i="1"/>
  <c r="AF29" i="1"/>
  <c r="AG29" i="1"/>
  <c r="AH29" i="1"/>
  <c r="CV29" i="1" s="1"/>
  <c r="AI29" i="1"/>
  <c r="CW29" i="1" s="1"/>
  <c r="AJ29" i="1"/>
  <c r="CX29" i="1" s="1"/>
  <c r="CQ29" i="1"/>
  <c r="CR29" i="1"/>
  <c r="CS29" i="1"/>
  <c r="CT29" i="1"/>
  <c r="CU29" i="1"/>
  <c r="GL29" i="1"/>
  <c r="GO29" i="1"/>
  <c r="GP29" i="1"/>
  <c r="GV29" i="1"/>
  <c r="HC29" i="1" s="1"/>
  <c r="C30" i="1"/>
  <c r="D30" i="1"/>
  <c r="I30" i="1"/>
  <c r="K30" i="1"/>
  <c r="E80" i="7" s="1"/>
  <c r="AC30" i="1"/>
  <c r="AE30" i="1"/>
  <c r="AD30" i="1" s="1"/>
  <c r="AF30" i="1"/>
  <c r="AG30" i="1"/>
  <c r="CU30" i="1" s="1"/>
  <c r="T30" i="1" s="1"/>
  <c r="AH30" i="1"/>
  <c r="AI30" i="1"/>
  <c r="AJ30" i="1"/>
  <c r="CQ30" i="1"/>
  <c r="CR30" i="1"/>
  <c r="CS30" i="1"/>
  <c r="CT30" i="1"/>
  <c r="CV30" i="1"/>
  <c r="CW30" i="1"/>
  <c r="CX30" i="1"/>
  <c r="W30" i="1" s="1"/>
  <c r="GL30" i="1"/>
  <c r="GO30" i="1"/>
  <c r="GP30" i="1"/>
  <c r="GV30" i="1"/>
  <c r="HC30" i="1" s="1"/>
  <c r="GX30" i="1" s="1"/>
  <c r="AC31" i="1"/>
  <c r="AE31" i="1"/>
  <c r="AD31" i="1" s="1"/>
  <c r="AF31" i="1"/>
  <c r="AG31" i="1"/>
  <c r="AH31" i="1"/>
  <c r="AI31" i="1"/>
  <c r="CW31" i="1" s="1"/>
  <c r="AJ31" i="1"/>
  <c r="CX31" i="1" s="1"/>
  <c r="CQ31" i="1"/>
  <c r="CR31" i="1"/>
  <c r="CS31" i="1"/>
  <c r="CT31" i="1"/>
  <c r="CU31" i="1"/>
  <c r="CV31" i="1"/>
  <c r="GL31" i="1"/>
  <c r="GO31" i="1"/>
  <c r="GP31" i="1"/>
  <c r="GV31" i="1"/>
  <c r="HC31" i="1"/>
  <c r="C32" i="1"/>
  <c r="D32" i="1"/>
  <c r="I32" i="1"/>
  <c r="K32" i="1"/>
  <c r="E97" i="7" s="1"/>
  <c r="AC32" i="1"/>
  <c r="AE32" i="1"/>
  <c r="AD32" i="1" s="1"/>
  <c r="AF32" i="1"/>
  <c r="AG32" i="1"/>
  <c r="AH32" i="1"/>
  <c r="AI32" i="1"/>
  <c r="AJ32" i="1"/>
  <c r="CX32" i="1" s="1"/>
  <c r="W32" i="1" s="1"/>
  <c r="CQ32" i="1"/>
  <c r="CR32" i="1"/>
  <c r="CS32" i="1"/>
  <c r="CT32" i="1"/>
  <c r="CU32" i="1"/>
  <c r="T32" i="1" s="1"/>
  <c r="CV32" i="1"/>
  <c r="CW32" i="1"/>
  <c r="GL32" i="1"/>
  <c r="GO32" i="1"/>
  <c r="GP32" i="1"/>
  <c r="GV32" i="1"/>
  <c r="HC32" i="1" s="1"/>
  <c r="GX32" i="1" s="1"/>
  <c r="I33" i="1"/>
  <c r="AC33" i="1"/>
  <c r="AE33" i="1"/>
  <c r="AD33" i="1" s="1"/>
  <c r="AF33" i="1"/>
  <c r="AG33" i="1"/>
  <c r="AH33" i="1"/>
  <c r="AI33" i="1"/>
  <c r="AJ33" i="1"/>
  <c r="CX33" i="1" s="1"/>
  <c r="CQ33" i="1"/>
  <c r="CR33" i="1"/>
  <c r="CS33" i="1"/>
  <c r="R33" i="1" s="1"/>
  <c r="CT33" i="1"/>
  <c r="CU33" i="1"/>
  <c r="CV33" i="1"/>
  <c r="CW33" i="1"/>
  <c r="V33" i="1" s="1"/>
  <c r="GL33" i="1"/>
  <c r="GO33" i="1"/>
  <c r="GP33" i="1"/>
  <c r="GV33" i="1"/>
  <c r="HC33" i="1" s="1"/>
  <c r="GX33" i="1" s="1"/>
  <c r="I34" i="1"/>
  <c r="T34" i="1"/>
  <c r="AC34" i="1"/>
  <c r="AB34" i="1" s="1"/>
  <c r="AE34" i="1"/>
  <c r="AD34" i="1" s="1"/>
  <c r="AF34" i="1"/>
  <c r="AG34" i="1"/>
  <c r="CU34" i="1" s="1"/>
  <c r="AH34" i="1"/>
  <c r="CV34" i="1" s="1"/>
  <c r="AI34" i="1"/>
  <c r="CW34" i="1" s="1"/>
  <c r="AJ34" i="1"/>
  <c r="CX34" i="1" s="1"/>
  <c r="W34" i="1" s="1"/>
  <c r="CQ34" i="1"/>
  <c r="P34" i="1" s="1"/>
  <c r="L114" i="7" s="1"/>
  <c r="CR34" i="1"/>
  <c r="CS34" i="1"/>
  <c r="CT34" i="1"/>
  <c r="S34" i="1" s="1"/>
  <c r="GL34" i="1"/>
  <c r="GO34" i="1"/>
  <c r="GP34" i="1"/>
  <c r="GV34" i="1"/>
  <c r="HC34" i="1" s="1"/>
  <c r="C35" i="1"/>
  <c r="D35" i="1"/>
  <c r="I35" i="1"/>
  <c r="K35" i="1"/>
  <c r="E119" i="7" s="1"/>
  <c r="AC35" i="1"/>
  <c r="AB35" i="1" s="1"/>
  <c r="AE35" i="1"/>
  <c r="AD35" i="1" s="1"/>
  <c r="AF35" i="1"/>
  <c r="AG35" i="1"/>
  <c r="CU35" i="1" s="1"/>
  <c r="AH35" i="1"/>
  <c r="AI35" i="1"/>
  <c r="AJ35" i="1"/>
  <c r="CQ35" i="1"/>
  <c r="CR35" i="1"/>
  <c r="CS35" i="1"/>
  <c r="CT35" i="1"/>
  <c r="CV35" i="1"/>
  <c r="CW35" i="1"/>
  <c r="CX35" i="1"/>
  <c r="GL35" i="1"/>
  <c r="GO35" i="1"/>
  <c r="GP35" i="1"/>
  <c r="GV35" i="1"/>
  <c r="HC35" i="1"/>
  <c r="AC36" i="1"/>
  <c r="AB36" i="1" s="1"/>
  <c r="AE36" i="1"/>
  <c r="AD36" i="1" s="1"/>
  <c r="AF36" i="1"/>
  <c r="AG36" i="1"/>
  <c r="CU36" i="1" s="1"/>
  <c r="AH36" i="1"/>
  <c r="CV36" i="1" s="1"/>
  <c r="AI36" i="1"/>
  <c r="CW36" i="1" s="1"/>
  <c r="AJ36" i="1"/>
  <c r="CX36" i="1" s="1"/>
  <c r="CQ36" i="1"/>
  <c r="CR36" i="1"/>
  <c r="CS36" i="1"/>
  <c r="CT36" i="1"/>
  <c r="GL36" i="1"/>
  <c r="GO36" i="1"/>
  <c r="GP36" i="1"/>
  <c r="GV36" i="1"/>
  <c r="HC36" i="1" s="1"/>
  <c r="C37" i="1"/>
  <c r="D37" i="1"/>
  <c r="AC37" i="1"/>
  <c r="AE37" i="1"/>
  <c r="AD37" i="1" s="1"/>
  <c r="AF37" i="1"/>
  <c r="AG37" i="1"/>
  <c r="AH37" i="1"/>
  <c r="AI37" i="1"/>
  <c r="AJ37" i="1"/>
  <c r="CX37" i="1" s="1"/>
  <c r="W37" i="1" s="1"/>
  <c r="CQ37" i="1"/>
  <c r="CR37" i="1"/>
  <c r="CS37" i="1"/>
  <c r="CT37" i="1"/>
  <c r="CU37" i="1"/>
  <c r="T37" i="1" s="1"/>
  <c r="CV37" i="1"/>
  <c r="CW37" i="1"/>
  <c r="GL37" i="1"/>
  <c r="GO37" i="1"/>
  <c r="GP37" i="1"/>
  <c r="GV37" i="1"/>
  <c r="HC37" i="1" s="1"/>
  <c r="GX37" i="1"/>
  <c r="I38" i="1"/>
  <c r="Q38" i="1"/>
  <c r="R38" i="1"/>
  <c r="AC38" i="1"/>
  <c r="AE38" i="1"/>
  <c r="AD38" i="1" s="1"/>
  <c r="AF38" i="1"/>
  <c r="AG38" i="1"/>
  <c r="AH38" i="1"/>
  <c r="AI38" i="1"/>
  <c r="AJ38" i="1"/>
  <c r="CX38" i="1" s="1"/>
  <c r="W38" i="1" s="1"/>
  <c r="CQ38" i="1"/>
  <c r="P38" i="1" s="1"/>
  <c r="CR38" i="1"/>
  <c r="CS38" i="1"/>
  <c r="CT38" i="1"/>
  <c r="S38" i="1" s="1"/>
  <c r="CU38" i="1"/>
  <c r="T38" i="1" s="1"/>
  <c r="CV38" i="1"/>
  <c r="U38" i="1" s="1"/>
  <c r="CW38" i="1"/>
  <c r="V38" i="1" s="1"/>
  <c r="GL38" i="1"/>
  <c r="GO38" i="1"/>
  <c r="GP38" i="1"/>
  <c r="GV38" i="1"/>
  <c r="GX38" i="1"/>
  <c r="HC38" i="1"/>
  <c r="I39" i="1"/>
  <c r="AC39" i="1"/>
  <c r="AE39" i="1"/>
  <c r="AD39" i="1" s="1"/>
  <c r="AB39" i="1" s="1"/>
  <c r="AF39" i="1"/>
  <c r="AG39" i="1"/>
  <c r="AH39" i="1"/>
  <c r="CV39" i="1" s="1"/>
  <c r="AI39" i="1"/>
  <c r="CW39" i="1" s="1"/>
  <c r="V39" i="1" s="1"/>
  <c r="AJ39" i="1"/>
  <c r="CX39" i="1" s="1"/>
  <c r="W39" i="1" s="1"/>
  <c r="CQ39" i="1"/>
  <c r="P39" i="1" s="1"/>
  <c r="CR39" i="1"/>
  <c r="CS39" i="1"/>
  <c r="R39" i="1" s="1"/>
  <c r="CT39" i="1"/>
  <c r="S39" i="1" s="1"/>
  <c r="CU39" i="1"/>
  <c r="T39" i="1" s="1"/>
  <c r="GL39" i="1"/>
  <c r="GO39" i="1"/>
  <c r="GP39" i="1"/>
  <c r="GV39" i="1"/>
  <c r="HC39" i="1" s="1"/>
  <c r="GX39" i="1"/>
  <c r="I40" i="1"/>
  <c r="P40" i="1" s="1"/>
  <c r="CP40" i="1" s="1"/>
  <c r="O40" i="1" s="1"/>
  <c r="AC40" i="1"/>
  <c r="AD40" i="1"/>
  <c r="AE40" i="1"/>
  <c r="AF40" i="1"/>
  <c r="AG40" i="1"/>
  <c r="AH40" i="1"/>
  <c r="AI40" i="1"/>
  <c r="CW40" i="1" s="1"/>
  <c r="V40" i="1" s="1"/>
  <c r="AJ40" i="1"/>
  <c r="CX40" i="1" s="1"/>
  <c r="W40" i="1" s="1"/>
  <c r="CQ40" i="1"/>
  <c r="CR40" i="1"/>
  <c r="Q40" i="1" s="1"/>
  <c r="CS40" i="1"/>
  <c r="R40" i="1" s="1"/>
  <c r="CZ40" i="1" s="1"/>
  <c r="Y40" i="1" s="1"/>
  <c r="CT40" i="1"/>
  <c r="S40" i="1" s="1"/>
  <c r="CU40" i="1"/>
  <c r="CV40" i="1"/>
  <c r="U40" i="1" s="1"/>
  <c r="GL40" i="1"/>
  <c r="GO40" i="1"/>
  <c r="GP40" i="1"/>
  <c r="GV40" i="1"/>
  <c r="HC40" i="1" s="1"/>
  <c r="GX40" i="1" s="1"/>
  <c r="C41" i="1"/>
  <c r="D41" i="1"/>
  <c r="I41" i="1"/>
  <c r="I43" i="1" s="1"/>
  <c r="K41" i="1"/>
  <c r="E140" i="7" s="1"/>
  <c r="AC41" i="1"/>
  <c r="AE41" i="1"/>
  <c r="AD41" i="1" s="1"/>
  <c r="AF41" i="1"/>
  <c r="AG41" i="1"/>
  <c r="AH41" i="1"/>
  <c r="AI41" i="1"/>
  <c r="AJ41" i="1"/>
  <c r="CX41" i="1" s="1"/>
  <c r="W41" i="1" s="1"/>
  <c r="CQ41" i="1"/>
  <c r="CR41" i="1"/>
  <c r="CS41" i="1"/>
  <c r="CT41" i="1"/>
  <c r="CU41" i="1"/>
  <c r="CV41" i="1"/>
  <c r="CW41" i="1"/>
  <c r="GL41" i="1"/>
  <c r="GO41" i="1"/>
  <c r="GP41" i="1"/>
  <c r="GV41" i="1"/>
  <c r="HC41" i="1" s="1"/>
  <c r="I42" i="1"/>
  <c r="AC42" i="1"/>
  <c r="AE42" i="1"/>
  <c r="AD42" i="1" s="1"/>
  <c r="AF42" i="1"/>
  <c r="AG42" i="1"/>
  <c r="AH42" i="1"/>
  <c r="AI42" i="1"/>
  <c r="AJ42" i="1"/>
  <c r="CX42" i="1" s="1"/>
  <c r="W42" i="1" s="1"/>
  <c r="CQ42" i="1"/>
  <c r="CR42" i="1"/>
  <c r="Q42" i="1" s="1"/>
  <c r="CS42" i="1"/>
  <c r="R42" i="1" s="1"/>
  <c r="CT42" i="1"/>
  <c r="CU42" i="1"/>
  <c r="CV42" i="1"/>
  <c r="U42" i="1" s="1"/>
  <c r="CW42" i="1"/>
  <c r="GL42" i="1"/>
  <c r="GO42" i="1"/>
  <c r="GP42" i="1"/>
  <c r="GV42" i="1"/>
  <c r="HC42" i="1"/>
  <c r="AC43" i="1"/>
  <c r="AE43" i="1"/>
  <c r="AD43" i="1" s="1"/>
  <c r="AB43" i="1" s="1"/>
  <c r="AF43" i="1"/>
  <c r="AG43" i="1"/>
  <c r="CU43" i="1" s="1"/>
  <c r="AH43" i="1"/>
  <c r="CV43" i="1" s="1"/>
  <c r="AI43" i="1"/>
  <c r="AJ43" i="1"/>
  <c r="CQ43" i="1"/>
  <c r="CR43" i="1"/>
  <c r="CS43" i="1"/>
  <c r="CT43" i="1"/>
  <c r="CW43" i="1"/>
  <c r="CX43" i="1"/>
  <c r="GL43" i="1"/>
  <c r="GO43" i="1"/>
  <c r="GP43" i="1"/>
  <c r="GV43" i="1"/>
  <c r="HC43" i="1"/>
  <c r="AC44" i="1"/>
  <c r="AE44" i="1"/>
  <c r="AD44" i="1" s="1"/>
  <c r="AF44" i="1"/>
  <c r="AG44" i="1"/>
  <c r="AH44" i="1"/>
  <c r="CV44" i="1" s="1"/>
  <c r="AI44" i="1"/>
  <c r="CW44" i="1" s="1"/>
  <c r="AJ44" i="1"/>
  <c r="CX44" i="1" s="1"/>
  <c r="CQ44" i="1"/>
  <c r="CR44" i="1"/>
  <c r="CS44" i="1"/>
  <c r="CT44" i="1"/>
  <c r="CU44" i="1"/>
  <c r="GL44" i="1"/>
  <c r="GO44" i="1"/>
  <c r="GP44" i="1"/>
  <c r="GV44" i="1"/>
  <c r="HC44" i="1" s="1"/>
  <c r="C45" i="1"/>
  <c r="D45" i="1"/>
  <c r="I45" i="1"/>
  <c r="K45" i="1"/>
  <c r="E166" i="7" s="1"/>
  <c r="AC45" i="1"/>
  <c r="AE45" i="1"/>
  <c r="AD45" i="1" s="1"/>
  <c r="AF45" i="1"/>
  <c r="AG45" i="1"/>
  <c r="CU45" i="1" s="1"/>
  <c r="T45" i="1" s="1"/>
  <c r="AH45" i="1"/>
  <c r="AI45" i="1"/>
  <c r="AJ45" i="1"/>
  <c r="CQ45" i="1"/>
  <c r="CR45" i="1"/>
  <c r="CS45" i="1"/>
  <c r="CT45" i="1"/>
  <c r="CV45" i="1"/>
  <c r="CW45" i="1"/>
  <c r="CX45" i="1"/>
  <c r="W45" i="1" s="1"/>
  <c r="GL45" i="1"/>
  <c r="GO45" i="1"/>
  <c r="GP45" i="1"/>
  <c r="GV45" i="1"/>
  <c r="HC45" i="1" s="1"/>
  <c r="GX45" i="1" s="1"/>
  <c r="AC46" i="1"/>
  <c r="AD46" i="1"/>
  <c r="AE46" i="1"/>
  <c r="AF46" i="1"/>
  <c r="AG46" i="1"/>
  <c r="AH46" i="1"/>
  <c r="AI46" i="1"/>
  <c r="CW46" i="1" s="1"/>
  <c r="AJ46" i="1"/>
  <c r="CX46" i="1" s="1"/>
  <c r="CQ46" i="1"/>
  <c r="CR46" i="1"/>
  <c r="CS46" i="1"/>
  <c r="CT46" i="1"/>
  <c r="CU46" i="1"/>
  <c r="CV46" i="1"/>
  <c r="GL46" i="1"/>
  <c r="GO46" i="1"/>
  <c r="GP46" i="1"/>
  <c r="GV46" i="1"/>
  <c r="HC46" i="1" s="1"/>
  <c r="O47" i="1"/>
  <c r="P47" i="1"/>
  <c r="Q47" i="1"/>
  <c r="R47" i="1"/>
  <c r="S47" i="1"/>
  <c r="T47" i="1"/>
  <c r="U47" i="1"/>
  <c r="V47" i="1"/>
  <c r="W47" i="1"/>
  <c r="X47" i="1"/>
  <c r="AZ188" i="7" s="1"/>
  <c r="Y47" i="1"/>
  <c r="BA188" i="7" s="1"/>
  <c r="AB47" i="1"/>
  <c r="CP47" i="1" s="1"/>
  <c r="GM47" i="1" s="1"/>
  <c r="AC47" i="1"/>
  <c r="AD47" i="1"/>
  <c r="AE47" i="1"/>
  <c r="AF47" i="1"/>
  <c r="AG47" i="1"/>
  <c r="AH47" i="1"/>
  <c r="AI47" i="1"/>
  <c r="AJ47" i="1"/>
  <c r="GL47" i="1"/>
  <c r="GO47" i="1"/>
  <c r="GP47" i="1"/>
  <c r="GV47" i="1"/>
  <c r="GX47" i="1"/>
  <c r="O48" i="1"/>
  <c r="P48" i="1"/>
  <c r="Q48" i="1"/>
  <c r="R48" i="1"/>
  <c r="S48" i="1"/>
  <c r="T48" i="1"/>
  <c r="U48" i="1"/>
  <c r="V48" i="1"/>
  <c r="W48" i="1"/>
  <c r="X48" i="1"/>
  <c r="AZ190" i="7" s="1"/>
  <c r="Y48" i="1"/>
  <c r="BA190" i="7" s="1"/>
  <c r="AB48" i="1"/>
  <c r="CP48" i="1" s="1"/>
  <c r="GM48" i="1" s="1"/>
  <c r="HD48" i="1" s="1"/>
  <c r="L189" i="7" s="1"/>
  <c r="BB190" i="7" s="1"/>
  <c r="AC48" i="1"/>
  <c r="AD48" i="1"/>
  <c r="AE48" i="1"/>
  <c r="AF48" i="1"/>
  <c r="AG48" i="1"/>
  <c r="AH48" i="1"/>
  <c r="AI48" i="1"/>
  <c r="AJ48" i="1"/>
  <c r="GL48" i="1"/>
  <c r="GN48" i="1"/>
  <c r="GO48" i="1"/>
  <c r="GP48" i="1"/>
  <c r="GV48" i="1"/>
  <c r="GX48" i="1"/>
  <c r="B50" i="1"/>
  <c r="B26" i="1" s="1"/>
  <c r="C50" i="1"/>
  <c r="C26" i="1" s="1"/>
  <c r="D50" i="1"/>
  <c r="D26" i="1" s="1"/>
  <c r="F50" i="1"/>
  <c r="F26" i="1" s="1"/>
  <c r="G50" i="1"/>
  <c r="G26" i="1" s="1"/>
  <c r="BX50" i="1"/>
  <c r="BY50" i="1"/>
  <c r="BY26" i="1" s="1"/>
  <c r="CK50" i="1"/>
  <c r="CK26" i="1" s="1"/>
  <c r="CL50" i="1"/>
  <c r="CL26" i="1" s="1"/>
  <c r="B80" i="1"/>
  <c r="B22" i="1" s="1"/>
  <c r="C80" i="1"/>
  <c r="C22" i="1" s="1"/>
  <c r="D80" i="1"/>
  <c r="D22" i="1" s="1"/>
  <c r="F80" i="1"/>
  <c r="F22" i="1" s="1"/>
  <c r="G80" i="1"/>
  <c r="G22" i="1" s="1"/>
  <c r="B111" i="1"/>
  <c r="B18" i="1" s="1"/>
  <c r="C111" i="1"/>
  <c r="C18" i="1" s="1"/>
  <c r="D111" i="1"/>
  <c r="D18" i="1" s="1"/>
  <c r="F111" i="1"/>
  <c r="F18" i="1" s="1"/>
  <c r="G111" i="1"/>
  <c r="G18" i="1" s="1"/>
  <c r="F12" i="6"/>
  <c r="G12" i="6"/>
  <c r="DH36" i="3" l="1"/>
  <c r="DI36" i="3"/>
  <c r="DG36" i="3"/>
  <c r="DF36" i="3"/>
  <c r="DJ36" i="3" s="1"/>
  <c r="G160" i="7"/>
  <c r="AE160" i="7"/>
  <c r="AD160" i="7"/>
  <c r="S43" i="1"/>
  <c r="DB1" i="3"/>
  <c r="H65" i="7"/>
  <c r="BB50" i="1"/>
  <c r="D26" i="8"/>
  <c r="G180" i="7"/>
  <c r="AE186" i="7"/>
  <c r="C167" i="7"/>
  <c r="G166" i="7"/>
  <c r="G174" i="7" s="1"/>
  <c r="AD186" i="7"/>
  <c r="I44" i="1"/>
  <c r="T42" i="1"/>
  <c r="P42" i="1"/>
  <c r="L159" i="7" s="1"/>
  <c r="GX41" i="1"/>
  <c r="T40" i="1"/>
  <c r="Q39" i="1"/>
  <c r="U39" i="1"/>
  <c r="Q34" i="1"/>
  <c r="U33" i="1"/>
  <c r="CX17" i="3"/>
  <c r="G105" i="7" s="1"/>
  <c r="AE118" i="7"/>
  <c r="D23" i="8"/>
  <c r="AD118" i="7"/>
  <c r="G111" i="7"/>
  <c r="C99" i="7"/>
  <c r="G97" i="7"/>
  <c r="G106" i="7" s="1"/>
  <c r="G110" i="7"/>
  <c r="D22" i="8"/>
  <c r="AE96" i="7"/>
  <c r="C81" i="7"/>
  <c r="AD96" i="7"/>
  <c r="G80" i="7"/>
  <c r="G88" i="7" s="1"/>
  <c r="G62" i="7"/>
  <c r="G70" i="7" s="1"/>
  <c r="AD79" i="7"/>
  <c r="AE79" i="7"/>
  <c r="C63" i="7"/>
  <c r="D21" i="8"/>
  <c r="DG38" i="3"/>
  <c r="CX33" i="3"/>
  <c r="DF33" i="3" s="1"/>
  <c r="DH32" i="3"/>
  <c r="DB27" i="3"/>
  <c r="DB18" i="3"/>
  <c r="DB14" i="3"/>
  <c r="J101" i="7"/>
  <c r="K190" i="7"/>
  <c r="I190" i="7" s="1"/>
  <c r="BC50" i="1"/>
  <c r="BC80" i="1" s="1"/>
  <c r="R44" i="1"/>
  <c r="T43" i="1"/>
  <c r="AD159" i="7"/>
  <c r="G159" i="7"/>
  <c r="AE159" i="7"/>
  <c r="AE165" i="7"/>
  <c r="C142" i="7"/>
  <c r="AD165" i="7"/>
  <c r="G157" i="7"/>
  <c r="D25" i="8"/>
  <c r="G140" i="7"/>
  <c r="S33" i="1"/>
  <c r="CZ33" i="1" s="1"/>
  <c r="Y33" i="1" s="1"/>
  <c r="BA113" i="7" s="1"/>
  <c r="AD113" i="7"/>
  <c r="G113" i="7"/>
  <c r="AE113" i="7"/>
  <c r="DB45" i="3"/>
  <c r="H153" i="7"/>
  <c r="J153" i="7" s="1"/>
  <c r="DB16" i="3"/>
  <c r="H104" i="7"/>
  <c r="J104" i="7" s="1"/>
  <c r="DB6" i="3"/>
  <c r="H73" i="7"/>
  <c r="J73" i="7" s="1"/>
  <c r="AP50" i="1"/>
  <c r="GX42" i="1"/>
  <c r="S42" i="1"/>
  <c r="CP42" i="1" s="1"/>
  <c r="O42" i="1" s="1"/>
  <c r="CY40" i="1"/>
  <c r="X40" i="1" s="1"/>
  <c r="AD139" i="7"/>
  <c r="G133" i="7"/>
  <c r="C120" i="7"/>
  <c r="D24" i="8"/>
  <c r="AE139" i="7"/>
  <c r="G119" i="7"/>
  <c r="AW114" i="7"/>
  <c r="AN114" i="7"/>
  <c r="AD114" i="7"/>
  <c r="G114" i="7"/>
  <c r="AE114" i="7"/>
  <c r="T33" i="1"/>
  <c r="P33" i="1"/>
  <c r="DB50" i="3"/>
  <c r="H156" i="7"/>
  <c r="J156" i="7" s="1"/>
  <c r="DB44" i="3"/>
  <c r="J152" i="7"/>
  <c r="DB42" i="3"/>
  <c r="DF38" i="3"/>
  <c r="DJ38" i="3" s="1"/>
  <c r="DG32" i="3"/>
  <c r="DB29" i="3"/>
  <c r="H132" i="7"/>
  <c r="J132" i="7" s="1"/>
  <c r="DB19" i="3"/>
  <c r="CW16" i="3"/>
  <c r="DB8" i="3"/>
  <c r="DB5" i="3"/>
  <c r="H72" i="7"/>
  <c r="J72" i="7" s="1"/>
  <c r="CV1" i="3"/>
  <c r="U28" i="1" s="1"/>
  <c r="G64" i="7" s="1"/>
  <c r="CC50" i="1"/>
  <c r="DB40" i="3"/>
  <c r="J144" i="7"/>
  <c r="Q43" i="1"/>
  <c r="V42" i="1"/>
  <c r="T41" i="1"/>
  <c r="CP38" i="1"/>
  <c r="O38" i="1" s="1"/>
  <c r="W33" i="1"/>
  <c r="Q33" i="1"/>
  <c r="DB58" i="3"/>
  <c r="DB57" i="3"/>
  <c r="H176" i="7"/>
  <c r="J176" i="7" s="1"/>
  <c r="DB55" i="3"/>
  <c r="DB54" i="3"/>
  <c r="H172" i="7"/>
  <c r="J172" i="7" s="1"/>
  <c r="DB52" i="3"/>
  <c r="DB49" i="3"/>
  <c r="DB43" i="3"/>
  <c r="DF32" i="3"/>
  <c r="DB24" i="3"/>
  <c r="H125" i="7"/>
  <c r="J125" i="7" s="1"/>
  <c r="CX20" i="3"/>
  <c r="DB10" i="3"/>
  <c r="H86" i="7"/>
  <c r="J86" i="7" s="1"/>
  <c r="CX9" i="3"/>
  <c r="DG9" i="3" s="1"/>
  <c r="DB3" i="3"/>
  <c r="H68" i="7"/>
  <c r="J68" i="7" s="1"/>
  <c r="AN190" i="7"/>
  <c r="L277" i="7"/>
  <c r="L271" i="7"/>
  <c r="L320" i="7" s="1"/>
  <c r="AB45" i="1"/>
  <c r="AB28" i="1"/>
  <c r="CD50" i="1"/>
  <c r="CD26" i="1" s="1"/>
  <c r="GM40" i="1"/>
  <c r="GN40" i="1" s="1"/>
  <c r="HD47" i="1"/>
  <c r="GN47" i="1"/>
  <c r="W43" i="1"/>
  <c r="DI9" i="3"/>
  <c r="DJ9" i="3" s="1"/>
  <c r="BX26" i="1"/>
  <c r="AO50" i="1"/>
  <c r="CX28" i="3"/>
  <c r="CX24" i="3"/>
  <c r="G125" i="7" s="1"/>
  <c r="CX29" i="3"/>
  <c r="G132" i="7" s="1"/>
  <c r="CU22" i="3"/>
  <c r="CW25" i="3"/>
  <c r="CX23" i="3"/>
  <c r="CX25" i="3"/>
  <c r="G127" i="7" s="1"/>
  <c r="CV22" i="3"/>
  <c r="U35" i="1" s="1"/>
  <c r="G121" i="7" s="1"/>
  <c r="I36" i="1"/>
  <c r="AB46" i="1"/>
  <c r="R43" i="1"/>
  <c r="AB42" i="1"/>
  <c r="BZ50" i="1"/>
  <c r="CG50" i="1" s="1"/>
  <c r="AB30" i="1"/>
  <c r="R46" i="1"/>
  <c r="AB41" i="1"/>
  <c r="T36" i="1"/>
  <c r="AB44" i="1"/>
  <c r="T31" i="1"/>
  <c r="V43" i="1"/>
  <c r="V31" i="1"/>
  <c r="DH9" i="3"/>
  <c r="P43" i="1"/>
  <c r="L160" i="7" s="1"/>
  <c r="AB40" i="1"/>
  <c r="CC26" i="1"/>
  <c r="AT50" i="1"/>
  <c r="GX43" i="1"/>
  <c r="T46" i="1"/>
  <c r="U43" i="1"/>
  <c r="CY39" i="1"/>
  <c r="X39" i="1" s="1"/>
  <c r="CZ39" i="1"/>
  <c r="Y39" i="1" s="1"/>
  <c r="V32" i="1"/>
  <c r="G103" i="7" s="1"/>
  <c r="CY38" i="1"/>
  <c r="X38" i="1" s="1"/>
  <c r="GM38" i="1" s="1"/>
  <c r="GN38" i="1" s="1"/>
  <c r="CZ38" i="1"/>
  <c r="Y38" i="1" s="1"/>
  <c r="AB37" i="1"/>
  <c r="GX35" i="1"/>
  <c r="W35" i="1"/>
  <c r="R34" i="1"/>
  <c r="AB33" i="1"/>
  <c r="CY33" i="1"/>
  <c r="X33" i="1" s="1"/>
  <c r="AB29" i="1"/>
  <c r="CW24" i="3"/>
  <c r="V35" i="1" s="1"/>
  <c r="G124" i="7" s="1"/>
  <c r="CW54" i="3"/>
  <c r="CW57" i="3"/>
  <c r="CX54" i="3"/>
  <c r="G172" i="7" s="1"/>
  <c r="CU52" i="3"/>
  <c r="CX55" i="3"/>
  <c r="G173" i="7" s="1"/>
  <c r="CX58" i="3"/>
  <c r="G178" i="7" s="1"/>
  <c r="CX57" i="3"/>
  <c r="G176" i="7" s="1"/>
  <c r="CW55" i="3"/>
  <c r="AB38" i="1"/>
  <c r="AB32" i="1"/>
  <c r="DI17" i="3"/>
  <c r="DG17" i="3"/>
  <c r="L105" i="7" s="1"/>
  <c r="DH17" i="3"/>
  <c r="L106" i="7" s="1"/>
  <c r="L103" i="7" s="1"/>
  <c r="DF17" i="3"/>
  <c r="S31" i="1"/>
  <c r="AB31" i="1"/>
  <c r="CX60" i="3"/>
  <c r="G179" i="7" s="1"/>
  <c r="CW56" i="3"/>
  <c r="CX56" i="3"/>
  <c r="G175" i="7" s="1"/>
  <c r="DG35" i="3"/>
  <c r="DH35" i="3"/>
  <c r="DI35" i="3"/>
  <c r="DF35" i="3"/>
  <c r="DJ35" i="3" s="1"/>
  <c r="DG31" i="3"/>
  <c r="DH31" i="3"/>
  <c r="DI31" i="3"/>
  <c r="DJ31" i="3" s="1"/>
  <c r="DF31" i="3"/>
  <c r="CX27" i="3"/>
  <c r="G131" i="7" s="1"/>
  <c r="I46" i="1"/>
  <c r="CX44" i="3"/>
  <c r="G152" i="7" s="1"/>
  <c r="CX50" i="3"/>
  <c r="G156" i="7" s="1"/>
  <c r="CX41" i="3"/>
  <c r="CX45" i="3"/>
  <c r="G153" i="7" s="1"/>
  <c r="CX51" i="3"/>
  <c r="CW42" i="3"/>
  <c r="CX46" i="3"/>
  <c r="G154" i="7" s="1"/>
  <c r="CU40" i="3"/>
  <c r="CX47" i="3"/>
  <c r="CP39" i="1"/>
  <c r="O39" i="1" s="1"/>
  <c r="GM39" i="1" s="1"/>
  <c r="GN39" i="1" s="1"/>
  <c r="T35" i="1"/>
  <c r="GX34" i="1"/>
  <c r="V34" i="1"/>
  <c r="CX59" i="3"/>
  <c r="CX49" i="3"/>
  <c r="G155" i="7" s="1"/>
  <c r="DH34" i="3"/>
  <c r="DI34" i="3"/>
  <c r="DF34" i="3"/>
  <c r="DJ34" i="3" s="1"/>
  <c r="DG34" i="3"/>
  <c r="DF20" i="3"/>
  <c r="DJ20" i="3" s="1"/>
  <c r="DG20" i="3"/>
  <c r="DH20" i="3"/>
  <c r="CX5" i="3"/>
  <c r="G72" i="7" s="1"/>
  <c r="U34" i="1"/>
  <c r="CX4" i="3"/>
  <c r="G69" i="7" s="1"/>
  <c r="CX1" i="3"/>
  <c r="G65" i="7" s="1"/>
  <c r="CX2" i="3"/>
  <c r="CU1" i="3"/>
  <c r="CX7" i="3"/>
  <c r="CW3" i="3"/>
  <c r="I29" i="1"/>
  <c r="CX48" i="3"/>
  <c r="CX42" i="3"/>
  <c r="G147" i="7" s="1"/>
  <c r="DI20" i="3"/>
  <c r="CX53" i="3"/>
  <c r="DI39" i="3"/>
  <c r="DG39" i="3"/>
  <c r="DH39" i="3"/>
  <c r="DF37" i="3"/>
  <c r="DJ37" i="3" s="1"/>
  <c r="DG37" i="3"/>
  <c r="DI37" i="3"/>
  <c r="CX13" i="3"/>
  <c r="CW10" i="3"/>
  <c r="V30" i="1" s="1"/>
  <c r="G85" i="7" s="1"/>
  <c r="CX6" i="3"/>
  <c r="G73" i="7" s="1"/>
  <c r="CX12" i="3"/>
  <c r="G90" i="7" s="1"/>
  <c r="CU8" i="3"/>
  <c r="CX52" i="3"/>
  <c r="G169" i="7" s="1"/>
  <c r="DJ32" i="3"/>
  <c r="CX26" i="3"/>
  <c r="G130" i="7" s="1"/>
  <c r="CX8" i="3"/>
  <c r="G83" i="7" s="1"/>
  <c r="CV8" i="3"/>
  <c r="U30" i="1" s="1"/>
  <c r="G82" i="7" s="1"/>
  <c r="CW4" i="3"/>
  <c r="CX16" i="3"/>
  <c r="G104" i="7" s="1"/>
  <c r="CX21" i="3"/>
  <c r="CU14" i="3"/>
  <c r="CX19" i="3"/>
  <c r="G109" i="7" s="1"/>
  <c r="I31" i="1"/>
  <c r="CX40" i="3"/>
  <c r="G144" i="7" s="1"/>
  <c r="CV40" i="3"/>
  <c r="U41" i="1" s="1"/>
  <c r="G143" i="7" s="1"/>
  <c r="DI33" i="3"/>
  <c r="DH30" i="3"/>
  <c r="DI30" i="3"/>
  <c r="DF30" i="3"/>
  <c r="DG30" i="3"/>
  <c r="CX18" i="3"/>
  <c r="G108" i="7" s="1"/>
  <c r="CX15" i="3"/>
  <c r="CV14" i="3"/>
  <c r="U32" i="1" s="1"/>
  <c r="G100" i="7" s="1"/>
  <c r="CW11" i="3"/>
  <c r="CX11" i="3"/>
  <c r="G87" i="7" s="1"/>
  <c r="CX3" i="3"/>
  <c r="G68" i="7" s="1"/>
  <c r="CW43" i="3"/>
  <c r="CX43" i="3"/>
  <c r="G149" i="7" s="1"/>
  <c r="CX22" i="3"/>
  <c r="G122" i="7" s="1"/>
  <c r="CX14" i="3"/>
  <c r="G101" i="7" s="1"/>
  <c r="CX10" i="3"/>
  <c r="G86" i="7" s="1"/>
  <c r="DI38" i="3"/>
  <c r="AZ113" i="7" l="1"/>
  <c r="G161" i="7"/>
  <c r="AE161" i="7"/>
  <c r="AD161" i="7"/>
  <c r="U44" i="1"/>
  <c r="GX44" i="1"/>
  <c r="P44" i="1"/>
  <c r="P36" i="1"/>
  <c r="L135" i="7" s="1"/>
  <c r="AD135" i="7"/>
  <c r="G135" i="7"/>
  <c r="AE135" i="7"/>
  <c r="CM50" i="1"/>
  <c r="L187" i="7"/>
  <c r="G128" i="7"/>
  <c r="G126" i="7"/>
  <c r="Q44" i="1"/>
  <c r="DH33" i="3"/>
  <c r="R37" i="1" s="1"/>
  <c r="V28" i="1"/>
  <c r="G67" i="7" s="1"/>
  <c r="G182" i="7"/>
  <c r="AE182" i="7"/>
  <c r="AD182" i="7"/>
  <c r="CP34" i="1"/>
  <c r="O34" i="1" s="1"/>
  <c r="AN160" i="7"/>
  <c r="AW160" i="7"/>
  <c r="CY42" i="1"/>
  <c r="X42" i="1" s="1"/>
  <c r="AZ159" i="7" s="1"/>
  <c r="CY43" i="1"/>
  <c r="X43" i="1" s="1"/>
  <c r="AZ160" i="7" s="1"/>
  <c r="DF9" i="3"/>
  <c r="S36" i="1"/>
  <c r="W44" i="1"/>
  <c r="CP33" i="1"/>
  <c r="O33" i="1" s="1"/>
  <c r="GM33" i="1" s="1"/>
  <c r="GN33" i="1" s="1"/>
  <c r="L113" i="7"/>
  <c r="T44" i="1"/>
  <c r="G148" i="7"/>
  <c r="G150" i="7"/>
  <c r="AW159" i="7"/>
  <c r="AN159" i="7"/>
  <c r="BB26" i="1"/>
  <c r="F63" i="1"/>
  <c r="BB80" i="1"/>
  <c r="GX29" i="1"/>
  <c r="AE75" i="7"/>
  <c r="G75" i="7"/>
  <c r="AD75" i="7"/>
  <c r="BC26" i="1"/>
  <c r="F66" i="1"/>
  <c r="DG33" i="3"/>
  <c r="Q37" i="1" s="1"/>
  <c r="AE92" i="7"/>
  <c r="G92" i="7"/>
  <c r="AD92" i="7"/>
  <c r="R31" i="1"/>
  <c r="CY31" i="1" s="1"/>
  <c r="X31" i="1" s="1"/>
  <c r="AZ92" i="7" s="1"/>
  <c r="Q36" i="1"/>
  <c r="Q29" i="1"/>
  <c r="L102" i="7"/>
  <c r="AO118" i="7" s="1"/>
  <c r="AT118" i="7"/>
  <c r="R36" i="1"/>
  <c r="AU50" i="1"/>
  <c r="CZ42" i="1"/>
  <c r="Y42" i="1" s="1"/>
  <c r="V36" i="1"/>
  <c r="W31" i="1"/>
  <c r="GX46" i="1"/>
  <c r="U36" i="1"/>
  <c r="S44" i="1"/>
  <c r="AP26" i="1"/>
  <c r="F59" i="1"/>
  <c r="AP80" i="1"/>
  <c r="V44" i="1"/>
  <c r="DG43" i="3"/>
  <c r="L149" i="7" s="1"/>
  <c r="DH43" i="3"/>
  <c r="L150" i="7" s="1"/>
  <c r="DI43" i="3"/>
  <c r="DF43" i="3"/>
  <c r="DG19" i="3"/>
  <c r="DH19" i="3"/>
  <c r="DI19" i="3"/>
  <c r="DF19" i="3"/>
  <c r="DH48" i="3"/>
  <c r="DI48" i="3"/>
  <c r="DF48" i="3"/>
  <c r="DJ48" i="3" s="1"/>
  <c r="DG48" i="3"/>
  <c r="DF45" i="3"/>
  <c r="DG45" i="3"/>
  <c r="DI45" i="3"/>
  <c r="DH45" i="3"/>
  <c r="DI55" i="3"/>
  <c r="DG55" i="3"/>
  <c r="L173" i="7" s="1"/>
  <c r="DH55" i="3"/>
  <c r="L174" i="7" s="1"/>
  <c r="L171" i="7" s="1"/>
  <c r="DF55" i="3"/>
  <c r="CP43" i="1"/>
  <c r="O43" i="1" s="1"/>
  <c r="CZ43" i="1"/>
  <c r="Y43" i="1" s="1"/>
  <c r="BA160" i="7" s="1"/>
  <c r="DG23" i="3"/>
  <c r="DH23" i="3"/>
  <c r="DI23" i="3"/>
  <c r="DJ23" i="3" s="1"/>
  <c r="DF23" i="3"/>
  <c r="CZ36" i="1"/>
  <c r="Y36" i="1" s="1"/>
  <c r="BA135" i="7" s="1"/>
  <c r="CY36" i="1"/>
  <c r="X36" i="1" s="1"/>
  <c r="AZ135" i="7" s="1"/>
  <c r="DH3" i="3"/>
  <c r="DI3" i="3"/>
  <c r="DF3" i="3"/>
  <c r="DG3" i="3"/>
  <c r="DF21" i="3"/>
  <c r="DJ21" i="3" s="1"/>
  <c r="DG21" i="3"/>
  <c r="DI21" i="3"/>
  <c r="DH21" i="3"/>
  <c r="DF40" i="3"/>
  <c r="DG40" i="3"/>
  <c r="DH40" i="3"/>
  <c r="DI40" i="3"/>
  <c r="L144" i="7" s="1"/>
  <c r="L143" i="7" s="1"/>
  <c r="DF5" i="3"/>
  <c r="DG5" i="3"/>
  <c r="DI5" i="3"/>
  <c r="DH5" i="3"/>
  <c r="DF44" i="3"/>
  <c r="DG44" i="3"/>
  <c r="DH44" i="3"/>
  <c r="DI44" i="3"/>
  <c r="AQ50" i="1"/>
  <c r="BZ26" i="1"/>
  <c r="CI50" i="1"/>
  <c r="DF29" i="3"/>
  <c r="DG29" i="3"/>
  <c r="DI29" i="3"/>
  <c r="DH29" i="3"/>
  <c r="DH22" i="3"/>
  <c r="DI22" i="3"/>
  <c r="L122" i="7" s="1"/>
  <c r="L121" i="7" s="1"/>
  <c r="DF22" i="3"/>
  <c r="DG22" i="3"/>
  <c r="Q31" i="1"/>
  <c r="P31" i="1"/>
  <c r="GX31" i="1"/>
  <c r="CJ50" i="1" s="1"/>
  <c r="DF12" i="3"/>
  <c r="DG12" i="3"/>
  <c r="DH12" i="3"/>
  <c r="DI12" i="3"/>
  <c r="DI42" i="3"/>
  <c r="DG42" i="3"/>
  <c r="DH42" i="3"/>
  <c r="L148" i="7" s="1"/>
  <c r="L146" i="7" s="1"/>
  <c r="DF42" i="3"/>
  <c r="DF2" i="3"/>
  <c r="DH2" i="3"/>
  <c r="DI2" i="3"/>
  <c r="DJ2" i="3" s="1"/>
  <c r="DG2" i="3"/>
  <c r="V41" i="1"/>
  <c r="G146" i="7" s="1"/>
  <c r="Q46" i="1"/>
  <c r="V46" i="1"/>
  <c r="W46" i="1"/>
  <c r="P46" i="1"/>
  <c r="DF60" i="3"/>
  <c r="DG60" i="3"/>
  <c r="DH60" i="3"/>
  <c r="DI60" i="3"/>
  <c r="DJ17" i="3"/>
  <c r="DI57" i="3"/>
  <c r="DF57" i="3"/>
  <c r="DG57" i="3"/>
  <c r="DH57" i="3"/>
  <c r="V45" i="1"/>
  <c r="G171" i="7" s="1"/>
  <c r="DF24" i="3"/>
  <c r="DG24" i="3"/>
  <c r="DI24" i="3"/>
  <c r="DH24" i="3"/>
  <c r="L126" i="7" s="1"/>
  <c r="U31" i="1"/>
  <c r="CY34" i="1"/>
  <c r="X34" i="1" s="1"/>
  <c r="DF6" i="3"/>
  <c r="DH6" i="3"/>
  <c r="DI6" i="3"/>
  <c r="DG6" i="3"/>
  <c r="DF1" i="3"/>
  <c r="DG1" i="3"/>
  <c r="DI1" i="3"/>
  <c r="L65" i="7" s="1"/>
  <c r="L64" i="7" s="1"/>
  <c r="DH1" i="3"/>
  <c r="DG49" i="3"/>
  <c r="DH49" i="3"/>
  <c r="DI49" i="3"/>
  <c r="DF49" i="3"/>
  <c r="DG27" i="3"/>
  <c r="DH27" i="3"/>
  <c r="DI27" i="3"/>
  <c r="DF27" i="3"/>
  <c r="DH58" i="3"/>
  <c r="DI58" i="3"/>
  <c r="DF58" i="3"/>
  <c r="DG58" i="3"/>
  <c r="DF28" i="3"/>
  <c r="DJ28" i="3" s="1"/>
  <c r="DG28" i="3"/>
  <c r="DH28" i="3"/>
  <c r="DI28" i="3"/>
  <c r="DH18" i="3"/>
  <c r="DI18" i="3"/>
  <c r="DF18" i="3"/>
  <c r="DG18" i="3"/>
  <c r="DJ33" i="3"/>
  <c r="DH26" i="3"/>
  <c r="DI26" i="3"/>
  <c r="DF26" i="3"/>
  <c r="DG26" i="3"/>
  <c r="P29" i="1"/>
  <c r="L75" i="7" s="1"/>
  <c r="V29" i="1"/>
  <c r="DF4" i="3"/>
  <c r="DG4" i="3"/>
  <c r="DH4" i="3"/>
  <c r="L70" i="7" s="1"/>
  <c r="L67" i="7" s="1"/>
  <c r="DI4" i="3"/>
  <c r="DG59" i="3"/>
  <c r="DH59" i="3"/>
  <c r="DI59" i="3"/>
  <c r="DF59" i="3"/>
  <c r="DJ59" i="3" s="1"/>
  <c r="W29" i="1"/>
  <c r="DI47" i="3"/>
  <c r="DG47" i="3"/>
  <c r="DH47" i="3"/>
  <c r="DF47" i="3"/>
  <c r="DJ47" i="3" s="1"/>
  <c r="DF41" i="3"/>
  <c r="DG41" i="3"/>
  <c r="DI41" i="3"/>
  <c r="DJ41" i="3" s="1"/>
  <c r="DH41" i="3"/>
  <c r="T29" i="1"/>
  <c r="AG50" i="1" s="1"/>
  <c r="S29" i="1"/>
  <c r="F69" i="1"/>
  <c r="AU26" i="1"/>
  <c r="AU80" i="1"/>
  <c r="AO26" i="1"/>
  <c r="F54" i="1"/>
  <c r="AO80" i="1"/>
  <c r="DI10" i="3"/>
  <c r="DG10" i="3"/>
  <c r="L86" i="7" s="1"/>
  <c r="DH10" i="3"/>
  <c r="DF10" i="3"/>
  <c r="DG11" i="3"/>
  <c r="DH11" i="3"/>
  <c r="L88" i="7" s="1"/>
  <c r="L85" i="7" s="1"/>
  <c r="DI11" i="3"/>
  <c r="DF11" i="3"/>
  <c r="P37" i="1"/>
  <c r="DF16" i="3"/>
  <c r="DG16" i="3"/>
  <c r="L104" i="7" s="1"/>
  <c r="DI16" i="3"/>
  <c r="DH16" i="3"/>
  <c r="DH52" i="3"/>
  <c r="DI52" i="3"/>
  <c r="L169" i="7" s="1"/>
  <c r="L168" i="7" s="1"/>
  <c r="DF52" i="3"/>
  <c r="DG52" i="3"/>
  <c r="DG53" i="3"/>
  <c r="DH53" i="3"/>
  <c r="DF53" i="3"/>
  <c r="DI53" i="3"/>
  <c r="DJ53" i="3" s="1"/>
  <c r="DI7" i="3"/>
  <c r="DG7" i="3"/>
  <c r="DH7" i="3"/>
  <c r="DF7" i="3"/>
  <c r="DJ7" i="3" s="1"/>
  <c r="DF50" i="3"/>
  <c r="DG50" i="3"/>
  <c r="DH50" i="3"/>
  <c r="DI50" i="3"/>
  <c r="DG56" i="3"/>
  <c r="L175" i="7" s="1"/>
  <c r="DF56" i="3"/>
  <c r="DH56" i="3"/>
  <c r="DI56" i="3"/>
  <c r="DF54" i="3"/>
  <c r="DI54" i="3"/>
  <c r="DG54" i="3"/>
  <c r="L172" i="7" s="1"/>
  <c r="DH54" i="3"/>
  <c r="CZ34" i="1"/>
  <c r="Y34" i="1" s="1"/>
  <c r="BA114" i="7" s="1"/>
  <c r="U46" i="1"/>
  <c r="GX36" i="1"/>
  <c r="W36" i="1"/>
  <c r="S46" i="1"/>
  <c r="U29" i="1"/>
  <c r="DG15" i="3"/>
  <c r="DH15" i="3"/>
  <c r="DI15" i="3"/>
  <c r="DJ15" i="3" s="1"/>
  <c r="DF15" i="3"/>
  <c r="DF8" i="3"/>
  <c r="DG8" i="3"/>
  <c r="DH8" i="3"/>
  <c r="DI8" i="3"/>
  <c r="L83" i="7" s="1"/>
  <c r="L82" i="7" s="1"/>
  <c r="DF51" i="3"/>
  <c r="DJ51" i="3" s="1"/>
  <c r="DG51" i="3"/>
  <c r="DI51" i="3"/>
  <c r="DH51" i="3"/>
  <c r="DI25" i="3"/>
  <c r="DG25" i="3"/>
  <c r="DH25" i="3"/>
  <c r="L128" i="7" s="1"/>
  <c r="DF25" i="3"/>
  <c r="CG26" i="1"/>
  <c r="AX50" i="1"/>
  <c r="DF13" i="3"/>
  <c r="DJ13" i="3" s="1"/>
  <c r="DG13" i="3"/>
  <c r="DI13" i="3"/>
  <c r="DH13" i="3"/>
  <c r="DH14" i="3"/>
  <c r="DI14" i="3"/>
  <c r="L101" i="7" s="1"/>
  <c r="L100" i="7" s="1"/>
  <c r="DF14" i="3"/>
  <c r="DG14" i="3"/>
  <c r="Q32" i="1" s="1"/>
  <c r="DJ30" i="3"/>
  <c r="S37" i="1"/>
  <c r="DF46" i="3"/>
  <c r="DH46" i="3"/>
  <c r="DI46" i="3"/>
  <c r="DG46" i="3"/>
  <c r="BC111" i="1"/>
  <c r="BC22" i="1"/>
  <c r="F96" i="1"/>
  <c r="AT26" i="1"/>
  <c r="F68" i="1"/>
  <c r="AT80" i="1"/>
  <c r="R29" i="1"/>
  <c r="CP36" i="1"/>
  <c r="O36" i="1" s="1"/>
  <c r="CM26" i="1"/>
  <c r="BD50" i="1"/>
  <c r="DJ46" i="3" l="1"/>
  <c r="L154" i="7"/>
  <c r="P32" i="1"/>
  <c r="CZ31" i="1"/>
  <c r="Y31" i="1" s="1"/>
  <c r="BA92" i="7" s="1"/>
  <c r="DJ18" i="3"/>
  <c r="L108" i="7"/>
  <c r="DJ58" i="3"/>
  <c r="L178" i="7"/>
  <c r="AR79" i="7"/>
  <c r="DJ60" i="3"/>
  <c r="L179" i="7"/>
  <c r="DJ42" i="3"/>
  <c r="L147" i="7"/>
  <c r="L145" i="7" s="1"/>
  <c r="AR139" i="7"/>
  <c r="DJ44" i="3"/>
  <c r="L152" i="7"/>
  <c r="DJ5" i="3"/>
  <c r="L72" i="7"/>
  <c r="GM43" i="1"/>
  <c r="GN43" i="1" s="1"/>
  <c r="DJ45" i="3"/>
  <c r="L153" i="7"/>
  <c r="AW135" i="7"/>
  <c r="AN135" i="7"/>
  <c r="DJ50" i="3"/>
  <c r="L156" i="7"/>
  <c r="AT96" i="7"/>
  <c r="DJ4" i="3"/>
  <c r="L69" i="7"/>
  <c r="DJ6" i="3"/>
  <c r="L73" i="7"/>
  <c r="R41" i="1"/>
  <c r="AT186" i="7"/>
  <c r="CZ44" i="1"/>
  <c r="Y44" i="1" s="1"/>
  <c r="BA161" i="7" s="1"/>
  <c r="CY44" i="1"/>
  <c r="X44" i="1" s="1"/>
  <c r="AZ161" i="7" s="1"/>
  <c r="DJ25" i="3"/>
  <c r="L127" i="7"/>
  <c r="Q45" i="1"/>
  <c r="DJ11" i="3"/>
  <c r="L87" i="7"/>
  <c r="L84" i="7" s="1"/>
  <c r="DJ26" i="3"/>
  <c r="L130" i="7"/>
  <c r="DJ27" i="3"/>
  <c r="L131" i="7"/>
  <c r="DJ49" i="3"/>
  <c r="L155" i="7"/>
  <c r="GM34" i="1"/>
  <c r="GN34" i="1" s="1"/>
  <c r="AZ114" i="7"/>
  <c r="DJ24" i="3"/>
  <c r="L125" i="7"/>
  <c r="AT165" i="7"/>
  <c r="CP31" i="1"/>
  <c r="O31" i="1" s="1"/>
  <c r="GM31" i="1" s="1"/>
  <c r="GN31" i="1" s="1"/>
  <c r="L92" i="7"/>
  <c r="AP22" i="1"/>
  <c r="AP111" i="1"/>
  <c r="F89" i="1"/>
  <c r="GM42" i="1"/>
  <c r="GN42" i="1" s="1"/>
  <c r="BA159" i="7"/>
  <c r="BB188" i="7"/>
  <c r="K188" i="7"/>
  <c r="I188" i="7" s="1"/>
  <c r="AN188" i="7"/>
  <c r="AR118" i="7"/>
  <c r="L115" i="7" s="1"/>
  <c r="AR96" i="7"/>
  <c r="AR186" i="7"/>
  <c r="L183" i="7" s="1"/>
  <c r="L66" i="7"/>
  <c r="AO79" i="7" s="1"/>
  <c r="AT79" i="7"/>
  <c r="AN75" i="7"/>
  <c r="AW75" i="7"/>
  <c r="L124" i="7"/>
  <c r="DJ57" i="3"/>
  <c r="L176" i="7"/>
  <c r="L170" i="7" s="1"/>
  <c r="CP46" i="1"/>
  <c r="O46" i="1" s="1"/>
  <c r="L182" i="7"/>
  <c r="DJ12" i="3"/>
  <c r="L90" i="7"/>
  <c r="L89" i="7" s="1"/>
  <c r="AW96" i="7" s="1"/>
  <c r="DJ29" i="3"/>
  <c r="L132" i="7"/>
  <c r="AR165" i="7"/>
  <c r="DJ3" i="3"/>
  <c r="L68" i="7"/>
  <c r="DJ19" i="3"/>
  <c r="L109" i="7"/>
  <c r="F93" i="1"/>
  <c r="BB111" i="1"/>
  <c r="BB22" i="1"/>
  <c r="AN113" i="7"/>
  <c r="AW113" i="7"/>
  <c r="L161" i="7"/>
  <c r="CP44" i="1"/>
  <c r="O44" i="1" s="1"/>
  <c r="GM44" i="1" s="1"/>
  <c r="GN44" i="1" s="1"/>
  <c r="CP37" i="1"/>
  <c r="O37" i="1" s="1"/>
  <c r="AI50" i="1"/>
  <c r="AI26" i="1" s="1"/>
  <c r="CJ26" i="1"/>
  <c r="BA50" i="1"/>
  <c r="DJ10" i="3"/>
  <c r="AX26" i="1"/>
  <c r="AX80" i="1"/>
  <c r="F57" i="1"/>
  <c r="P41" i="1"/>
  <c r="BC18" i="1"/>
  <c r="F127" i="1"/>
  <c r="P45" i="1"/>
  <c r="R28" i="1"/>
  <c r="P35" i="1"/>
  <c r="DJ40" i="3"/>
  <c r="S41" i="1"/>
  <c r="AT22" i="1"/>
  <c r="F98" i="1"/>
  <c r="AT111" i="1"/>
  <c r="DJ8" i="3"/>
  <c r="S30" i="1"/>
  <c r="S45" i="1"/>
  <c r="DJ52" i="3"/>
  <c r="AU22" i="1"/>
  <c r="F99" i="1"/>
  <c r="C52" i="7" s="1"/>
  <c r="AU111" i="1"/>
  <c r="DJ1" i="3"/>
  <c r="S28" i="1"/>
  <c r="CI26" i="1"/>
  <c r="AZ50" i="1"/>
  <c r="R30" i="1"/>
  <c r="R35" i="1"/>
  <c r="DJ22" i="3"/>
  <c r="S35" i="1"/>
  <c r="R45" i="1"/>
  <c r="Q41" i="1"/>
  <c r="DJ14" i="3"/>
  <c r="S32" i="1"/>
  <c r="Q30" i="1"/>
  <c r="P28" i="1"/>
  <c r="AQ26" i="1"/>
  <c r="AQ80" i="1"/>
  <c r="F60" i="1"/>
  <c r="DJ43" i="3"/>
  <c r="R32" i="1"/>
  <c r="P30" i="1"/>
  <c r="CY46" i="1"/>
  <c r="X46" i="1" s="1"/>
  <c r="AZ182" i="7" s="1"/>
  <c r="CZ46" i="1"/>
  <c r="Y46" i="1" s="1"/>
  <c r="BA182" i="7" s="1"/>
  <c r="DJ54" i="3"/>
  <c r="DJ56" i="3"/>
  <c r="AO22" i="1"/>
  <c r="F84" i="1"/>
  <c r="AO111" i="1"/>
  <c r="CY29" i="1"/>
  <c r="X29" i="1" s="1"/>
  <c r="AZ75" i="7" s="1"/>
  <c r="CZ29" i="1"/>
  <c r="Y29" i="1" s="1"/>
  <c r="BA75" i="7" s="1"/>
  <c r="AJ50" i="1"/>
  <c r="CP29" i="1"/>
  <c r="O29" i="1" s="1"/>
  <c r="DJ55" i="3"/>
  <c r="BD26" i="1"/>
  <c r="BD80" i="1"/>
  <c r="F75" i="1"/>
  <c r="Q28" i="1"/>
  <c r="GM46" i="1"/>
  <c r="GN46" i="1" s="1"/>
  <c r="GM36" i="1"/>
  <c r="GN36" i="1" s="1"/>
  <c r="AH50" i="1"/>
  <c r="CY37" i="1"/>
  <c r="X37" i="1" s="1"/>
  <c r="CZ37" i="1"/>
  <c r="Y37" i="1" s="1"/>
  <c r="DJ16" i="3"/>
  <c r="AG26" i="1"/>
  <c r="T50" i="1"/>
  <c r="Q35" i="1"/>
  <c r="L91" i="7" l="1"/>
  <c r="AO96" i="7"/>
  <c r="AO186" i="7"/>
  <c r="AO165" i="7"/>
  <c r="F16" i="2"/>
  <c r="C50" i="7"/>
  <c r="F124" i="1"/>
  <c r="BB18" i="1"/>
  <c r="G16" i="2"/>
  <c r="C51" i="7"/>
  <c r="AN182" i="7"/>
  <c r="AW182" i="7"/>
  <c r="L123" i="7"/>
  <c r="AT139" i="7"/>
  <c r="AW92" i="7"/>
  <c r="AN92" i="7"/>
  <c r="L129" i="7"/>
  <c r="AW139" i="7" s="1"/>
  <c r="L151" i="7"/>
  <c r="AW165" i="7" s="1"/>
  <c r="L301" i="7"/>
  <c r="L230" i="7"/>
  <c r="L242" i="7"/>
  <c r="L206" i="7"/>
  <c r="L194" i="7"/>
  <c r="L76" i="7"/>
  <c r="L313" i="7"/>
  <c r="K47" i="7"/>
  <c r="AW161" i="7"/>
  <c r="AN161" i="7"/>
  <c r="L241" i="7"/>
  <c r="L312" i="7"/>
  <c r="L205" i="7"/>
  <c r="L136" i="7"/>
  <c r="L177" i="7"/>
  <c r="AW186" i="7" s="1"/>
  <c r="L95" i="7"/>
  <c r="F120" i="1"/>
  <c r="AP18" i="1"/>
  <c r="L71" i="7"/>
  <c r="AW79" i="7" s="1"/>
  <c r="L162" i="7"/>
  <c r="K48" i="7"/>
  <c r="L306" i="7"/>
  <c r="L235" i="7"/>
  <c r="L199" i="7"/>
  <c r="L93" i="7"/>
  <c r="L164" i="7"/>
  <c r="L74" i="7"/>
  <c r="L107" i="7"/>
  <c r="V50" i="1"/>
  <c r="V80" i="1" s="1"/>
  <c r="GM37" i="1"/>
  <c r="GN37" i="1" s="1"/>
  <c r="AD50" i="1"/>
  <c r="AD26" i="1" s="1"/>
  <c r="CP41" i="1"/>
  <c r="O41" i="1" s="1"/>
  <c r="CP30" i="1"/>
  <c r="O30" i="1" s="1"/>
  <c r="Q50" i="1"/>
  <c r="T26" i="1"/>
  <c r="F71" i="1"/>
  <c r="T80" i="1"/>
  <c r="CP28" i="1"/>
  <c r="O28" i="1" s="1"/>
  <c r="AC50" i="1"/>
  <c r="CZ35" i="1"/>
  <c r="Y35" i="1" s="1"/>
  <c r="BA139" i="7" s="1"/>
  <c r="L138" i="7" s="1"/>
  <c r="CY35" i="1"/>
  <c r="X35" i="1" s="1"/>
  <c r="AZ139" i="7" s="1"/>
  <c r="L137" i="7" s="1"/>
  <c r="V26" i="1"/>
  <c r="F73" i="1"/>
  <c r="G221" i="7" s="1"/>
  <c r="GM29" i="1"/>
  <c r="GN29" i="1" s="1"/>
  <c r="CZ28" i="1"/>
  <c r="Y28" i="1" s="1"/>
  <c r="BA79" i="7" s="1"/>
  <c r="L78" i="7" s="1"/>
  <c r="CY28" i="1"/>
  <c r="X28" i="1" s="1"/>
  <c r="AZ79" i="7" s="1"/>
  <c r="L77" i="7" s="1"/>
  <c r="K79" i="7" s="1"/>
  <c r="I79" i="7" s="1"/>
  <c r="AF50" i="1"/>
  <c r="CY45" i="1"/>
  <c r="X45" i="1" s="1"/>
  <c r="AZ186" i="7" s="1"/>
  <c r="L184" i="7" s="1"/>
  <c r="CZ45" i="1"/>
  <c r="Y45" i="1" s="1"/>
  <c r="BA186" i="7" s="1"/>
  <c r="L185" i="7" s="1"/>
  <c r="CY41" i="1"/>
  <c r="X41" i="1" s="1"/>
  <c r="AZ165" i="7" s="1"/>
  <c r="L163" i="7" s="1"/>
  <c r="CZ41" i="1"/>
  <c r="Y41" i="1" s="1"/>
  <c r="BA165" i="7" s="1"/>
  <c r="AJ26" i="1"/>
  <c r="W50" i="1"/>
  <c r="CY32" i="1"/>
  <c r="X32" i="1" s="1"/>
  <c r="AZ118" i="7" s="1"/>
  <c r="L116" i="7" s="1"/>
  <c r="CZ32" i="1"/>
  <c r="Y32" i="1" s="1"/>
  <c r="BA118" i="7" s="1"/>
  <c r="L117" i="7" s="1"/>
  <c r="CZ30" i="1"/>
  <c r="Y30" i="1" s="1"/>
  <c r="BA96" i="7" s="1"/>
  <c r="CY30" i="1"/>
  <c r="X30" i="1" s="1"/>
  <c r="AZ96" i="7" s="1"/>
  <c r="L94" i="7" s="1"/>
  <c r="AN96" i="7" s="1"/>
  <c r="CP32" i="1"/>
  <c r="O32" i="1" s="1"/>
  <c r="AU18" i="1"/>
  <c r="F130" i="1"/>
  <c r="CP35" i="1"/>
  <c r="O35" i="1" s="1"/>
  <c r="GM35" i="1" s="1"/>
  <c r="GN35" i="1" s="1"/>
  <c r="BA26" i="1"/>
  <c r="F70" i="1"/>
  <c r="BA80" i="1"/>
  <c r="BD22" i="1"/>
  <c r="F105" i="1"/>
  <c r="BD111" i="1"/>
  <c r="AQ22" i="1"/>
  <c r="AQ111" i="1"/>
  <c r="F90" i="1"/>
  <c r="AT18" i="1"/>
  <c r="F129" i="1"/>
  <c r="AE50" i="1"/>
  <c r="AX22" i="1"/>
  <c r="F87" i="1"/>
  <c r="AX111" i="1"/>
  <c r="AH26" i="1"/>
  <c r="U50" i="1"/>
  <c r="AO18" i="1"/>
  <c r="F115" i="1"/>
  <c r="AZ26" i="1"/>
  <c r="F61" i="1"/>
  <c r="AZ80" i="1"/>
  <c r="CP45" i="1"/>
  <c r="O45" i="1" s="1"/>
  <c r="AN186" i="7" l="1"/>
  <c r="AN79" i="7"/>
  <c r="L314" i="7"/>
  <c r="L315" i="7"/>
  <c r="AN165" i="7"/>
  <c r="K96" i="7"/>
  <c r="I96" i="7" s="1"/>
  <c r="GM45" i="1"/>
  <c r="GN45" i="1" s="1"/>
  <c r="L243" i="7"/>
  <c r="L208" i="7"/>
  <c r="L158" i="7"/>
  <c r="K186" i="7"/>
  <c r="I186" i="7" s="1"/>
  <c r="K118" i="7"/>
  <c r="I118" i="7" s="1"/>
  <c r="GM41" i="1"/>
  <c r="GN41" i="1" s="1"/>
  <c r="AW118" i="7"/>
  <c r="L310" i="7" s="1"/>
  <c r="L308" i="7" s="1"/>
  <c r="AN118" i="7"/>
  <c r="L112" i="7"/>
  <c r="L207" i="7"/>
  <c r="L244" i="7"/>
  <c r="K165" i="7"/>
  <c r="I165" i="7" s="1"/>
  <c r="L181" i="7"/>
  <c r="L304" i="7"/>
  <c r="L302" i="7" s="1"/>
  <c r="AO139" i="7"/>
  <c r="L134" i="7"/>
  <c r="K139" i="7"/>
  <c r="I139" i="7" s="1"/>
  <c r="AN139" i="7"/>
  <c r="AK50" i="1"/>
  <c r="X50" i="1" s="1"/>
  <c r="GM30" i="1"/>
  <c r="GN30" i="1" s="1"/>
  <c r="GM32" i="1"/>
  <c r="GN32" i="1" s="1"/>
  <c r="BA22" i="1"/>
  <c r="F100" i="1"/>
  <c r="H16" i="2" s="1"/>
  <c r="BA111" i="1"/>
  <c r="F74" i="1"/>
  <c r="W80" i="1"/>
  <c r="W26" i="1"/>
  <c r="AQ18" i="1"/>
  <c r="F121" i="1"/>
  <c r="U26" i="1"/>
  <c r="F72" i="1"/>
  <c r="G220" i="7" s="1"/>
  <c r="U80" i="1"/>
  <c r="F118" i="1"/>
  <c r="AX18" i="1"/>
  <c r="AK26" i="1"/>
  <c r="AE26" i="1"/>
  <c r="R50" i="1"/>
  <c r="AL50" i="1"/>
  <c r="T22" i="1"/>
  <c r="F101" i="1"/>
  <c r="T111" i="1"/>
  <c r="AF26" i="1"/>
  <c r="S50" i="1"/>
  <c r="BD18" i="1"/>
  <c r="F136" i="1"/>
  <c r="CF50" i="1"/>
  <c r="AC26" i="1"/>
  <c r="CH50" i="1"/>
  <c r="CE50" i="1"/>
  <c r="P50" i="1"/>
  <c r="AZ22" i="1"/>
  <c r="F91" i="1"/>
  <c r="AZ111" i="1"/>
  <c r="V22" i="1"/>
  <c r="V111" i="1"/>
  <c r="F103" i="1"/>
  <c r="GM28" i="1"/>
  <c r="AB50" i="1"/>
  <c r="F62" i="1"/>
  <c r="Q80" i="1"/>
  <c r="Q26" i="1"/>
  <c r="L299" i="7" l="1"/>
  <c r="K50" i="7"/>
  <c r="G325" i="7"/>
  <c r="L239" i="7"/>
  <c r="L237" i="7" s="1"/>
  <c r="L197" i="7"/>
  <c r="L195" i="7" s="1"/>
  <c r="L233" i="7"/>
  <c r="L231" i="7" s="1"/>
  <c r="L203" i="7"/>
  <c r="L201" i="7" s="1"/>
  <c r="V18" i="1"/>
  <c r="F134" i="1"/>
  <c r="R80" i="1"/>
  <c r="R26" i="1"/>
  <c r="F64" i="1"/>
  <c r="Q22" i="1"/>
  <c r="Q111" i="1"/>
  <c r="F92" i="1"/>
  <c r="P26" i="1"/>
  <c r="P80" i="1"/>
  <c r="F53" i="1"/>
  <c r="AL26" i="1"/>
  <c r="Y50" i="1"/>
  <c r="AV50" i="1"/>
  <c r="CE26" i="1"/>
  <c r="U22" i="1"/>
  <c r="U111" i="1"/>
  <c r="F102" i="1"/>
  <c r="CH26" i="1"/>
  <c r="AY50" i="1"/>
  <c r="AZ18" i="1"/>
  <c r="F122" i="1"/>
  <c r="T18" i="1"/>
  <c r="F132" i="1"/>
  <c r="X26" i="1"/>
  <c r="X80" i="1"/>
  <c r="F76" i="1"/>
  <c r="BA18" i="1"/>
  <c r="F131" i="1"/>
  <c r="S26" i="1"/>
  <c r="F65" i="1"/>
  <c r="S80" i="1"/>
  <c r="W22" i="1"/>
  <c r="W111" i="1"/>
  <c r="F104" i="1"/>
  <c r="AB26" i="1"/>
  <c r="O50" i="1"/>
  <c r="CF26" i="1"/>
  <c r="AW50" i="1"/>
  <c r="GN28" i="1"/>
  <c r="CB50" i="1" s="1"/>
  <c r="CA50" i="1"/>
  <c r="L228" i="7" l="1"/>
  <c r="L226" i="7" s="1"/>
  <c r="L297" i="7" s="1"/>
  <c r="K49" i="7"/>
  <c r="G324" i="7"/>
  <c r="L192" i="7"/>
  <c r="L216" i="7" s="1"/>
  <c r="CA26" i="1"/>
  <c r="AR50" i="1"/>
  <c r="U18" i="1"/>
  <c r="F133" i="1"/>
  <c r="W18" i="1"/>
  <c r="F135" i="1"/>
  <c r="P22" i="1"/>
  <c r="P111" i="1"/>
  <c r="F83" i="1"/>
  <c r="R111" i="1"/>
  <c r="F94" i="1"/>
  <c r="R22" i="1"/>
  <c r="S22" i="1"/>
  <c r="S111" i="1"/>
  <c r="F95" i="1"/>
  <c r="AY26" i="1"/>
  <c r="AY80" i="1"/>
  <c r="F58" i="1"/>
  <c r="O26" i="1"/>
  <c r="F52" i="1"/>
  <c r="O80" i="1"/>
  <c r="Y26" i="1"/>
  <c r="Y80" i="1"/>
  <c r="F77" i="1"/>
  <c r="Q18" i="1"/>
  <c r="F123" i="1"/>
  <c r="CB26" i="1"/>
  <c r="AS50" i="1"/>
  <c r="AW26" i="1"/>
  <c r="F56" i="1"/>
  <c r="AW80" i="1"/>
  <c r="X22" i="1"/>
  <c r="F106" i="1"/>
  <c r="X111" i="1"/>
  <c r="AV26" i="1"/>
  <c r="F55" i="1"/>
  <c r="AV80" i="1"/>
  <c r="Y22" i="1" l="1"/>
  <c r="F107" i="1"/>
  <c r="Y111" i="1"/>
  <c r="F137" i="1"/>
  <c r="X18" i="1"/>
  <c r="J16" i="2"/>
  <c r="AV22" i="1"/>
  <c r="F85" i="1"/>
  <c r="AV111" i="1"/>
  <c r="AW22" i="1"/>
  <c r="F86" i="1"/>
  <c r="AW111" i="1"/>
  <c r="AY22" i="1"/>
  <c r="F88" i="1"/>
  <c r="AY111" i="1"/>
  <c r="AS26" i="1"/>
  <c r="F67" i="1"/>
  <c r="AS80" i="1"/>
  <c r="R18" i="1"/>
  <c r="F125" i="1"/>
  <c r="O22" i="1"/>
  <c r="F82" i="1"/>
  <c r="O111" i="1"/>
  <c r="S18" i="1"/>
  <c r="F126" i="1"/>
  <c r="P18" i="1"/>
  <c r="F114" i="1"/>
  <c r="AR26" i="1"/>
  <c r="AR80" i="1"/>
  <c r="F78" i="1"/>
  <c r="AR22" i="1" l="1"/>
  <c r="AR111" i="1"/>
  <c r="F108" i="1"/>
  <c r="F109" i="1" s="1"/>
  <c r="O18" i="1"/>
  <c r="F113" i="1"/>
  <c r="AY18" i="1"/>
  <c r="F119" i="1"/>
  <c r="AV18" i="1"/>
  <c r="F116" i="1"/>
  <c r="Y18" i="1"/>
  <c r="F138" i="1"/>
  <c r="AS22" i="1"/>
  <c r="AS111" i="1"/>
  <c r="F97" i="1"/>
  <c r="F117" i="1"/>
  <c r="AW18" i="1"/>
  <c r="E16" i="2" l="1"/>
  <c r="I16" i="2" s="1"/>
  <c r="N16" i="2" s="1"/>
  <c r="C49" i="7"/>
  <c r="AR18" i="1"/>
  <c r="F139" i="1"/>
  <c r="F140" i="1" s="1"/>
  <c r="AS18" i="1"/>
  <c r="F128" i="1"/>
  <c r="F141" i="1" l="1"/>
  <c r="F142" i="1"/>
</calcChain>
</file>

<file path=xl/sharedStrings.xml><?xml version="1.0" encoding="utf-8"?>
<sst xmlns="http://schemas.openxmlformats.org/spreadsheetml/2006/main" count="3170" uniqueCount="500">
  <si>
    <t>Smeta.RU  (495) 974-1589</t>
  </si>
  <si>
    <t>_PS_</t>
  </si>
  <si>
    <t>Smeta.RU</t>
  </si>
  <si>
    <t/>
  </si>
  <si>
    <t>Новый объект</t>
  </si>
  <si>
    <t>Ремонт   фасада 1 этаж</t>
  </si>
  <si>
    <t>Сметные нормы списания</t>
  </si>
  <si>
    <t>Коды ценников</t>
  </si>
  <si>
    <t>ФСНБ-2022_И18</t>
  </si>
  <si>
    <t>Версия 1.18.0 для ФСНБ-2022 И18</t>
  </si>
  <si>
    <t>ФСНБ-2022 - Изменения И18</t>
  </si>
  <si>
    <t>Поправки для ФСНБ-2022 от 21.05.2026 г И18 (55/пр) Капитальный ремонт жилых и общественных зданий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</si>
  <si>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</si>
  <si>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</si>
  <si>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Новая локальная смета</t>
  </si>
  <si>
    <t>Новый раздел</t>
  </si>
  <si>
    <t>Ремонт</t>
  </si>
  <si>
    <t>1</t>
  </si>
  <si>
    <t>61-02-001-03</t>
  </si>
  <si>
    <t>Ремонт штукатурки гладких фасадов по камню и бетону с земли и лесов: цементно-известковым раствором площадью отдельных мест более 5 м2 толщиной слоя до 20 мм</t>
  </si>
  <si>
    <t>100 м2</t>
  </si>
  <si>
    <t>ГЭСНр-2022 доп.8, 61-02-001-03, приказ Минстроя России от 14.11.2023 г. № 817/пр</t>
  </si>
  <si>
    <t>Ремонтно-строительные работы</t>
  </si>
  <si>
    <t>Штукатурные работы</t>
  </si>
  <si>
    <t>рФЕР-61</t>
  </si>
  <si>
    <t>Пр/812-095.0-1</t>
  </si>
  <si>
    <t>Пр/774-095.0</t>
  </si>
  <si>
    <t>1,1</t>
  </si>
  <si>
    <t>999-9900</t>
  </si>
  <si>
    <t>Строительный мусор</t>
  </si>
  <si>
    <t>т</t>
  </si>
  <si>
    <t>2</t>
  </si>
  <si>
    <t>61-02-001-04</t>
  </si>
  <si>
    <t>Ремонт штукатурки гладких фасадов по камню и бетону с земли и лесов: на каждые следующие 10 мм толщины слоя добавлять к норме 61-02-001-03</t>
  </si>
  <si>
    <t>ГЭСНр-2022 доп.8, 61-02-001-04, приказ Минстроя России от 14.11.2023 г. № 817/пр</t>
  </si>
  <si>
    <t>*3</t>
  </si>
  <si>
    <t>2,1</t>
  </si>
  <si>
    <t>3</t>
  </si>
  <si>
    <t>15-04-048-04</t>
  </si>
  <si>
    <t>Отделка фасадов мелкозернистыми декоративными покрытиями из минеральных или полимерминеральных составов по подготовленной поверхности с лесов и земли, состав с наполнителем: из крупнозернистого минерала (размер зерна до 5 мм)</t>
  </si>
  <si>
    <t>ГЭСН-2022 доп.7, 15-04-048-04, приказ Минстроя России от 02.08.2023 г. № 551/пр</t>
  </si>
  <si>
    <t>*1,25</t>
  </si>
  <si>
    <t>*1,15</t>
  </si>
  <si>
    <t>*0,9</t>
  </si>
  <si>
    <t>*0,85</t>
  </si>
  <si>
    <t>Общестроительные работы</t>
  </si>
  <si>
    <t>Отделочные работы</t>
  </si>
  <si>
    <t>ФЕР-15</t>
  </si>
  <si>
    <t>Поправка: 421/пр_2020_п.58_пп.б</t>
  </si>
  <si>
    <t>Пр/812-015.0-1</t>
  </si>
  <si>
    <t>Пр/774-015.0</t>
  </si>
  <si>
    <t>3,1</t>
  </si>
  <si>
    <t>04.3.01.02-0001</t>
  </si>
  <si>
    <t>Состав пастовый минеральный или полиминеральный декоративный для отделки фасадов, внутренних стен и потолков на латексной основе с минеральным наполнителем, размер зерна 0,5-5,0 мм</t>
  </si>
  <si>
    <t>ФСБЦ-2022, 04.3.01.02-0001, приказ Минстроя России от 18.05.2022 г. № 378/пр</t>
  </si>
  <si>
    <t>3,2</t>
  </si>
  <si>
    <t>14.4.01.02-0012</t>
  </si>
  <si>
    <t>Грунтовка укрепляющая, глубокого проникновения, быстросохнущая, паропроницаемая</t>
  </si>
  <si>
    <t>кг</t>
  </si>
  <si>
    <t>ФСБЦ-2022, 14.4.01.02-0012, приказ Минстроя России от 18.05.2022 г. № 378/пр</t>
  </si>
  <si>
    <t>4</t>
  </si>
  <si>
    <t>58-01-014-06</t>
  </si>
  <si>
    <t>Смена покрытия кровли простой сложности из листовой стали: без настенных желобов и свесов</t>
  </si>
  <si>
    <t>ГЭСНр-2022 доп.14, 58-01-014-06, приказ Минстроя России от 19.05.2025 г. № 299/пр</t>
  </si>
  <si>
    <t>Крыши, кровли</t>
  </si>
  <si>
    <t>рФЕР-58</t>
  </si>
  <si>
    <t>Пр/812-092.0-1</t>
  </si>
  <si>
    <t>Пр/774-092.0</t>
  </si>
  <si>
    <t>Крыши, кровля</t>
  </si>
  <si>
    <t>4,1</t>
  </si>
  <si>
    <t>08.3.09.02-0031</t>
  </si>
  <si>
    <t>Профнастил оцинкованный с лакокрасочным или полимерным покрытием</t>
  </si>
  <si>
    <t>м2</t>
  </si>
  <si>
    <t>ФСБЦ-2022 доп.8, 08.3.09.02-0031, приказ Минстроя России от 14.11.2023 г. № 817/пр</t>
  </si>
  <si>
    <t>5</t>
  </si>
  <si>
    <t>58-01-019-03</t>
  </si>
  <si>
    <t>Смена мелких покрытий из листовой стали в кровлях из рулонных и штучных материалов: карнизных свесов, прим. карнизов декоративных</t>
  </si>
  <si>
    <t>100 м</t>
  </si>
  <si>
    <t>ГЭСНр-2022, 58-01-019-03, приказ Минстроя России от 18.05.2022 г. № 378/пр</t>
  </si>
  <si>
    <t>5,1</t>
  </si>
  <si>
    <t>08.1.02.25-0062</t>
  </si>
  <si>
    <t>Кляммеры стальные оцинкованные</t>
  </si>
  <si>
    <t>1000 ШТ</t>
  </si>
  <si>
    <t>ФСБЦ-2022 доп.3, 08.1.02.25-0062, приказ Минстроя России от 26.10.2022 г. № 905/пр</t>
  </si>
  <si>
    <t>5,2</t>
  </si>
  <si>
    <t>07.2.06.03-0119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</si>
  <si>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</si>
  <si>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м</t>
  </si>
  <si>
    <t>ФСБЦ-2022, 07.2.06.03-0119, приказ Минстроя России от 18.05.2022 г. № 378/пр</t>
  </si>
  <si>
    <t>5,3</t>
  </si>
  <si>
    <t>11.3.03.10-1175</t>
  </si>
  <si>
    <t>Профиль декоративный (карниз), одноярусный из стеклопластика, установка на кронштейнах, высота 500 мм</t>
  </si>
  <si>
    <t>ФСБЦ-2022, 11.3.03.10-1175, приказ Минстроя России от 18.05.2022 г. № 378/пр</t>
  </si>
  <si>
    <t>6</t>
  </si>
  <si>
    <t>15-03-001-03</t>
  </si>
  <si>
    <t>Установка гипсовых погонных деталей орнаментированных, плоских, выпуклых, рельефных, простого или сложного рисунка (порезки, пояса, фризы, капли и т.п.) высотой: до 500 мм, прим.</t>
  </si>
  <si>
    <t>ГЭСН-2022, 15-03-001-03, приказ Минстроя России от 18.05.2022 г. № 378/пр</t>
  </si>
  <si>
    <t>6,1</t>
  </si>
  <si>
    <t>6,2</t>
  </si>
  <si>
    <t>6,3</t>
  </si>
  <si>
    <t>7</t>
  </si>
  <si>
    <t>62-02-008-10</t>
  </si>
  <si>
    <t>Окраска перхлорвиниловыми красками по подготовленной поверхности фасадов: сложных за 2 раза с земли и лесов</t>
  </si>
  <si>
    <t>ГЭСНр-2022 доп.17, 62-02-008-10, приказ Минстроя России от 17.02.2026 г. № 91/пр</t>
  </si>
  <si>
    <t>Малярные работы</t>
  </si>
  <si>
    <t>рФЕР-62</t>
  </si>
  <si>
    <t>Пр/812-096.0-1</t>
  </si>
  <si>
    <t>Пр/774-096.0</t>
  </si>
  <si>
    <t>7,1</t>
  </si>
  <si>
    <t>14.4.02.07-0002</t>
  </si>
  <si>
    <t>Эмаль ХВ-161</t>
  </si>
  <si>
    <t>ФСБЦ-2022 доп.13, 14.4.02.07-0002, приказ Минстроя России от 07.02.2025 г. № 69/пр</t>
  </si>
  <si>
    <t>8</t>
  </si>
  <si>
    <t>47-1</t>
  </si>
  <si>
    <t>Погрузка в автотранспортное средство: мусор строительный с погрузкой вручную</t>
  </si>
  <si>
    <t>1т груза</t>
  </si>
  <si>
    <t>Погрузочно-разгрузочные работы</t>
  </si>
  <si>
    <t>812/пр и 774/пр п.106</t>
  </si>
  <si>
    <t>Пр/812-106.0-1</t>
  </si>
  <si>
    <t>Пр/774-106.0</t>
  </si>
  <si>
    <t>9</t>
  </si>
  <si>
    <t>02-15-1-01-0036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</si>
  <si>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36 км</t>
  </si>
  <si>
    <t>Автомобили бортовые</t>
  </si>
  <si>
    <t>Перевозка строительных грузов автомобильным транспортом</t>
  </si>
  <si>
    <t>Перевозка строительных грузов автомобильным транспортом, тракторами и прицепами</t>
  </si>
  <si>
    <t>812/пр и 774/пр п.107</t>
  </si>
  <si>
    <t>Пр/812-107.0-1</t>
  </si>
  <si>
    <t>Пр/774-107.0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</si>
  <si>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</si>
  <si>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</si>
  <si>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</si>
  <si>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</si>
  <si>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</si>
  <si>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</si>
  <si>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</si>
  <si>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</si>
  <si>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</si>
  <si>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</si>
  <si>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</si>
  <si>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</si>
  <si>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</si>
  <si>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</si>
  <si>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</si>
  <si>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</si>
  <si>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</si>
  <si>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</si>
  <si>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</si>
  <si>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</si>
  <si>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</si>
  <si>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</si>
  <si>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</si>
  <si>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</si>
  <si>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</si>
  <si>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</si>
  <si>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</si>
  <si>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</si>
  <si>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</si>
  <si>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</si>
  <si>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</si>
  <si>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</si>
  <si>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</si>
  <si>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</si>
  <si>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</si>
  <si>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</si>
  <si>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</si>
  <si>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</si>
  <si>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</si>
  <si>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</si>
  <si>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</si>
  <si>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</si>
  <si>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</si>
  <si>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</si>
  <si>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</si>
  <si>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</si>
  <si>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</si>
  <si>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</si>
  <si>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</si>
  <si>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</si>
  <si>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</si>
  <si>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</si>
  <si>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</si>
  <si>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</si>
  <si>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Итого</t>
  </si>
  <si>
    <t>НДС</t>
  </si>
  <si>
    <t>НДС 22%</t>
  </si>
  <si>
    <t>ИтогоНДС</t>
  </si>
  <si>
    <t>Итого с НДС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</si>
  <si>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</si>
  <si>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</si>
  <si>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</si>
  <si>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</si>
  <si>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</si>
  <si>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</si>
  <si>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</si>
  <si>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</si>
  <si>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</si>
  <si>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</si>
  <si>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</si>
  <si>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</si>
  <si>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</si>
  <si>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</si>
  <si>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</si>
  <si>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</si>
  <si>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</si>
  <si>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</si>
  <si>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</si>
  <si>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</si>
  <si>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</si>
  <si>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</si>
  <si>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</si>
  <si>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</si>
  <si>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</si>
  <si>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</si>
  <si>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</si>
  <si>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</si>
  <si>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</si>
  <si>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</si>
  <si>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</si>
  <si>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</si>
  <si>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</si>
  <si>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</si>
  <si>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</si>
  <si>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</si>
  <si>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</si>
  <si>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</si>
  <si>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</si>
  <si>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</si>
  <si>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</si>
  <si>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</si>
  <si>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</si>
  <si>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</si>
  <si>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</si>
  <si>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</si>
  <si>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</si>
  <si>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</si>
  <si>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</si>
  <si>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</si>
  <si>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</si>
  <si>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</si>
  <si>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</si>
  <si>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</si>
  <si>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</si>
  <si>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</si>
  <si>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</si>
  <si>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</si>
  <si>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</si>
  <si>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</si>
  <si>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</si>
  <si>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</si>
  <si>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</si>
  <si>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</si>
  <si>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</si>
  <si>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</si>
  <si>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</si>
  <si>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Вид цен</t>
  </si>
  <si>
    <t>Москва, КТЦ к ФСНБ-2022, 2 квартал 2026 г</t>
  </si>
  <si>
    <t>Сборник индексов</t>
  </si>
  <si>
    <t>Москва к ФСНБ-2022 ФГИС ЦС</t>
  </si>
  <si>
    <t>Письмо Минстроя России  «О размещении индексов изменения сметной стоимости строительства по группам однородных строительных ресурсов на II квартал 2026 года»</t>
  </si>
  <si>
    <t>Справочная информация</t>
  </si>
  <si>
    <t>Письмо Минстроя России от 22.05.2026 № 31076-ИФ/09</t>
  </si>
  <si>
    <t>Письмо Департамента экономической политики и развития города Москвы от 27.10.2025 № ДПР-3-23615/25(1)</t>
  </si>
  <si>
    <t>_OBSM_</t>
  </si>
  <si>
    <t>1-100-32</t>
  </si>
  <si>
    <t>Средний разряд работы 3,2</t>
  </si>
  <si>
    <t>чел.-ч.</t>
  </si>
  <si>
    <t>4-100-00</t>
  </si>
  <si>
    <t>Затраты труда машинистов</t>
  </si>
  <si>
    <t>91.06.03-060</t>
  </si>
  <si>
    <t>ФСЭМ-2022, 91.06.03-060, приказ Минстроя России от 18.05.2022 г. № 378/пр</t>
  </si>
  <si>
    <t>Лебедки электрические тяговым усилием до 5,79 кН (0,59 т)</t>
  </si>
  <si>
    <t>маш.-ч</t>
  </si>
  <si>
    <t>91.06.05-060</t>
  </si>
  <si>
    <t>ФСЭМ-2022, 91.06.05-060, приказ Минстроя России от 18.05.2022 г. № 378/пр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</si>
  <si>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</si>
  <si>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4-100-040</t>
  </si>
  <si>
    <t>01.7.03.01-0001</t>
  </si>
  <si>
    <t>ФСБЦ-2022, 01.7.03.01-0001, приказ Минстроя России от 18.05.2022 г. № 378/пр</t>
  </si>
  <si>
    <t>Вода</t>
  </si>
  <si>
    <t>м3</t>
  </si>
  <si>
    <t>04.3.01.07-0025</t>
  </si>
  <si>
    <t>ФСБЦ-2022, 04.3.01.07-0025, приказ Минстроя России от 18.05.2022 г. № 378/пр</t>
  </si>
  <si>
    <t>Раствор штукатурный, известковый, М100</t>
  </si>
  <si>
    <t>1-100-46</t>
  </si>
  <si>
    <t>Средний разряд работы 4,6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</si>
  <si>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</si>
  <si>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</si>
  <si>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</si>
  <si>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01.7.03.04-0001</t>
  </si>
  <si>
    <t>ФСБЦ-2022, 01.7.03.04-0001, приказ Минстроя России от 18.05.2022 г. № 378/пр</t>
  </si>
  <si>
    <t>Электроэнергия</t>
  </si>
  <si>
    <t>КВТ-Ч</t>
  </si>
  <si>
    <t>1-100-33</t>
  </si>
  <si>
    <t>Средний разряд работы 3,3</t>
  </si>
  <si>
    <t>91.06.06-048</t>
  </si>
  <si>
    <t>ФСЭМ-2022, 91.06.06-048, приказ Минстроя России от 18.05.2022 г. № 378/пр</t>
  </si>
  <si>
    <t>Подъемники одномачтовые, грузоподъемность до 500 кг, высота подъема 45 м</t>
  </si>
  <si>
    <t>4-100-030</t>
  </si>
  <si>
    <t>01.7.15.06-0111</t>
  </si>
  <si>
    <t>ФСБЦ-2022, 01.7.15.06-0111, приказ Минстроя России от 18.05.2022 г. № 378/пр</t>
  </si>
  <si>
    <t>Гвозди строительные</t>
  </si>
  <si>
    <t>08.1.02.11-0001</t>
  </si>
  <si>
    <t>ФСБЦ-2022, 08.1.02.11-0001, приказ Минстроя России от 18.05.2022 г. № 378/пр</t>
  </si>
  <si>
    <t>Поковки из квадратных заготовок, масса 1,5-4,5 кг</t>
  </si>
  <si>
    <t>14.5.02.02-0101</t>
  </si>
  <si>
    <t>ФСБЦ-2022, 14.5.02.02-0101, приказ Минстроя России от 18.05.2022 г. № 378/пр</t>
  </si>
  <si>
    <t>Мастика-замазка защитная на акриловой основе, универсальная</t>
  </si>
  <si>
    <t>1-100-25</t>
  </si>
  <si>
    <t>Средний разряд работы 2,5</t>
  </si>
  <si>
    <t>*0</t>
  </si>
  <si>
    <t>08.3.03.05-0001</t>
  </si>
  <si>
    <t>ФСБЦ-2022, 08.3.03.05-0001, приказ Минстроя России от 18.05.2022 г. № 378/пр</t>
  </si>
  <si>
    <t>Проволока канатная оцинкованная, диаметр 2,6 мм</t>
  </si>
  <si>
    <t>91.06.05-011</t>
  </si>
  <si>
    <t>ФСЭМ-2022, 91.06.05-011, приказ Минстроя России от 18.05.2022 г. № 378/пр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</si>
  <si>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</si>
  <si>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</si>
  <si>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>01.7.15.06-0121</t>
  </si>
  <si>
    <t>ФСБЦ-2022, 01.7.15.06-0121, приказ Минстроя России от 18.05.2022 г. № 378/пр</t>
  </si>
  <si>
    <t>Гвозди стальные строительные, диаметр 1,6 мм, длина 50 мм</t>
  </si>
  <si>
    <t>03.1.01.01-0002</t>
  </si>
  <si>
    <t>ФСБЦ-2022, 03.1.01.01-0002, приказ Минстроя России от 18.05.2022 г. № 378/пр</t>
  </si>
  <si>
    <t>Гипс строительный Г-3</t>
  </si>
  <si>
    <t>08.3.03.04-0043</t>
  </si>
  <si>
    <t>ФСБЦ-2022, 08.3.03.04-0043, приказ Минстроя России от 18.05.2022 г. № 378/пр</t>
  </si>
  <si>
    <t>Проволока черная, диаметр 1,0-1,1 мм</t>
  </si>
  <si>
    <t>11.1.03.05-0064</t>
  </si>
  <si>
    <t>ФСБЦ-2022, 11.1.03.05-0064, приказ Минстроя России от 18.05.2022 г. № 378/пр</t>
  </si>
  <si>
    <t>Доска необрезная хвойных пород, естественной влажности, длина 2-6,5 м, ширина 100-250, толщина 30-50 мм, сорт II</t>
  </si>
  <si>
    <t>1-100-31</t>
  </si>
  <si>
    <t>Средний разряд работы 3,1</t>
  </si>
  <si>
    <t>91.18.01-011</t>
  </si>
  <si>
    <t>ФСЭМ-2022 доп.3, 91.18.01-011, приказ Минстроя России от 26.10.2022 г. № 905/пр</t>
  </si>
  <si>
    <t>Компрессоры поршневые передвижные с электродвигателем, давление до 0,6 МПа (6 атм), производительность до 0,83 м3/мин</t>
  </si>
  <si>
    <t>91.21.01-012</t>
  </si>
  <si>
    <t>ФСЭМ-2022 доп.11, 91.21.01-012, приказ Минстроя России от 09.08.2024 г. № 524/пр</t>
  </si>
  <si>
    <t>Агрегаты окрасочные высокого давления для окраски поверхностей конструкций, мощность 1 кВт</t>
  </si>
  <si>
    <t>01.7.20.08-0051</t>
  </si>
  <si>
    <t>ФСБЦ-2022 доп.8, 01.7.20.08-0051, приказ Минстроя России от 14.11.2023 г. № 817/пр</t>
  </si>
  <si>
    <t>Ветошь хлопчатобумажная цветная</t>
  </si>
  <si>
    <t>14.5.09.11-0102</t>
  </si>
  <si>
    <t>ФСБЦ-2022, 14.5.09.11-0102, приказ Минстроя России от 18.05.2022 г. № 378/пр</t>
  </si>
  <si>
    <t>Уайт-спирит</t>
  </si>
  <si>
    <t>04.3.01.02</t>
  </si>
  <si>
    <t>Минеральный или полимерминеральный декоративный состав</t>
  </si>
  <si>
    <t>14.4.01.02</t>
  </si>
  <si>
    <t>Грунтовка</t>
  </si>
  <si>
    <t>08.3.05.05</t>
  </si>
  <si>
    <t>Сталь листовая оцинкованная</t>
  </si>
  <si>
    <t>05.3.01.07</t>
  </si>
  <si>
    <t>Детали лепные погонные</t>
  </si>
  <si>
    <t>14.4.02.07</t>
  </si>
  <si>
    <t>Краски перхлорвиниловые</t>
  </si>
  <si>
    <t>421/пр_2020_п.58_пп.б</t>
  </si>
  <si>
    <t>Методика 421/пр (О.П.)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</si>
  <si>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t>
  </si>
  <si>
    <t>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</si>
  <si>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Поправка: 421/пр_2020_п.58_пп.б
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</si>
  <si>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"СОГЛАСОВАНО"</t>
  </si>
  <si>
    <t>"УТВЕРЖДАЮ"</t>
  </si>
  <si>
    <t>"_____"________________ 2026 г.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</si>
  <si>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</si>
  <si>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</si>
  <si>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</si>
  <si>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</si>
  <si>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</si>
  <si>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</si>
  <si>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</si>
  <si>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</si>
  <si>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</si>
  <si>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</si>
  <si>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</si>
  <si>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</si>
  <si>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</si>
  <si>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</si>
  <si>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</si>
  <si>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</si>
  <si>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</si>
  <si>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</si>
  <si>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</si>
  <si>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</si>
  <si>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</si>
  <si>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</si>
  <si>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</si>
  <si>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</si>
  <si>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</si>
  <si>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</si>
  <si>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</si>
  <si>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</si>
  <si>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</si>
  <si>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</si>
  <si>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</si>
  <si>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</si>
  <si>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</si>
  <si>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</si>
  <si>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</si>
  <si>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</si>
  <si>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</si>
  <si>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</si>
  <si>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</si>
  <si>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«Smeta.RU» версия 12»</t>
  </si>
  <si>
    <t>ФГИС ЦС, конъюнктурный анализ</t>
  </si>
  <si>
    <t>Ресурсно-индексным</t>
  </si>
  <si>
    <t>Составлен(а) в текущем уровне цен на II квартал 2026 года</t>
  </si>
  <si>
    <t>Раздел: Ремонт</t>
  </si>
  <si>
    <t>ГЭСНр 61-02-001-03</t>
  </si>
  <si>
    <t>ОТ (ЗТ)</t>
  </si>
  <si>
    <t>ЭМ</t>
  </si>
  <si>
    <t>ОТм(ЗТм) Средний разряд машинистов 4</t>
  </si>
  <si>
    <t>ОТм(ЗТм)</t>
  </si>
  <si>
    <t>М</t>
  </si>
  <si>
    <t>Итого прямые затраты</t>
  </si>
  <si>
    <t>1.1</t>
  </si>
  <si>
    <t>ФОТ</t>
  </si>
  <si>
    <t>НР Штукатурные работы</t>
  </si>
  <si>
    <t>%</t>
  </si>
  <si>
    <t>СП Штукатурные работы</t>
  </si>
  <si>
    <t>Всего по позиции</t>
  </si>
  <si>
    <t>=</t>
  </si>
  <si>
    <t>ГЭСНр 61-02-001-04</t>
  </si>
  <si>
    <r>
      <t>Ремонт штукатурки гладких фасадов по камню и бетону с земли и лесов: на каждые следующие 10 мм толщины слоя добавлять к норме 61-02-001-03</t>
    </r>
    <r>
      <rPr>
        <i/>
        <sz val="10"/>
        <rFont val="Arial"/>
        <family val="2"/>
        <charset val="204"/>
      </rPr>
      <t xml:space="preserve">
Поправки к: 
М *3;   
ЭМ *3;   
ЗТ *3;   
ЗТм *3</t>
    </r>
  </si>
  <si>
    <t>2.1</t>
  </si>
  <si>
    <t>ГЭСН 15-04-048-04</t>
  </si>
  <si>
    <t>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
ЭМ *1,25; ЗТ *1,15; ЗТм *1,25; НР *0,9; СП *0,85</t>
  </si>
  <si>
    <t>3.1</t>
  </si>
  <si>
    <t>3.2</t>
  </si>
  <si>
    <t>Пр/812-015.0-1;_x000D_
п.25</t>
  </si>
  <si>
    <t>НР Отделочные работы</t>
  </si>
  <si>
    <t>Пр/774-015.0;_x000D_
п.16</t>
  </si>
  <si>
    <t>СП Отделочные работы</t>
  </si>
  <si>
    <t>ГЭСНр 58-01-014-06</t>
  </si>
  <si>
    <t>ОТм(ЗТм) Средний разряд машинистов 3</t>
  </si>
  <si>
    <t>4.1</t>
  </si>
  <si>
    <t>НР Крыши, кровля</t>
  </si>
  <si>
    <t>СП Крыши, кровля</t>
  </si>
  <si>
    <t>ГЭСН 15-03-001-03</t>
  </si>
  <si>
    <t>ОТм(ЗТм) Средний разряд машинистов 5</t>
  </si>
  <si>
    <t>6.1</t>
  </si>
  <si>
    <t>6.2</t>
  </si>
  <si>
    <t>6.3</t>
  </si>
  <si>
    <t>ГЭСНр 62-02-008-10</t>
  </si>
  <si>
    <t>7.1</t>
  </si>
  <si>
    <t>НР Малярные работы</t>
  </si>
  <si>
    <t>СП Малярные работы</t>
  </si>
  <si>
    <t>Итого прямые затраты по разделу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</si>
  <si>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</si>
  <si>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</si>
  <si>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</si>
  <si>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</si>
  <si>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</si>
  <si>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</si>
  <si>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</si>
  <si>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</si>
  <si>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</si>
  <si>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</si>
  <si>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</si>
  <si>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</si>
  <si>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</si>
  <si>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</si>
  <si>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</si>
  <si>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</si>
  <si>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</si>
  <si>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</si>
  <si>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</si>
  <si>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</si>
  <si>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</si>
  <si>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</si>
  <si>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</si>
  <si>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</si>
  <si>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  оплата труда машинистов (ОТм)</t>
  </si>
  <si>
    <t>ИТОГИ ПО СМЕТЕ</t>
  </si>
  <si>
    <t>ВСЕГО строительные работы</t>
  </si>
  <si>
    <t>Всего прямые затраты</t>
  </si>
  <si>
    <t xml:space="preserve">  оплата труда (ОТ)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</si>
  <si>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</si>
  <si>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</si>
  <si>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</si>
  <si>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</si>
  <si>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</si>
  <si>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</si>
  <si>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</si>
  <si>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</si>
  <si>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</si>
  <si>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</si>
  <si>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по смете</t>
  </si>
  <si>
    <t>Всего оборудование</t>
  </si>
  <si>
    <t>Всего прочие затраты</t>
  </si>
  <si>
    <t xml:space="preserve">Составил   </t>
  </si>
  <si>
    <t>[должность,подпись(инициалы,фамилия)]</t>
  </si>
  <si>
    <t xml:space="preserve">Проверил   </t>
  </si>
  <si>
    <t>___________________________</t>
  </si>
  <si>
    <t>" ___ " ___________ 20 ___ г.</t>
  </si>
  <si>
    <t xml:space="preserve">Мы, нижеподписавшиеся, произвели осмотр объекта </t>
  </si>
  <si>
    <t xml:space="preserve">и постановили произвести ремонт объекта в </t>
  </si>
  <si>
    <t>следующем объеме:</t>
  </si>
  <si>
    <t>Примечание</t>
  </si>
  <si>
    <t>Заказчик _________________</t>
  </si>
  <si>
    <t>Подрядчик _________________</t>
  </si>
  <si>
    <t>НДС-22%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</si>
</sst>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#,##0.00;[Red]\-\ #,##0.00"/>
    <numFmt numFmtId="166" formatCode="#,##0.00#####;[Red]\-\ #,##0.00#####"/>
    <numFmt numFmtId="167" formatCode="#,##0.00_ ;[Red]\-#,##0.00\ "/>
  </numFmts>
  <fonts count="28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9" fillId="0" borderId="0" xfId="0" applyFont="1"/>
    <xf numFmtId="0" fontId="11" fillId="0" borderId="0" xfId="0" applyNumberFormat="1" applyFont="1" applyAlignment="1"/>
    <xf numFmtId="0" fontId="14" fillId="0" borderId="0" xfId="0" applyNumberFormat="1" applyFont="1" applyAlignment="1"/>
    <xf numFmtId="0" fontId="16" fillId="0" borderId="0" xfId="0" applyNumberFormat="1" applyFont="1" applyAlignment="1"/>
    <xf numFmtId="0" fontId="16" fillId="0" borderId="0" xfId="0" applyNumberFormat="1" applyFont="1" applyAlignment="1">
      <alignment horizontal="left"/>
    </xf>
    <xf numFmtId="0" fontId="16" fillId="0" borderId="0" xfId="0" applyNumberFormat="1" applyFont="1" applyAlignment="1">
      <alignment wrapText="1"/>
    </xf>
    <xf numFmtId="0" fontId="10" fillId="0" borderId="0" xfId="0" applyNumberFormat="1" applyFont="1" applyAlignment="1"/>
    <xf numFmtId="0" fontId="10" fillId="0" borderId="0" xfId="0" applyNumberFormat="1" applyFont="1" applyAlignment="1">
      <alignment vertical="top" wrapText="1"/>
    </xf>
    <xf numFmtId="0" fontId="10" fillId="0" borderId="2" xfId="0" applyNumberFormat="1" applyFont="1" applyBorder="1" applyAlignment="1">
      <alignment vertical="top"/>
    </xf>
    <xf numFmtId="0" fontId="10" fillId="0" borderId="0" xfId="0" applyNumberFormat="1" applyFont="1" applyAlignment="1">
      <alignment horizontal="left" vertical="top" wrapText="1"/>
    </xf>
    <xf numFmtId="0" fontId="10" fillId="0" borderId="2" xfId="0" applyNumberFormat="1" applyFont="1" applyBorder="1" applyAlignment="1">
      <alignment horizontal="left" vertical="top" wrapText="1"/>
    </xf>
    <xf numFmtId="0" fontId="11" fillId="0" borderId="2" xfId="0" applyNumberFormat="1" applyFont="1" applyBorder="1" applyAlignment="1"/>
    <xf numFmtId="0" fontId="19" fillId="0" borderId="0" xfId="0" applyNumberFormat="1" applyFont="1" applyAlignment="1">
      <alignment vertical="center" wrapText="1"/>
    </xf>
    <xf numFmtId="0" fontId="19" fillId="0" borderId="0" xfId="0" applyNumberFormat="1" applyFont="1" applyAlignment="1">
      <alignment horizontal="center" wrapText="1"/>
    </xf>
    <xf numFmtId="0" fontId="10" fillId="0" borderId="0" xfId="0" applyNumberFormat="1" applyFont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2" xfId="0" applyNumberFormat="1" applyFont="1" applyBorder="1" applyAlignment="1"/>
    <xf numFmtId="0" fontId="10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wrapText="1"/>
    </xf>
    <xf numFmtId="0" fontId="13" fillId="0" borderId="0" xfId="0" applyNumberFormat="1" applyFont="1" applyAlignment="1"/>
    <xf numFmtId="14" fontId="16" fillId="0" borderId="0" xfId="0" applyNumberFormat="1" applyFont="1" applyAlignment="1"/>
    <xf numFmtId="0" fontId="10" fillId="0" borderId="0" xfId="0" applyNumberFormat="1" applyFont="1" applyAlignment="1">
      <alignment horizontal="right"/>
    </xf>
    <xf numFmtId="0" fontId="17" fillId="0" borderId="0" xfId="0" applyNumberFormat="1" applyFont="1" applyAlignment="1"/>
    <xf numFmtId="164" fontId="10" fillId="0" borderId="0" xfId="0" applyNumberFormat="1" applyFont="1" applyAlignment="1">
      <alignment horizontal="right"/>
    </xf>
    <xf numFmtId="0" fontId="16" fillId="0" borderId="1" xfId="0" applyNumberFormat="1" applyFont="1" applyBorder="1" applyAlignment="1"/>
    <xf numFmtId="0" fontId="10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/>
    </xf>
    <xf numFmtId="0" fontId="16" fillId="0" borderId="0" xfId="0" applyNumberFormat="1" applyFont="1" applyAlignment="1">
      <alignment horizontal="center"/>
    </xf>
    <xf numFmtId="0" fontId="16" fillId="0" borderId="7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left" vertical="top" wrapText="1"/>
    </xf>
    <xf numFmtId="0" fontId="22" fillId="0" borderId="0" xfId="0" applyFont="1"/>
    <xf numFmtId="0" fontId="22" fillId="0" borderId="0" xfId="0" quotePrefix="1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right" vertical="top" wrapText="1"/>
    </xf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horizontal="right" vertical="top" wrapText="1"/>
    </xf>
    <xf numFmtId="165" fontId="22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 wrapText="1"/>
    </xf>
    <xf numFmtId="166" fontId="22" fillId="0" borderId="0" xfId="0" applyNumberFormat="1" applyFont="1" applyAlignment="1">
      <alignment horizontal="right" vertical="top"/>
    </xf>
    <xf numFmtId="165" fontId="24" fillId="0" borderId="0" xfId="0" applyNumberFormat="1" applyFont="1" applyAlignment="1">
      <alignment horizontal="right" vertical="top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right" vertical="top" wrapText="1"/>
    </xf>
    <xf numFmtId="0" fontId="22" fillId="0" borderId="1" xfId="0" applyFont="1" applyBorder="1" applyAlignment="1">
      <alignment horizontal="right" vertical="top"/>
    </xf>
    <xf numFmtId="165" fontId="22" fillId="0" borderId="1" xfId="0" applyNumberFormat="1" applyFont="1" applyBorder="1" applyAlignment="1">
      <alignment horizontal="right" vertical="top"/>
    </xf>
    <xf numFmtId="0" fontId="22" fillId="0" borderId="1" xfId="0" applyFont="1" applyBorder="1" applyAlignment="1">
      <alignment horizontal="right" vertical="top" wrapText="1"/>
    </xf>
    <xf numFmtId="165" fontId="0" fillId="0" borderId="0" xfId="0" applyNumberFormat="1"/>
    <xf numFmtId="0" fontId="24" fillId="0" borderId="0" xfId="0" applyFont="1" applyAlignment="1">
      <alignment horizontal="left" vertical="top" wrapText="1"/>
    </xf>
    <xf numFmtId="0" fontId="22" fillId="0" borderId="0" xfId="0" applyFont="1" applyAlignment="1">
      <alignment vertical="top"/>
    </xf>
    <xf numFmtId="0" fontId="25" fillId="0" borderId="0" xfId="0" applyFont="1" applyAlignment="1">
      <alignment vertical="top" wrapText="1"/>
    </xf>
    <xf numFmtId="0" fontId="25" fillId="0" borderId="0" xfId="0" quotePrefix="1" applyFont="1" applyAlignment="1">
      <alignment vertical="top" wrapText="1"/>
    </xf>
    <xf numFmtId="0" fontId="22" fillId="0" borderId="1" xfId="0" quotePrefix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24" fillId="0" borderId="0" xfId="0" applyFont="1" applyAlignment="1">
      <alignment horizontal="right" vertical="top"/>
    </xf>
    <xf numFmtId="0" fontId="24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 wrapText="1"/>
    </xf>
    <xf numFmtId="165" fontId="24" fillId="0" borderId="2" xfId="0" applyNumberFormat="1" applyFont="1" applyBorder="1" applyAlignment="1">
      <alignment horizontal="right" vertical="top"/>
    </xf>
    <xf numFmtId="0" fontId="24" fillId="0" borderId="2" xfId="0" applyFont="1" applyBorder="1" applyAlignment="1">
      <alignment horizontal="right" vertical="top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Alignment="1"/>
    <xf numFmtId="165" fontId="11" fillId="0" borderId="0" xfId="0" applyNumberFormat="1" applyFont="1" applyAlignment="1"/>
    <xf numFmtId="166" fontId="11" fillId="0" borderId="0" xfId="0" applyNumberFormat="1" applyFont="1" applyAlignment="1"/>
    <xf numFmtId="0" fontId="11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 vertical="center"/>
    </xf>
    <xf numFmtId="0" fontId="16" fillId="0" borderId="1" xfId="0" applyNumberFormat="1" applyFont="1" applyBorder="1" applyAlignment="1">
      <alignment horizontal="left"/>
    </xf>
    <xf numFmtId="0" fontId="16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right"/>
    </xf>
    <xf numFmtId="0" fontId="24" fillId="0" borderId="0" xfId="0" applyFont="1" applyAlignment="1">
      <alignment horizontal="left" vertical="top"/>
    </xf>
    <xf numFmtId="0" fontId="22" fillId="0" borderId="7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/>
    </xf>
    <xf numFmtId="0" fontId="22" fillId="0" borderId="5" xfId="0" applyFont="1" applyFill="1" applyBorder="1" applyAlignment="1">
      <alignment horizontal="center"/>
    </xf>
    <xf numFmtId="0" fontId="22" fillId="0" borderId="7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wrapText="1"/>
    </xf>
    <xf numFmtId="0" fontId="22" fillId="0" borderId="7" xfId="0" applyFont="1" applyBorder="1" applyAlignment="1">
      <alignment horizontal="right" wrapText="1"/>
    </xf>
    <xf numFmtId="0" fontId="22" fillId="0" borderId="7" xfId="0" applyFont="1" applyBorder="1" applyAlignment="1">
      <alignment horizontal="right"/>
    </xf>
    <xf numFmtId="0" fontId="22" fillId="0" borderId="5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wrapText="1"/>
    </xf>
    <xf numFmtId="0" fontId="22" fillId="0" borderId="5" xfId="0" applyFont="1" applyBorder="1" applyAlignment="1">
      <alignment horizontal="right" wrapText="1"/>
    </xf>
    <xf numFmtId="0" fontId="22" fillId="0" borderId="5" xfId="0" applyFont="1" applyBorder="1" applyAlignment="1">
      <alignment horizontal="right"/>
    </xf>
    <xf numFmtId="0" fontId="24" fillId="0" borderId="0" xfId="0" applyFont="1"/>
    <xf numFmtId="165" fontId="24" fillId="0" borderId="0" xfId="0" applyNumberFormat="1" applyFont="1" applyAlignment="1">
      <alignment horizontal="right"/>
    </xf>
    <xf numFmtId="167" fontId="24" fillId="0" borderId="0" xfId="0" applyNumberFormat="1" applyFont="1"/>
    <xf numFmtId="2" fontId="24" fillId="0" borderId="0" xfId="0" applyNumberFormat="1" applyFont="1"/>
    <xf numFmtId="0" fontId="26" fillId="0" borderId="2" xfId="0" applyNumberFormat="1" applyFont="1" applyBorder="1" applyAlignment="1">
      <alignment horizontal="center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165" fontId="24" fillId="0" borderId="0" xfId="0" applyNumberFormat="1" applyFont="1" applyAlignment="1">
      <alignment horizontal="left" vertical="top"/>
    </xf>
    <xf numFmtId="165" fontId="24" fillId="0" borderId="2" xfId="0" applyNumberFormat="1" applyFont="1" applyBorder="1" applyAlignment="1">
      <alignment horizontal="right" vertical="top"/>
    </xf>
    <xf numFmtId="0" fontId="25" fillId="0" borderId="0" xfId="0" applyFont="1" applyAlignment="1">
      <alignment vertical="top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165" fontId="10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left" wrapText="1"/>
    </xf>
    <xf numFmtId="0" fontId="15" fillId="0" borderId="1" xfId="0" applyNumberFormat="1" applyFont="1" applyBorder="1" applyAlignment="1">
      <alignment horizontal="center" wrapText="1"/>
    </xf>
    <xf numFmtId="0" fontId="15" fillId="0" borderId="0" xfId="0" applyNumberFormat="1" applyFont="1" applyAlignment="1">
      <alignment horizontal="center" wrapText="1"/>
    </xf>
    <xf numFmtId="0" fontId="20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16" fillId="0" borderId="0" xfId="0" applyNumberFormat="1" applyFont="1" applyAlignment="1">
      <alignment horizontal="left" wrapText="1"/>
    </xf>
    <xf numFmtId="0" fontId="15" fillId="0" borderId="0" xfId="0" applyNumberFormat="1" applyFont="1" applyAlignment="1">
      <alignment horizontal="left"/>
    </xf>
    <xf numFmtId="0" fontId="16" fillId="0" borderId="0" xfId="0" applyNumberFormat="1" applyFont="1" applyAlignment="1">
      <alignment horizontal="left"/>
    </xf>
    <xf numFmtId="0" fontId="24" fillId="0" borderId="0" xfId="0" applyFont="1" applyBorder="1" applyAlignment="1">
      <alignment horizontal="right"/>
    </xf>
    <xf numFmtId="0" fontId="27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36"/>
  <sheetViews>
    <sheetView tabSelected="1" topLeftCell="A229" zoomScaleNormal="100" workbookViewId="0">
      <selection activeCell="C308" sqref="C308:H308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2" width="0" hidden="1" customWidth="1"/>
    <col min="93" max="93" width="108.7109375" hidden="1" customWidth="1"/>
    <col min="94" max="100" width="0" hidden="1" customWidth="1"/>
    <col min="101" max="101" width="173.7109375" hidden="1" customWidth="1"/>
  </cols>
  <sheetData>
    <row r="1" spans="1:93" x14ac:dyDescent="0.2">
      <c r="A1" s="14" t="str">
        <f>Source!B1</f>
        <v>Smeta.RU  (495) 974-1589</v>
      </c>
    </row>
    <row r="2" spans="1:93" ht="12.7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93" ht="16.5" customHeight="1" x14ac:dyDescent="0.25">
      <c r="A3" s="16"/>
      <c r="B3" s="135" t="s">
        <v>359</v>
      </c>
      <c r="C3" s="135"/>
      <c r="D3" s="135"/>
      <c r="E3" s="135"/>
      <c r="F3" s="17"/>
      <c r="G3" s="17"/>
      <c r="H3" s="135" t="s">
        <v>360</v>
      </c>
      <c r="I3" s="135"/>
      <c r="J3" s="135"/>
      <c r="K3" s="135"/>
      <c r="L3" s="135"/>
    </row>
    <row r="4" spans="1:93" ht="14.25" customHeight="1" x14ac:dyDescent="0.2">
      <c r="A4" s="17"/>
      <c r="B4" s="136"/>
      <c r="C4" s="136"/>
      <c r="D4" s="136"/>
      <c r="E4" s="136"/>
      <c r="F4" s="17"/>
      <c r="G4" s="17"/>
      <c r="H4" s="136"/>
      <c r="I4" s="136"/>
      <c r="J4" s="136"/>
      <c r="K4" s="136"/>
      <c r="L4" s="136"/>
    </row>
    <row r="5" spans="1:93" ht="14.25" customHeight="1" x14ac:dyDescent="0.2">
      <c r="A5" s="17"/>
      <c r="B5" s="17"/>
      <c r="C5" s="18"/>
      <c r="D5" s="18"/>
      <c r="E5" s="18"/>
      <c r="F5" s="17"/>
      <c r="G5" s="17"/>
      <c r="H5" s="18"/>
      <c r="I5" s="18"/>
      <c r="J5" s="18"/>
      <c r="K5" s="18"/>
      <c r="L5" s="18"/>
    </row>
    <row r="6" spans="1:93" ht="14.25" customHeight="1" x14ac:dyDescent="0.2">
      <c r="A6" s="18"/>
      <c r="B6" s="136" t="str">
        <f>CONCATENATE("______________________ ", IF(Source!AL12&lt;&gt;"", Source!AL12, ""))</f>
        <v xml:space="preserve">______________________ </v>
      </c>
      <c r="C6" s="136"/>
      <c r="D6" s="136"/>
      <c r="E6" s="136"/>
      <c r="F6" s="17"/>
      <c r="G6" s="17"/>
      <c r="H6" s="136" t="str">
        <f>CONCATENATE("______________________ ", IF(Source!AH12&lt;&gt;"", Source!AH12, ""))</f>
        <v xml:space="preserve">______________________ </v>
      </c>
      <c r="I6" s="136"/>
      <c r="J6" s="136"/>
      <c r="K6" s="136"/>
      <c r="L6" s="136"/>
    </row>
    <row r="7" spans="1:93" ht="14.25" customHeight="1" x14ac:dyDescent="0.2">
      <c r="A7" s="19"/>
      <c r="B7" s="134" t="s">
        <v>361</v>
      </c>
      <c r="C7" s="134"/>
      <c r="D7" s="134"/>
      <c r="E7" s="134"/>
      <c r="F7" s="17"/>
      <c r="G7" s="17"/>
      <c r="H7" s="134" t="s">
        <v>361</v>
      </c>
      <c r="I7" s="134"/>
      <c r="J7" s="134"/>
      <c r="K7" s="134"/>
      <c r="L7" s="134"/>
    </row>
    <row r="10" spans="1:93" ht="12.75" customHeight="1" x14ac:dyDescent="0.2">
      <c r="A10" s="132" t="s">
        <v>362</v>
      </c>
      <c r="B10" s="132"/>
      <c r="C10" s="132"/>
      <c r="D10" s="132"/>
      <c r="E10" s="132"/>
      <c r="F10" s="133" t="s">
        <v>401</v>
      </c>
      <c r="G10" s="133"/>
      <c r="H10" s="133"/>
      <c r="I10" s="133"/>
      <c r="J10" s="133"/>
      <c r="K10" s="133"/>
      <c r="L10" s="133"/>
    </row>
    <row r="11" spans="1:93" ht="12.75" customHeight="1" x14ac:dyDescent="0.2">
      <c r="A11" s="21"/>
      <c r="B11" s="21"/>
      <c r="C11" s="21"/>
      <c r="D11" s="21"/>
      <c r="E11" s="21"/>
      <c r="F11" s="22"/>
      <c r="G11" s="22"/>
      <c r="H11" s="22"/>
      <c r="I11" s="22"/>
      <c r="J11" s="22"/>
      <c r="K11" s="22"/>
      <c r="L11" s="22"/>
    </row>
    <row r="12" spans="1:93" ht="25.5" x14ac:dyDescent="0.2">
      <c r="A12" s="132" t="s">
        <v>363</v>
      </c>
      <c r="B12" s="132"/>
      <c r="C12" s="132"/>
      <c r="D12" s="132"/>
      <c r="E12" s="132"/>
      <c r="F12" s="133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12" s="133"/>
      <c r="H12" s="133"/>
      <c r="I12" s="133"/>
      <c r="J12" s="133"/>
      <c r="K12" s="133"/>
      <c r="L12" s="133"/>
      <c r="CO12" s="44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13" spans="1:93" ht="12.75" customHeight="1" x14ac:dyDescent="0.2">
      <c r="A13" s="21"/>
      <c r="B13" s="21"/>
      <c r="C13" s="21"/>
      <c r="D13" s="21"/>
      <c r="E13" s="21"/>
      <c r="F13" s="22"/>
      <c r="G13" s="22"/>
      <c r="H13" s="22"/>
      <c r="I13" s="22"/>
      <c r="J13" s="22"/>
      <c r="K13" s="22"/>
      <c r="L13" s="22"/>
    </row>
    <row r="14" spans="1:93" ht="140.25" x14ac:dyDescent="0.2">
      <c r="A14" s="132" t="s">
        <v>364</v>
      </c>
      <c r="B14" s="132"/>
      <c r="C14" s="132"/>
      <c r="D14" s="132"/>
      <c r="E14" s="132"/>
      <c r="F14" s="133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  <c r="G14" s="133"/>
      <c r="H14" s="133"/>
      <c r="I14" s="133"/>
      <c r="J14" s="133"/>
      <c r="K14" s="133"/>
      <c r="L14" s="133"/>
      <c r="CO14" s="44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15" spans="1:93" ht="12.75" customHeight="1" x14ac:dyDescent="0.2">
      <c r="A15" s="21"/>
      <c r="B15" s="21"/>
      <c r="C15" s="21"/>
      <c r="D15" s="21"/>
      <c r="E15" s="21"/>
      <c r="F15" s="22"/>
      <c r="G15" s="22"/>
      <c r="H15" s="22"/>
      <c r="I15" s="22"/>
      <c r="J15" s="22"/>
      <c r="K15" s="22"/>
      <c r="L15" s="22"/>
    </row>
    <row r="16" spans="1:93" ht="76.5" customHeight="1" x14ac:dyDescent="0.2">
      <c r="A16" s="132" t="s">
        <v>365</v>
      </c>
      <c r="B16" s="132"/>
      <c r="C16" s="132"/>
      <c r="D16" s="132"/>
      <c r="E16" s="132"/>
      <c r="F16" s="133" t="s">
        <v>261</v>
      </c>
      <c r="G16" s="133"/>
      <c r="H16" s="133"/>
      <c r="I16" s="133"/>
      <c r="J16" s="133"/>
      <c r="K16" s="133"/>
      <c r="L16" s="133"/>
    </row>
    <row r="17" spans="1:12" ht="12.75" customHeight="1" x14ac:dyDescent="0.2">
      <c r="A17" s="21"/>
      <c r="B17" s="21"/>
      <c r="C17" s="21"/>
      <c r="D17" s="21"/>
      <c r="E17" s="21"/>
      <c r="F17" s="22"/>
      <c r="G17" s="22"/>
      <c r="H17" s="22"/>
      <c r="I17" s="22"/>
      <c r="J17" s="22"/>
      <c r="K17" s="22"/>
      <c r="L17" s="22"/>
    </row>
    <row r="18" spans="1:12" ht="38.25" customHeight="1" x14ac:dyDescent="0.2">
      <c r="A18" s="132" t="s">
        <v>366</v>
      </c>
      <c r="B18" s="132"/>
      <c r="C18" s="132"/>
      <c r="D18" s="132"/>
      <c r="E18" s="132"/>
      <c r="F18" s="133" t="s">
        <v>262</v>
      </c>
      <c r="G18" s="133"/>
      <c r="H18" s="133"/>
      <c r="I18" s="133"/>
      <c r="J18" s="133"/>
      <c r="K18" s="133"/>
      <c r="L18" s="133"/>
    </row>
    <row r="19" spans="1:12" ht="12.75" customHeight="1" x14ac:dyDescent="0.2">
      <c r="A19" s="23"/>
      <c r="B19" s="23"/>
      <c r="C19" s="23"/>
      <c r="D19" s="23"/>
      <c r="E19" s="23"/>
      <c r="F19" s="24"/>
      <c r="G19" s="24"/>
      <c r="H19" s="24"/>
      <c r="I19" s="24"/>
      <c r="J19" s="24"/>
      <c r="K19" s="24"/>
      <c r="L19" s="24"/>
    </row>
    <row r="20" spans="1:12" ht="12.75" customHeight="1" x14ac:dyDescent="0.2">
      <c r="A20" s="132" t="s">
        <v>367</v>
      </c>
      <c r="B20" s="132"/>
      <c r="C20" s="132"/>
      <c r="D20" s="132"/>
      <c r="E20" s="132"/>
      <c r="F20" s="133" t="s">
        <v>402</v>
      </c>
      <c r="G20" s="133"/>
      <c r="H20" s="133"/>
      <c r="I20" s="133"/>
      <c r="J20" s="133"/>
      <c r="K20" s="133"/>
      <c r="L20" s="133"/>
    </row>
    <row r="21" spans="1:12" ht="12.75" customHeight="1" x14ac:dyDescent="0.2">
      <c r="A21" s="23"/>
      <c r="B21" s="23"/>
      <c r="C21" s="23"/>
      <c r="D21" s="23"/>
      <c r="E21" s="23"/>
      <c r="F21" s="24"/>
      <c r="G21" s="24"/>
      <c r="H21" s="24"/>
      <c r="I21" s="24"/>
      <c r="J21" s="24"/>
      <c r="K21" s="24"/>
      <c r="L21" s="24"/>
    </row>
    <row r="22" spans="1:12" ht="12.75" customHeight="1" x14ac:dyDescent="0.2">
      <c r="A22" s="132" t="s">
        <v>368</v>
      </c>
      <c r="B22" s="132"/>
      <c r="C22" s="132"/>
      <c r="D22" s="132"/>
      <c r="E22" s="132"/>
      <c r="F22" s="133" t="str">
        <f>IF(Source!CZ12 &lt;&gt; "", Source!CZ12, "")</f>
        <v/>
      </c>
      <c r="G22" s="133"/>
      <c r="H22" s="133"/>
      <c r="I22" s="133"/>
      <c r="J22" s="133"/>
      <c r="K22" s="133"/>
      <c r="L22" s="133"/>
    </row>
    <row r="23" spans="1:12" ht="12.75" customHeight="1" x14ac:dyDescent="0.2">
      <c r="A23" s="23"/>
      <c r="B23" s="23"/>
      <c r="C23" s="23"/>
      <c r="D23" s="23"/>
      <c r="E23" s="23"/>
      <c r="F23" s="24"/>
      <c r="G23" s="24"/>
      <c r="H23" s="24"/>
      <c r="I23" s="24"/>
      <c r="J23" s="24"/>
      <c r="K23" s="24"/>
      <c r="L23" s="22"/>
    </row>
    <row r="24" spans="1:12" ht="12.75" customHeight="1" x14ac:dyDescent="0.2">
      <c r="A24" s="132" t="s">
        <v>369</v>
      </c>
      <c r="B24" s="132"/>
      <c r="C24" s="132"/>
      <c r="D24" s="132"/>
      <c r="E24" s="132"/>
      <c r="F24" s="133" t="str">
        <f>IF(Source!DA12 &lt;&gt; "", Source!DA12, "")</f>
        <v/>
      </c>
      <c r="G24" s="133"/>
      <c r="H24" s="133"/>
      <c r="I24" s="133"/>
      <c r="J24" s="133"/>
      <c r="K24" s="133"/>
      <c r="L24" s="133"/>
    </row>
    <row r="25" spans="1:12" ht="12.75" customHeight="1" x14ac:dyDescent="0.2">
      <c r="A25" s="15"/>
      <c r="B25" s="15"/>
      <c r="C25" s="15"/>
      <c r="D25" s="15"/>
      <c r="E25" s="15"/>
      <c r="F25" s="25"/>
      <c r="G25" s="25"/>
      <c r="H25" s="25"/>
      <c r="I25" s="25"/>
      <c r="J25" s="25"/>
      <c r="K25" s="25"/>
      <c r="L25" s="25"/>
    </row>
    <row r="26" spans="1:12" ht="12.75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ht="15.75" customHeight="1" x14ac:dyDescent="0.25">
      <c r="A27" s="129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</row>
    <row r="28" spans="1:12" ht="14.25" customHeight="1" x14ac:dyDescent="0.2">
      <c r="A28" s="127" t="s">
        <v>370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</row>
    <row r="29" spans="1:12" ht="14.2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ht="15.75" customHeight="1" x14ac:dyDescent="0.25">
      <c r="A30" s="129" t="str">
        <f>IF(Source!G12&lt;&gt;"Новый объект", Source!G12, "")</f>
        <v>Ремонт   фасада 1 этаж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</row>
    <row r="31" spans="1:12" ht="14.25" customHeight="1" x14ac:dyDescent="0.2">
      <c r="A31" s="127" t="s">
        <v>371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</row>
    <row r="32" spans="1:12" ht="14.25" customHeight="1" x14ac:dyDescent="0.2">
      <c r="A32" s="17"/>
      <c r="B32" s="17"/>
      <c r="C32" s="17"/>
      <c r="D32" s="17"/>
      <c r="E32" s="17"/>
      <c r="F32" s="19"/>
      <c r="G32" s="19"/>
      <c r="H32" s="19"/>
      <c r="I32" s="19"/>
      <c r="J32" s="19"/>
      <c r="K32" s="19"/>
      <c r="L32" s="19"/>
    </row>
    <row r="33" spans="1:12" ht="15.75" customHeight="1" x14ac:dyDescent="0.25">
      <c r="A33" s="130" t="str">
        <f>CONCATENATE( "ЛОКАЛЬНАЯ СМЕТА № ", Source!L20, " ",Source!CM20)</f>
        <v xml:space="preserve">ЛОКАЛЬНАЯ СМЕТА № Новая локальная смета 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</row>
    <row r="34" spans="1:12" ht="15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6"/>
    </row>
    <row r="35" spans="1:12" ht="18" customHeight="1" x14ac:dyDescent="0.25">
      <c r="A35" s="131" t="str">
        <f>IF(Source!G20&lt;&gt;"Новая локальная смета", Source!G20, "")</f>
        <v/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</row>
    <row r="36" spans="1:12" ht="14.25" customHeight="1" x14ac:dyDescent="0.2">
      <c r="A36" s="127" t="s">
        <v>372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</row>
    <row r="37" spans="1:12" ht="14.2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 ht="14.2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2" ht="12.75" customHeight="1" x14ac:dyDescent="0.2">
      <c r="A39" s="20" t="s">
        <v>373</v>
      </c>
      <c r="B39" s="20"/>
      <c r="C39" s="29" t="s">
        <v>403</v>
      </c>
      <c r="D39" s="20" t="s">
        <v>374</v>
      </c>
      <c r="E39" s="20"/>
      <c r="F39" s="20"/>
      <c r="G39" s="20"/>
      <c r="H39" s="20"/>
      <c r="I39" s="20"/>
      <c r="J39" s="20"/>
      <c r="K39" s="20"/>
      <c r="L39" s="20"/>
    </row>
    <row r="40" spans="1:12" ht="12.75" customHeight="1" x14ac:dyDescent="0.2">
      <c r="A40" s="20"/>
      <c r="B40" s="20"/>
      <c r="C40" s="30"/>
      <c r="D40" s="20"/>
      <c r="E40" s="20"/>
      <c r="F40" s="20"/>
      <c r="G40" s="20"/>
      <c r="H40" s="20"/>
      <c r="I40" s="20"/>
      <c r="J40" s="20"/>
      <c r="K40" s="20"/>
      <c r="L40" s="20"/>
    </row>
    <row r="41" spans="1:12" ht="12.75" customHeight="1" x14ac:dyDescent="0.2">
      <c r="A41" s="20" t="s">
        <v>375</v>
      </c>
      <c r="B41" s="20"/>
      <c r="C41" s="128"/>
      <c r="D41" s="128"/>
      <c r="E41" s="128"/>
      <c r="F41" s="128"/>
      <c r="G41" s="128"/>
      <c r="H41" s="128"/>
      <c r="I41" s="128"/>
      <c r="J41" s="128"/>
      <c r="K41" s="128"/>
      <c r="L41" s="128"/>
    </row>
    <row r="42" spans="1:12" ht="12.75" customHeight="1" x14ac:dyDescent="0.2">
      <c r="A42" s="31"/>
      <c r="B42" s="32"/>
      <c r="C42" s="127" t="s">
        <v>376</v>
      </c>
      <c r="D42" s="127"/>
      <c r="E42" s="127"/>
      <c r="F42" s="127"/>
      <c r="G42" s="127"/>
      <c r="H42" s="127"/>
      <c r="I42" s="127"/>
      <c r="J42" s="127"/>
      <c r="K42" s="127"/>
      <c r="L42" s="127"/>
    </row>
    <row r="43" spans="1:12" ht="14.2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2" ht="14.25" customHeight="1" x14ac:dyDescent="0.2">
      <c r="A44" s="33" t="s">
        <v>404</v>
      </c>
      <c r="B44" s="17"/>
      <c r="C44" s="17"/>
      <c r="D44" s="34"/>
      <c r="E44" s="17"/>
      <c r="F44" s="17"/>
      <c r="G44" s="17"/>
      <c r="H44" s="17"/>
      <c r="I44" s="17"/>
      <c r="J44" s="17"/>
      <c r="K44" s="17"/>
      <c r="L44" s="17"/>
    </row>
    <row r="45" spans="1:12" ht="14.25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4.25" customHeight="1" x14ac:dyDescent="0.2">
      <c r="A46" s="33" t="s">
        <v>377</v>
      </c>
      <c r="B46" s="17"/>
      <c r="C46" s="122">
        <v>1213.6300000000001</v>
      </c>
      <c r="D46" s="123"/>
      <c r="E46" s="20" t="s">
        <v>378</v>
      </c>
      <c r="F46" s="15"/>
      <c r="G46" s="15"/>
      <c r="H46" s="15"/>
      <c r="I46" s="15"/>
      <c r="J46" s="15"/>
      <c r="K46" s="15"/>
      <c r="L46" s="17"/>
    </row>
    <row r="47" spans="1:12" ht="14.25" customHeight="1" x14ac:dyDescent="0.2">
      <c r="A47" s="33"/>
      <c r="B47" s="17"/>
      <c r="C47" s="75"/>
      <c r="D47" s="35"/>
      <c r="E47" s="20"/>
      <c r="F47" s="15"/>
      <c r="G47" s="20" t="s">
        <v>379</v>
      </c>
      <c r="H47" s="17"/>
      <c r="I47" s="20"/>
      <c r="J47" s="20"/>
      <c r="K47" s="77">
        <f>ROUND(SUM(AR60:AR327)/1000, 2)</f>
        <v>253.95</v>
      </c>
      <c r="L47" s="20" t="s">
        <v>378</v>
      </c>
    </row>
    <row r="48" spans="1:12" ht="14.25" customHeight="1" x14ac:dyDescent="0.2">
      <c r="A48" s="17"/>
      <c r="B48" s="36" t="s">
        <v>380</v>
      </c>
      <c r="C48" s="76"/>
      <c r="D48" s="17"/>
      <c r="E48" s="20"/>
      <c r="F48" s="15"/>
      <c r="G48" s="20" t="s">
        <v>381</v>
      </c>
      <c r="H48" s="17"/>
      <c r="I48" s="20"/>
      <c r="J48" s="20"/>
      <c r="K48" s="77">
        <f>ROUND(SUM(AT60:AT327)/1000, 2)</f>
        <v>2.9</v>
      </c>
      <c r="L48" s="20" t="s">
        <v>378</v>
      </c>
    </row>
    <row r="49" spans="1:12" ht="14.25" customHeight="1" x14ac:dyDescent="0.2">
      <c r="A49" s="17"/>
      <c r="B49" s="33" t="s">
        <v>382</v>
      </c>
      <c r="C49" s="122">
        <f>ROUND((Source!F97)/1000, 2)</f>
        <v>994.78</v>
      </c>
      <c r="D49" s="123"/>
      <c r="E49" s="20" t="s">
        <v>378</v>
      </c>
      <c r="F49" s="15"/>
      <c r="G49" s="20" t="s">
        <v>383</v>
      </c>
      <c r="H49" s="17"/>
      <c r="I49" s="20"/>
      <c r="J49" s="35"/>
      <c r="K49" s="78">
        <f>Source!F102</f>
        <v>371.39463000000001</v>
      </c>
      <c r="L49" s="20" t="s">
        <v>266</v>
      </c>
    </row>
    <row r="50" spans="1:12" ht="14.25" customHeight="1" x14ac:dyDescent="0.2">
      <c r="A50" s="17"/>
      <c r="B50" s="33" t="s">
        <v>384</v>
      </c>
      <c r="C50" s="122">
        <f>ROUND((Source!F98)/1000, 2)</f>
        <v>0</v>
      </c>
      <c r="D50" s="123"/>
      <c r="E50" s="20" t="s">
        <v>378</v>
      </c>
      <c r="F50" s="15"/>
      <c r="G50" s="20" t="s">
        <v>385</v>
      </c>
      <c r="H50" s="17"/>
      <c r="I50" s="20"/>
      <c r="J50" s="37"/>
      <c r="K50" s="78">
        <f>Source!F103</f>
        <v>4.0033200000000004</v>
      </c>
      <c r="L50" s="20" t="s">
        <v>266</v>
      </c>
    </row>
    <row r="51" spans="1:12" ht="14.25" customHeight="1" x14ac:dyDescent="0.2">
      <c r="A51" s="17"/>
      <c r="B51" s="33" t="s">
        <v>386</v>
      </c>
      <c r="C51" s="122">
        <f>ROUND((Source!F89)/1000, 2)</f>
        <v>0</v>
      </c>
      <c r="D51" s="123"/>
      <c r="E51" s="20" t="s">
        <v>378</v>
      </c>
      <c r="F51" s="15"/>
      <c r="G51" s="20"/>
      <c r="H51" s="20"/>
      <c r="I51" s="20"/>
      <c r="J51" s="20"/>
      <c r="K51" s="15"/>
      <c r="L51" s="20"/>
    </row>
    <row r="52" spans="1:12" ht="14.25" customHeight="1" x14ac:dyDescent="0.2">
      <c r="A52" s="17"/>
      <c r="B52" s="33" t="s">
        <v>387</v>
      </c>
      <c r="C52" s="122">
        <f>ROUND((Source!F99)/1000, 2)</f>
        <v>0</v>
      </c>
      <c r="D52" s="123"/>
      <c r="E52" s="20" t="s">
        <v>378</v>
      </c>
      <c r="F52" s="15"/>
      <c r="G52" s="20"/>
      <c r="H52" s="20"/>
      <c r="I52" s="20"/>
      <c r="J52" s="20"/>
      <c r="K52" s="15"/>
      <c r="L52" s="20"/>
    </row>
    <row r="53" spans="1:12" ht="14.25" customHeight="1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2" ht="12.75" customHeight="1" x14ac:dyDescent="0.2">
      <c r="A54" s="124" t="s">
        <v>388</v>
      </c>
      <c r="B54" s="124" t="s">
        <v>389</v>
      </c>
      <c r="C54" s="124" t="s">
        <v>390</v>
      </c>
      <c r="D54" s="124" t="s">
        <v>391</v>
      </c>
      <c r="E54" s="112" t="s">
        <v>392</v>
      </c>
      <c r="F54" s="113"/>
      <c r="G54" s="114"/>
      <c r="H54" s="112" t="s">
        <v>393</v>
      </c>
      <c r="I54" s="113"/>
      <c r="J54" s="113"/>
      <c r="K54" s="113"/>
      <c r="L54" s="114"/>
    </row>
    <row r="55" spans="1:12" ht="12.75" customHeight="1" x14ac:dyDescent="0.2">
      <c r="A55" s="125"/>
      <c r="B55" s="125"/>
      <c r="C55" s="125"/>
      <c r="D55" s="125"/>
      <c r="E55" s="115"/>
      <c r="F55" s="116"/>
      <c r="G55" s="117"/>
      <c r="H55" s="115"/>
      <c r="I55" s="116"/>
      <c r="J55" s="116"/>
      <c r="K55" s="116"/>
      <c r="L55" s="117"/>
    </row>
    <row r="56" spans="1:12" ht="12.75" customHeight="1" x14ac:dyDescent="0.2">
      <c r="A56" s="125"/>
      <c r="B56" s="125"/>
      <c r="C56" s="125"/>
      <c r="D56" s="125"/>
      <c r="E56" s="115"/>
      <c r="F56" s="116"/>
      <c r="G56" s="117"/>
      <c r="H56" s="115"/>
      <c r="I56" s="116"/>
      <c r="J56" s="116"/>
      <c r="K56" s="116"/>
      <c r="L56" s="117"/>
    </row>
    <row r="57" spans="1:12" ht="12.75" customHeight="1" x14ac:dyDescent="0.2">
      <c r="A57" s="125"/>
      <c r="B57" s="125"/>
      <c r="C57" s="125"/>
      <c r="D57" s="125"/>
      <c r="E57" s="118"/>
      <c r="F57" s="119"/>
      <c r="G57" s="120"/>
      <c r="H57" s="118"/>
      <c r="I57" s="119"/>
      <c r="J57" s="119"/>
      <c r="K57" s="119"/>
      <c r="L57" s="120"/>
    </row>
    <row r="58" spans="1:12" ht="51" customHeight="1" x14ac:dyDescent="0.2">
      <c r="A58" s="126"/>
      <c r="B58" s="126"/>
      <c r="C58" s="126"/>
      <c r="D58" s="126"/>
      <c r="E58" s="39" t="s">
        <v>394</v>
      </c>
      <c r="F58" s="39" t="s">
        <v>395</v>
      </c>
      <c r="G58" s="40" t="s">
        <v>396</v>
      </c>
      <c r="H58" s="39" t="s">
        <v>397</v>
      </c>
      <c r="I58" s="39" t="s">
        <v>398</v>
      </c>
      <c r="J58" s="39" t="s">
        <v>399</v>
      </c>
      <c r="K58" s="39" t="s">
        <v>395</v>
      </c>
      <c r="L58" s="39" t="s">
        <v>400</v>
      </c>
    </row>
    <row r="59" spans="1:12" ht="14.25" customHeight="1" x14ac:dyDescent="0.2">
      <c r="A59" s="41">
        <v>1</v>
      </c>
      <c r="B59" s="41">
        <v>2</v>
      </c>
      <c r="C59" s="41">
        <v>3</v>
      </c>
      <c r="D59" s="41">
        <v>4</v>
      </c>
      <c r="E59" s="41">
        <v>5</v>
      </c>
      <c r="F59" s="41">
        <v>6</v>
      </c>
      <c r="G59" s="41">
        <v>7</v>
      </c>
      <c r="H59" s="41">
        <v>8</v>
      </c>
      <c r="I59" s="41">
        <v>9</v>
      </c>
      <c r="J59" s="41">
        <v>10</v>
      </c>
      <c r="K59" s="43">
        <v>11</v>
      </c>
      <c r="L59" s="43">
        <v>12</v>
      </c>
    </row>
    <row r="61" spans="1:12" ht="16.5" x14ac:dyDescent="0.2">
      <c r="A61" s="121" t="s">
        <v>405</v>
      </c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</row>
    <row r="62" spans="1:12" ht="71.25" x14ac:dyDescent="0.2">
      <c r="A62" s="46" t="s">
        <v>17</v>
      </c>
      <c r="B62" s="48" t="s">
        <v>406</v>
      </c>
      <c r="C62" s="48" t="str">
        <f>Source!G28</f>
        <v>Ремонт штукатурки гладких фасадов по камню и бетону с земли и лесов: цементно-известковым раствором площадью отдельных мест более 5 м2 толщиной слоя до 20 мм</v>
      </c>
      <c r="D62" s="49" t="str">
        <f>Source!H28</f>
        <v>100 м2</v>
      </c>
      <c r="E62" s="50">
        <f>Source!K28</f>
        <v>0.82</v>
      </c>
      <c r="F62" s="50"/>
      <c r="G62" s="50">
        <f>Source!I28</f>
        <v>0.82</v>
      </c>
      <c r="H62" s="52"/>
      <c r="I62" s="51"/>
      <c r="J62" s="52"/>
      <c r="K62" s="51"/>
      <c r="L62" s="52"/>
    </row>
    <row r="63" spans="1:12" x14ac:dyDescent="0.2">
      <c r="C63" s="53" t="str">
        <f>"Объем: "&amp;Source!I28&amp;"=82/"&amp;"100"</f>
        <v>Объем: 0,82=82/100</v>
      </c>
    </row>
    <row r="64" spans="1:12" ht="15" x14ac:dyDescent="0.2">
      <c r="A64" s="47"/>
      <c r="B64" s="50">
        <v>1</v>
      </c>
      <c r="C64" s="47" t="s">
        <v>407</v>
      </c>
      <c r="D64" s="49" t="s">
        <v>266</v>
      </c>
      <c r="E64" s="54"/>
      <c r="F64" s="50"/>
      <c r="G64" s="50">
        <f>Source!U28</f>
        <v>140.38399999999999</v>
      </c>
      <c r="H64" s="50"/>
      <c r="I64" s="50"/>
      <c r="J64" s="50"/>
      <c r="K64" s="50"/>
      <c r="L64" s="55">
        <f>SUM(L65:L65)-SUMIF(CE65:CE65, 1, L65:L65)</f>
        <v>92285.63</v>
      </c>
    </row>
    <row r="65" spans="1:83" ht="14.25" x14ac:dyDescent="0.2">
      <c r="A65" s="48"/>
      <c r="B65" s="48" t="s">
        <v>264</v>
      </c>
      <c r="C65" s="48" t="s">
        <v>265</v>
      </c>
      <c r="D65" s="49" t="s">
        <v>266</v>
      </c>
      <c r="E65" s="50">
        <v>171.2</v>
      </c>
      <c r="F65" s="50"/>
      <c r="G65" s="50">
        <f>SmtRes!CX1</f>
        <v>140.38399999999999</v>
      </c>
      <c r="H65" s="52">
        <f>SmtRes!CZ1</f>
        <v>657.38</v>
      </c>
      <c r="I65" s="51"/>
      <c r="J65" s="52"/>
      <c r="K65" s="51"/>
      <c r="L65" s="52">
        <f>SmtRes!DI1</f>
        <v>92285.63</v>
      </c>
    </row>
    <row r="66" spans="1:83" ht="15" x14ac:dyDescent="0.2">
      <c r="A66" s="47"/>
      <c r="B66" s="50">
        <v>2</v>
      </c>
      <c r="C66" s="47" t="s">
        <v>408</v>
      </c>
      <c r="D66" s="49"/>
      <c r="E66" s="54"/>
      <c r="F66" s="50"/>
      <c r="G66" s="50"/>
      <c r="H66" s="50"/>
      <c r="I66" s="50"/>
      <c r="J66" s="50"/>
      <c r="K66" s="50"/>
      <c r="L66" s="55">
        <f>SUM(L67:L70)-SUMIF(CE67:CE70, 1, L67:L70)</f>
        <v>659.48000000000025</v>
      </c>
    </row>
    <row r="67" spans="1:83" ht="15" x14ac:dyDescent="0.2">
      <c r="A67" s="47"/>
      <c r="B67" s="50"/>
      <c r="C67" s="47" t="s">
        <v>410</v>
      </c>
      <c r="D67" s="49" t="s">
        <v>266</v>
      </c>
      <c r="E67" s="54"/>
      <c r="F67" s="50"/>
      <c r="G67" s="50">
        <f>Source!V28</f>
        <v>1.0824</v>
      </c>
      <c r="H67" s="50"/>
      <c r="I67" s="50"/>
      <c r="J67" s="50"/>
      <c r="K67" s="50"/>
      <c r="L67" s="55">
        <f>SUMIF(CE68:CE70, 1, L68:L70)</f>
        <v>791.32</v>
      </c>
      <c r="CE67">
        <v>1</v>
      </c>
    </row>
    <row r="68" spans="1:83" ht="28.5" x14ac:dyDescent="0.2">
      <c r="A68" s="48"/>
      <c r="B68" s="48" t="s">
        <v>269</v>
      </c>
      <c r="C68" s="48" t="s">
        <v>271</v>
      </c>
      <c r="D68" s="49" t="s">
        <v>272</v>
      </c>
      <c r="E68" s="50">
        <v>0.71</v>
      </c>
      <c r="F68" s="50"/>
      <c r="G68" s="50">
        <f>SmtRes!CX3</f>
        <v>0.58220000000000005</v>
      </c>
      <c r="H68" s="52">
        <f>SmtRes!CZ3</f>
        <v>6.62</v>
      </c>
      <c r="I68" s="51">
        <f>SmtRes!AJ3</f>
        <v>1.5</v>
      </c>
      <c r="J68" s="52">
        <f>ROUND(H68*I68, 2)</f>
        <v>9.93</v>
      </c>
      <c r="K68" s="51"/>
      <c r="L68" s="52">
        <f>SmtRes!DG3</f>
        <v>5.78</v>
      </c>
    </row>
    <row r="69" spans="1:83" ht="71.25" x14ac:dyDescent="0.2">
      <c r="A69" s="48"/>
      <c r="B69" s="48" t="s">
        <v>273</v>
      </c>
      <c r="C69" s="48" t="s">
        <v>275</v>
      </c>
      <c r="D69" s="49" t="s">
        <v>272</v>
      </c>
      <c r="E69" s="50">
        <v>1.32</v>
      </c>
      <c r="F69" s="50"/>
      <c r="G69" s="50">
        <f>SmtRes!CX4</f>
        <v>1.0824</v>
      </c>
      <c r="H69" s="52"/>
      <c r="I69" s="51"/>
      <c r="J69" s="52">
        <f>SmtRes!CZ4</f>
        <v>603.94000000000005</v>
      </c>
      <c r="K69" s="51"/>
      <c r="L69" s="52">
        <f>SmtRes!DG4</f>
        <v>653.70000000000005</v>
      </c>
    </row>
    <row r="70" spans="1:83" ht="28.5" x14ac:dyDescent="0.2">
      <c r="A70" s="48"/>
      <c r="B70" s="48" t="s">
        <v>276</v>
      </c>
      <c r="C70" s="48" t="s">
        <v>409</v>
      </c>
      <c r="D70" s="49" t="s">
        <v>266</v>
      </c>
      <c r="E70" s="50">
        <f>SmtRes!DO4*SmtRes!AT4</f>
        <v>1.32</v>
      </c>
      <c r="F70" s="50"/>
      <c r="G70" s="50">
        <f>ROUND(E70*G62, 7)</f>
        <v>1.0824</v>
      </c>
      <c r="H70" s="52"/>
      <c r="I70" s="51"/>
      <c r="J70" s="52">
        <f>ROUND(SmtRes!AG4/SmtRes!DO4, 2)</f>
        <v>731.08</v>
      </c>
      <c r="K70" s="51"/>
      <c r="L70" s="52">
        <f>SmtRes!DH4</f>
        <v>791.32</v>
      </c>
      <c r="CE70">
        <v>1</v>
      </c>
    </row>
    <row r="71" spans="1:83" ht="15" x14ac:dyDescent="0.2">
      <c r="A71" s="47"/>
      <c r="B71" s="50">
        <v>4</v>
      </c>
      <c r="C71" s="47" t="s">
        <v>411</v>
      </c>
      <c r="D71" s="49"/>
      <c r="E71" s="54"/>
      <c r="F71" s="50"/>
      <c r="G71" s="50"/>
      <c r="H71" s="50"/>
      <c r="I71" s="50"/>
      <c r="J71" s="50"/>
      <c r="K71" s="50"/>
      <c r="L71" s="55">
        <f>SUM(L72:L73)-SUMIF(CE72:CE73, 1, L72:L73)</f>
        <v>8583.42</v>
      </c>
    </row>
    <row r="72" spans="1:83" ht="14.25" x14ac:dyDescent="0.2">
      <c r="A72" s="48"/>
      <c r="B72" s="48" t="s">
        <v>277</v>
      </c>
      <c r="C72" s="48" t="s">
        <v>279</v>
      </c>
      <c r="D72" s="49" t="s">
        <v>280</v>
      </c>
      <c r="E72" s="50">
        <v>0.35</v>
      </c>
      <c r="F72" s="50"/>
      <c r="G72" s="50">
        <f>SmtRes!CX5</f>
        <v>0.28699999999999998</v>
      </c>
      <c r="H72" s="52">
        <f>SmtRes!CZ5</f>
        <v>35.71</v>
      </c>
      <c r="I72" s="51">
        <f>SmtRes!AI5</f>
        <v>1.53</v>
      </c>
      <c r="J72" s="52">
        <f>ROUND(H72*I72, 2)</f>
        <v>54.64</v>
      </c>
      <c r="K72" s="51"/>
      <c r="L72" s="52">
        <f>SmtRes!DF5</f>
        <v>15.68</v>
      </c>
    </row>
    <row r="73" spans="1:83" ht="28.5" x14ac:dyDescent="0.2">
      <c r="A73" s="48"/>
      <c r="B73" s="48" t="s">
        <v>281</v>
      </c>
      <c r="C73" s="56" t="s">
        <v>283</v>
      </c>
      <c r="D73" s="57" t="s">
        <v>280</v>
      </c>
      <c r="E73" s="58">
        <v>2.2000000000000002</v>
      </c>
      <c r="F73" s="58"/>
      <c r="G73" s="58">
        <f>SmtRes!CX6</f>
        <v>1.804</v>
      </c>
      <c r="H73" s="59">
        <f>SmtRes!CZ6</f>
        <v>3392.36</v>
      </c>
      <c r="I73" s="60">
        <f>SmtRes!AI6</f>
        <v>1.4</v>
      </c>
      <c r="J73" s="59">
        <f>ROUND(H73*I73, 2)</f>
        <v>4749.3</v>
      </c>
      <c r="K73" s="60"/>
      <c r="L73" s="59">
        <f>SmtRes!DF6</f>
        <v>8567.74</v>
      </c>
    </row>
    <row r="74" spans="1:83" ht="15" x14ac:dyDescent="0.2">
      <c r="A74" s="48"/>
      <c r="B74" s="48"/>
      <c r="C74" s="62" t="s">
        <v>412</v>
      </c>
      <c r="D74" s="49"/>
      <c r="E74" s="50"/>
      <c r="F74" s="50"/>
      <c r="G74" s="50"/>
      <c r="H74" s="52"/>
      <c r="I74" s="51"/>
      <c r="J74" s="52"/>
      <c r="K74" s="51"/>
      <c r="L74" s="52">
        <f>L64+L66+L67+L71</f>
        <v>102319.85</v>
      </c>
    </row>
    <row r="75" spans="1:83" ht="14.25" x14ac:dyDescent="0.2">
      <c r="A75" s="46" t="s">
        <v>413</v>
      </c>
      <c r="B75" s="48" t="str">
        <f>Source!F29</f>
        <v>999-9900</v>
      </c>
      <c r="C75" s="48" t="str">
        <f>Source!G29</f>
        <v>Строительный мусор</v>
      </c>
      <c r="D75" s="49" t="str">
        <f>Source!H29</f>
        <v>т</v>
      </c>
      <c r="E75" s="50">
        <f>SmtRes!AT7</f>
        <v>4.84</v>
      </c>
      <c r="F75" s="50"/>
      <c r="G75" s="50">
        <f>Source!I29</f>
        <v>3.9687999999999994</v>
      </c>
      <c r="H75" s="52">
        <f>Source!AL29+Source!AO29+Source!AM29+Source!AN29</f>
        <v>0</v>
      </c>
      <c r="I75" s="51"/>
      <c r="J75" s="52"/>
      <c r="K75" s="51"/>
      <c r="L75" s="52">
        <f>Source!P29</f>
        <v>0</v>
      </c>
      <c r="AD75">
        <f>ROUND((Source!AT29/100)*((ROUND(ROUND(Source!AO29,2)*Source!I29, 2)+ROUND(ROUND(Source!AN29,2)*Source!I29, 2))), 2)</f>
        <v>0</v>
      </c>
      <c r="AE75">
        <f>ROUND((Source!AU29/100)*((ROUND(ROUND(Source!AO29,2)*Source!I29, 2)+ROUND(ROUND(Source!AN29,2)*Source!I29, 2))), 2)</f>
        <v>0</v>
      </c>
      <c r="AN75">
        <f>L75</f>
        <v>0</v>
      </c>
      <c r="AW75">
        <f>L75</f>
        <v>0</v>
      </c>
      <c r="AZ75">
        <f>Source!X29</f>
        <v>0</v>
      </c>
      <c r="BA75">
        <f>Source!Y29</f>
        <v>0</v>
      </c>
      <c r="CD75">
        <v>1</v>
      </c>
    </row>
    <row r="76" spans="1:83" ht="14.25" x14ac:dyDescent="0.2">
      <c r="A76" s="48"/>
      <c r="B76" s="48"/>
      <c r="C76" s="48" t="s">
        <v>414</v>
      </c>
      <c r="D76" s="49"/>
      <c r="E76" s="50"/>
      <c r="F76" s="50"/>
      <c r="G76" s="50"/>
      <c r="H76" s="52"/>
      <c r="I76" s="51"/>
      <c r="J76" s="52"/>
      <c r="K76" s="51"/>
      <c r="L76" s="52">
        <f>SUM(AR62:AR79)+SUM(AS62:AS79)+SUM(AT62:AT79)+SUM(AU62:AU79)+SUM(AV62:AV79)</f>
        <v>93076.950000000012</v>
      </c>
    </row>
    <row r="77" spans="1:83" ht="14.25" x14ac:dyDescent="0.2">
      <c r="A77" s="48"/>
      <c r="B77" s="48" t="s">
        <v>25</v>
      </c>
      <c r="C77" s="48" t="s">
        <v>415</v>
      </c>
      <c r="D77" s="49" t="s">
        <v>416</v>
      </c>
      <c r="E77" s="50">
        <f>Source!BZ28</f>
        <v>89</v>
      </c>
      <c r="F77" s="50"/>
      <c r="G77" s="50">
        <f>Source!AT28</f>
        <v>89</v>
      </c>
      <c r="H77" s="52"/>
      <c r="I77" s="51"/>
      <c r="J77" s="52"/>
      <c r="K77" s="51"/>
      <c r="L77" s="52">
        <f>SUM(AZ62:AZ79)</f>
        <v>82838.490000000005</v>
      </c>
    </row>
    <row r="78" spans="1:83" ht="14.25" x14ac:dyDescent="0.2">
      <c r="A78" s="56"/>
      <c r="B78" s="56" t="s">
        <v>26</v>
      </c>
      <c r="C78" s="56" t="s">
        <v>417</v>
      </c>
      <c r="D78" s="57" t="s">
        <v>416</v>
      </c>
      <c r="E78" s="58">
        <f>Source!CA28</f>
        <v>44</v>
      </c>
      <c r="F78" s="58"/>
      <c r="G78" s="58">
        <f>Source!AU28</f>
        <v>44</v>
      </c>
      <c r="H78" s="59"/>
      <c r="I78" s="60"/>
      <c r="J78" s="59"/>
      <c r="K78" s="60"/>
      <c r="L78" s="59">
        <f>SUM(BA62:BA79)</f>
        <v>40953.86</v>
      </c>
    </row>
    <row r="79" spans="1:83" ht="15" x14ac:dyDescent="0.2">
      <c r="C79" s="109" t="s">
        <v>418</v>
      </c>
      <c r="D79" s="109"/>
      <c r="E79" s="109"/>
      <c r="F79" s="109"/>
      <c r="G79" s="109"/>
      <c r="H79" s="109"/>
      <c r="I79" s="110">
        <f>IF(E62&lt;&gt;0,K79/E62, 0)</f>
        <v>275746.58536585368</v>
      </c>
      <c r="J79" s="110"/>
      <c r="K79" s="110">
        <f>L64+L66+L71+L77+L78+L67+SUM(L75:L75)</f>
        <v>226112.2</v>
      </c>
      <c r="L79" s="110"/>
      <c r="AD79">
        <f>ROUND((Source!AT28/100)*((ROUND(SUMIF(SmtRes!AQ1:'SmtRes'!AQ7,"=1",SmtRes!AD1:'SmtRes'!AD7)*Source!I28, 2)+ROUND(SUMIF(SmtRes!AQ1:'SmtRes'!AQ7,"=1",SmtRes!AC1:'SmtRes'!AC7)*Source!I28, 2))), 2)</f>
        <v>1013.3</v>
      </c>
      <c r="AE79">
        <f>ROUND((Source!AU28/100)*((ROUND(SUMIF(SmtRes!AQ1:'SmtRes'!AQ7,"=1",SmtRes!AD1:'SmtRes'!AD7)*Source!I28, 2)+ROUND(SUMIF(SmtRes!AQ1:'SmtRes'!AQ7,"=1",SmtRes!AC1:'SmtRes'!AC7)*Source!I28, 2))), 2)</f>
        <v>500.96</v>
      </c>
      <c r="AN79" s="61">
        <f>L64+L66+L71+L77+L78+L67</f>
        <v>226112.2</v>
      </c>
      <c r="AO79" s="61">
        <f>L66</f>
        <v>659.48000000000025</v>
      </c>
      <c r="AQ79" t="s">
        <v>419</v>
      </c>
      <c r="AR79" s="61">
        <f>L64</f>
        <v>92285.63</v>
      </c>
      <c r="AT79" s="61">
        <f>L67</f>
        <v>791.32</v>
      </c>
      <c r="AV79" t="s">
        <v>419</v>
      </c>
      <c r="AW79" s="61">
        <f>L71</f>
        <v>8583.42</v>
      </c>
      <c r="AZ79">
        <f>Source!X28</f>
        <v>82838.490000000005</v>
      </c>
      <c r="BA79">
        <f>Source!Y28</f>
        <v>40953.86</v>
      </c>
      <c r="CD79">
        <v>1</v>
      </c>
    </row>
    <row r="80" spans="1:83" ht="120.75" x14ac:dyDescent="0.2">
      <c r="A80" s="46" t="s">
        <v>31</v>
      </c>
      <c r="B80" s="48" t="s">
        <v>420</v>
      </c>
      <c r="C80" s="48" t="s">
        <v>421</v>
      </c>
      <c r="D80" s="49" t="str">
        <f>Source!H30</f>
        <v>100 м2</v>
      </c>
      <c r="E80" s="50">
        <f>Source!K30</f>
        <v>0.82</v>
      </c>
      <c r="F80" s="50"/>
      <c r="G80" s="50">
        <f>Source!I30</f>
        <v>0.82</v>
      </c>
      <c r="H80" s="52"/>
      <c r="I80" s="51"/>
      <c r="J80" s="52"/>
      <c r="K80" s="51"/>
      <c r="L80" s="52"/>
    </row>
    <row r="81" spans="1:83" x14ac:dyDescent="0.2">
      <c r="C81" s="53" t="str">
        <f>"Объем: "&amp;Source!I30&amp;"=82/"&amp;"100"</f>
        <v>Объем: 0,82=82/100</v>
      </c>
    </row>
    <row r="82" spans="1:83" ht="15" x14ac:dyDescent="0.2">
      <c r="A82" s="47"/>
      <c r="B82" s="50">
        <v>1</v>
      </c>
      <c r="C82" s="47" t="s">
        <v>407</v>
      </c>
      <c r="D82" s="49" t="s">
        <v>266</v>
      </c>
      <c r="E82" s="54"/>
      <c r="F82" s="50"/>
      <c r="G82" s="50">
        <f>Source!U30</f>
        <v>79.162800000000004</v>
      </c>
      <c r="H82" s="50"/>
      <c r="I82" s="50"/>
      <c r="J82" s="50"/>
      <c r="K82" s="50"/>
      <c r="L82" s="55">
        <f>SUM(L83:L83)-SUMIF(CE83:CE83, 1, L83:L83)</f>
        <v>52691.55</v>
      </c>
    </row>
    <row r="83" spans="1:83" ht="14.25" x14ac:dyDescent="0.2">
      <c r="A83" s="48"/>
      <c r="B83" s="48" t="s">
        <v>264</v>
      </c>
      <c r="C83" s="48" t="s">
        <v>265</v>
      </c>
      <c r="D83" s="49" t="s">
        <v>266</v>
      </c>
      <c r="E83" s="50">
        <v>32.18</v>
      </c>
      <c r="F83" s="50">
        <f>ROUND(3,7)</f>
        <v>3</v>
      </c>
      <c r="G83" s="50">
        <f>SmtRes!CX8</f>
        <v>79.162800000000004</v>
      </c>
      <c r="H83" s="52"/>
      <c r="I83" s="51"/>
      <c r="J83" s="52">
        <f>SmtRes!CZ8</f>
        <v>665.61</v>
      </c>
      <c r="K83" s="51"/>
      <c r="L83" s="52">
        <f>SmtRes!DI8</f>
        <v>52691.55</v>
      </c>
    </row>
    <row r="84" spans="1:83" ht="15" x14ac:dyDescent="0.2">
      <c r="A84" s="47"/>
      <c r="B84" s="50">
        <v>2</v>
      </c>
      <c r="C84" s="47" t="s">
        <v>408</v>
      </c>
      <c r="D84" s="49"/>
      <c r="E84" s="54"/>
      <c r="F84" s="50"/>
      <c r="G84" s="50"/>
      <c r="H84" s="50"/>
      <c r="I84" s="50"/>
      <c r="J84" s="50"/>
      <c r="K84" s="50"/>
      <c r="L84" s="55">
        <f>SUM(L85:L88)-SUMIF(CE85:CE88, 1, L85:L88)</f>
        <v>989.34999999999991</v>
      </c>
    </row>
    <row r="85" spans="1:83" ht="15" x14ac:dyDescent="0.2">
      <c r="A85" s="47"/>
      <c r="B85" s="50"/>
      <c r="C85" s="47" t="s">
        <v>410</v>
      </c>
      <c r="D85" s="49" t="s">
        <v>266</v>
      </c>
      <c r="E85" s="54"/>
      <c r="F85" s="50"/>
      <c r="G85" s="50">
        <f>Source!V30</f>
        <v>1.6235999999999999</v>
      </c>
      <c r="H85" s="50"/>
      <c r="I85" s="50"/>
      <c r="J85" s="50"/>
      <c r="K85" s="50"/>
      <c r="L85" s="55">
        <f>SUMIF(CE86:CE88, 1, L86:L88)</f>
        <v>1186.98</v>
      </c>
      <c r="CE85">
        <v>1</v>
      </c>
    </row>
    <row r="86" spans="1:83" ht="28.5" x14ac:dyDescent="0.2">
      <c r="A86" s="48"/>
      <c r="B86" s="48" t="s">
        <v>269</v>
      </c>
      <c r="C86" s="48" t="s">
        <v>271</v>
      </c>
      <c r="D86" s="49" t="s">
        <v>272</v>
      </c>
      <c r="E86" s="50">
        <v>0.36</v>
      </c>
      <c r="F86" s="50">
        <f>ROUND(3,7)</f>
        <v>3</v>
      </c>
      <c r="G86" s="50">
        <f>SmtRes!CX10</f>
        <v>0.88560000000000005</v>
      </c>
      <c r="H86" s="52">
        <f>SmtRes!CZ10</f>
        <v>6.62</v>
      </c>
      <c r="I86" s="51">
        <f>SmtRes!AJ10</f>
        <v>1.5</v>
      </c>
      <c r="J86" s="52">
        <f>ROUND(H86*I86, 2)</f>
        <v>9.93</v>
      </c>
      <c r="K86" s="51"/>
      <c r="L86" s="52">
        <f>SmtRes!DG10</f>
        <v>8.7899999999999991</v>
      </c>
    </row>
    <row r="87" spans="1:83" ht="71.25" x14ac:dyDescent="0.2">
      <c r="A87" s="48"/>
      <c r="B87" s="48" t="s">
        <v>273</v>
      </c>
      <c r="C87" s="48" t="s">
        <v>275</v>
      </c>
      <c r="D87" s="49" t="s">
        <v>272</v>
      </c>
      <c r="E87" s="50">
        <v>0.66</v>
      </c>
      <c r="F87" s="50">
        <f>ROUND(3,7)</f>
        <v>3</v>
      </c>
      <c r="G87" s="50">
        <f>SmtRes!CX11</f>
        <v>1.6235999999999999</v>
      </c>
      <c r="H87" s="52"/>
      <c r="I87" s="51"/>
      <c r="J87" s="52">
        <f>SmtRes!CZ11</f>
        <v>603.94000000000005</v>
      </c>
      <c r="K87" s="51"/>
      <c r="L87" s="52">
        <f>SmtRes!DG11</f>
        <v>980.56</v>
      </c>
    </row>
    <row r="88" spans="1:83" ht="28.5" x14ac:dyDescent="0.2">
      <c r="A88" s="48"/>
      <c r="B88" s="48" t="s">
        <v>276</v>
      </c>
      <c r="C88" s="48" t="s">
        <v>409</v>
      </c>
      <c r="D88" s="49" t="s">
        <v>266</v>
      </c>
      <c r="E88" s="50">
        <f>SmtRes!DO11*SmtRes!AT11</f>
        <v>0.66</v>
      </c>
      <c r="F88" s="50">
        <f>ROUND(3,7)</f>
        <v>3</v>
      </c>
      <c r="G88" s="50">
        <f>ROUND(E88*F88*G80, 7)</f>
        <v>1.6235999999999999</v>
      </c>
      <c r="H88" s="52"/>
      <c r="I88" s="51"/>
      <c r="J88" s="52">
        <f>ROUND(SmtRes!AG11/SmtRes!DO11, 2)</f>
        <v>731.08</v>
      </c>
      <c r="K88" s="51"/>
      <c r="L88" s="52">
        <f>SmtRes!DH11</f>
        <v>1186.98</v>
      </c>
      <c r="CE88">
        <v>1</v>
      </c>
    </row>
    <row r="89" spans="1:83" ht="15" x14ac:dyDescent="0.2">
      <c r="A89" s="47"/>
      <c r="B89" s="50">
        <v>4</v>
      </c>
      <c r="C89" s="47" t="s">
        <v>411</v>
      </c>
      <c r="D89" s="49"/>
      <c r="E89" s="54"/>
      <c r="F89" s="50"/>
      <c r="G89" s="50"/>
      <c r="H89" s="50"/>
      <c r="I89" s="50"/>
      <c r="J89" s="50"/>
      <c r="K89" s="50"/>
      <c r="L89" s="55">
        <f>SUM(L90:L90)-SUMIF(CE90:CE90, 1, L90:L90)</f>
        <v>12851.61</v>
      </c>
    </row>
    <row r="90" spans="1:83" ht="28.5" x14ac:dyDescent="0.2">
      <c r="A90" s="48"/>
      <c r="B90" s="48" t="s">
        <v>281</v>
      </c>
      <c r="C90" s="56" t="s">
        <v>283</v>
      </c>
      <c r="D90" s="57" t="s">
        <v>280</v>
      </c>
      <c r="E90" s="58">
        <v>1.1000000000000001</v>
      </c>
      <c r="F90" s="58">
        <f>ROUND(3,7)</f>
        <v>3</v>
      </c>
      <c r="G90" s="58">
        <f>SmtRes!CX12</f>
        <v>2.706</v>
      </c>
      <c r="H90" s="59">
        <f>SmtRes!CZ12</f>
        <v>3392.36</v>
      </c>
      <c r="I90" s="60">
        <f>SmtRes!AI12</f>
        <v>1.4</v>
      </c>
      <c r="J90" s="59">
        <f>ROUND(H90*I90, 2)</f>
        <v>4749.3</v>
      </c>
      <c r="K90" s="60"/>
      <c r="L90" s="59">
        <f>SmtRes!DF12</f>
        <v>12851.61</v>
      </c>
    </row>
    <row r="91" spans="1:83" ht="15" x14ac:dyDescent="0.2">
      <c r="A91" s="48"/>
      <c r="B91" s="48"/>
      <c r="C91" s="62" t="s">
        <v>412</v>
      </c>
      <c r="D91" s="49"/>
      <c r="E91" s="50"/>
      <c r="F91" s="50"/>
      <c r="G91" s="50"/>
      <c r="H91" s="52"/>
      <c r="I91" s="51"/>
      <c r="J91" s="52"/>
      <c r="K91" s="51"/>
      <c r="L91" s="52">
        <f>L82+L84+L85+L89</f>
        <v>67719.490000000005</v>
      </c>
    </row>
    <row r="92" spans="1:83" ht="14.25" x14ac:dyDescent="0.2">
      <c r="A92" s="46" t="s">
        <v>422</v>
      </c>
      <c r="B92" s="48" t="str">
        <f>Source!F31</f>
        <v>999-9900</v>
      </c>
      <c r="C92" s="48" t="str">
        <f>Source!G31</f>
        <v>Строительный мусор</v>
      </c>
      <c r="D92" s="49" t="str">
        <f>Source!H31</f>
        <v>т</v>
      </c>
      <c r="E92" s="50">
        <f>SmtRes!AT13</f>
        <v>2.42</v>
      </c>
      <c r="F92" s="50">
        <f>ROUND(3,7)</f>
        <v>3</v>
      </c>
      <c r="G92" s="50">
        <f>Source!I31</f>
        <v>5.9531999999999998</v>
      </c>
      <c r="H92" s="52">
        <f>Source!AL31+Source!AO31+Source!AM31+Source!AN31</f>
        <v>0</v>
      </c>
      <c r="I92" s="51"/>
      <c r="J92" s="52"/>
      <c r="K92" s="51"/>
      <c r="L92" s="52">
        <f>Source!P31</f>
        <v>0</v>
      </c>
      <c r="AD92">
        <f>ROUND((Source!AT31/100)*((ROUND(ROUND(Source!AO31,2)*Source!I31, 2)+ROUND(ROUND(Source!AN31,2)*Source!I31, 2))), 2)</f>
        <v>0</v>
      </c>
      <c r="AE92">
        <f>ROUND((Source!AU31/100)*((ROUND(ROUND(Source!AO31,2)*Source!I31, 2)+ROUND(ROUND(Source!AN31,2)*Source!I31, 2))), 2)</f>
        <v>0</v>
      </c>
      <c r="AN92">
        <f>L92</f>
        <v>0</v>
      </c>
      <c r="AW92">
        <f>L92</f>
        <v>0</v>
      </c>
      <c r="AZ92">
        <f>Source!X31</f>
        <v>0</v>
      </c>
      <c r="BA92">
        <f>Source!Y31</f>
        <v>0</v>
      </c>
      <c r="CD92">
        <v>1</v>
      </c>
    </row>
    <row r="93" spans="1:83" ht="14.25" x14ac:dyDescent="0.2">
      <c r="A93" s="48"/>
      <c r="B93" s="48"/>
      <c r="C93" s="48" t="s">
        <v>414</v>
      </c>
      <c r="D93" s="49"/>
      <c r="E93" s="50"/>
      <c r="F93" s="50"/>
      <c r="G93" s="50"/>
      <c r="H93" s="52"/>
      <c r="I93" s="51"/>
      <c r="J93" s="52"/>
      <c r="K93" s="51"/>
      <c r="L93" s="52">
        <f>SUM(AR80:AR96)+SUM(AS80:AS96)+SUM(AT80:AT96)+SUM(AU80:AU96)+SUM(AV80:AV96)</f>
        <v>53878.530000000006</v>
      </c>
    </row>
    <row r="94" spans="1:83" ht="14.25" x14ac:dyDescent="0.2">
      <c r="A94" s="48"/>
      <c r="B94" s="48" t="s">
        <v>25</v>
      </c>
      <c r="C94" s="48" t="s">
        <v>415</v>
      </c>
      <c r="D94" s="49" t="s">
        <v>416</v>
      </c>
      <c r="E94" s="50">
        <f>Source!BZ30</f>
        <v>89</v>
      </c>
      <c r="F94" s="50"/>
      <c r="G94" s="50">
        <f>Source!AT30</f>
        <v>89</v>
      </c>
      <c r="H94" s="52"/>
      <c r="I94" s="51"/>
      <c r="J94" s="52"/>
      <c r="K94" s="51"/>
      <c r="L94" s="52">
        <f>SUM(AZ80:AZ96)</f>
        <v>47951.89</v>
      </c>
    </row>
    <row r="95" spans="1:83" ht="14.25" x14ac:dyDescent="0.2">
      <c r="A95" s="56"/>
      <c r="B95" s="56" t="s">
        <v>26</v>
      </c>
      <c r="C95" s="56" t="s">
        <v>417</v>
      </c>
      <c r="D95" s="57" t="s">
        <v>416</v>
      </c>
      <c r="E95" s="58">
        <f>Source!CA30</f>
        <v>44</v>
      </c>
      <c r="F95" s="58"/>
      <c r="G95" s="58">
        <f>Source!AU30</f>
        <v>44</v>
      </c>
      <c r="H95" s="59"/>
      <c r="I95" s="60"/>
      <c r="J95" s="59"/>
      <c r="K95" s="60"/>
      <c r="L95" s="59">
        <f>SUM(BA80:BA96)</f>
        <v>23706.55</v>
      </c>
    </row>
    <row r="96" spans="1:83" ht="15" x14ac:dyDescent="0.2">
      <c r="C96" s="109" t="s">
        <v>418</v>
      </c>
      <c r="D96" s="109"/>
      <c r="E96" s="109"/>
      <c r="F96" s="109"/>
      <c r="G96" s="109"/>
      <c r="H96" s="109"/>
      <c r="I96" s="110">
        <f>IF(E80&lt;&gt;0,K96/E80, 0)</f>
        <v>169973.08536585371</v>
      </c>
      <c r="J96" s="110"/>
      <c r="K96" s="110">
        <f>L82+L84+L89+L94+L95+L85+SUM(L92:L92)</f>
        <v>139377.93000000002</v>
      </c>
      <c r="L96" s="110"/>
      <c r="AD96">
        <f>ROUND((Source!AT30/100)*((ROUND(SUMIF(SmtRes!AQ8:'SmtRes'!AQ13,"=1",SmtRes!AD8:'SmtRes'!AD13)*Source!I30, 2)+ROUND(SUMIF(SmtRes!AQ8:'SmtRes'!AQ13,"=1",SmtRes!AC8:'SmtRes'!AC13)*Source!I30, 2))), 2)</f>
        <v>1019.31</v>
      </c>
      <c r="AE96">
        <f>ROUND((Source!AU30/100)*((ROUND(SUMIF(SmtRes!AQ8:'SmtRes'!AQ13,"=1",SmtRes!AD8:'SmtRes'!AD13)*Source!I30, 2)+ROUND(SUMIF(SmtRes!AQ8:'SmtRes'!AQ13,"=1",SmtRes!AC8:'SmtRes'!AC13)*Source!I30, 2))), 2)</f>
        <v>503.93</v>
      </c>
      <c r="AN96" s="61">
        <f>L82+L84+L89+L94+L95+L85</f>
        <v>139377.93000000002</v>
      </c>
      <c r="AO96" s="61">
        <f>L84</f>
        <v>989.34999999999991</v>
      </c>
      <c r="AQ96" t="s">
        <v>419</v>
      </c>
      <c r="AR96" s="61">
        <f>L82</f>
        <v>52691.55</v>
      </c>
      <c r="AT96" s="61">
        <f>L85</f>
        <v>1186.98</v>
      </c>
      <c r="AV96" t="s">
        <v>419</v>
      </c>
      <c r="AW96" s="61">
        <f>L89</f>
        <v>12851.61</v>
      </c>
      <c r="AZ96">
        <f>Source!X30</f>
        <v>47951.89</v>
      </c>
      <c r="BA96">
        <f>Source!Y30</f>
        <v>23706.55</v>
      </c>
      <c r="CD96">
        <v>1</v>
      </c>
    </row>
    <row r="97" spans="1:101" ht="114" x14ac:dyDescent="0.2">
      <c r="A97" s="46" t="s">
        <v>37</v>
      </c>
      <c r="B97" s="48" t="s">
        <v>423</v>
      </c>
      <c r="C97" s="48" t="str">
        <f>Source!G32</f>
        <v>Отделка фасадов мелкозернистыми декоративными покрытиями из минеральных или полимерминеральных составов по подготовленной поверхности с лесов и земли, состав с наполнителем: из крупнозернистого минерала (размер зерна до 5 мм)</v>
      </c>
      <c r="D97" s="49" t="str">
        <f>Source!H32</f>
        <v>100 м2</v>
      </c>
      <c r="E97" s="50">
        <f>Source!K32</f>
        <v>0.82</v>
      </c>
      <c r="F97" s="50"/>
      <c r="G97" s="50">
        <f>Source!I32</f>
        <v>0.82</v>
      </c>
      <c r="H97" s="52"/>
      <c r="I97" s="51"/>
      <c r="J97" s="52"/>
      <c r="K97" s="51"/>
      <c r="L97" s="52"/>
    </row>
    <row r="98" spans="1:101" ht="51" x14ac:dyDescent="0.2">
      <c r="B98" s="64" t="s">
        <v>354</v>
      </c>
      <c r="C98" s="111" t="s">
        <v>424</v>
      </c>
      <c r="D98" s="111"/>
      <c r="E98" s="111"/>
      <c r="F98" s="111"/>
      <c r="G98" s="111"/>
      <c r="H98" s="111"/>
      <c r="I98" s="111"/>
      <c r="J98" s="111"/>
      <c r="K98" s="111"/>
      <c r="L98" s="111"/>
      <c r="CW98" s="65" t="s">
        <v>424</v>
      </c>
    </row>
    <row r="99" spans="1:101" x14ac:dyDescent="0.2">
      <c r="C99" s="53" t="str">
        <f>"Объем: "&amp;Source!I32&amp;"=82/"&amp;"100"</f>
        <v>Объем: 0,82=82/100</v>
      </c>
    </row>
    <row r="100" spans="1:101" ht="15" x14ac:dyDescent="0.2">
      <c r="A100" s="47"/>
      <c r="B100" s="50">
        <v>1</v>
      </c>
      <c r="C100" s="47" t="s">
        <v>407</v>
      </c>
      <c r="D100" s="49" t="s">
        <v>266</v>
      </c>
      <c r="E100" s="54"/>
      <c r="F100" s="50"/>
      <c r="G100" s="50">
        <f>Source!U32</f>
        <v>61.304430000000004</v>
      </c>
      <c r="H100" s="50"/>
      <c r="I100" s="50"/>
      <c r="J100" s="50"/>
      <c r="K100" s="50"/>
      <c r="L100" s="55">
        <f>SUM(L101:L101)-SUMIF(CE101:CE101, 1, L101:L101)</f>
        <v>48832.04</v>
      </c>
    </row>
    <row r="101" spans="1:101" ht="14.25" x14ac:dyDescent="0.2">
      <c r="A101" s="48"/>
      <c r="B101" s="48" t="s">
        <v>284</v>
      </c>
      <c r="C101" s="48" t="s">
        <v>285</v>
      </c>
      <c r="D101" s="49" t="s">
        <v>266</v>
      </c>
      <c r="E101" s="50">
        <v>65.010000000000005</v>
      </c>
      <c r="F101" s="50">
        <f>ROUND(1.15,7)</f>
        <v>1.1499999999999999</v>
      </c>
      <c r="G101" s="50">
        <f>SmtRes!CX14</f>
        <v>61.304430000000004</v>
      </c>
      <c r="H101" s="52"/>
      <c r="I101" s="51"/>
      <c r="J101" s="52">
        <f>SmtRes!CZ14</f>
        <v>796.55</v>
      </c>
      <c r="K101" s="51"/>
      <c r="L101" s="52">
        <f>SmtRes!DI14</f>
        <v>48832.04</v>
      </c>
    </row>
    <row r="102" spans="1:101" ht="15" x14ac:dyDescent="0.2">
      <c r="A102" s="47"/>
      <c r="B102" s="50">
        <v>2</v>
      </c>
      <c r="C102" s="47" t="s">
        <v>408</v>
      </c>
      <c r="D102" s="49"/>
      <c r="E102" s="54"/>
      <c r="F102" s="50"/>
      <c r="G102" s="50"/>
      <c r="H102" s="50"/>
      <c r="I102" s="50"/>
      <c r="J102" s="50"/>
      <c r="K102" s="50"/>
      <c r="L102" s="55">
        <f>SUM(L103:L106)-SUMIF(CE103:CE106, 1, L103:L106)</f>
        <v>296.64999999999998</v>
      </c>
    </row>
    <row r="103" spans="1:101" ht="15" x14ac:dyDescent="0.2">
      <c r="A103" s="47"/>
      <c r="B103" s="50"/>
      <c r="C103" s="47" t="s">
        <v>410</v>
      </c>
      <c r="D103" s="49" t="s">
        <v>266</v>
      </c>
      <c r="E103" s="54"/>
      <c r="F103" s="50"/>
      <c r="G103" s="50">
        <f>Source!V32</f>
        <v>0.53300000000000003</v>
      </c>
      <c r="H103" s="50"/>
      <c r="I103" s="50"/>
      <c r="J103" s="50"/>
      <c r="K103" s="50"/>
      <c r="L103" s="55">
        <f>SUMIF(CE104:CE106, 1, L104:L106)</f>
        <v>389.67</v>
      </c>
      <c r="CE103">
        <v>1</v>
      </c>
    </row>
    <row r="104" spans="1:101" ht="28.5" x14ac:dyDescent="0.2">
      <c r="A104" s="48"/>
      <c r="B104" s="48" t="s">
        <v>269</v>
      </c>
      <c r="C104" s="48" t="s">
        <v>271</v>
      </c>
      <c r="D104" s="49" t="s">
        <v>272</v>
      </c>
      <c r="E104" s="50">
        <v>0.61</v>
      </c>
      <c r="F104" s="50">
        <f>ROUND(1.25,7)</f>
        <v>1.25</v>
      </c>
      <c r="G104" s="50">
        <f>SmtRes!CX16</f>
        <v>0.62524999999999997</v>
      </c>
      <c r="H104" s="52">
        <f>SmtRes!CZ16</f>
        <v>6.62</v>
      </c>
      <c r="I104" s="51">
        <f>SmtRes!AJ16</f>
        <v>1.5</v>
      </c>
      <c r="J104" s="52">
        <f>ROUND(H104*I104, 2)</f>
        <v>9.93</v>
      </c>
      <c r="K104" s="51"/>
      <c r="L104" s="52">
        <f>SmtRes!DG16</f>
        <v>6.21</v>
      </c>
    </row>
    <row r="105" spans="1:101" ht="28.5" x14ac:dyDescent="0.2">
      <c r="A105" s="48"/>
      <c r="B105" s="48" t="s">
        <v>286</v>
      </c>
      <c r="C105" s="48" t="s">
        <v>288</v>
      </c>
      <c r="D105" s="49" t="s">
        <v>272</v>
      </c>
      <c r="E105" s="50">
        <v>0.52</v>
      </c>
      <c r="F105" s="50">
        <f>ROUND(1.25,7)</f>
        <v>1.25</v>
      </c>
      <c r="G105" s="50">
        <f>SmtRes!CX17</f>
        <v>0.53300000000000003</v>
      </c>
      <c r="H105" s="52"/>
      <c r="I105" s="51"/>
      <c r="J105" s="52">
        <f>SmtRes!CZ17</f>
        <v>544.91999999999996</v>
      </c>
      <c r="K105" s="51"/>
      <c r="L105" s="52">
        <f>SmtRes!DG17</f>
        <v>290.44</v>
      </c>
    </row>
    <row r="106" spans="1:101" ht="28.5" x14ac:dyDescent="0.2">
      <c r="A106" s="48"/>
      <c r="B106" s="48" t="s">
        <v>276</v>
      </c>
      <c r="C106" s="48" t="s">
        <v>409</v>
      </c>
      <c r="D106" s="49" t="s">
        <v>266</v>
      </c>
      <c r="E106" s="50">
        <f>SmtRes!DO17*SmtRes!AT17</f>
        <v>0.52</v>
      </c>
      <c r="F106" s="50">
        <f>ROUND(1.25,7)</f>
        <v>1.25</v>
      </c>
      <c r="G106" s="50">
        <f>ROUND(E106*F106*G97, 7)</f>
        <v>0.53300000000000003</v>
      </c>
      <c r="H106" s="52"/>
      <c r="I106" s="51"/>
      <c r="J106" s="52">
        <f>ROUND(SmtRes!AG17/SmtRes!DO17, 2)</f>
        <v>731.08</v>
      </c>
      <c r="K106" s="51"/>
      <c r="L106" s="52">
        <f>SmtRes!DH17</f>
        <v>389.67</v>
      </c>
      <c r="CE106">
        <v>1</v>
      </c>
    </row>
    <row r="107" spans="1:101" ht="15" x14ac:dyDescent="0.2">
      <c r="A107" s="47"/>
      <c r="B107" s="50">
        <v>4</v>
      </c>
      <c r="C107" s="47" t="s">
        <v>411</v>
      </c>
      <c r="D107" s="49"/>
      <c r="E107" s="54"/>
      <c r="F107" s="50"/>
      <c r="G107" s="50"/>
      <c r="H107" s="50"/>
      <c r="I107" s="50"/>
      <c r="J107" s="50"/>
      <c r="K107" s="50"/>
      <c r="L107" s="55">
        <f>SUM(L108:L109)-SUMIF(CE108:CE109, 1, L108:L109)</f>
        <v>8.7799999999999994</v>
      </c>
    </row>
    <row r="108" spans="1:101" ht="14.25" x14ac:dyDescent="0.2">
      <c r="A108" s="48"/>
      <c r="B108" s="48" t="s">
        <v>277</v>
      </c>
      <c r="C108" s="48" t="s">
        <v>279</v>
      </c>
      <c r="D108" s="49" t="s">
        <v>280</v>
      </c>
      <c r="E108" s="50">
        <v>7.3999999999999996E-2</v>
      </c>
      <c r="F108" s="50"/>
      <c r="G108" s="50">
        <f>SmtRes!CX18</f>
        <v>6.0679999999999998E-2</v>
      </c>
      <c r="H108" s="52">
        <f>SmtRes!CZ18</f>
        <v>35.71</v>
      </c>
      <c r="I108" s="51">
        <f>SmtRes!AI18</f>
        <v>1.53</v>
      </c>
      <c r="J108" s="52">
        <f>ROUND(H108*I108, 2)</f>
        <v>54.64</v>
      </c>
      <c r="K108" s="51"/>
      <c r="L108" s="52">
        <f>SmtRes!DF18</f>
        <v>3.32</v>
      </c>
    </row>
    <row r="109" spans="1:101" ht="14.25" x14ac:dyDescent="0.2">
      <c r="A109" s="48"/>
      <c r="B109" s="48" t="s">
        <v>289</v>
      </c>
      <c r="C109" s="48" t="s">
        <v>291</v>
      </c>
      <c r="D109" s="49" t="s">
        <v>292</v>
      </c>
      <c r="E109" s="50">
        <v>0.96199999999999997</v>
      </c>
      <c r="F109" s="50"/>
      <c r="G109" s="50">
        <f>SmtRes!CX19</f>
        <v>0.78883999999999999</v>
      </c>
      <c r="H109" s="52"/>
      <c r="I109" s="51"/>
      <c r="J109" s="52">
        <f>SmtRes!CZ19</f>
        <v>6.92</v>
      </c>
      <c r="K109" s="51"/>
      <c r="L109" s="52">
        <f>SmtRes!DF19</f>
        <v>5.46</v>
      </c>
    </row>
    <row r="110" spans="1:101" ht="42.75" x14ac:dyDescent="0.2">
      <c r="A110" s="48"/>
      <c r="B110" s="48" t="str">
        <f>EtalonRes!I20</f>
        <v>04.3.01.02</v>
      </c>
      <c r="C110" s="48" t="str">
        <f>EtalonRes!K20</f>
        <v>Минеральный или полимерминеральный декоративный состав</v>
      </c>
      <c r="D110" s="49" t="str">
        <f>EtalonRes!O20</f>
        <v>т</v>
      </c>
      <c r="E110" s="50">
        <f>EtalonRes!X20</f>
        <v>0.5</v>
      </c>
      <c r="F110" s="50"/>
      <c r="G110" s="50">
        <f>ROUND(EtalonRes!AG20*Source!I32, 7)</f>
        <v>0.41</v>
      </c>
      <c r="H110" s="52"/>
      <c r="I110" s="51"/>
      <c r="J110" s="52"/>
      <c r="K110" s="51"/>
      <c r="L110" s="52"/>
    </row>
    <row r="111" spans="1:101" ht="14.25" x14ac:dyDescent="0.2">
      <c r="A111" s="48"/>
      <c r="B111" s="48" t="str">
        <f>EtalonRes!I21</f>
        <v>14.4.01.02</v>
      </c>
      <c r="C111" s="56" t="str">
        <f>EtalonRes!K21</f>
        <v>Грунтовка</v>
      </c>
      <c r="D111" s="57" t="str">
        <f>EtalonRes!O21</f>
        <v>т</v>
      </c>
      <c r="E111" s="58">
        <f>EtalonRes!X21</f>
        <v>1.7999999999999999E-2</v>
      </c>
      <c r="F111" s="58"/>
      <c r="G111" s="58">
        <f>ROUND(EtalonRes!AG21*Source!I32, 7)</f>
        <v>1.4760000000000001E-2</v>
      </c>
      <c r="H111" s="59"/>
      <c r="I111" s="60"/>
      <c r="J111" s="59"/>
      <c r="K111" s="60"/>
      <c r="L111" s="59"/>
    </row>
    <row r="112" spans="1:101" ht="15" x14ac:dyDescent="0.2">
      <c r="A112" s="48"/>
      <c r="B112" s="48"/>
      <c r="C112" s="62" t="s">
        <v>412</v>
      </c>
      <c r="D112" s="49"/>
      <c r="E112" s="50"/>
      <c r="F112" s="50"/>
      <c r="G112" s="50"/>
      <c r="H112" s="52"/>
      <c r="I112" s="51"/>
      <c r="J112" s="52"/>
      <c r="K112" s="51"/>
      <c r="L112" s="52">
        <f>L100+L102+L103+L107</f>
        <v>49527.14</v>
      </c>
    </row>
    <row r="113" spans="1:83" ht="85.5" x14ac:dyDescent="0.2">
      <c r="A113" s="46" t="s">
        <v>425</v>
      </c>
      <c r="B113" s="48" t="str">
        <f>Source!F33</f>
        <v>04.3.01.02-0001</v>
      </c>
      <c r="C113" s="48" t="str">
        <f>Source!G33</f>
        <v>Состав пастовый минеральный или полиминеральный декоративный для отделки фасадов, внутренних стен и потолков на латексной основе с минеральным наполнителем, размер зерна 0,5-5,0 мм</v>
      </c>
      <c r="D113" s="49" t="str">
        <f>Source!H33</f>
        <v>т</v>
      </c>
      <c r="E113" s="50">
        <f>SmtRes!AT20</f>
        <v>0.5</v>
      </c>
      <c r="F113" s="50"/>
      <c r="G113" s="50">
        <f>Source!I33</f>
        <v>0.41</v>
      </c>
      <c r="H113" s="52">
        <f>Source!AL33+Source!AO33+Source!AM33+Source!AN33</f>
        <v>89945.1</v>
      </c>
      <c r="I113" s="51">
        <f>IF(Source!BC33&lt;&gt; 0, Source!BC33, 1)</f>
        <v>1.55</v>
      </c>
      <c r="J113" s="52">
        <f>ROUND(H113*I113, 2)</f>
        <v>139414.91</v>
      </c>
      <c r="K113" s="51"/>
      <c r="L113" s="52">
        <f>Source!P33</f>
        <v>57160.11</v>
      </c>
      <c r="AD113">
        <f>ROUND((Source!AT33/100)*((ROUND(ROUND(Source!AO33,2)*Source!I33, 2)+ROUND(ROUND(Source!AN33,2)*Source!I33, 2))), 2)</f>
        <v>0</v>
      </c>
      <c r="AE113">
        <f>ROUND((Source!AU33/100)*((ROUND(ROUND(Source!AO33,2)*Source!I33, 2)+ROUND(ROUND(Source!AN33,2)*Source!I33, 2))), 2)</f>
        <v>0</v>
      </c>
      <c r="AN113">
        <f>L113</f>
        <v>57160.11</v>
      </c>
      <c r="AW113">
        <f>L113</f>
        <v>57160.11</v>
      </c>
      <c r="AZ113">
        <f>Source!X33</f>
        <v>0</v>
      </c>
      <c r="BA113">
        <f>Source!Y33</f>
        <v>0</v>
      </c>
      <c r="CD113">
        <v>1</v>
      </c>
    </row>
    <row r="114" spans="1:83" ht="42.75" x14ac:dyDescent="0.2">
      <c r="A114" s="46" t="s">
        <v>426</v>
      </c>
      <c r="B114" s="48" t="str">
        <f>Source!F34</f>
        <v>14.4.01.02-0012</v>
      </c>
      <c r="C114" s="48" t="str">
        <f>Source!G34</f>
        <v>Грунтовка укрепляющая, глубокого проникновения, быстросохнущая, паропроницаемая</v>
      </c>
      <c r="D114" s="49" t="str">
        <f>Source!H34</f>
        <v>кг</v>
      </c>
      <c r="E114" s="50">
        <f>SmtRes!AT21</f>
        <v>18</v>
      </c>
      <c r="F114" s="50"/>
      <c r="G114" s="50">
        <f>Source!I34</f>
        <v>14.76</v>
      </c>
      <c r="H114" s="52">
        <f>Source!AL34+Source!AO34+Source!AM34+Source!AN34</f>
        <v>68.290000000000006</v>
      </c>
      <c r="I114" s="51">
        <f>IF(Source!BC34&lt;&gt; 0, Source!BC34, 1)</f>
        <v>1.54</v>
      </c>
      <c r="J114" s="52">
        <f>ROUND(H114*I114, 2)</f>
        <v>105.17</v>
      </c>
      <c r="K114" s="51"/>
      <c r="L114" s="52">
        <f>Source!P34</f>
        <v>1552.31</v>
      </c>
      <c r="AD114">
        <f>ROUND((Source!AT34/100)*((ROUND(ROUND(Source!AO34,2)*Source!I34, 2)+ROUND(ROUND(Source!AN34,2)*Source!I34, 2))), 2)</f>
        <v>0</v>
      </c>
      <c r="AE114">
        <f>ROUND((Source!AU34/100)*((ROUND(ROUND(Source!AO34,2)*Source!I34, 2)+ROUND(ROUND(Source!AN34,2)*Source!I34, 2))), 2)</f>
        <v>0</v>
      </c>
      <c r="AN114">
        <f>L114</f>
        <v>1552.31</v>
      </c>
      <c r="AW114">
        <f>L114</f>
        <v>1552.31</v>
      </c>
      <c r="AZ114">
        <f>Source!X34</f>
        <v>0</v>
      </c>
      <c r="BA114">
        <f>Source!Y34</f>
        <v>0</v>
      </c>
      <c r="CD114">
        <v>1</v>
      </c>
    </row>
    <row r="115" spans="1:83" ht="14.25" x14ac:dyDescent="0.2">
      <c r="A115" s="48"/>
      <c r="B115" s="48"/>
      <c r="C115" s="48" t="s">
        <v>414</v>
      </c>
      <c r="D115" s="49"/>
      <c r="E115" s="50"/>
      <c r="F115" s="50"/>
      <c r="G115" s="50"/>
      <c r="H115" s="52"/>
      <c r="I115" s="51"/>
      <c r="J115" s="52"/>
      <c r="K115" s="51"/>
      <c r="L115" s="52">
        <f>SUM(AR97:AR118)+SUM(AS97:AS118)+SUM(AT97:AT118)+SUM(AU97:AU118)+SUM(AV97:AV118)</f>
        <v>49221.71</v>
      </c>
    </row>
    <row r="116" spans="1:83" ht="28.5" x14ac:dyDescent="0.2">
      <c r="A116" s="48"/>
      <c r="B116" s="48" t="s">
        <v>427</v>
      </c>
      <c r="C116" s="48" t="s">
        <v>428</v>
      </c>
      <c r="D116" s="49" t="s">
        <v>416</v>
      </c>
      <c r="E116" s="50">
        <f>Source!BZ32</f>
        <v>100</v>
      </c>
      <c r="F116" s="50">
        <f>ROUND(0.9,7)</f>
        <v>0.9</v>
      </c>
      <c r="G116" s="50">
        <f>Source!AT32</f>
        <v>90</v>
      </c>
      <c r="H116" s="52"/>
      <c r="I116" s="51"/>
      <c r="J116" s="52"/>
      <c r="K116" s="51"/>
      <c r="L116" s="52">
        <f>SUM(AZ97:AZ118)</f>
        <v>44299.54</v>
      </c>
    </row>
    <row r="117" spans="1:83" ht="28.5" x14ac:dyDescent="0.2">
      <c r="A117" s="56"/>
      <c r="B117" s="56" t="s">
        <v>429</v>
      </c>
      <c r="C117" s="56" t="s">
        <v>430</v>
      </c>
      <c r="D117" s="57" t="s">
        <v>416</v>
      </c>
      <c r="E117" s="58">
        <f>Source!CA32</f>
        <v>49</v>
      </c>
      <c r="F117" s="58">
        <f>ROUND(0.85,7)</f>
        <v>0.85</v>
      </c>
      <c r="G117" s="58">
        <f>Source!AU32</f>
        <v>41.65</v>
      </c>
      <c r="H117" s="59"/>
      <c r="I117" s="60"/>
      <c r="J117" s="59"/>
      <c r="K117" s="60"/>
      <c r="L117" s="59">
        <f>SUM(BA97:BA118)</f>
        <v>20500.84</v>
      </c>
    </row>
    <row r="118" spans="1:83" ht="15" x14ac:dyDescent="0.2">
      <c r="C118" s="109" t="s">
        <v>418</v>
      </c>
      <c r="D118" s="109"/>
      <c r="E118" s="109"/>
      <c r="F118" s="109"/>
      <c r="G118" s="109"/>
      <c r="H118" s="109"/>
      <c r="I118" s="110">
        <f>IF(E97&lt;&gt;0,K118/E97, 0)</f>
        <v>211024.31707317074</v>
      </c>
      <c r="J118" s="110"/>
      <c r="K118" s="110">
        <f>L100+L102+L107+L116+L117+L103+SUM(L113:L114)</f>
        <v>173039.94</v>
      </c>
      <c r="L118" s="110"/>
      <c r="AD118">
        <f>ROUND((Source!AT32/100)*((ROUND(SUMIF(SmtRes!AQ14:'SmtRes'!AQ21,"=1",SmtRes!AD14:'SmtRes'!AD21)*Source!I32, 2)+ROUND(SUMIF(SmtRes!AQ14:'SmtRes'!AQ21,"=1",SmtRes!AC14:'SmtRes'!AC21)*Source!I32, 2))), 2)</f>
        <v>1127.3900000000001</v>
      </c>
      <c r="AE118">
        <f>ROUND((Source!AU32/100)*((ROUND(SUMIF(SmtRes!AQ14:'SmtRes'!AQ21,"=1",SmtRes!AD14:'SmtRes'!AD21)*Source!I32, 2)+ROUND(SUMIF(SmtRes!AQ14:'SmtRes'!AQ21,"=1",SmtRes!AC14:'SmtRes'!AC21)*Source!I32, 2))), 2)</f>
        <v>521.73</v>
      </c>
      <c r="AN118" s="61">
        <f>L100+L102+L107+L116+L117+L103</f>
        <v>114327.52</v>
      </c>
      <c r="AO118" s="61">
        <f>L102</f>
        <v>296.64999999999998</v>
      </c>
      <c r="AQ118" t="s">
        <v>419</v>
      </c>
      <c r="AR118" s="61">
        <f>L100</f>
        <v>48832.04</v>
      </c>
      <c r="AT118" s="61">
        <f>L103</f>
        <v>389.67</v>
      </c>
      <c r="AV118" t="s">
        <v>419</v>
      </c>
      <c r="AW118" s="61">
        <f>L107</f>
        <v>8.7799999999999994</v>
      </c>
      <c r="AZ118">
        <f>Source!X32</f>
        <v>44299.54</v>
      </c>
      <c r="BA118">
        <f>Source!Y32</f>
        <v>20500.84</v>
      </c>
      <c r="CD118">
        <v>1</v>
      </c>
    </row>
    <row r="119" spans="1:83" ht="42.75" x14ac:dyDescent="0.2">
      <c r="A119" s="46" t="s">
        <v>60</v>
      </c>
      <c r="B119" s="48" t="s">
        <v>431</v>
      </c>
      <c r="C119" s="48" t="str">
        <f>Source!G35</f>
        <v>Смена покрытия кровли простой сложности из листовой стали: без настенных желобов и свесов</v>
      </c>
      <c r="D119" s="49" t="str">
        <f>Source!H35</f>
        <v>100 м2</v>
      </c>
      <c r="E119" s="50">
        <f>Source!K35</f>
        <v>0.08</v>
      </c>
      <c r="F119" s="50"/>
      <c r="G119" s="50">
        <f>Source!I35</f>
        <v>0.08</v>
      </c>
      <c r="H119" s="52"/>
      <c r="I119" s="51"/>
      <c r="J119" s="52"/>
      <c r="K119" s="51"/>
      <c r="L119" s="52"/>
    </row>
    <row r="120" spans="1:83" x14ac:dyDescent="0.2">
      <c r="C120" s="53" t="str">
        <f>"Объем: "&amp;Source!I35&amp;"=8/"&amp;"100"</f>
        <v>Объем: 0,08=8/100</v>
      </c>
    </row>
    <row r="121" spans="1:83" ht="15" x14ac:dyDescent="0.2">
      <c r="A121" s="47"/>
      <c r="B121" s="50">
        <v>1</v>
      </c>
      <c r="C121" s="47" t="s">
        <v>407</v>
      </c>
      <c r="D121" s="49" t="s">
        <v>266</v>
      </c>
      <c r="E121" s="54"/>
      <c r="F121" s="50"/>
      <c r="G121" s="50">
        <f>Source!U35</f>
        <v>8.7815999999999992</v>
      </c>
      <c r="H121" s="50"/>
      <c r="I121" s="50"/>
      <c r="J121" s="50"/>
      <c r="K121" s="50"/>
      <c r="L121" s="55">
        <f>SUM(L122:L122)-SUMIF(CE122:CE122, 1, L122:L122)</f>
        <v>5916.95</v>
      </c>
    </row>
    <row r="122" spans="1:83" ht="14.25" x14ac:dyDescent="0.2">
      <c r="A122" s="48"/>
      <c r="B122" s="48" t="s">
        <v>293</v>
      </c>
      <c r="C122" s="48" t="s">
        <v>294</v>
      </c>
      <c r="D122" s="49" t="s">
        <v>266</v>
      </c>
      <c r="E122" s="50">
        <v>109.77</v>
      </c>
      <c r="F122" s="50"/>
      <c r="G122" s="50">
        <f>SmtRes!CX22</f>
        <v>8.7815999999999992</v>
      </c>
      <c r="H122" s="52"/>
      <c r="I122" s="51"/>
      <c r="J122" s="52">
        <f>SmtRes!CZ22</f>
        <v>673.79</v>
      </c>
      <c r="K122" s="51"/>
      <c r="L122" s="52">
        <f>SmtRes!DI22</f>
        <v>5916.95</v>
      </c>
    </row>
    <row r="123" spans="1:83" ht="15" x14ac:dyDescent="0.2">
      <c r="A123" s="47"/>
      <c r="B123" s="50">
        <v>2</v>
      </c>
      <c r="C123" s="47" t="s">
        <v>408</v>
      </c>
      <c r="D123" s="49"/>
      <c r="E123" s="54"/>
      <c r="F123" s="50"/>
      <c r="G123" s="50"/>
      <c r="H123" s="50"/>
      <c r="I123" s="50"/>
      <c r="J123" s="50"/>
      <c r="K123" s="50"/>
      <c r="L123" s="55">
        <f>SUM(L124:L128)-SUMIF(CE124:CE128, 1, L124:L128)</f>
        <v>34.460000000000036</v>
      </c>
    </row>
    <row r="124" spans="1:83" ht="15" x14ac:dyDescent="0.2">
      <c r="A124" s="47"/>
      <c r="B124" s="50"/>
      <c r="C124" s="47" t="s">
        <v>410</v>
      </c>
      <c r="D124" s="49" t="s">
        <v>266</v>
      </c>
      <c r="E124" s="54"/>
      <c r="F124" s="50"/>
      <c r="G124" s="50">
        <f>Source!V35</f>
        <v>0.20960000000000001</v>
      </c>
      <c r="H124" s="50"/>
      <c r="I124" s="50"/>
      <c r="J124" s="50"/>
      <c r="K124" s="50"/>
      <c r="L124" s="55">
        <f>SUMIF(CE125:CE128, 1, L125:L128)</f>
        <v>139.82</v>
      </c>
      <c r="CE124">
        <v>1</v>
      </c>
    </row>
    <row r="125" spans="1:83" ht="42.75" x14ac:dyDescent="0.2">
      <c r="A125" s="48"/>
      <c r="B125" s="48" t="s">
        <v>295</v>
      </c>
      <c r="C125" s="48" t="s">
        <v>297</v>
      </c>
      <c r="D125" s="49" t="s">
        <v>272</v>
      </c>
      <c r="E125" s="50">
        <v>2.0499999999999998</v>
      </c>
      <c r="F125" s="50"/>
      <c r="G125" s="50">
        <f>SmtRes!CX24</f>
        <v>0.16400000000000001</v>
      </c>
      <c r="H125" s="52">
        <f>SmtRes!CZ24</f>
        <v>37.32</v>
      </c>
      <c r="I125" s="51">
        <f>SmtRes!AJ24</f>
        <v>1.57</v>
      </c>
      <c r="J125" s="52">
        <f>ROUND(H125*I125, 2)</f>
        <v>58.59</v>
      </c>
      <c r="K125" s="51"/>
      <c r="L125" s="52">
        <f>SmtRes!DG24</f>
        <v>9.61</v>
      </c>
    </row>
    <row r="126" spans="1:83" ht="28.5" x14ac:dyDescent="0.2">
      <c r="A126" s="48"/>
      <c r="B126" s="48" t="s">
        <v>298</v>
      </c>
      <c r="C126" s="48" t="s">
        <v>432</v>
      </c>
      <c r="D126" s="49" t="s">
        <v>266</v>
      </c>
      <c r="E126" s="50">
        <f>SmtRes!DO24*SmtRes!AT24</f>
        <v>2.0499999999999998</v>
      </c>
      <c r="F126" s="50"/>
      <c r="G126" s="50">
        <f>ROUND(E126*G119, 7)</f>
        <v>0.16400000000000001</v>
      </c>
      <c r="H126" s="52"/>
      <c r="I126" s="51"/>
      <c r="J126" s="52">
        <f>ROUND(SmtRes!AG24/SmtRes!DO24, 2)</f>
        <v>649.24</v>
      </c>
      <c r="K126" s="51"/>
      <c r="L126" s="52">
        <f>SmtRes!DH24</f>
        <v>106.48</v>
      </c>
      <c r="CE126">
        <v>1</v>
      </c>
    </row>
    <row r="127" spans="1:83" ht="28.5" x14ac:dyDescent="0.2">
      <c r="A127" s="48"/>
      <c r="B127" s="48" t="s">
        <v>286</v>
      </c>
      <c r="C127" s="48" t="s">
        <v>288</v>
      </c>
      <c r="D127" s="49" t="s">
        <v>272</v>
      </c>
      <c r="E127" s="50">
        <v>0.56999999999999995</v>
      </c>
      <c r="F127" s="50"/>
      <c r="G127" s="50">
        <f>SmtRes!CX25</f>
        <v>4.5600000000000002E-2</v>
      </c>
      <c r="H127" s="52"/>
      <c r="I127" s="51"/>
      <c r="J127" s="52">
        <f>SmtRes!CZ25</f>
        <v>544.91999999999996</v>
      </c>
      <c r="K127" s="51"/>
      <c r="L127" s="52">
        <f>SmtRes!DG25</f>
        <v>24.85</v>
      </c>
    </row>
    <row r="128" spans="1:83" ht="28.5" x14ac:dyDescent="0.2">
      <c r="A128" s="48"/>
      <c r="B128" s="48" t="s">
        <v>276</v>
      </c>
      <c r="C128" s="48" t="s">
        <v>409</v>
      </c>
      <c r="D128" s="49" t="s">
        <v>266</v>
      </c>
      <c r="E128" s="50">
        <f>SmtRes!DO25*SmtRes!AT25</f>
        <v>0.56999999999999995</v>
      </c>
      <c r="F128" s="50"/>
      <c r="G128" s="50">
        <f>ROUND(E128*G119, 7)</f>
        <v>4.5600000000000002E-2</v>
      </c>
      <c r="H128" s="52"/>
      <c r="I128" s="51"/>
      <c r="J128" s="52">
        <f>ROUND(SmtRes!AG25/SmtRes!DO25, 2)</f>
        <v>731.08</v>
      </c>
      <c r="K128" s="51"/>
      <c r="L128" s="52">
        <f>SmtRes!DH25</f>
        <v>33.340000000000003</v>
      </c>
      <c r="CE128">
        <v>1</v>
      </c>
    </row>
    <row r="129" spans="1:101" ht="15" x14ac:dyDescent="0.2">
      <c r="A129" s="47"/>
      <c r="B129" s="50">
        <v>4</v>
      </c>
      <c r="C129" s="47" t="s">
        <v>411</v>
      </c>
      <c r="D129" s="49"/>
      <c r="E129" s="54"/>
      <c r="F129" s="50"/>
      <c r="G129" s="50"/>
      <c r="H129" s="50"/>
      <c r="I129" s="50"/>
      <c r="J129" s="50"/>
      <c r="K129" s="50"/>
      <c r="L129" s="55">
        <f>SUM(L130:L132)-SUMIF(CE130:CE132, 1, L130:L132)</f>
        <v>384.53</v>
      </c>
    </row>
    <row r="130" spans="1:101" ht="14.25" x14ac:dyDescent="0.2">
      <c r="A130" s="48"/>
      <c r="B130" s="48" t="s">
        <v>299</v>
      </c>
      <c r="C130" s="48" t="s">
        <v>301</v>
      </c>
      <c r="D130" s="49" t="s">
        <v>30</v>
      </c>
      <c r="E130" s="50">
        <v>8.9999999999999998E-4</v>
      </c>
      <c r="F130" s="50"/>
      <c r="G130" s="50">
        <f>SmtRes!CX26</f>
        <v>7.2000000000000002E-5</v>
      </c>
      <c r="H130" s="52">
        <f>SmtRes!CZ26</f>
        <v>70296.2</v>
      </c>
      <c r="I130" s="51">
        <f>SmtRes!AI26</f>
        <v>1.31</v>
      </c>
      <c r="J130" s="52">
        <f>ROUND(H130*I130, 2)</f>
        <v>92088.02</v>
      </c>
      <c r="K130" s="51"/>
      <c r="L130" s="52">
        <f>SmtRes!DF26</f>
        <v>6.63</v>
      </c>
    </row>
    <row r="131" spans="1:101" ht="28.5" x14ac:dyDescent="0.2">
      <c r="A131" s="48"/>
      <c r="B131" s="48" t="s">
        <v>302</v>
      </c>
      <c r="C131" s="48" t="s">
        <v>304</v>
      </c>
      <c r="D131" s="49" t="s">
        <v>30</v>
      </c>
      <c r="E131" s="50">
        <v>6.5000000000000002E-2</v>
      </c>
      <c r="F131" s="50"/>
      <c r="G131" s="50">
        <f>SmtRes!CX27</f>
        <v>5.1999999999999998E-3</v>
      </c>
      <c r="H131" s="52">
        <f>SmtRes!CZ27</f>
        <v>55898.18</v>
      </c>
      <c r="I131" s="51">
        <f>SmtRes!AI27</f>
        <v>1.28</v>
      </c>
      <c r="J131" s="52">
        <f>ROUND(H131*I131, 2)</f>
        <v>71549.67</v>
      </c>
      <c r="K131" s="51"/>
      <c r="L131" s="52">
        <f>SmtRes!DF27</f>
        <v>372.06</v>
      </c>
    </row>
    <row r="132" spans="1:101" ht="28.5" x14ac:dyDescent="0.2">
      <c r="A132" s="48"/>
      <c r="B132" s="48" t="s">
        <v>305</v>
      </c>
      <c r="C132" s="48" t="s">
        <v>307</v>
      </c>
      <c r="D132" s="49" t="s">
        <v>58</v>
      </c>
      <c r="E132" s="50">
        <v>0.9</v>
      </c>
      <c r="F132" s="50"/>
      <c r="G132" s="50">
        <f>SmtRes!CX29</f>
        <v>7.1999999999999995E-2</v>
      </c>
      <c r="H132" s="52">
        <f>SmtRes!CZ29</f>
        <v>46.06</v>
      </c>
      <c r="I132" s="51">
        <f>SmtRes!AI29</f>
        <v>1.76</v>
      </c>
      <c r="J132" s="52">
        <f>ROUND(H132*I132, 2)</f>
        <v>81.069999999999993</v>
      </c>
      <c r="K132" s="51"/>
      <c r="L132" s="52">
        <f>SmtRes!DF29</f>
        <v>5.84</v>
      </c>
    </row>
    <row r="133" spans="1:101" ht="14.25" x14ac:dyDescent="0.2">
      <c r="A133" s="48"/>
      <c r="B133" s="48" t="str">
        <f>EtalonRes!I28</f>
        <v>08.3.05.05</v>
      </c>
      <c r="C133" s="56" t="str">
        <f>EtalonRes!K28</f>
        <v>Сталь листовая оцинкованная</v>
      </c>
      <c r="D133" s="57" t="str">
        <f>EtalonRes!O28</f>
        <v>т</v>
      </c>
      <c r="E133" s="58">
        <f>EtalonRes!X28</f>
        <v>0</v>
      </c>
      <c r="F133" s="58"/>
      <c r="G133" s="58">
        <f>ROUND(EtalonRes!AG28*Source!I35, 7)</f>
        <v>0</v>
      </c>
      <c r="H133" s="59"/>
      <c r="I133" s="60"/>
      <c r="J133" s="59"/>
      <c r="K133" s="60"/>
      <c r="L133" s="59"/>
    </row>
    <row r="134" spans="1:101" ht="15" x14ac:dyDescent="0.2">
      <c r="A134" s="48"/>
      <c r="B134" s="48"/>
      <c r="C134" s="62" t="s">
        <v>412</v>
      </c>
      <c r="D134" s="49"/>
      <c r="E134" s="50"/>
      <c r="F134" s="50"/>
      <c r="G134" s="50"/>
      <c r="H134" s="52"/>
      <c r="I134" s="51"/>
      <c r="J134" s="52"/>
      <c r="K134" s="51"/>
      <c r="L134" s="52">
        <f>L121+L123+L124+L129</f>
        <v>6475.7599999999993</v>
      </c>
    </row>
    <row r="135" spans="1:101" ht="42.75" x14ac:dyDescent="0.2">
      <c r="A135" s="46" t="s">
        <v>433</v>
      </c>
      <c r="B135" s="48" t="str">
        <f>Source!F36</f>
        <v>08.3.09.02-0031</v>
      </c>
      <c r="C135" s="48" t="str">
        <f>Source!G36</f>
        <v>Профнастил оцинкованный с лакокрасочным или полимерным покрытием</v>
      </c>
      <c r="D135" s="49" t="str">
        <f>Source!H36</f>
        <v>м2</v>
      </c>
      <c r="E135" s="50">
        <f>SmtRes!AT28</f>
        <v>110</v>
      </c>
      <c r="F135" s="50"/>
      <c r="G135" s="50">
        <f>Source!I36</f>
        <v>8.8000000000000007</v>
      </c>
      <c r="H135" s="52">
        <f>Source!AL36+Source!AO36+Source!AM36+Source!AN36</f>
        <v>1050.3499999999999</v>
      </c>
      <c r="I135" s="51">
        <f>IF(Source!BC36&lt;&gt; 0, Source!BC36, 1)</f>
        <v>0.78</v>
      </c>
      <c r="J135" s="52">
        <f>ROUND(H135*I135, 2)</f>
        <v>819.27</v>
      </c>
      <c r="K135" s="51"/>
      <c r="L135" s="52">
        <f>Source!P36</f>
        <v>7209.58</v>
      </c>
      <c r="AD135">
        <f>ROUND((Source!AT36/100)*((ROUND(ROUND(Source!AO36,2)*Source!I36, 2)+ROUND(ROUND(Source!AN36,2)*Source!I36, 2))), 2)</f>
        <v>0</v>
      </c>
      <c r="AE135">
        <f>ROUND((Source!AU36/100)*((ROUND(ROUND(Source!AO36,2)*Source!I36, 2)+ROUND(ROUND(Source!AN36,2)*Source!I36, 2))), 2)</f>
        <v>0</v>
      </c>
      <c r="AN135">
        <f>L135</f>
        <v>7209.58</v>
      </c>
      <c r="AW135">
        <f>L135</f>
        <v>7209.58</v>
      </c>
      <c r="AZ135">
        <f>Source!X36</f>
        <v>0</v>
      </c>
      <c r="BA135">
        <f>Source!Y36</f>
        <v>0</v>
      </c>
      <c r="CD135">
        <v>1</v>
      </c>
    </row>
    <row r="136" spans="1:101" ht="14.25" x14ac:dyDescent="0.2">
      <c r="A136" s="48"/>
      <c r="B136" s="48"/>
      <c r="C136" s="48" t="s">
        <v>414</v>
      </c>
      <c r="D136" s="49"/>
      <c r="E136" s="50"/>
      <c r="F136" s="50"/>
      <c r="G136" s="50"/>
      <c r="H136" s="52"/>
      <c r="I136" s="51"/>
      <c r="J136" s="52"/>
      <c r="K136" s="51"/>
      <c r="L136" s="52">
        <f>SUM(AR119:AR139)+SUM(AS119:AS139)+SUM(AT119:AT139)+SUM(AU119:AU139)+SUM(AV119:AV139)</f>
        <v>6056.7699999999995</v>
      </c>
    </row>
    <row r="137" spans="1:101" ht="14.25" x14ac:dyDescent="0.2">
      <c r="A137" s="48"/>
      <c r="B137" s="48" t="s">
        <v>66</v>
      </c>
      <c r="C137" s="48" t="s">
        <v>434</v>
      </c>
      <c r="D137" s="49" t="s">
        <v>416</v>
      </c>
      <c r="E137" s="50">
        <f>Source!BZ35</f>
        <v>90</v>
      </c>
      <c r="F137" s="50"/>
      <c r="G137" s="50">
        <f>Source!AT35</f>
        <v>90</v>
      </c>
      <c r="H137" s="52"/>
      <c r="I137" s="51"/>
      <c r="J137" s="52"/>
      <c r="K137" s="51"/>
      <c r="L137" s="52">
        <f>SUM(AZ119:AZ139)</f>
        <v>5451.09</v>
      </c>
    </row>
    <row r="138" spans="1:101" ht="14.25" x14ac:dyDescent="0.2">
      <c r="A138" s="56"/>
      <c r="B138" s="56" t="s">
        <v>67</v>
      </c>
      <c r="C138" s="56" t="s">
        <v>435</v>
      </c>
      <c r="D138" s="57" t="s">
        <v>416</v>
      </c>
      <c r="E138" s="58">
        <f>Source!CA35</f>
        <v>46</v>
      </c>
      <c r="F138" s="58"/>
      <c r="G138" s="58">
        <f>Source!AU35</f>
        <v>46</v>
      </c>
      <c r="H138" s="59"/>
      <c r="I138" s="60"/>
      <c r="J138" s="59"/>
      <c r="K138" s="60"/>
      <c r="L138" s="59">
        <f>SUM(BA119:BA139)</f>
        <v>2786.11</v>
      </c>
    </row>
    <row r="139" spans="1:101" ht="15" x14ac:dyDescent="0.2">
      <c r="C139" s="109" t="s">
        <v>418</v>
      </c>
      <c r="D139" s="109"/>
      <c r="E139" s="109"/>
      <c r="F139" s="109"/>
      <c r="G139" s="109"/>
      <c r="H139" s="109"/>
      <c r="I139" s="110">
        <f>IF(E119&lt;&gt;0,K139/E119, 0)</f>
        <v>274031.75</v>
      </c>
      <c r="J139" s="110"/>
      <c r="K139" s="110">
        <f>L121+L123+L129+L137+L138+L124+SUM(L135:L135)</f>
        <v>21922.54</v>
      </c>
      <c r="L139" s="110"/>
      <c r="AD139">
        <f>ROUND((Source!AT35/100)*((ROUND(SUMIF(SmtRes!AQ22:'SmtRes'!AQ29,"=1",SmtRes!AD22:'SmtRes'!AD29)*Source!I35, 2)+ROUND(SUMIF(SmtRes!AQ22:'SmtRes'!AQ29,"=1",SmtRes!AC22:'SmtRes'!AC29)*Source!I35, 2))), 2)</f>
        <v>147.9</v>
      </c>
      <c r="AE139">
        <f>ROUND((Source!AU35/100)*((ROUND(SUMIF(SmtRes!AQ22:'SmtRes'!AQ29,"=1",SmtRes!AD22:'SmtRes'!AD29)*Source!I35, 2)+ROUND(SUMIF(SmtRes!AQ22:'SmtRes'!AQ29,"=1",SmtRes!AC22:'SmtRes'!AC29)*Source!I35, 2))), 2)</f>
        <v>75.59</v>
      </c>
      <c r="AN139" s="61">
        <f>L121+L123+L129+L137+L138+L124</f>
        <v>14712.96</v>
      </c>
      <c r="AO139" s="61">
        <f>L123</f>
        <v>34.460000000000036</v>
      </c>
      <c r="AQ139" t="s">
        <v>419</v>
      </c>
      <c r="AR139" s="61">
        <f>L121</f>
        <v>5916.95</v>
      </c>
      <c r="AT139" s="61">
        <f>L124</f>
        <v>139.82</v>
      </c>
      <c r="AV139" t="s">
        <v>419</v>
      </c>
      <c r="AW139" s="61">
        <f>L129</f>
        <v>384.53</v>
      </c>
      <c r="AZ139">
        <f>Source!X35</f>
        <v>5451.09</v>
      </c>
      <c r="BA139">
        <f>Source!Y35</f>
        <v>2786.11</v>
      </c>
      <c r="CD139">
        <v>1</v>
      </c>
    </row>
    <row r="140" spans="1:101" ht="85.5" x14ac:dyDescent="0.2">
      <c r="A140" s="46" t="s">
        <v>93</v>
      </c>
      <c r="B140" s="48" t="s">
        <v>436</v>
      </c>
      <c r="C140" s="48" t="str">
        <f>Source!G41</f>
        <v>Установка гипсовых погонных деталей орнаментированных, плоских, выпуклых, рельефных, простого или сложного рисунка (порезки, пояса, фризы, капли и т.п.) высотой: до 500 мм, прим.</v>
      </c>
      <c r="D140" s="49" t="str">
        <f>Source!H41</f>
        <v>100 м</v>
      </c>
      <c r="E140" s="50">
        <f>Source!K41</f>
        <v>0.52</v>
      </c>
      <c r="F140" s="50"/>
      <c r="G140" s="50">
        <f>Source!I41</f>
        <v>0.52</v>
      </c>
      <c r="H140" s="52"/>
      <c r="I140" s="51"/>
      <c r="J140" s="52"/>
      <c r="K140" s="51"/>
      <c r="L140" s="52"/>
    </row>
    <row r="141" spans="1:101" ht="51" x14ac:dyDescent="0.2">
      <c r="B141" s="64" t="s">
        <v>354</v>
      </c>
      <c r="C141" s="111" t="s">
        <v>424</v>
      </c>
      <c r="D141" s="111"/>
      <c r="E141" s="111"/>
      <c r="F141" s="111"/>
      <c r="G141" s="111"/>
      <c r="H141" s="111"/>
      <c r="I141" s="111"/>
      <c r="J141" s="111"/>
      <c r="K141" s="111"/>
      <c r="L141" s="111"/>
      <c r="CW141" s="65" t="s">
        <v>424</v>
      </c>
    </row>
    <row r="142" spans="1:101" x14ac:dyDescent="0.2">
      <c r="C142" s="53" t="str">
        <f>"Объем: "&amp;Source!I41&amp;"=52/"&amp;"100"</f>
        <v>Объем: 0,52=52/100</v>
      </c>
    </row>
    <row r="143" spans="1:101" ht="15" x14ac:dyDescent="0.2">
      <c r="A143" s="47"/>
      <c r="B143" s="50">
        <v>1</v>
      </c>
      <c r="C143" s="47" t="s">
        <v>407</v>
      </c>
      <c r="D143" s="49" t="s">
        <v>266</v>
      </c>
      <c r="E143" s="54"/>
      <c r="F143" s="50"/>
      <c r="G143" s="50">
        <f>Source!U41</f>
        <v>58.006</v>
      </c>
      <c r="H143" s="50"/>
      <c r="I143" s="50"/>
      <c r="J143" s="50"/>
      <c r="K143" s="50"/>
      <c r="L143" s="55">
        <f>SUM(L144:L144)-SUMIF(CE144:CE144, 1, L144:L144)</f>
        <v>38609.370000000003</v>
      </c>
    </row>
    <row r="144" spans="1:101" ht="14.25" x14ac:dyDescent="0.2">
      <c r="A144" s="48"/>
      <c r="B144" s="48" t="s">
        <v>264</v>
      </c>
      <c r="C144" s="48" t="s">
        <v>265</v>
      </c>
      <c r="D144" s="49" t="s">
        <v>266</v>
      </c>
      <c r="E144" s="50">
        <v>97</v>
      </c>
      <c r="F144" s="50">
        <f>ROUND(1.15,7)</f>
        <v>1.1499999999999999</v>
      </c>
      <c r="G144" s="50">
        <f>SmtRes!CX40</f>
        <v>58.006</v>
      </c>
      <c r="H144" s="52"/>
      <c r="I144" s="51"/>
      <c r="J144" s="52">
        <f>SmtRes!CZ40</f>
        <v>665.61</v>
      </c>
      <c r="K144" s="51"/>
      <c r="L144" s="52">
        <f>SmtRes!DI40</f>
        <v>38609.370000000003</v>
      </c>
    </row>
    <row r="145" spans="1:83" ht="15" x14ac:dyDescent="0.2">
      <c r="A145" s="47"/>
      <c r="B145" s="50">
        <v>2</v>
      </c>
      <c r="C145" s="47" t="s">
        <v>408</v>
      </c>
      <c r="D145" s="49"/>
      <c r="E145" s="54"/>
      <c r="F145" s="50"/>
      <c r="G145" s="50"/>
      <c r="H145" s="50"/>
      <c r="I145" s="50"/>
      <c r="J145" s="50"/>
      <c r="K145" s="50"/>
      <c r="L145" s="55">
        <f>SUM(L146:L150)-SUMIF(CE146:CE150, 1, L146:L150)</f>
        <v>159.66999999999996</v>
      </c>
    </row>
    <row r="146" spans="1:83" ht="15" x14ac:dyDescent="0.2">
      <c r="A146" s="47"/>
      <c r="B146" s="50"/>
      <c r="C146" s="47" t="s">
        <v>410</v>
      </c>
      <c r="D146" s="49" t="s">
        <v>266</v>
      </c>
      <c r="E146" s="54"/>
      <c r="F146" s="50"/>
      <c r="G146" s="50">
        <f>Source!V41</f>
        <v>0.41600000000000004</v>
      </c>
      <c r="H146" s="50"/>
      <c r="I146" s="50"/>
      <c r="J146" s="50"/>
      <c r="K146" s="50"/>
      <c r="L146" s="55">
        <f>SUMIF(CE147:CE150, 1, L147:L150)</f>
        <v>287.45999999999998</v>
      </c>
      <c r="CE146">
        <v>1</v>
      </c>
    </row>
    <row r="147" spans="1:83" ht="71.25" x14ac:dyDescent="0.2">
      <c r="A147" s="48"/>
      <c r="B147" s="48" t="s">
        <v>314</v>
      </c>
      <c r="C147" s="48" t="s">
        <v>316</v>
      </c>
      <c r="D147" s="49" t="s">
        <v>272</v>
      </c>
      <c r="E147" s="50">
        <v>0.14000000000000001</v>
      </c>
      <c r="F147" s="50">
        <f>ROUND(1.25,7)</f>
        <v>1.25</v>
      </c>
      <c r="G147" s="50">
        <f>SmtRes!CX42</f>
        <v>9.0999999999999998E-2</v>
      </c>
      <c r="H147" s="52"/>
      <c r="I147" s="51"/>
      <c r="J147" s="52">
        <f>SmtRes!CZ42</f>
        <v>1545.36</v>
      </c>
      <c r="K147" s="51"/>
      <c r="L147" s="52">
        <f>SmtRes!DG42</f>
        <v>140.63</v>
      </c>
    </row>
    <row r="148" spans="1:83" ht="28.5" x14ac:dyDescent="0.2">
      <c r="A148" s="48"/>
      <c r="B148" s="48" t="s">
        <v>317</v>
      </c>
      <c r="C148" s="48" t="s">
        <v>437</v>
      </c>
      <c r="D148" s="49" t="s">
        <v>266</v>
      </c>
      <c r="E148" s="50">
        <f>SmtRes!DO42*SmtRes!AT42</f>
        <v>0.14000000000000001</v>
      </c>
      <c r="F148" s="50">
        <f>ROUND(1.25,7)</f>
        <v>1.25</v>
      </c>
      <c r="G148" s="50">
        <f>ROUND(E148*F148*G140, 7)</f>
        <v>9.0999999999999998E-2</v>
      </c>
      <c r="H148" s="52"/>
      <c r="I148" s="51"/>
      <c r="J148" s="52">
        <f>ROUND(SmtRes!AG42/SmtRes!DO42, 2)</f>
        <v>840.19</v>
      </c>
      <c r="K148" s="51"/>
      <c r="L148" s="52">
        <f>SmtRes!DH42</f>
        <v>76.459999999999994</v>
      </c>
      <c r="CE148">
        <v>1</v>
      </c>
    </row>
    <row r="149" spans="1:83" ht="42.75" x14ac:dyDescent="0.2">
      <c r="A149" s="48"/>
      <c r="B149" s="48" t="s">
        <v>295</v>
      </c>
      <c r="C149" s="48" t="s">
        <v>297</v>
      </c>
      <c r="D149" s="49" t="s">
        <v>272</v>
      </c>
      <c r="E149" s="50">
        <v>0.5</v>
      </c>
      <c r="F149" s="50">
        <f>ROUND(1.25,7)</f>
        <v>1.25</v>
      </c>
      <c r="G149" s="50">
        <f>SmtRes!CX43</f>
        <v>0.32500000000000001</v>
      </c>
      <c r="H149" s="52">
        <f>SmtRes!CZ43</f>
        <v>37.32</v>
      </c>
      <c r="I149" s="51">
        <f>SmtRes!AJ43</f>
        <v>1.57</v>
      </c>
      <c r="J149" s="52">
        <f>ROUND(H149*I149, 2)</f>
        <v>58.59</v>
      </c>
      <c r="K149" s="51"/>
      <c r="L149" s="52">
        <f>SmtRes!DG43</f>
        <v>19.04</v>
      </c>
    </row>
    <row r="150" spans="1:83" ht="28.5" x14ac:dyDescent="0.2">
      <c r="A150" s="48"/>
      <c r="B150" s="48" t="s">
        <v>298</v>
      </c>
      <c r="C150" s="48" t="s">
        <v>432</v>
      </c>
      <c r="D150" s="49" t="s">
        <v>266</v>
      </c>
      <c r="E150" s="50">
        <f>SmtRes!DO43*SmtRes!AT43</f>
        <v>0.5</v>
      </c>
      <c r="F150" s="50">
        <f>ROUND(1.25,7)</f>
        <v>1.25</v>
      </c>
      <c r="G150" s="50">
        <f>ROUND(E150*F150*G140, 7)</f>
        <v>0.32500000000000001</v>
      </c>
      <c r="H150" s="52"/>
      <c r="I150" s="51"/>
      <c r="J150" s="52">
        <f>ROUND(SmtRes!AG43/SmtRes!DO43, 2)</f>
        <v>649.24</v>
      </c>
      <c r="K150" s="51"/>
      <c r="L150" s="52">
        <f>SmtRes!DH43</f>
        <v>211</v>
      </c>
      <c r="CE150">
        <v>1</v>
      </c>
    </row>
    <row r="151" spans="1:83" ht="15" x14ac:dyDescent="0.2">
      <c r="A151" s="47"/>
      <c r="B151" s="50">
        <v>4</v>
      </c>
      <c r="C151" s="47" t="s">
        <v>411</v>
      </c>
      <c r="D151" s="49"/>
      <c r="E151" s="54"/>
      <c r="F151" s="50"/>
      <c r="G151" s="50"/>
      <c r="H151" s="50"/>
      <c r="I151" s="50"/>
      <c r="J151" s="50"/>
      <c r="K151" s="50"/>
      <c r="L151" s="55">
        <f>SUM(L152:L156)-SUMIF(CE152:CE156, 1, L152:L156)</f>
        <v>335.65</v>
      </c>
    </row>
    <row r="152" spans="1:83" ht="14.25" x14ac:dyDescent="0.2">
      <c r="A152" s="48"/>
      <c r="B152" s="48" t="s">
        <v>289</v>
      </c>
      <c r="C152" s="48" t="s">
        <v>291</v>
      </c>
      <c r="D152" s="49" t="s">
        <v>292</v>
      </c>
      <c r="E152" s="50">
        <v>6.24</v>
      </c>
      <c r="F152" s="50"/>
      <c r="G152" s="50">
        <f>SmtRes!CX44</f>
        <v>3.2448000000000001</v>
      </c>
      <c r="H152" s="52"/>
      <c r="I152" s="51"/>
      <c r="J152" s="52">
        <f>SmtRes!CZ44</f>
        <v>6.92</v>
      </c>
      <c r="K152" s="51"/>
      <c r="L152" s="52">
        <f>SmtRes!DF44</f>
        <v>22.45</v>
      </c>
    </row>
    <row r="153" spans="1:83" ht="28.5" x14ac:dyDescent="0.2">
      <c r="A153" s="48"/>
      <c r="B153" s="48" t="s">
        <v>318</v>
      </c>
      <c r="C153" s="48" t="s">
        <v>320</v>
      </c>
      <c r="D153" s="49" t="s">
        <v>30</v>
      </c>
      <c r="E153" s="50">
        <v>6.0000000000000001E-3</v>
      </c>
      <c r="F153" s="50"/>
      <c r="G153" s="50">
        <f>SmtRes!CX45</f>
        <v>3.1199999999999999E-3</v>
      </c>
      <c r="H153" s="52">
        <f>SmtRes!CZ45</f>
        <v>76630.399999999994</v>
      </c>
      <c r="I153" s="51">
        <f>SmtRes!AI45</f>
        <v>1.31</v>
      </c>
      <c r="J153" s="52">
        <f>ROUND(H153*I153, 2)</f>
        <v>100385.82</v>
      </c>
      <c r="K153" s="51"/>
      <c r="L153" s="52">
        <f>SmtRes!DF45</f>
        <v>313.2</v>
      </c>
    </row>
    <row r="154" spans="1:83" ht="14.25" x14ac:dyDescent="0.2">
      <c r="A154" s="48"/>
      <c r="B154" s="48" t="s">
        <v>321</v>
      </c>
      <c r="C154" s="48" t="s">
        <v>323</v>
      </c>
      <c r="D154" s="49" t="s">
        <v>30</v>
      </c>
      <c r="E154" s="50">
        <v>2.5000000000000001E-2</v>
      </c>
      <c r="F154" s="50">
        <f>ROUND(0,7)</f>
        <v>0</v>
      </c>
      <c r="G154" s="50">
        <f>SmtRes!CX46</f>
        <v>0</v>
      </c>
      <c r="H154" s="52">
        <f>SmtRes!CZ46</f>
        <v>4338.2700000000004</v>
      </c>
      <c r="I154" s="51">
        <f>SmtRes!AI46</f>
        <v>1.46</v>
      </c>
      <c r="J154" s="52">
        <f>ROUND(H154*I154, 2)</f>
        <v>6333.87</v>
      </c>
      <c r="K154" s="51"/>
      <c r="L154" s="52">
        <f>SmtRes!DF46</f>
        <v>0</v>
      </c>
    </row>
    <row r="155" spans="1:83" ht="14.25" x14ac:dyDescent="0.2">
      <c r="A155" s="48"/>
      <c r="B155" s="48" t="s">
        <v>324</v>
      </c>
      <c r="C155" s="48" t="s">
        <v>326</v>
      </c>
      <c r="D155" s="49" t="s">
        <v>30</v>
      </c>
      <c r="E155" s="50">
        <v>6.0000000000000001E-3</v>
      </c>
      <c r="F155" s="50">
        <f>ROUND(0,7)</f>
        <v>0</v>
      </c>
      <c r="G155" s="50">
        <f>SmtRes!CX49</f>
        <v>0</v>
      </c>
      <c r="H155" s="52">
        <f>SmtRes!CZ49</f>
        <v>88783.86</v>
      </c>
      <c r="I155" s="51">
        <f>SmtRes!AI49</f>
        <v>0.84</v>
      </c>
      <c r="J155" s="52">
        <f>ROUND(H155*I155, 2)</f>
        <v>74578.44</v>
      </c>
      <c r="K155" s="51"/>
      <c r="L155" s="52">
        <f>SmtRes!DF49</f>
        <v>0</v>
      </c>
    </row>
    <row r="156" spans="1:83" ht="57" x14ac:dyDescent="0.2">
      <c r="A156" s="48"/>
      <c r="B156" s="48" t="s">
        <v>327</v>
      </c>
      <c r="C156" s="48" t="s">
        <v>329</v>
      </c>
      <c r="D156" s="49" t="s">
        <v>280</v>
      </c>
      <c r="E156" s="50">
        <v>8.6E-3</v>
      </c>
      <c r="F156" s="50">
        <f>ROUND(0,7)</f>
        <v>0</v>
      </c>
      <c r="G156" s="50">
        <f>SmtRes!CX50</f>
        <v>0</v>
      </c>
      <c r="H156" s="52">
        <f>SmtRes!CZ50</f>
        <v>7555</v>
      </c>
      <c r="I156" s="51">
        <f>SmtRes!AI50</f>
        <v>1.35</v>
      </c>
      <c r="J156" s="52">
        <f>ROUND(H156*I156, 2)</f>
        <v>10199.25</v>
      </c>
      <c r="K156" s="51"/>
      <c r="L156" s="52">
        <f>SmtRes!DF50</f>
        <v>0</v>
      </c>
    </row>
    <row r="157" spans="1:83" ht="14.25" x14ac:dyDescent="0.2">
      <c r="A157" s="48"/>
      <c r="B157" s="48" t="str">
        <f>EtalonRes!I46</f>
        <v>05.3.01.07</v>
      </c>
      <c r="C157" s="56" t="str">
        <f>EtalonRes!K46</f>
        <v>Детали лепные погонные</v>
      </c>
      <c r="D157" s="57" t="str">
        <f>EtalonRes!O46</f>
        <v>м</v>
      </c>
      <c r="E157" s="58">
        <f>EtalonRes!X46</f>
        <v>101</v>
      </c>
      <c r="F157" s="58"/>
      <c r="G157" s="58">
        <f>ROUND(EtalonRes!AG46*Source!I41, 7)</f>
        <v>52.52</v>
      </c>
      <c r="H157" s="59"/>
      <c r="I157" s="60"/>
      <c r="J157" s="59"/>
      <c r="K157" s="60"/>
      <c r="L157" s="59"/>
    </row>
    <row r="158" spans="1:83" ht="15" x14ac:dyDescent="0.2">
      <c r="A158" s="48"/>
      <c r="B158" s="48"/>
      <c r="C158" s="62" t="s">
        <v>412</v>
      </c>
      <c r="D158" s="49"/>
      <c r="E158" s="50"/>
      <c r="F158" s="50"/>
      <c r="G158" s="50"/>
      <c r="H158" s="52"/>
      <c r="I158" s="51"/>
      <c r="J158" s="52"/>
      <c r="K158" s="51"/>
      <c r="L158" s="52">
        <f>L143+L145+L146+L151</f>
        <v>39392.15</v>
      </c>
    </row>
    <row r="159" spans="1:83" ht="14.25" x14ac:dyDescent="0.2">
      <c r="A159" s="46" t="s">
        <v>438</v>
      </c>
      <c r="B159" s="48" t="str">
        <f>Source!F42</f>
        <v>08.1.02.25-0062</v>
      </c>
      <c r="C159" s="48" t="str">
        <f>Source!G42</f>
        <v>Кляммеры стальные оцинкованные</v>
      </c>
      <c r="D159" s="49" t="str">
        <f>Source!H42</f>
        <v>1000 ШТ</v>
      </c>
      <c r="E159" s="50">
        <f>SmtRes!AT48</f>
        <v>0.67307689999999998</v>
      </c>
      <c r="F159" s="50"/>
      <c r="G159" s="50">
        <f>Source!I42</f>
        <v>0.35</v>
      </c>
      <c r="H159" s="52">
        <f>Source!AL42+Source!AO42+Source!AM42+Source!AN42</f>
        <v>14484.16</v>
      </c>
      <c r="I159" s="51">
        <f>IF(Source!BC42&lt;&gt; 0, Source!BC42, 1)</f>
        <v>1.5</v>
      </c>
      <c r="J159" s="52">
        <f>ROUND(H159*I159, 2)</f>
        <v>21726.240000000002</v>
      </c>
      <c r="K159" s="51"/>
      <c r="L159" s="52">
        <f>Source!P42</f>
        <v>7604.18</v>
      </c>
      <c r="AD159">
        <f>ROUND((Source!AT42/100)*((ROUND(ROUND(Source!AO42,2)*Source!I42, 2)+ROUND(ROUND(Source!AN42,2)*Source!I42, 2))), 2)</f>
        <v>0</v>
      </c>
      <c r="AE159">
        <f>ROUND((Source!AU42/100)*((ROUND(ROUND(Source!AO42,2)*Source!I42, 2)+ROUND(ROUND(Source!AN42,2)*Source!I42, 2))), 2)</f>
        <v>0</v>
      </c>
      <c r="AN159">
        <f>L159</f>
        <v>7604.18</v>
      </c>
      <c r="AW159">
        <f>L159</f>
        <v>7604.18</v>
      </c>
      <c r="AZ159">
        <f>Source!X42</f>
        <v>0</v>
      </c>
      <c r="BA159">
        <f>Source!Y42</f>
        <v>0</v>
      </c>
      <c r="CD159">
        <v>1</v>
      </c>
    </row>
    <row r="160" spans="1:83" ht="71.25" x14ac:dyDescent="0.2">
      <c r="A160" s="46" t="s">
        <v>439</v>
      </c>
      <c r="B160" s="48" t="str">
        <f>Source!F43</f>
        <v>07.2.06.03-0119</v>
      </c>
      <c r="C160" s="48" t="str">
        <f>Source!G43</f>
        <v>Профиль направляющий из оцинкованной стали, для монтажа гипсовых перегородок и подвесных потолков, размеры 28х27 мм, толщина стали 0,6 мм</v>
      </c>
      <c r="D160" s="49" t="str">
        <f>Source!H43</f>
        <v>м</v>
      </c>
      <c r="E160" s="50">
        <f>SmtRes!AT47</f>
        <v>200</v>
      </c>
      <c r="F160" s="50"/>
      <c r="G160" s="50">
        <f>Source!I43</f>
        <v>104</v>
      </c>
      <c r="H160" s="52">
        <f>Source!AL43+Source!AO43+Source!AM43+Source!AN43</f>
        <v>44.16</v>
      </c>
      <c r="I160" s="51">
        <f>IF(Source!BC43&lt;&gt; 0, Source!BC43, 1)</f>
        <v>0.85</v>
      </c>
      <c r="J160" s="52">
        <f>ROUND(H160*I160, 2)</f>
        <v>37.54</v>
      </c>
      <c r="K160" s="51"/>
      <c r="L160" s="52">
        <f>Source!P43</f>
        <v>3904.16</v>
      </c>
      <c r="AD160">
        <f>ROUND((Source!AT43/100)*((ROUND(ROUND(Source!AO43,2)*Source!I43, 2)+ROUND(ROUND(Source!AN43,2)*Source!I43, 2))), 2)</f>
        <v>0</v>
      </c>
      <c r="AE160">
        <f>ROUND((Source!AU43/100)*((ROUND(ROUND(Source!AO43,2)*Source!I43, 2)+ROUND(ROUND(Source!AN43,2)*Source!I43, 2))), 2)</f>
        <v>0</v>
      </c>
      <c r="AN160">
        <f>L160</f>
        <v>3904.16</v>
      </c>
      <c r="AW160">
        <f>L160</f>
        <v>3904.16</v>
      </c>
      <c r="AZ160">
        <f>Source!X43</f>
        <v>0</v>
      </c>
      <c r="BA160">
        <f>Source!Y43</f>
        <v>0</v>
      </c>
      <c r="CD160">
        <v>1</v>
      </c>
    </row>
    <row r="161" spans="1:83" ht="57" x14ac:dyDescent="0.2">
      <c r="A161" s="46" t="s">
        <v>440</v>
      </c>
      <c r="B161" s="48" t="str">
        <f>Source!F44</f>
        <v>11.3.03.10-1175</v>
      </c>
      <c r="C161" s="48" t="str">
        <f>Source!G44</f>
        <v>Профиль декоративный (карниз), одноярусный из стеклопластика, установка на кронштейнах, высота 500 мм</v>
      </c>
      <c r="D161" s="49" t="str">
        <f>Source!H44</f>
        <v>м</v>
      </c>
      <c r="E161" s="50">
        <f>SmtRes!AT51</f>
        <v>101</v>
      </c>
      <c r="F161" s="50"/>
      <c r="G161" s="50">
        <f>Source!I44</f>
        <v>52.52</v>
      </c>
      <c r="H161" s="52">
        <f>Source!AL44+Source!AO44+Source!AM44+Source!AN44</f>
        <v>4624.8999999999996</v>
      </c>
      <c r="I161" s="51">
        <f>IF(Source!BC44&lt;&gt; 0, Source!BC44, 1)</f>
        <v>1.1000000000000001</v>
      </c>
      <c r="J161" s="52">
        <f>ROUND(H161*I161, 2)</f>
        <v>5087.3900000000003</v>
      </c>
      <c r="K161" s="51"/>
      <c r="L161" s="52">
        <f>Source!P44</f>
        <v>267189.71999999997</v>
      </c>
      <c r="AD161">
        <f>ROUND((Source!AT44/100)*((ROUND(ROUND(Source!AO44,2)*Source!I44, 2)+ROUND(ROUND(Source!AN44,2)*Source!I44, 2))), 2)</f>
        <v>0</v>
      </c>
      <c r="AE161">
        <f>ROUND((Source!AU44/100)*((ROUND(ROUND(Source!AO44,2)*Source!I44, 2)+ROUND(ROUND(Source!AN44,2)*Source!I44, 2))), 2)</f>
        <v>0</v>
      </c>
      <c r="AN161">
        <f>L161</f>
        <v>267189.71999999997</v>
      </c>
      <c r="AW161">
        <f>L161</f>
        <v>267189.71999999997</v>
      </c>
      <c r="AZ161">
        <f>Source!X44</f>
        <v>0</v>
      </c>
      <c r="BA161">
        <f>Source!Y44</f>
        <v>0</v>
      </c>
      <c r="CD161">
        <v>1</v>
      </c>
    </row>
    <row r="162" spans="1:83" ht="14.25" x14ac:dyDescent="0.2">
      <c r="A162" s="48"/>
      <c r="B162" s="48"/>
      <c r="C162" s="48" t="s">
        <v>414</v>
      </c>
      <c r="D162" s="49"/>
      <c r="E162" s="50"/>
      <c r="F162" s="50"/>
      <c r="G162" s="50"/>
      <c r="H162" s="52"/>
      <c r="I162" s="51"/>
      <c r="J162" s="52"/>
      <c r="K162" s="51"/>
      <c r="L162" s="52">
        <f>SUM(AR140:AR165)+SUM(AS140:AS165)+SUM(AT140:AT165)+SUM(AU140:AU165)+SUM(AV140:AV165)</f>
        <v>38896.83</v>
      </c>
    </row>
    <row r="163" spans="1:83" ht="28.5" x14ac:dyDescent="0.2">
      <c r="A163" s="48"/>
      <c r="B163" s="48" t="s">
        <v>427</v>
      </c>
      <c r="C163" s="48" t="s">
        <v>428</v>
      </c>
      <c r="D163" s="49" t="s">
        <v>416</v>
      </c>
      <c r="E163" s="50">
        <f>Source!BZ41</f>
        <v>100</v>
      </c>
      <c r="F163" s="50">
        <f>ROUND(0.9,7)</f>
        <v>0.9</v>
      </c>
      <c r="G163" s="50">
        <f>Source!AT41</f>
        <v>90</v>
      </c>
      <c r="H163" s="52"/>
      <c r="I163" s="51"/>
      <c r="J163" s="52"/>
      <c r="K163" s="51"/>
      <c r="L163" s="52">
        <f>SUM(AZ140:AZ165)</f>
        <v>35007.15</v>
      </c>
    </row>
    <row r="164" spans="1:83" ht="28.5" x14ac:dyDescent="0.2">
      <c r="A164" s="56"/>
      <c r="B164" s="56" t="s">
        <v>429</v>
      </c>
      <c r="C164" s="56" t="s">
        <v>430</v>
      </c>
      <c r="D164" s="57" t="s">
        <v>416</v>
      </c>
      <c r="E164" s="58">
        <f>Source!CA41</f>
        <v>49</v>
      </c>
      <c r="F164" s="58">
        <f>ROUND(0.85,7)</f>
        <v>0.85</v>
      </c>
      <c r="G164" s="58">
        <f>Source!AU41</f>
        <v>41.65</v>
      </c>
      <c r="H164" s="59"/>
      <c r="I164" s="60"/>
      <c r="J164" s="59"/>
      <c r="K164" s="60"/>
      <c r="L164" s="59">
        <f>SUM(BA140:BA165)</f>
        <v>16200.53</v>
      </c>
    </row>
    <row r="165" spans="1:83" ht="15" x14ac:dyDescent="0.2">
      <c r="C165" s="109" t="s">
        <v>418</v>
      </c>
      <c r="D165" s="109"/>
      <c r="E165" s="109"/>
      <c r="F165" s="109"/>
      <c r="G165" s="109"/>
      <c r="H165" s="109"/>
      <c r="I165" s="110">
        <f>IF(E140&lt;&gt;0,K165/E140, 0)</f>
        <v>710188.25</v>
      </c>
      <c r="J165" s="110"/>
      <c r="K165" s="110">
        <f>L143+L145+L151+L163+L164+L146+SUM(L159:L161)</f>
        <v>369297.89</v>
      </c>
      <c r="L165" s="110"/>
      <c r="AD165">
        <f>ROUND((Source!AT41/100)*((ROUND(SUMIF(SmtRes!AQ40:'SmtRes'!AQ51,"=1",SmtRes!AD40:'SmtRes'!AD51)*Source!I41, 2)+ROUND(SUMIF(SmtRes!AQ40:'SmtRes'!AQ51,"=1",SmtRes!AC40:'SmtRes'!AC51)*Source!I41, 2))), 2)</f>
        <v>1008.56</v>
      </c>
      <c r="AE165">
        <f>ROUND((Source!AU41/100)*((ROUND(SUMIF(SmtRes!AQ40:'SmtRes'!AQ51,"=1",SmtRes!AD40:'SmtRes'!AD51)*Source!I41, 2)+ROUND(SUMIF(SmtRes!AQ40:'SmtRes'!AQ51,"=1",SmtRes!AC40:'SmtRes'!AC51)*Source!I41, 2))), 2)</f>
        <v>466.74</v>
      </c>
      <c r="AN165" s="61">
        <f>L143+L145+L151+L163+L164+L146</f>
        <v>90599.83</v>
      </c>
      <c r="AO165" s="61">
        <f>L145</f>
        <v>159.66999999999996</v>
      </c>
      <c r="AQ165" t="s">
        <v>419</v>
      </c>
      <c r="AR165" s="61">
        <f>L143</f>
        <v>38609.370000000003</v>
      </c>
      <c r="AT165" s="61">
        <f>L146</f>
        <v>287.45999999999998</v>
      </c>
      <c r="AV165" t="s">
        <v>419</v>
      </c>
      <c r="AW165" s="61">
        <f>L151</f>
        <v>335.65</v>
      </c>
      <c r="AZ165">
        <f>Source!X41</f>
        <v>35007.15</v>
      </c>
      <c r="BA165">
        <f>Source!Y41</f>
        <v>16200.53</v>
      </c>
      <c r="CD165">
        <v>1</v>
      </c>
    </row>
    <row r="166" spans="1:83" ht="57" x14ac:dyDescent="0.2">
      <c r="A166" s="46" t="s">
        <v>100</v>
      </c>
      <c r="B166" s="48" t="s">
        <v>441</v>
      </c>
      <c r="C166" s="48" t="str">
        <f>Source!G45</f>
        <v>Окраска перхлорвиниловыми красками по подготовленной поверхности фасадов: сложных за 2 раза с земли и лесов</v>
      </c>
      <c r="D166" s="49" t="str">
        <f>Source!H45</f>
        <v>100 м2</v>
      </c>
      <c r="E166" s="50">
        <f>Source!K45</f>
        <v>1.734</v>
      </c>
      <c r="F166" s="50"/>
      <c r="G166" s="50">
        <f>Source!I45</f>
        <v>1.734</v>
      </c>
      <c r="H166" s="52"/>
      <c r="I166" s="51"/>
      <c r="J166" s="52"/>
      <c r="K166" s="51"/>
      <c r="L166" s="52"/>
    </row>
    <row r="167" spans="1:83" x14ac:dyDescent="0.2">
      <c r="C167" s="53" t="str">
        <f>"Объем: "&amp;Source!I45&amp;"=163/"&amp;"100+"&amp;"52*"&amp;"0,2/"&amp;"100"</f>
        <v>Объем: 1,734=163/100+52*0,2/100</v>
      </c>
    </row>
    <row r="168" spans="1:83" ht="15" x14ac:dyDescent="0.2">
      <c r="A168" s="47"/>
      <c r="B168" s="50">
        <v>1</v>
      </c>
      <c r="C168" s="47" t="s">
        <v>407</v>
      </c>
      <c r="D168" s="49" t="s">
        <v>266</v>
      </c>
      <c r="E168" s="54"/>
      <c r="F168" s="50"/>
      <c r="G168" s="50">
        <f>Source!U45</f>
        <v>23.755800000000001</v>
      </c>
      <c r="H168" s="50"/>
      <c r="I168" s="50"/>
      <c r="J168" s="50"/>
      <c r="K168" s="50"/>
      <c r="L168" s="55">
        <f>SUM(L169:L169)-SUMIF(CE169:CE169, 1, L169:L169)</f>
        <v>15617.54</v>
      </c>
    </row>
    <row r="169" spans="1:83" ht="14.25" x14ac:dyDescent="0.2">
      <c r="A169" s="48"/>
      <c r="B169" s="48" t="s">
        <v>330</v>
      </c>
      <c r="C169" s="48" t="s">
        <v>331</v>
      </c>
      <c r="D169" s="49" t="s">
        <v>266</v>
      </c>
      <c r="E169" s="50">
        <v>13.7</v>
      </c>
      <c r="F169" s="50"/>
      <c r="G169" s="50">
        <f>SmtRes!CX52</f>
        <v>23.755800000000001</v>
      </c>
      <c r="H169" s="52"/>
      <c r="I169" s="51"/>
      <c r="J169" s="52">
        <f>SmtRes!CZ52</f>
        <v>657.42</v>
      </c>
      <c r="K169" s="51"/>
      <c r="L169" s="52">
        <f>SmtRes!DI52</f>
        <v>15617.54</v>
      </c>
    </row>
    <row r="170" spans="1:83" ht="15" x14ac:dyDescent="0.2">
      <c r="A170" s="47"/>
      <c r="B170" s="50">
        <v>2</v>
      </c>
      <c r="C170" s="47" t="s">
        <v>408</v>
      </c>
      <c r="D170" s="49"/>
      <c r="E170" s="54"/>
      <c r="F170" s="50"/>
      <c r="G170" s="50"/>
      <c r="H170" s="50"/>
      <c r="I170" s="50"/>
      <c r="J170" s="50"/>
      <c r="K170" s="50"/>
      <c r="L170" s="55">
        <f>SUM(L171:L176)-SUMIF(CE171:CE176, 1, L171:L176)</f>
        <v>364.96000000000004</v>
      </c>
    </row>
    <row r="171" spans="1:83" ht="15" x14ac:dyDescent="0.2">
      <c r="A171" s="47"/>
      <c r="B171" s="50"/>
      <c r="C171" s="47" t="s">
        <v>410</v>
      </c>
      <c r="D171" s="49" t="s">
        <v>266</v>
      </c>
      <c r="E171" s="54"/>
      <c r="F171" s="50"/>
      <c r="G171" s="50">
        <f>Source!V45</f>
        <v>0.13872000000000001</v>
      </c>
      <c r="H171" s="50"/>
      <c r="I171" s="50"/>
      <c r="J171" s="50"/>
      <c r="K171" s="50"/>
      <c r="L171" s="55">
        <f>SUMIF(CE172:CE176, 1, L172:L176)</f>
        <v>101.42</v>
      </c>
      <c r="CE171">
        <v>1</v>
      </c>
    </row>
    <row r="172" spans="1:83" ht="28.5" x14ac:dyDescent="0.2">
      <c r="A172" s="48"/>
      <c r="B172" s="48" t="s">
        <v>269</v>
      </c>
      <c r="C172" s="48" t="s">
        <v>271</v>
      </c>
      <c r="D172" s="49" t="s">
        <v>272</v>
      </c>
      <c r="E172" s="50">
        <v>0.09</v>
      </c>
      <c r="F172" s="50"/>
      <c r="G172" s="50">
        <f>SmtRes!CX54</f>
        <v>0.15606</v>
      </c>
      <c r="H172" s="52">
        <f>SmtRes!CZ54</f>
        <v>6.62</v>
      </c>
      <c r="I172" s="51">
        <f>SmtRes!AJ54</f>
        <v>1.5</v>
      </c>
      <c r="J172" s="52">
        <f>ROUND(H172*I172, 2)</f>
        <v>9.93</v>
      </c>
      <c r="K172" s="51"/>
      <c r="L172" s="52">
        <f>SmtRes!DG54</f>
        <v>1.55</v>
      </c>
    </row>
    <row r="173" spans="1:83" ht="28.5" x14ac:dyDescent="0.2">
      <c r="A173" s="48"/>
      <c r="B173" s="48" t="s">
        <v>286</v>
      </c>
      <c r="C173" s="48" t="s">
        <v>288</v>
      </c>
      <c r="D173" s="49" t="s">
        <v>272</v>
      </c>
      <c r="E173" s="50">
        <v>0.08</v>
      </c>
      <c r="F173" s="50"/>
      <c r="G173" s="50">
        <f>SmtRes!CX55</f>
        <v>0.13872000000000001</v>
      </c>
      <c r="H173" s="52"/>
      <c r="I173" s="51"/>
      <c r="J173" s="52">
        <f>SmtRes!CZ55</f>
        <v>544.91999999999996</v>
      </c>
      <c r="K173" s="51"/>
      <c r="L173" s="52">
        <f>SmtRes!DG55</f>
        <v>75.59</v>
      </c>
    </row>
    <row r="174" spans="1:83" ht="28.5" x14ac:dyDescent="0.2">
      <c r="A174" s="48"/>
      <c r="B174" s="48" t="s">
        <v>276</v>
      </c>
      <c r="C174" s="48" t="s">
        <v>409</v>
      </c>
      <c r="D174" s="49" t="s">
        <v>266</v>
      </c>
      <c r="E174" s="50">
        <f>SmtRes!DO55*SmtRes!AT55</f>
        <v>0.08</v>
      </c>
      <c r="F174" s="50"/>
      <c r="G174" s="50">
        <f>ROUND(E174*G166, 7)</f>
        <v>0.13872000000000001</v>
      </c>
      <c r="H174" s="52"/>
      <c r="I174" s="51"/>
      <c r="J174" s="52">
        <f>ROUND(SmtRes!AG55/SmtRes!DO55, 2)</f>
        <v>731.08</v>
      </c>
      <c r="K174" s="51"/>
      <c r="L174" s="52">
        <f>SmtRes!DH55</f>
        <v>101.42</v>
      </c>
      <c r="CE174">
        <v>1</v>
      </c>
    </row>
    <row r="175" spans="1:83" ht="57" x14ac:dyDescent="0.2">
      <c r="A175" s="48"/>
      <c r="B175" s="48" t="s">
        <v>332</v>
      </c>
      <c r="C175" s="48" t="s">
        <v>334</v>
      </c>
      <c r="D175" s="49" t="s">
        <v>272</v>
      </c>
      <c r="E175" s="50">
        <v>6.15</v>
      </c>
      <c r="F175" s="50"/>
      <c r="G175" s="50">
        <f>SmtRes!CX56</f>
        <v>10.664099999999999</v>
      </c>
      <c r="H175" s="52">
        <f>SmtRes!CZ56</f>
        <v>11.85</v>
      </c>
      <c r="I175" s="51">
        <f>SmtRes!AJ56</f>
        <v>1.3</v>
      </c>
      <c r="J175" s="52">
        <f>ROUND(H175*I175, 2)</f>
        <v>15.41</v>
      </c>
      <c r="K175" s="51"/>
      <c r="L175" s="52">
        <f>SmtRes!DG56</f>
        <v>164.33</v>
      </c>
    </row>
    <row r="176" spans="1:83" ht="42.75" x14ac:dyDescent="0.2">
      <c r="A176" s="48"/>
      <c r="B176" s="48" t="s">
        <v>335</v>
      </c>
      <c r="C176" s="48" t="s">
        <v>337</v>
      </c>
      <c r="D176" s="49" t="s">
        <v>272</v>
      </c>
      <c r="E176" s="50">
        <v>12.3</v>
      </c>
      <c r="F176" s="50"/>
      <c r="G176" s="50">
        <f>SmtRes!CX57</f>
        <v>21.328199999999999</v>
      </c>
      <c r="H176" s="52">
        <f>SmtRes!CZ57</f>
        <v>4.5199999999999996</v>
      </c>
      <c r="I176" s="51">
        <f>SmtRes!AJ57</f>
        <v>1.28</v>
      </c>
      <c r="J176" s="52">
        <f>ROUND(H176*I176, 2)</f>
        <v>5.79</v>
      </c>
      <c r="K176" s="51"/>
      <c r="L176" s="52">
        <f>SmtRes!DG57</f>
        <v>123.49</v>
      </c>
    </row>
    <row r="177" spans="1:82" ht="15" x14ac:dyDescent="0.2">
      <c r="A177" s="47"/>
      <c r="B177" s="50">
        <v>4</v>
      </c>
      <c r="C177" s="47" t="s">
        <v>411</v>
      </c>
      <c r="D177" s="49"/>
      <c r="E177" s="54"/>
      <c r="F177" s="50"/>
      <c r="G177" s="50"/>
      <c r="H177" s="50"/>
      <c r="I177" s="50"/>
      <c r="J177" s="50"/>
      <c r="K177" s="50"/>
      <c r="L177" s="55">
        <f>SUM(L178:L179)-SUMIF(CE178:CE179, 1, L178:L179)</f>
        <v>305.92</v>
      </c>
    </row>
    <row r="178" spans="1:82" ht="14.25" x14ac:dyDescent="0.2">
      <c r="A178" s="48"/>
      <c r="B178" s="48" t="s">
        <v>338</v>
      </c>
      <c r="C178" s="48" t="s">
        <v>340</v>
      </c>
      <c r="D178" s="49" t="s">
        <v>58</v>
      </c>
      <c r="E178" s="50">
        <v>0.41</v>
      </c>
      <c r="F178" s="50"/>
      <c r="G178" s="50">
        <f>SmtRes!CX58</f>
        <v>0.71094000000000002</v>
      </c>
      <c r="H178" s="52">
        <f>SmtRes!CZ58</f>
        <v>56.11</v>
      </c>
      <c r="I178" s="51">
        <f>SmtRes!AI58</f>
        <v>1.6</v>
      </c>
      <c r="J178" s="52">
        <f>ROUND(H178*I178, 2)</f>
        <v>89.78</v>
      </c>
      <c r="K178" s="51"/>
      <c r="L178" s="52">
        <f>SmtRes!DF58</f>
        <v>63.83</v>
      </c>
    </row>
    <row r="179" spans="1:82" ht="14.25" x14ac:dyDescent="0.2">
      <c r="A179" s="48"/>
      <c r="B179" s="48" t="s">
        <v>341</v>
      </c>
      <c r="C179" s="48" t="s">
        <v>343</v>
      </c>
      <c r="D179" s="49" t="s">
        <v>58</v>
      </c>
      <c r="E179" s="50">
        <v>1.6</v>
      </c>
      <c r="F179" s="50"/>
      <c r="G179" s="50">
        <f>SmtRes!CX60</f>
        <v>2.7744</v>
      </c>
      <c r="H179" s="52">
        <f>SmtRes!CZ60</f>
        <v>60.6</v>
      </c>
      <c r="I179" s="51">
        <f>SmtRes!AI60</f>
        <v>1.44</v>
      </c>
      <c r="J179" s="52">
        <f>ROUND(H179*I179, 2)</f>
        <v>87.26</v>
      </c>
      <c r="K179" s="51"/>
      <c r="L179" s="52">
        <f>SmtRes!DF60</f>
        <v>242.09</v>
      </c>
    </row>
    <row r="180" spans="1:82" ht="14.25" x14ac:dyDescent="0.2">
      <c r="A180" s="48"/>
      <c r="B180" s="48" t="str">
        <f>EtalonRes!I56</f>
        <v>14.4.02.07</v>
      </c>
      <c r="C180" s="56" t="str">
        <f>EtalonRes!K56</f>
        <v>Краски перхлорвиниловые</v>
      </c>
      <c r="D180" s="57" t="str">
        <f>EtalonRes!O56</f>
        <v>т</v>
      </c>
      <c r="E180" s="58">
        <f>EtalonRes!X56</f>
        <v>5.3800000000000001E-2</v>
      </c>
      <c r="F180" s="58"/>
      <c r="G180" s="58">
        <f>ROUND(EtalonRes!AG56*Source!I45, 7)</f>
        <v>9.3289200000000003E-2</v>
      </c>
      <c r="H180" s="59"/>
      <c r="I180" s="60"/>
      <c r="J180" s="59"/>
      <c r="K180" s="60"/>
      <c r="L180" s="59"/>
    </row>
    <row r="181" spans="1:82" ht="15" x14ac:dyDescent="0.2">
      <c r="A181" s="48"/>
      <c r="B181" s="48"/>
      <c r="C181" s="62" t="s">
        <v>412</v>
      </c>
      <c r="D181" s="49"/>
      <c r="E181" s="50"/>
      <c r="F181" s="50"/>
      <c r="G181" s="50"/>
      <c r="H181" s="52"/>
      <c r="I181" s="51"/>
      <c r="J181" s="52"/>
      <c r="K181" s="51"/>
      <c r="L181" s="52">
        <f>L168+L170+L171+L177</f>
        <v>16389.84</v>
      </c>
    </row>
    <row r="182" spans="1:82" ht="14.25" x14ac:dyDescent="0.2">
      <c r="A182" s="46" t="s">
        <v>442</v>
      </c>
      <c r="B182" s="48" t="str">
        <f>Source!F46</f>
        <v>14.4.02.07-0002</v>
      </c>
      <c r="C182" s="48" t="str">
        <f>Source!G46</f>
        <v>Эмаль ХВ-161</v>
      </c>
      <c r="D182" s="49" t="str">
        <f>Source!H46</f>
        <v>т</v>
      </c>
      <c r="E182" s="50">
        <f>SmtRes!AT59</f>
        <v>5.3800000000000001E-2</v>
      </c>
      <c r="F182" s="50"/>
      <c r="G182" s="50">
        <f>Source!I46</f>
        <v>9.3289200000000003E-2</v>
      </c>
      <c r="H182" s="52">
        <f>Source!AL46+Source!AO46+Source!AM46+Source!AN46</f>
        <v>119850.13</v>
      </c>
      <c r="I182" s="51">
        <f>IF(Source!BC46&lt;&gt; 0, Source!BC46, 1)</f>
        <v>1.0900000000000001</v>
      </c>
      <c r="J182" s="52">
        <f>ROUND(H182*I182, 2)</f>
        <v>130636.64</v>
      </c>
      <c r="K182" s="51"/>
      <c r="L182" s="52">
        <f>Source!P46</f>
        <v>12186.99</v>
      </c>
      <c r="AD182">
        <f>ROUND((Source!AT46/100)*((ROUND(ROUND(Source!AO46,2)*Source!I46, 2)+ROUND(ROUND(Source!AN46,2)*Source!I46, 2))), 2)</f>
        <v>0</v>
      </c>
      <c r="AE182">
        <f>ROUND((Source!AU46/100)*((ROUND(ROUND(Source!AO46,2)*Source!I46, 2)+ROUND(ROUND(Source!AN46,2)*Source!I46, 2))), 2)</f>
        <v>0</v>
      </c>
      <c r="AN182">
        <f>L182</f>
        <v>12186.99</v>
      </c>
      <c r="AW182">
        <f>L182</f>
        <v>12186.99</v>
      </c>
      <c r="AZ182">
        <f>Source!X46</f>
        <v>0</v>
      </c>
      <c r="BA182">
        <f>Source!Y46</f>
        <v>0</v>
      </c>
      <c r="CD182">
        <v>1</v>
      </c>
    </row>
    <row r="183" spans="1:82" ht="14.25" x14ac:dyDescent="0.2">
      <c r="A183" s="48"/>
      <c r="B183" s="48"/>
      <c r="C183" s="48" t="s">
        <v>414</v>
      </c>
      <c r="D183" s="49"/>
      <c r="E183" s="50"/>
      <c r="F183" s="50"/>
      <c r="G183" s="50"/>
      <c r="H183" s="52"/>
      <c r="I183" s="51"/>
      <c r="J183" s="52"/>
      <c r="K183" s="51"/>
      <c r="L183" s="52">
        <f>SUM(AR166:AR186)+SUM(AS166:AS186)+SUM(AT166:AT186)+SUM(AU166:AU186)+SUM(AV166:AV186)</f>
        <v>15718.960000000001</v>
      </c>
    </row>
    <row r="184" spans="1:82" ht="14.25" x14ac:dyDescent="0.2">
      <c r="A184" s="48"/>
      <c r="B184" s="48" t="s">
        <v>106</v>
      </c>
      <c r="C184" s="48" t="s">
        <v>443</v>
      </c>
      <c r="D184" s="49" t="s">
        <v>416</v>
      </c>
      <c r="E184" s="50">
        <f>Source!BZ45</f>
        <v>90</v>
      </c>
      <c r="F184" s="50"/>
      <c r="G184" s="50">
        <f>Source!AT45</f>
        <v>90</v>
      </c>
      <c r="H184" s="52"/>
      <c r="I184" s="51"/>
      <c r="J184" s="52"/>
      <c r="K184" s="51"/>
      <c r="L184" s="52">
        <f>SUM(AZ166:AZ186)</f>
        <v>14147.06</v>
      </c>
    </row>
    <row r="185" spans="1:82" ht="14.25" x14ac:dyDescent="0.2">
      <c r="A185" s="56"/>
      <c r="B185" s="56" t="s">
        <v>107</v>
      </c>
      <c r="C185" s="56" t="s">
        <v>444</v>
      </c>
      <c r="D185" s="57" t="s">
        <v>416</v>
      </c>
      <c r="E185" s="58">
        <f>Source!CA45</f>
        <v>46</v>
      </c>
      <c r="F185" s="58"/>
      <c r="G185" s="58">
        <f>Source!AU45</f>
        <v>46</v>
      </c>
      <c r="H185" s="59"/>
      <c r="I185" s="60"/>
      <c r="J185" s="59"/>
      <c r="K185" s="60"/>
      <c r="L185" s="59">
        <f>SUM(BA166:BA186)</f>
        <v>7230.72</v>
      </c>
    </row>
    <row r="186" spans="1:82" ht="15" x14ac:dyDescent="0.2">
      <c r="C186" s="109" t="s">
        <v>418</v>
      </c>
      <c r="D186" s="109"/>
      <c r="E186" s="109"/>
      <c r="F186" s="109"/>
      <c r="G186" s="109"/>
      <c r="H186" s="109"/>
      <c r="I186" s="110">
        <f>IF(E166&lt;&gt;0,K186/E166, 0)</f>
        <v>28808.886966551323</v>
      </c>
      <c r="J186" s="110"/>
      <c r="K186" s="110">
        <f>L168+L170+L177+L184+L185+L171+SUM(L182:L182)</f>
        <v>49954.609999999993</v>
      </c>
      <c r="L186" s="110"/>
      <c r="AD186">
        <f>ROUND((Source!AT45/100)*((ROUND(SUMIF(SmtRes!AQ52:'SmtRes'!AQ60,"=1",SmtRes!AD52:'SmtRes'!AD60)*Source!I45, 2)+ROUND(SUMIF(SmtRes!AQ52:'SmtRes'!AQ60,"=1",SmtRes!AC52:'SmtRes'!AC60)*Source!I45, 2))), 2)</f>
        <v>2166.89</v>
      </c>
      <c r="AE186">
        <f>ROUND((Source!AU45/100)*((ROUND(SUMIF(SmtRes!AQ52:'SmtRes'!AQ60,"=1",SmtRes!AD52:'SmtRes'!AD60)*Source!I45, 2)+ROUND(SUMIF(SmtRes!AQ52:'SmtRes'!AQ60,"=1",SmtRes!AC52:'SmtRes'!AC60)*Source!I45, 2))), 2)</f>
        <v>1107.52</v>
      </c>
      <c r="AN186" s="61">
        <f>L168+L170+L177+L184+L185+L171</f>
        <v>37767.619999999995</v>
      </c>
      <c r="AO186" s="61">
        <f>L170</f>
        <v>364.96000000000004</v>
      </c>
      <c r="AQ186" t="s">
        <v>419</v>
      </c>
      <c r="AR186" s="61">
        <f>L168</f>
        <v>15617.54</v>
      </c>
      <c r="AT186" s="61">
        <f>L171</f>
        <v>101.42</v>
      </c>
      <c r="AV186" t="s">
        <v>419</v>
      </c>
      <c r="AW186" s="61">
        <f>L177</f>
        <v>305.92</v>
      </c>
      <c r="AZ186">
        <f>Source!X45</f>
        <v>14147.06</v>
      </c>
      <c r="BA186">
        <f>Source!Y45</f>
        <v>7230.72</v>
      </c>
      <c r="CD186">
        <v>1</v>
      </c>
    </row>
    <row r="187" spans="1:82" ht="42.75" x14ac:dyDescent="0.2">
      <c r="A187" s="66" t="s">
        <v>112</v>
      </c>
      <c r="B187" s="56" t="s">
        <v>113</v>
      </c>
      <c r="C187" s="56" t="str">
        <f>Source!G47</f>
        <v>Погрузка в автотранспортное средство: мусор строительный с погрузкой вручную</v>
      </c>
      <c r="D187" s="57" t="str">
        <f>Source!H47</f>
        <v>1т груза</v>
      </c>
      <c r="E187" s="58">
        <f>Source!K47</f>
        <v>7.5</v>
      </c>
      <c r="F187" s="58"/>
      <c r="G187" s="58">
        <f>Source!I47</f>
        <v>7.5</v>
      </c>
      <c r="H187" s="59"/>
      <c r="I187" s="60"/>
      <c r="J187" s="59">
        <f>Source!AK47</f>
        <v>1490.12</v>
      </c>
      <c r="K187" s="60"/>
      <c r="L187" s="59">
        <f>Source!HD47</f>
        <v>11175.9</v>
      </c>
    </row>
    <row r="188" spans="1:82" ht="15" x14ac:dyDescent="0.2">
      <c r="C188" s="109" t="s">
        <v>418</v>
      </c>
      <c r="D188" s="109"/>
      <c r="E188" s="109"/>
      <c r="F188" s="109"/>
      <c r="G188" s="109"/>
      <c r="H188" s="109"/>
      <c r="I188" s="110">
        <f>IF(E187&lt;&gt;0,K188/E187, 0)</f>
        <v>1490.12</v>
      </c>
      <c r="J188" s="110"/>
      <c r="K188" s="110">
        <f>L187</f>
        <v>11175.9</v>
      </c>
      <c r="L188" s="110"/>
      <c r="AD188">
        <f>ROUND((Source!AT47/100)*((ROUND(0*Source!I47, 2)+ROUND(0*Source!I47, 2))), 2)</f>
        <v>0</v>
      </c>
      <c r="AE188">
        <f>ROUND((Source!AU47/100)*((ROUND(0*Source!I47, 2)+ROUND(0*Source!I47, 2))), 2)</f>
        <v>0</v>
      </c>
      <c r="AN188" s="61">
        <f>L187</f>
        <v>11175.9</v>
      </c>
      <c r="AP188">
        <f>0</f>
        <v>0</v>
      </c>
      <c r="AQ188" t="s">
        <v>419</v>
      </c>
      <c r="AS188">
        <f>0</f>
        <v>0</v>
      </c>
      <c r="AU188">
        <f>0</f>
        <v>0</v>
      </c>
      <c r="AV188" t="s">
        <v>419</v>
      </c>
      <c r="AZ188">
        <f>Source!X47</f>
        <v>0</v>
      </c>
      <c r="BA188">
        <f>Source!Y47</f>
        <v>0</v>
      </c>
      <c r="BB188" s="61">
        <f>L187</f>
        <v>11175.9</v>
      </c>
      <c r="CD188">
        <v>1</v>
      </c>
    </row>
    <row r="189" spans="1:82" ht="128.25" x14ac:dyDescent="0.2">
      <c r="A189" s="66" t="s">
        <v>120</v>
      </c>
      <c r="B189" s="56" t="s">
        <v>121</v>
      </c>
      <c r="C189" s="56" t="str">
        <f>Source!G48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36 км</v>
      </c>
      <c r="D189" s="57" t="str">
        <f>Source!H48</f>
        <v>1т груза</v>
      </c>
      <c r="E189" s="58">
        <f>Source!K48</f>
        <v>7.5</v>
      </c>
      <c r="F189" s="58"/>
      <c r="G189" s="58">
        <f>Source!I48</f>
        <v>7.5</v>
      </c>
      <c r="H189" s="59"/>
      <c r="I189" s="60"/>
      <c r="J189" s="59">
        <f>Source!AK48</f>
        <v>519.79</v>
      </c>
      <c r="K189" s="60"/>
      <c r="L189" s="59">
        <f>Source!HD48</f>
        <v>3898.43</v>
      </c>
    </row>
    <row r="190" spans="1:82" ht="15" x14ac:dyDescent="0.2">
      <c r="C190" s="109" t="s">
        <v>418</v>
      </c>
      <c r="D190" s="109"/>
      <c r="E190" s="109"/>
      <c r="F190" s="109"/>
      <c r="G190" s="109"/>
      <c r="H190" s="109"/>
      <c r="I190" s="110">
        <f>IF(E189&lt;&gt;0,K190/E189, 0)</f>
        <v>519.79066666666665</v>
      </c>
      <c r="J190" s="110"/>
      <c r="K190" s="110">
        <f>L189</f>
        <v>3898.43</v>
      </c>
      <c r="L190" s="110"/>
      <c r="AD190">
        <f>ROUND((Source!AT48/100)*((ROUND(0*Source!I48, 2)+ROUND(0*Source!I48, 2))), 2)</f>
        <v>0</v>
      </c>
      <c r="AE190">
        <f>ROUND((Source!AU48/100)*((ROUND(0*Source!I48, 2)+ROUND(0*Source!I48, 2))), 2)</f>
        <v>0</v>
      </c>
      <c r="AN190" s="61">
        <f>L189</f>
        <v>3898.43</v>
      </c>
      <c r="AP190">
        <f>0</f>
        <v>0</v>
      </c>
      <c r="AQ190" t="s">
        <v>419</v>
      </c>
      <c r="AS190">
        <f>0</f>
        <v>0</v>
      </c>
      <c r="AU190">
        <f>0</f>
        <v>0</v>
      </c>
      <c r="AV190" t="s">
        <v>419</v>
      </c>
      <c r="AZ190">
        <f>Source!X48</f>
        <v>0</v>
      </c>
      <c r="BA190">
        <f>Source!Y48</f>
        <v>0</v>
      </c>
      <c r="BB190" s="61">
        <f>L189</f>
        <v>3898.43</v>
      </c>
      <c r="CD190">
        <v>1</v>
      </c>
    </row>
    <row r="192" spans="1:82" ht="15" x14ac:dyDescent="0.2">
      <c r="A192" s="68"/>
      <c r="B192" s="69"/>
      <c r="C192" s="107" t="s">
        <v>445</v>
      </c>
      <c r="D192" s="107"/>
      <c r="E192" s="107"/>
      <c r="F192" s="107"/>
      <c r="G192" s="107"/>
      <c r="H192" s="107"/>
      <c r="I192" s="55"/>
      <c r="J192" s="68"/>
      <c r="K192" s="70"/>
      <c r="L192" s="55">
        <f>L194+L195+L201+L205</f>
        <v>653705.61</v>
      </c>
    </row>
    <row r="193" spans="1:12" ht="14.25" x14ac:dyDescent="0.2">
      <c r="A193" s="63"/>
      <c r="B193" s="67"/>
      <c r="C193" s="106" t="s">
        <v>446</v>
      </c>
      <c r="D193" s="103"/>
      <c r="E193" s="103"/>
      <c r="F193" s="103"/>
      <c r="G193" s="103"/>
      <c r="H193" s="103"/>
      <c r="I193" s="52"/>
      <c r="J193" s="63"/>
      <c r="K193" s="50"/>
      <c r="L193" s="52"/>
    </row>
    <row r="194" spans="1:12" ht="14.25" x14ac:dyDescent="0.2">
      <c r="A194" s="63"/>
      <c r="B194" s="67"/>
      <c r="C194" s="103" t="s">
        <v>447</v>
      </c>
      <c r="D194" s="103"/>
      <c r="E194" s="103"/>
      <c r="F194" s="103"/>
      <c r="G194" s="103"/>
      <c r="H194" s="103"/>
      <c r="I194" s="52"/>
      <c r="J194" s="63"/>
      <c r="K194" s="50"/>
      <c r="L194" s="52">
        <f>SUM(AR61:AR190)</f>
        <v>253953.08000000002</v>
      </c>
    </row>
    <row r="195" spans="1:12" ht="14.25" hidden="1" x14ac:dyDescent="0.2">
      <c r="A195" s="63"/>
      <c r="B195" s="67"/>
      <c r="C195" s="103" t="s">
        <v>448</v>
      </c>
      <c r="D195" s="103"/>
      <c r="E195" s="103"/>
      <c r="F195" s="103"/>
      <c r="G195" s="103"/>
      <c r="H195" s="103"/>
      <c r="I195" s="52"/>
      <c r="J195" s="63"/>
      <c r="K195" s="50"/>
      <c r="L195" s="52">
        <f>L197+L200+L199</f>
        <v>5401.2400000000007</v>
      </c>
    </row>
    <row r="196" spans="1:12" ht="14.25" hidden="1" x14ac:dyDescent="0.2">
      <c r="A196" s="63"/>
      <c r="B196" s="67"/>
      <c r="C196" s="106" t="s">
        <v>449</v>
      </c>
      <c r="D196" s="103"/>
      <c r="E196" s="103"/>
      <c r="F196" s="103"/>
      <c r="G196" s="103"/>
      <c r="H196" s="103"/>
      <c r="I196" s="52"/>
      <c r="J196" s="63"/>
      <c r="K196" s="50"/>
      <c r="L196" s="52"/>
    </row>
    <row r="197" spans="1:12" ht="14.25" x14ac:dyDescent="0.2">
      <c r="A197" s="63"/>
      <c r="B197" s="67"/>
      <c r="C197" s="103" t="s">
        <v>448</v>
      </c>
      <c r="D197" s="103"/>
      <c r="E197" s="103"/>
      <c r="F197" s="103"/>
      <c r="G197" s="103"/>
      <c r="H197" s="103"/>
      <c r="I197" s="52"/>
      <c r="J197" s="63"/>
      <c r="K197" s="50"/>
      <c r="L197" s="52">
        <f>SUM(AO61:AO190)</f>
        <v>2504.5700000000002</v>
      </c>
    </row>
    <row r="198" spans="1:12" ht="14.25" hidden="1" x14ac:dyDescent="0.2">
      <c r="A198" s="63"/>
      <c r="B198" s="67"/>
      <c r="C198" s="106" t="s">
        <v>450</v>
      </c>
      <c r="D198" s="103"/>
      <c r="E198" s="103"/>
      <c r="F198" s="103"/>
      <c r="G198" s="103"/>
      <c r="H198" s="103"/>
      <c r="I198" s="52"/>
      <c r="J198" s="63"/>
      <c r="K198" s="50"/>
      <c r="L198" s="52"/>
    </row>
    <row r="199" spans="1:12" ht="14.25" x14ac:dyDescent="0.2">
      <c r="A199" s="63"/>
      <c r="B199" s="67"/>
      <c r="C199" s="103" t="s">
        <v>470</v>
      </c>
      <c r="D199" s="103"/>
      <c r="E199" s="103"/>
      <c r="F199" s="103"/>
      <c r="G199" s="103"/>
      <c r="H199" s="103"/>
      <c r="I199" s="52"/>
      <c r="J199" s="63"/>
      <c r="K199" s="50"/>
      <c r="L199" s="52">
        <f>SUM(AT61:AT190)</f>
        <v>2896.6700000000005</v>
      </c>
    </row>
    <row r="200" spans="1:12" ht="14.25" hidden="1" x14ac:dyDescent="0.2">
      <c r="A200" s="63"/>
      <c r="B200" s="67"/>
      <c r="C200" s="103" t="s">
        <v>451</v>
      </c>
      <c r="D200" s="103"/>
      <c r="E200" s="103"/>
      <c r="F200" s="103"/>
      <c r="G200" s="103"/>
      <c r="H200" s="103"/>
      <c r="I200" s="52"/>
      <c r="J200" s="63"/>
      <c r="K200" s="50"/>
      <c r="L200" s="52">
        <f>SUM(AV61:AV190)</f>
        <v>0</v>
      </c>
    </row>
    <row r="201" spans="1:12" ht="14.25" x14ac:dyDescent="0.2">
      <c r="A201" s="63"/>
      <c r="B201" s="67"/>
      <c r="C201" s="103" t="s">
        <v>452</v>
      </c>
      <c r="D201" s="103"/>
      <c r="E201" s="103"/>
      <c r="F201" s="103"/>
      <c r="G201" s="103"/>
      <c r="H201" s="103"/>
      <c r="I201" s="52"/>
      <c r="J201" s="63"/>
      <c r="K201" s="50"/>
      <c r="L201" s="52">
        <f>L203+L204</f>
        <v>379276.95999999996</v>
      </c>
    </row>
    <row r="202" spans="1:12" ht="14.25" x14ac:dyDescent="0.2">
      <c r="A202" s="63"/>
      <c r="B202" s="67"/>
      <c r="C202" s="106" t="s">
        <v>449</v>
      </c>
      <c r="D202" s="103"/>
      <c r="E202" s="103"/>
      <c r="F202" s="103"/>
      <c r="G202" s="103"/>
      <c r="H202" s="103"/>
      <c r="I202" s="52"/>
      <c r="J202" s="63"/>
      <c r="K202" s="50"/>
      <c r="L202" s="52"/>
    </row>
    <row r="203" spans="1:12" ht="14.25" x14ac:dyDescent="0.2">
      <c r="A203" s="63"/>
      <c r="B203" s="67"/>
      <c r="C203" s="103" t="s">
        <v>453</v>
      </c>
      <c r="D203" s="103"/>
      <c r="E203" s="103"/>
      <c r="F203" s="103"/>
      <c r="G203" s="103"/>
      <c r="H203" s="103"/>
      <c r="I203" s="52"/>
      <c r="J203" s="63"/>
      <c r="K203" s="50"/>
      <c r="L203" s="52">
        <f>SUM(AW61:AW190)-SUM(BK61:BK190)</f>
        <v>379276.95999999996</v>
      </c>
    </row>
    <row r="204" spans="1:12" ht="14.25" hidden="1" x14ac:dyDescent="0.2">
      <c r="A204" s="63"/>
      <c r="B204" s="67"/>
      <c r="C204" s="103" t="s">
        <v>454</v>
      </c>
      <c r="D204" s="103"/>
      <c r="E204" s="103"/>
      <c r="F204" s="103"/>
      <c r="G204" s="103"/>
      <c r="H204" s="103"/>
      <c r="I204" s="52"/>
      <c r="J204" s="63"/>
      <c r="K204" s="50"/>
      <c r="L204" s="52">
        <f>SUM(BC61:BC190)</f>
        <v>0</v>
      </c>
    </row>
    <row r="205" spans="1:12" ht="14.25" x14ac:dyDescent="0.2">
      <c r="A205" s="63"/>
      <c r="B205" s="67"/>
      <c r="C205" s="103" t="s">
        <v>455</v>
      </c>
      <c r="D205" s="103"/>
      <c r="E205" s="103"/>
      <c r="F205" s="103"/>
      <c r="G205" s="103"/>
      <c r="H205" s="103"/>
      <c r="I205" s="52"/>
      <c r="J205" s="63"/>
      <c r="K205" s="50"/>
      <c r="L205" s="52">
        <f>SUM(BB61:BB190)</f>
        <v>15074.33</v>
      </c>
    </row>
    <row r="206" spans="1:12" ht="14.25" x14ac:dyDescent="0.2">
      <c r="A206" s="63"/>
      <c r="B206" s="67"/>
      <c r="C206" s="103" t="s">
        <v>456</v>
      </c>
      <c r="D206" s="103"/>
      <c r="E206" s="103"/>
      <c r="F206" s="103"/>
      <c r="G206" s="103"/>
      <c r="H206" s="103"/>
      <c r="I206" s="52"/>
      <c r="J206" s="63"/>
      <c r="K206" s="50"/>
      <c r="L206" s="52">
        <f>SUM(AR61:AR190)+SUM(AT61:AT190)+SUM(AV61:AV190)</f>
        <v>256849.75000000003</v>
      </c>
    </row>
    <row r="207" spans="1:12" ht="14.25" x14ac:dyDescent="0.2">
      <c r="A207" s="63"/>
      <c r="B207" s="67"/>
      <c r="C207" s="103" t="s">
        <v>457</v>
      </c>
      <c r="D207" s="103"/>
      <c r="E207" s="103"/>
      <c r="F207" s="103"/>
      <c r="G207" s="103"/>
      <c r="H207" s="103"/>
      <c r="I207" s="52"/>
      <c r="J207" s="63"/>
      <c r="K207" s="50"/>
      <c r="L207" s="52">
        <f>SUM(AZ61:AZ190)</f>
        <v>229695.22</v>
      </c>
    </row>
    <row r="208" spans="1:12" ht="14.25" x14ac:dyDescent="0.2">
      <c r="A208" s="63"/>
      <c r="B208" s="67"/>
      <c r="C208" s="103" t="s">
        <v>458</v>
      </c>
      <c r="D208" s="103"/>
      <c r="E208" s="103"/>
      <c r="F208" s="103"/>
      <c r="G208" s="103"/>
      <c r="H208" s="103"/>
      <c r="I208" s="52"/>
      <c r="J208" s="63"/>
      <c r="K208" s="50"/>
      <c r="L208" s="52">
        <f>SUM(BA61:BA190)</f>
        <v>111378.61</v>
      </c>
    </row>
    <row r="209" spans="1:12" ht="14.25" hidden="1" x14ac:dyDescent="0.2">
      <c r="A209" s="63"/>
      <c r="B209" s="67"/>
      <c r="C209" s="103" t="s">
        <v>459</v>
      </c>
      <c r="D209" s="103"/>
      <c r="E209" s="103"/>
      <c r="F209" s="103"/>
      <c r="G209" s="103"/>
      <c r="H209" s="103"/>
      <c r="I209" s="52"/>
      <c r="J209" s="63"/>
      <c r="K209" s="50"/>
      <c r="L209" s="52">
        <f>L211+L212</f>
        <v>0</v>
      </c>
    </row>
    <row r="210" spans="1:12" ht="14.25" hidden="1" x14ac:dyDescent="0.2">
      <c r="A210" s="63"/>
      <c r="B210" s="67"/>
      <c r="C210" s="106" t="s">
        <v>446</v>
      </c>
      <c r="D210" s="103"/>
      <c r="E210" s="103"/>
      <c r="F210" s="103"/>
      <c r="G210" s="103"/>
      <c r="H210" s="103"/>
      <c r="I210" s="52"/>
      <c r="J210" s="63"/>
      <c r="K210" s="50"/>
      <c r="L210" s="52"/>
    </row>
    <row r="211" spans="1:12" ht="14.25" hidden="1" x14ac:dyDescent="0.2">
      <c r="A211" s="63"/>
      <c r="B211" s="67"/>
      <c r="C211" s="103" t="s">
        <v>460</v>
      </c>
      <c r="D211" s="103"/>
      <c r="E211" s="103"/>
      <c r="F211" s="103"/>
      <c r="G211" s="103"/>
      <c r="H211" s="103"/>
      <c r="I211" s="52"/>
      <c r="J211" s="63"/>
      <c r="K211" s="50"/>
      <c r="L211" s="52">
        <f>SUM(BK61:BK190)</f>
        <v>0</v>
      </c>
    </row>
    <row r="212" spans="1:12" ht="14.25" hidden="1" x14ac:dyDescent="0.2">
      <c r="A212" s="63"/>
      <c r="B212" s="67"/>
      <c r="C212" s="103" t="s">
        <v>461</v>
      </c>
      <c r="D212" s="103"/>
      <c r="E212" s="103"/>
      <c r="F212" s="103"/>
      <c r="G212" s="103"/>
      <c r="H212" s="103"/>
      <c r="I212" s="52"/>
      <c r="J212" s="63"/>
      <c r="K212" s="50"/>
      <c r="L212" s="52">
        <f>SUM(BD61:BD190)</f>
        <v>0</v>
      </c>
    </row>
    <row r="213" spans="1:12" ht="14.25" hidden="1" x14ac:dyDescent="0.2">
      <c r="A213" s="63"/>
      <c r="B213" s="67"/>
      <c r="C213" s="103" t="s">
        <v>462</v>
      </c>
      <c r="D213" s="103"/>
      <c r="E213" s="103"/>
      <c r="F213" s="103"/>
      <c r="G213" s="103"/>
      <c r="H213" s="103"/>
      <c r="I213" s="52"/>
      <c r="J213" s="63"/>
      <c r="K213" s="50"/>
      <c r="L213" s="52"/>
    </row>
    <row r="214" spans="1:12" ht="14.25" hidden="1" x14ac:dyDescent="0.2">
      <c r="A214" s="63"/>
      <c r="B214" s="67"/>
      <c r="C214" s="103" t="s">
        <v>462</v>
      </c>
      <c r="D214" s="103"/>
      <c r="E214" s="103"/>
      <c r="F214" s="103"/>
      <c r="G214" s="103"/>
      <c r="H214" s="103"/>
      <c r="I214" s="52"/>
      <c r="J214" s="63"/>
      <c r="K214" s="50"/>
      <c r="L214" s="52">
        <f>SUM(BQ61:BQ190)</f>
        <v>0</v>
      </c>
    </row>
    <row r="215" spans="1:12" ht="14.25" hidden="1" x14ac:dyDescent="0.2">
      <c r="A215" s="63"/>
      <c r="B215" s="67"/>
      <c r="C215" s="103" t="s">
        <v>463</v>
      </c>
      <c r="D215" s="103"/>
      <c r="E215" s="103"/>
      <c r="F215" s="103"/>
      <c r="G215" s="103"/>
      <c r="H215" s="103"/>
      <c r="I215" s="52"/>
      <c r="J215" s="63"/>
      <c r="K215" s="50"/>
      <c r="L215" s="52">
        <f>SUM(BO61:BO190)</f>
        <v>0</v>
      </c>
    </row>
    <row r="216" spans="1:12" ht="15" x14ac:dyDescent="0.2">
      <c r="A216" s="68"/>
      <c r="B216" s="69"/>
      <c r="C216" s="107" t="s">
        <v>464</v>
      </c>
      <c r="D216" s="107"/>
      <c r="E216" s="107"/>
      <c r="F216" s="107"/>
      <c r="G216" s="107"/>
      <c r="H216" s="107"/>
      <c r="I216" s="55"/>
      <c r="J216" s="68"/>
      <c r="K216" s="70"/>
      <c r="L216" s="55">
        <f>L192+L207+L208+L209+L214+L215</f>
        <v>994779.44</v>
      </c>
    </row>
    <row r="217" spans="1:12" ht="14.25" x14ac:dyDescent="0.2">
      <c r="A217" s="63"/>
      <c r="B217" s="67"/>
      <c r="C217" s="106" t="s">
        <v>465</v>
      </c>
      <c r="D217" s="103"/>
      <c r="E217" s="103"/>
      <c r="F217" s="103"/>
      <c r="G217" s="103"/>
      <c r="H217" s="103"/>
      <c r="I217" s="52"/>
      <c r="J217" s="63"/>
      <c r="K217" s="50"/>
      <c r="L217" s="52"/>
    </row>
    <row r="218" spans="1:12" ht="14.25" hidden="1" x14ac:dyDescent="0.2">
      <c r="A218" s="63"/>
      <c r="B218" s="67"/>
      <c r="C218" s="103" t="s">
        <v>466</v>
      </c>
      <c r="D218" s="103"/>
      <c r="E218" s="103"/>
      <c r="F218" s="103"/>
      <c r="G218" s="103"/>
      <c r="H218" s="103"/>
      <c r="I218" s="52"/>
      <c r="J218" s="63"/>
      <c r="K218" s="50"/>
      <c r="L218" s="52">
        <f>SUM(AX61:AX190)</f>
        <v>0</v>
      </c>
    </row>
    <row r="219" spans="1:12" ht="14.25" hidden="1" x14ac:dyDescent="0.2">
      <c r="A219" s="63"/>
      <c r="B219" s="67"/>
      <c r="C219" s="103" t="s">
        <v>467</v>
      </c>
      <c r="D219" s="103"/>
      <c r="E219" s="103"/>
      <c r="F219" s="103"/>
      <c r="G219" s="103"/>
      <c r="H219" s="103"/>
      <c r="I219" s="52"/>
      <c r="J219" s="63"/>
      <c r="K219" s="50"/>
      <c r="L219" s="52">
        <f>SUM(AY61:AY190)</f>
        <v>0</v>
      </c>
    </row>
    <row r="220" spans="1:12" ht="14.25" x14ac:dyDescent="0.2">
      <c r="A220" s="63"/>
      <c r="B220" s="67"/>
      <c r="C220" s="103" t="s">
        <v>468</v>
      </c>
      <c r="D220" s="103"/>
      <c r="E220" s="103"/>
      <c r="F220" s="104"/>
      <c r="G220" s="54">
        <f>Source!F72</f>
        <v>371.39463000000001</v>
      </c>
      <c r="H220" s="63"/>
      <c r="I220" s="63"/>
      <c r="J220" s="63"/>
      <c r="K220" s="63"/>
      <c r="L220" s="63"/>
    </row>
    <row r="221" spans="1:12" ht="14.25" x14ac:dyDescent="0.2">
      <c r="A221" s="63"/>
      <c r="B221" s="67"/>
      <c r="C221" s="103" t="s">
        <v>469</v>
      </c>
      <c r="D221" s="103"/>
      <c r="E221" s="103"/>
      <c r="F221" s="104"/>
      <c r="G221" s="54">
        <f>Source!F73</f>
        <v>4.0033200000000004</v>
      </c>
      <c r="H221" s="63"/>
      <c r="I221" s="63"/>
      <c r="J221" s="63"/>
      <c r="K221" s="63"/>
      <c r="L221" s="63"/>
    </row>
    <row r="224" spans="1:12" ht="15" x14ac:dyDescent="0.2">
      <c r="A224" s="71"/>
      <c r="B224" s="72"/>
      <c r="C224" s="108" t="s">
        <v>471</v>
      </c>
      <c r="D224" s="108"/>
      <c r="E224" s="108"/>
      <c r="F224" s="108"/>
      <c r="G224" s="108"/>
      <c r="H224" s="108"/>
      <c r="I224" s="73"/>
      <c r="J224" s="71"/>
      <c r="K224" s="74"/>
      <c r="L224" s="73"/>
    </row>
    <row r="226" spans="1:12" ht="15" x14ac:dyDescent="0.2">
      <c r="A226" s="68"/>
      <c r="B226" s="69"/>
      <c r="C226" s="107" t="s">
        <v>472</v>
      </c>
      <c r="D226" s="107"/>
      <c r="E226" s="107"/>
      <c r="F226" s="107"/>
      <c r="G226" s="107"/>
      <c r="H226" s="107"/>
      <c r="I226" s="55"/>
      <c r="J226" s="68"/>
      <c r="K226" s="70"/>
      <c r="L226" s="55">
        <f>L228+L243+L244</f>
        <v>994779.44</v>
      </c>
    </row>
    <row r="227" spans="1:12" ht="14.25" x14ac:dyDescent="0.2">
      <c r="A227" s="63"/>
      <c r="B227" s="67"/>
      <c r="C227" s="106" t="s">
        <v>446</v>
      </c>
      <c r="D227" s="103"/>
      <c r="E227" s="103"/>
      <c r="F227" s="103"/>
      <c r="G227" s="103"/>
      <c r="H227" s="103"/>
      <c r="I227" s="52"/>
      <c r="J227" s="63"/>
      <c r="K227" s="50"/>
      <c r="L227" s="52"/>
    </row>
    <row r="228" spans="1:12" ht="14.25" x14ac:dyDescent="0.2">
      <c r="A228" s="63"/>
      <c r="B228" s="67"/>
      <c r="C228" s="103" t="s">
        <v>473</v>
      </c>
      <c r="D228" s="103"/>
      <c r="E228" s="103"/>
      <c r="F228" s="103"/>
      <c r="G228" s="103"/>
      <c r="H228" s="103"/>
      <c r="I228" s="52"/>
      <c r="J228" s="63"/>
      <c r="K228" s="50"/>
      <c r="L228" s="52">
        <f>L230+L231+L237+L241</f>
        <v>653705.61</v>
      </c>
    </row>
    <row r="229" spans="1:12" ht="14.25" x14ac:dyDescent="0.2">
      <c r="A229" s="63"/>
      <c r="B229" s="67"/>
      <c r="C229" s="106" t="s">
        <v>446</v>
      </c>
      <c r="D229" s="103"/>
      <c r="E229" s="103"/>
      <c r="F229" s="103"/>
      <c r="G229" s="103"/>
      <c r="H229" s="103"/>
      <c r="I229" s="52"/>
      <c r="J229" s="63"/>
      <c r="K229" s="50"/>
      <c r="L229" s="52"/>
    </row>
    <row r="230" spans="1:12" ht="14.25" x14ac:dyDescent="0.2">
      <c r="A230" s="63"/>
      <c r="B230" s="67"/>
      <c r="C230" s="103" t="s">
        <v>474</v>
      </c>
      <c r="D230" s="103"/>
      <c r="E230" s="103"/>
      <c r="F230" s="103"/>
      <c r="G230" s="103"/>
      <c r="H230" s="103"/>
      <c r="I230" s="52"/>
      <c r="J230" s="63"/>
      <c r="K230" s="50"/>
      <c r="L230" s="52">
        <f>SUMIF(CD60:CD222, 1, AR60:AR222)</f>
        <v>253953.08000000002</v>
      </c>
    </row>
    <row r="231" spans="1:12" ht="14.25" hidden="1" x14ac:dyDescent="0.2">
      <c r="A231" s="63"/>
      <c r="B231" s="67"/>
      <c r="C231" s="103" t="s">
        <v>448</v>
      </c>
      <c r="D231" s="103"/>
      <c r="E231" s="103"/>
      <c r="F231" s="103"/>
      <c r="G231" s="103"/>
      <c r="H231" s="103"/>
      <c r="I231" s="52"/>
      <c r="J231" s="63"/>
      <c r="K231" s="50"/>
      <c r="L231" s="52">
        <f>L233+L236+L235</f>
        <v>5401.2400000000007</v>
      </c>
    </row>
    <row r="232" spans="1:12" ht="14.25" hidden="1" x14ac:dyDescent="0.2">
      <c r="A232" s="63"/>
      <c r="B232" s="67"/>
      <c r="C232" s="106" t="s">
        <v>449</v>
      </c>
      <c r="D232" s="103"/>
      <c r="E232" s="103"/>
      <c r="F232" s="103"/>
      <c r="G232" s="103"/>
      <c r="H232" s="103"/>
      <c r="I232" s="52"/>
      <c r="J232" s="63"/>
      <c r="K232" s="50"/>
      <c r="L232" s="52"/>
    </row>
    <row r="233" spans="1:12" ht="14.25" x14ac:dyDescent="0.2">
      <c r="A233" s="63"/>
      <c r="B233" s="67"/>
      <c r="C233" s="103" t="s">
        <v>448</v>
      </c>
      <c r="D233" s="103"/>
      <c r="E233" s="103"/>
      <c r="F233" s="103"/>
      <c r="G233" s="103"/>
      <c r="H233" s="103"/>
      <c r="I233" s="52"/>
      <c r="J233" s="63"/>
      <c r="K233" s="50"/>
      <c r="L233" s="52">
        <f>SUMIF(CD60:CD222, 1, AO60:AO222)</f>
        <v>2504.5700000000002</v>
      </c>
    </row>
    <row r="234" spans="1:12" ht="14.25" hidden="1" x14ac:dyDescent="0.2">
      <c r="A234" s="63"/>
      <c r="B234" s="67"/>
      <c r="C234" s="106" t="s">
        <v>450</v>
      </c>
      <c r="D234" s="103"/>
      <c r="E234" s="103"/>
      <c r="F234" s="103"/>
      <c r="G234" s="103"/>
      <c r="H234" s="103"/>
      <c r="I234" s="52"/>
      <c r="J234" s="63"/>
      <c r="K234" s="50"/>
      <c r="L234" s="52"/>
    </row>
    <row r="235" spans="1:12" ht="14.25" x14ac:dyDescent="0.2">
      <c r="A235" s="63"/>
      <c r="B235" s="67"/>
      <c r="C235" s="103" t="s">
        <v>470</v>
      </c>
      <c r="D235" s="103"/>
      <c r="E235" s="103"/>
      <c r="F235" s="103"/>
      <c r="G235" s="103"/>
      <c r="H235" s="103"/>
      <c r="I235" s="52"/>
      <c r="J235" s="63"/>
      <c r="K235" s="50"/>
      <c r="L235" s="52">
        <f>SUMIF(CD60:CD222, 1, AT60:AT222)</f>
        <v>2896.6700000000005</v>
      </c>
    </row>
    <row r="236" spans="1:12" ht="14.25" hidden="1" x14ac:dyDescent="0.2">
      <c r="A236" s="63"/>
      <c r="B236" s="67"/>
      <c r="C236" s="103" t="s">
        <v>451</v>
      </c>
      <c r="D236" s="103"/>
      <c r="E236" s="103"/>
      <c r="F236" s="103"/>
      <c r="G236" s="103"/>
      <c r="H236" s="103"/>
      <c r="I236" s="52"/>
      <c r="J236" s="63"/>
      <c r="K236" s="50"/>
      <c r="L236" s="52">
        <f>SUMIF(CD60:CD222, 1, AV60:AV222)</f>
        <v>0</v>
      </c>
    </row>
    <row r="237" spans="1:12" ht="14.25" x14ac:dyDescent="0.2">
      <c r="A237" s="63"/>
      <c r="B237" s="67"/>
      <c r="C237" s="103" t="s">
        <v>452</v>
      </c>
      <c r="D237" s="103"/>
      <c r="E237" s="103"/>
      <c r="F237" s="103"/>
      <c r="G237" s="103"/>
      <c r="H237" s="103"/>
      <c r="I237" s="52"/>
      <c r="J237" s="63"/>
      <c r="K237" s="50"/>
      <c r="L237" s="52">
        <f>L239+L240</f>
        <v>379276.95999999996</v>
      </c>
    </row>
    <row r="238" spans="1:12" ht="14.25" x14ac:dyDescent="0.2">
      <c r="A238" s="63"/>
      <c r="B238" s="67"/>
      <c r="C238" s="106" t="s">
        <v>449</v>
      </c>
      <c r="D238" s="103"/>
      <c r="E238" s="103"/>
      <c r="F238" s="103"/>
      <c r="G238" s="103"/>
      <c r="H238" s="103"/>
      <c r="I238" s="52"/>
      <c r="J238" s="63"/>
      <c r="K238" s="50"/>
      <c r="L238" s="52"/>
    </row>
    <row r="239" spans="1:12" ht="14.25" x14ac:dyDescent="0.2">
      <c r="A239" s="63"/>
      <c r="B239" s="67"/>
      <c r="C239" s="103" t="s">
        <v>453</v>
      </c>
      <c r="D239" s="103"/>
      <c r="E239" s="103"/>
      <c r="F239" s="103"/>
      <c r="G239" s="103"/>
      <c r="H239" s="103"/>
      <c r="I239" s="52"/>
      <c r="J239" s="63"/>
      <c r="K239" s="50"/>
      <c r="L239" s="52">
        <f>SUMIF(CD60:CD222, 1, AW60:AW222)-SUMIF(CD60:CD222, 1, BK60:BK222)</f>
        <v>379276.95999999996</v>
      </c>
    </row>
    <row r="240" spans="1:12" ht="14.25" hidden="1" x14ac:dyDescent="0.2">
      <c r="A240" s="63"/>
      <c r="B240" s="67"/>
      <c r="C240" s="103" t="s">
        <v>454</v>
      </c>
      <c r="D240" s="103"/>
      <c r="E240" s="103"/>
      <c r="F240" s="103"/>
      <c r="G240" s="103"/>
      <c r="H240" s="103"/>
      <c r="I240" s="52"/>
      <c r="J240" s="63"/>
      <c r="K240" s="50"/>
      <c r="L240" s="52">
        <f>SUMIF(CD60:CD222, 1, BC60:BC222)</f>
        <v>0</v>
      </c>
    </row>
    <row r="241" spans="1:12" ht="14.25" x14ac:dyDescent="0.2">
      <c r="A241" s="63"/>
      <c r="B241" s="67"/>
      <c r="C241" s="103" t="s">
        <v>455</v>
      </c>
      <c r="D241" s="103"/>
      <c r="E241" s="103"/>
      <c r="F241" s="103"/>
      <c r="G241" s="103"/>
      <c r="H241" s="103"/>
      <c r="I241" s="52"/>
      <c r="J241" s="63"/>
      <c r="K241" s="50"/>
      <c r="L241" s="52">
        <f>SUMIF(CD60:CD222, 1, BB60:BB222)</f>
        <v>15074.33</v>
      </c>
    </row>
    <row r="242" spans="1:12" ht="14.25" x14ac:dyDescent="0.2">
      <c r="A242" s="63"/>
      <c r="B242" s="67"/>
      <c r="C242" s="103" t="s">
        <v>475</v>
      </c>
      <c r="D242" s="103"/>
      <c r="E242" s="103"/>
      <c r="F242" s="103"/>
      <c r="G242" s="103"/>
      <c r="H242" s="103"/>
      <c r="I242" s="52"/>
      <c r="J242" s="63"/>
      <c r="K242" s="50"/>
      <c r="L242" s="52">
        <f>SUMIF(CD60:CD222, 1, AR60:AR222)+SUMIF(CD60:CD222, 1, AT60:AT222)+SUMIF(CD60:CD222, 1, AV60:AV222)</f>
        <v>256849.75000000003</v>
      </c>
    </row>
    <row r="243" spans="1:12" ht="14.25" x14ac:dyDescent="0.2">
      <c r="A243" s="63"/>
      <c r="B243" s="67"/>
      <c r="C243" s="103" t="s">
        <v>476</v>
      </c>
      <c r="D243" s="103"/>
      <c r="E243" s="103"/>
      <c r="F243" s="103"/>
      <c r="G243" s="103"/>
      <c r="H243" s="103"/>
      <c r="I243" s="52"/>
      <c r="J243" s="63"/>
      <c r="K243" s="50"/>
      <c r="L243" s="52">
        <f>SUMIF(CD60:CD222, 1, AZ60:AZ222)</f>
        <v>229695.22</v>
      </c>
    </row>
    <row r="244" spans="1:12" ht="14.25" x14ac:dyDescent="0.2">
      <c r="A244" s="63"/>
      <c r="B244" s="67"/>
      <c r="C244" s="103" t="s">
        <v>477</v>
      </c>
      <c r="D244" s="103"/>
      <c r="E244" s="103"/>
      <c r="F244" s="103"/>
      <c r="G244" s="103"/>
      <c r="H244" s="103"/>
      <c r="I244" s="52"/>
      <c r="J244" s="63"/>
      <c r="K244" s="50"/>
      <c r="L244" s="52">
        <f>SUMIF(CD60:CD222, 1, BA60:BA222)</f>
        <v>111378.61</v>
      </c>
    </row>
    <row r="245" spans="1:12" hidden="1" x14ac:dyDescent="0.2"/>
    <row r="246" spans="1:12" ht="15" hidden="1" x14ac:dyDescent="0.2">
      <c r="A246" s="68"/>
      <c r="B246" s="69"/>
      <c r="C246" s="107" t="s">
        <v>478</v>
      </c>
      <c r="D246" s="107"/>
      <c r="E246" s="107"/>
      <c r="F246" s="107"/>
      <c r="G246" s="107"/>
      <c r="H246" s="107"/>
      <c r="I246" s="55"/>
      <c r="J246" s="68"/>
      <c r="K246" s="70"/>
      <c r="L246" s="55">
        <f>L248+L263+L264</f>
        <v>0</v>
      </c>
    </row>
    <row r="247" spans="1:12" ht="14.25" hidden="1" x14ac:dyDescent="0.2">
      <c r="A247" s="63"/>
      <c r="B247" s="67"/>
      <c r="C247" s="106" t="s">
        <v>446</v>
      </c>
      <c r="D247" s="103"/>
      <c r="E247" s="103"/>
      <c r="F247" s="103"/>
      <c r="G247" s="103"/>
      <c r="H247" s="103"/>
      <c r="I247" s="52"/>
      <c r="J247" s="63"/>
      <c r="K247" s="50"/>
      <c r="L247" s="52"/>
    </row>
    <row r="248" spans="1:12" ht="14.25" hidden="1" x14ac:dyDescent="0.2">
      <c r="A248" s="63"/>
      <c r="B248" s="67"/>
      <c r="C248" s="103" t="s">
        <v>473</v>
      </c>
      <c r="D248" s="103"/>
      <c r="E248" s="103"/>
      <c r="F248" s="103"/>
      <c r="G248" s="103"/>
      <c r="H248" s="103"/>
      <c r="I248" s="52"/>
      <c r="J248" s="63"/>
      <c r="K248" s="50"/>
      <c r="L248" s="52">
        <f>L250+L251+L257+L261</f>
        <v>0</v>
      </c>
    </row>
    <row r="249" spans="1:12" ht="14.25" hidden="1" x14ac:dyDescent="0.2">
      <c r="A249" s="63"/>
      <c r="B249" s="67"/>
      <c r="C249" s="106" t="s">
        <v>446</v>
      </c>
      <c r="D249" s="103"/>
      <c r="E249" s="103"/>
      <c r="F249" s="103"/>
      <c r="G249" s="103"/>
      <c r="H249" s="103"/>
      <c r="I249" s="52"/>
      <c r="J249" s="63"/>
      <c r="K249" s="50"/>
      <c r="L249" s="52"/>
    </row>
    <row r="250" spans="1:12" ht="14.25" hidden="1" x14ac:dyDescent="0.2">
      <c r="A250" s="63"/>
      <c r="B250" s="67"/>
      <c r="C250" s="103" t="s">
        <v>474</v>
      </c>
      <c r="D250" s="103"/>
      <c r="E250" s="103"/>
      <c r="F250" s="103"/>
      <c r="G250" s="103"/>
      <c r="H250" s="103"/>
      <c r="I250" s="52"/>
      <c r="J250" s="63"/>
      <c r="K250" s="50"/>
      <c r="L250" s="52">
        <f>SUMIF(CD60:CD244, 2, AR60:AR244)</f>
        <v>0</v>
      </c>
    </row>
    <row r="251" spans="1:12" ht="14.25" hidden="1" x14ac:dyDescent="0.2">
      <c r="A251" s="63"/>
      <c r="B251" s="67"/>
      <c r="C251" s="103" t="s">
        <v>448</v>
      </c>
      <c r="D251" s="103"/>
      <c r="E251" s="103"/>
      <c r="F251" s="103"/>
      <c r="G251" s="103"/>
      <c r="H251" s="103"/>
      <c r="I251" s="52"/>
      <c r="J251" s="63"/>
      <c r="K251" s="50"/>
      <c r="L251" s="52">
        <f>L253+L256+L255</f>
        <v>0</v>
      </c>
    </row>
    <row r="252" spans="1:12" ht="14.25" hidden="1" x14ac:dyDescent="0.2">
      <c r="A252" s="63"/>
      <c r="B252" s="67"/>
      <c r="C252" s="106" t="s">
        <v>449</v>
      </c>
      <c r="D252" s="103"/>
      <c r="E252" s="103"/>
      <c r="F252" s="103"/>
      <c r="G252" s="103"/>
      <c r="H252" s="103"/>
      <c r="I252" s="52"/>
      <c r="J252" s="63"/>
      <c r="K252" s="50"/>
      <c r="L252" s="52"/>
    </row>
    <row r="253" spans="1:12" ht="14.25" hidden="1" x14ac:dyDescent="0.2">
      <c r="A253" s="63"/>
      <c r="B253" s="67"/>
      <c r="C253" s="103" t="s">
        <v>448</v>
      </c>
      <c r="D253" s="103"/>
      <c r="E253" s="103"/>
      <c r="F253" s="103"/>
      <c r="G253" s="103"/>
      <c r="H253" s="103"/>
      <c r="I253" s="52"/>
      <c r="J253" s="63"/>
      <c r="K253" s="50"/>
      <c r="L253" s="52">
        <f>SUMIF(CD60:CD244, 2, AO60:AO244)</f>
        <v>0</v>
      </c>
    </row>
    <row r="254" spans="1:12" ht="14.25" hidden="1" x14ac:dyDescent="0.2">
      <c r="A254" s="63"/>
      <c r="B254" s="67"/>
      <c r="C254" s="106" t="s">
        <v>450</v>
      </c>
      <c r="D254" s="103"/>
      <c r="E254" s="103"/>
      <c r="F254" s="103"/>
      <c r="G254" s="103"/>
      <c r="H254" s="103"/>
      <c r="I254" s="52"/>
      <c r="J254" s="63"/>
      <c r="K254" s="50"/>
      <c r="L254" s="52"/>
    </row>
    <row r="255" spans="1:12" ht="14.25" hidden="1" x14ac:dyDescent="0.2">
      <c r="A255" s="63"/>
      <c r="B255" s="67"/>
      <c r="C255" s="103" t="s">
        <v>470</v>
      </c>
      <c r="D255" s="103"/>
      <c r="E255" s="103"/>
      <c r="F255" s="103"/>
      <c r="G255" s="103"/>
      <c r="H255" s="103"/>
      <c r="I255" s="52"/>
      <c r="J255" s="63"/>
      <c r="K255" s="50"/>
      <c r="L255" s="52">
        <f>SUMIF(CD60:CD244, 2, AT60:AT244)</f>
        <v>0</v>
      </c>
    </row>
    <row r="256" spans="1:12" ht="14.25" hidden="1" x14ac:dyDescent="0.2">
      <c r="A256" s="63"/>
      <c r="B256" s="67"/>
      <c r="C256" s="103" t="s">
        <v>451</v>
      </c>
      <c r="D256" s="103"/>
      <c r="E256" s="103"/>
      <c r="F256" s="103"/>
      <c r="G256" s="103"/>
      <c r="H256" s="103"/>
      <c r="I256" s="52"/>
      <c r="J256" s="63"/>
      <c r="K256" s="50"/>
      <c r="L256" s="52">
        <f>SUMIF(CD60:CD244, 2, AV60:AV244)</f>
        <v>0</v>
      </c>
    </row>
    <row r="257" spans="1:12" ht="14.25" hidden="1" x14ac:dyDescent="0.2">
      <c r="A257" s="63"/>
      <c r="B257" s="67"/>
      <c r="C257" s="103" t="s">
        <v>452</v>
      </c>
      <c r="D257" s="103"/>
      <c r="E257" s="103"/>
      <c r="F257" s="103"/>
      <c r="G257" s="103"/>
      <c r="H257" s="103"/>
      <c r="I257" s="52"/>
      <c r="J257" s="63"/>
      <c r="K257" s="50"/>
      <c r="L257" s="52">
        <f>L259+L260</f>
        <v>0</v>
      </c>
    </row>
    <row r="258" spans="1:12" ht="14.25" hidden="1" x14ac:dyDescent="0.2">
      <c r="A258" s="63"/>
      <c r="B258" s="67"/>
      <c r="C258" s="106" t="s">
        <v>449</v>
      </c>
      <c r="D258" s="103"/>
      <c r="E258" s="103"/>
      <c r="F258" s="103"/>
      <c r="G258" s="103"/>
      <c r="H258" s="103"/>
      <c r="I258" s="52"/>
      <c r="J258" s="63"/>
      <c r="K258" s="50"/>
      <c r="L258" s="52"/>
    </row>
    <row r="259" spans="1:12" ht="14.25" hidden="1" x14ac:dyDescent="0.2">
      <c r="A259" s="63"/>
      <c r="B259" s="67"/>
      <c r="C259" s="103" t="s">
        <v>453</v>
      </c>
      <c r="D259" s="103"/>
      <c r="E259" s="103"/>
      <c r="F259" s="103"/>
      <c r="G259" s="103"/>
      <c r="H259" s="103"/>
      <c r="I259" s="52"/>
      <c r="J259" s="63"/>
      <c r="K259" s="50"/>
      <c r="L259" s="52">
        <f>SUMIF(CD60:CD244, 2, AW60:AW244)-SUMIF(CD60:CD244, 2, BK60:BK244)</f>
        <v>0</v>
      </c>
    </row>
    <row r="260" spans="1:12" ht="14.25" hidden="1" x14ac:dyDescent="0.2">
      <c r="A260" s="63"/>
      <c r="B260" s="67"/>
      <c r="C260" s="103" t="s">
        <v>454</v>
      </c>
      <c r="D260" s="103"/>
      <c r="E260" s="103"/>
      <c r="F260" s="103"/>
      <c r="G260" s="103"/>
      <c r="H260" s="103"/>
      <c r="I260" s="52"/>
      <c r="J260" s="63"/>
      <c r="K260" s="50"/>
      <c r="L260" s="52">
        <f>SUMIF(CD60:CD244, 2, BC60:BC244)</f>
        <v>0</v>
      </c>
    </row>
    <row r="261" spans="1:12" ht="14.25" hidden="1" x14ac:dyDescent="0.2">
      <c r="A261" s="63"/>
      <c r="B261" s="67"/>
      <c r="C261" s="103" t="s">
        <v>455</v>
      </c>
      <c r="D261" s="103"/>
      <c r="E261" s="103"/>
      <c r="F261" s="103"/>
      <c r="G261" s="103"/>
      <c r="H261" s="103"/>
      <c r="I261" s="52"/>
      <c r="J261" s="63"/>
      <c r="K261" s="50"/>
      <c r="L261" s="52">
        <f>SUMIF(CD60:CD244, 2, BB60:BB244)</f>
        <v>0</v>
      </c>
    </row>
    <row r="262" spans="1:12" ht="14.25" hidden="1" x14ac:dyDescent="0.2">
      <c r="A262" s="63"/>
      <c r="B262" s="67"/>
      <c r="C262" s="103" t="s">
        <v>475</v>
      </c>
      <c r="D262" s="103"/>
      <c r="E262" s="103"/>
      <c r="F262" s="103"/>
      <c r="G262" s="103"/>
      <c r="H262" s="103"/>
      <c r="I262" s="52"/>
      <c r="J262" s="63"/>
      <c r="K262" s="50"/>
      <c r="L262" s="52">
        <f>SUMIF(CD60:CD244, 2, AR60:AR244)+SUMIF(CD60:CD244, 2, AT60:AT244)+SUMIF(CD60:CD244, 2, AV60:AV244)</f>
        <v>0</v>
      </c>
    </row>
    <row r="263" spans="1:12" ht="14.25" hidden="1" x14ac:dyDescent="0.2">
      <c r="A263" s="63"/>
      <c r="B263" s="67"/>
      <c r="C263" s="103" t="s">
        <v>476</v>
      </c>
      <c r="D263" s="103"/>
      <c r="E263" s="103"/>
      <c r="F263" s="103"/>
      <c r="G263" s="103"/>
      <c r="H263" s="103"/>
      <c r="I263" s="52"/>
      <c r="J263" s="63"/>
      <c r="K263" s="50"/>
      <c r="L263" s="52">
        <f>SUMIF(CD60:CD244, 2, AZ60:AZ244)</f>
        <v>0</v>
      </c>
    </row>
    <row r="264" spans="1:12" ht="14.25" hidden="1" x14ac:dyDescent="0.2">
      <c r="A264" s="63"/>
      <c r="B264" s="67"/>
      <c r="C264" s="103" t="s">
        <v>477</v>
      </c>
      <c r="D264" s="103"/>
      <c r="E264" s="103"/>
      <c r="F264" s="103"/>
      <c r="G264" s="103"/>
      <c r="H264" s="103"/>
      <c r="I264" s="52"/>
      <c r="J264" s="63"/>
      <c r="K264" s="50"/>
      <c r="L264" s="52">
        <f>SUMIF(CD60:CD244, 2, BA60:BA244)</f>
        <v>0</v>
      </c>
    </row>
    <row r="265" spans="1:12" hidden="1" x14ac:dyDescent="0.2"/>
    <row r="266" spans="1:12" ht="15" hidden="1" x14ac:dyDescent="0.2">
      <c r="A266" s="68"/>
      <c r="B266" s="69"/>
      <c r="C266" s="107" t="s">
        <v>479</v>
      </c>
      <c r="D266" s="107"/>
      <c r="E266" s="107"/>
      <c r="F266" s="107"/>
      <c r="G266" s="107"/>
      <c r="H266" s="107"/>
      <c r="I266" s="55"/>
      <c r="J266" s="68"/>
      <c r="K266" s="70"/>
      <c r="L266" s="55">
        <f>L268+L269</f>
        <v>0</v>
      </c>
    </row>
    <row r="267" spans="1:12" ht="14.25" hidden="1" x14ac:dyDescent="0.2">
      <c r="A267" s="63"/>
      <c r="B267" s="67"/>
      <c r="C267" s="106" t="s">
        <v>446</v>
      </c>
      <c r="D267" s="103"/>
      <c r="E267" s="103"/>
      <c r="F267" s="103"/>
      <c r="G267" s="103"/>
      <c r="H267" s="103"/>
      <c r="I267" s="52"/>
      <c r="J267" s="63"/>
      <c r="K267" s="50"/>
      <c r="L267" s="52"/>
    </row>
    <row r="268" spans="1:12" ht="14.25" hidden="1" x14ac:dyDescent="0.2">
      <c r="A268" s="63"/>
      <c r="B268" s="67"/>
      <c r="C268" s="103" t="s">
        <v>460</v>
      </c>
      <c r="D268" s="103"/>
      <c r="E268" s="103"/>
      <c r="F268" s="103"/>
      <c r="G268" s="103"/>
      <c r="H268" s="103"/>
      <c r="I268" s="52"/>
      <c r="J268" s="63"/>
      <c r="K268" s="50"/>
      <c r="L268" s="52">
        <f>SUMIF(CD60:CD264, 3, BK60:BK264)</f>
        <v>0</v>
      </c>
    </row>
    <row r="269" spans="1:12" ht="14.25" hidden="1" x14ac:dyDescent="0.2">
      <c r="A269" s="63"/>
      <c r="B269" s="67"/>
      <c r="C269" s="103" t="s">
        <v>461</v>
      </c>
      <c r="D269" s="103"/>
      <c r="E269" s="103"/>
      <c r="F269" s="103"/>
      <c r="G269" s="103"/>
      <c r="H269" s="103"/>
      <c r="I269" s="52"/>
      <c r="J269" s="63"/>
      <c r="K269" s="50"/>
      <c r="L269" s="52">
        <f>SUMIF(CD60:CD264, 3, BD60:BD264)</f>
        <v>0</v>
      </c>
    </row>
    <row r="270" spans="1:12" hidden="1" x14ac:dyDescent="0.2"/>
    <row r="271" spans="1:12" ht="15" hidden="1" x14ac:dyDescent="0.2">
      <c r="A271" s="68"/>
      <c r="B271" s="69"/>
      <c r="C271" s="107" t="s">
        <v>480</v>
      </c>
      <c r="D271" s="107"/>
      <c r="E271" s="107"/>
      <c r="F271" s="107"/>
      <c r="G271" s="107"/>
      <c r="H271" s="107"/>
      <c r="I271" s="55"/>
      <c r="J271" s="68"/>
      <c r="K271" s="70"/>
      <c r="L271" s="55">
        <f>L279+L294+L295+L273+L274+L275+L276</f>
        <v>0</v>
      </c>
    </row>
    <row r="272" spans="1:12" ht="14.25" hidden="1" x14ac:dyDescent="0.2">
      <c r="A272" s="63"/>
      <c r="B272" s="67"/>
      <c r="C272" s="106" t="s">
        <v>446</v>
      </c>
      <c r="D272" s="103"/>
      <c r="E272" s="103"/>
      <c r="F272" s="103"/>
      <c r="G272" s="103"/>
      <c r="H272" s="103"/>
      <c r="I272" s="52"/>
      <c r="J272" s="63"/>
      <c r="K272" s="50"/>
      <c r="L272" s="52"/>
    </row>
    <row r="273" spans="1:12" ht="14.25" hidden="1" x14ac:dyDescent="0.2">
      <c r="A273" s="63"/>
      <c r="B273" s="67"/>
      <c r="C273" s="103" t="s">
        <v>481</v>
      </c>
      <c r="D273" s="103"/>
      <c r="E273" s="103"/>
      <c r="F273" s="103"/>
      <c r="G273" s="103"/>
      <c r="H273" s="103"/>
      <c r="I273" s="52"/>
      <c r="J273" s="63"/>
      <c r="K273" s="50"/>
      <c r="L273" s="52"/>
    </row>
    <row r="274" spans="1:12" ht="14.25" hidden="1" x14ac:dyDescent="0.2">
      <c r="A274" s="63"/>
      <c r="B274" s="67"/>
      <c r="C274" s="103" t="s">
        <v>481</v>
      </c>
      <c r="D274" s="103"/>
      <c r="E274" s="103"/>
      <c r="F274" s="103"/>
      <c r="G274" s="103"/>
      <c r="H274" s="103"/>
      <c r="I274" s="52"/>
      <c r="J274" s="63"/>
      <c r="K274" s="50"/>
      <c r="L274" s="52">
        <f>SUM(BQ60:BQ269)</f>
        <v>0</v>
      </c>
    </row>
    <row r="275" spans="1:12" ht="14.25" hidden="1" x14ac:dyDescent="0.2">
      <c r="A275" s="63"/>
      <c r="B275" s="67"/>
      <c r="C275" s="103" t="s">
        <v>482</v>
      </c>
      <c r="D275" s="103"/>
      <c r="E275" s="103"/>
      <c r="F275" s="103"/>
      <c r="G275" s="103"/>
      <c r="H275" s="103"/>
      <c r="I275" s="52"/>
      <c r="J275" s="63"/>
      <c r="K275" s="50"/>
      <c r="L275" s="52">
        <f>SUMIF(CD60:CD269, 4, BB60:BB269)+SUMIF(CD60:CD269, 4, BC60:BC269)+SUMIF(CD60:CD269, 4, BD60:BD269)</f>
        <v>0</v>
      </c>
    </row>
    <row r="276" spans="1:12" ht="14.25" hidden="1" x14ac:dyDescent="0.2">
      <c r="A276" s="63"/>
      <c r="B276" s="67"/>
      <c r="C276" s="103" t="s">
        <v>483</v>
      </c>
      <c r="D276" s="103"/>
      <c r="E276" s="103"/>
      <c r="F276" s="103"/>
      <c r="G276" s="103"/>
      <c r="H276" s="103"/>
      <c r="I276" s="52"/>
      <c r="J276" s="63"/>
      <c r="K276" s="50"/>
      <c r="L276" s="52">
        <f>SUM(BO60:BO269)</f>
        <v>0</v>
      </c>
    </row>
    <row r="277" spans="1:12" ht="14.25" hidden="1" x14ac:dyDescent="0.2">
      <c r="A277" s="63"/>
      <c r="B277" s="67"/>
      <c r="C277" s="103" t="s">
        <v>484</v>
      </c>
      <c r="D277" s="103"/>
      <c r="E277" s="103"/>
      <c r="F277" s="103"/>
      <c r="G277" s="103"/>
      <c r="H277" s="103"/>
      <c r="I277" s="52"/>
      <c r="J277" s="63"/>
      <c r="K277" s="50"/>
      <c r="L277" s="52">
        <f>L279+L294+L295</f>
        <v>0</v>
      </c>
    </row>
    <row r="278" spans="1:12" ht="14.25" hidden="1" x14ac:dyDescent="0.2">
      <c r="A278" s="63"/>
      <c r="B278" s="67"/>
      <c r="C278" s="106" t="s">
        <v>446</v>
      </c>
      <c r="D278" s="103"/>
      <c r="E278" s="103"/>
      <c r="F278" s="103"/>
      <c r="G278" s="103"/>
      <c r="H278" s="103"/>
      <c r="I278" s="52"/>
      <c r="J278" s="63"/>
      <c r="K278" s="50"/>
      <c r="L278" s="52"/>
    </row>
    <row r="279" spans="1:12" ht="14.25" hidden="1" x14ac:dyDescent="0.2">
      <c r="A279" s="63"/>
      <c r="B279" s="67"/>
      <c r="C279" s="103" t="s">
        <v>473</v>
      </c>
      <c r="D279" s="103"/>
      <c r="E279" s="103"/>
      <c r="F279" s="103"/>
      <c r="G279" s="103"/>
      <c r="H279" s="103"/>
      <c r="I279" s="52"/>
      <c r="J279" s="63"/>
      <c r="K279" s="50"/>
      <c r="L279" s="52">
        <f>L281+L282+L288+L292</f>
        <v>0</v>
      </c>
    </row>
    <row r="280" spans="1:12" ht="14.25" hidden="1" x14ac:dyDescent="0.2">
      <c r="A280" s="63"/>
      <c r="B280" s="67"/>
      <c r="C280" s="106" t="s">
        <v>446</v>
      </c>
      <c r="D280" s="103"/>
      <c r="E280" s="103"/>
      <c r="F280" s="103"/>
      <c r="G280" s="103"/>
      <c r="H280" s="103"/>
      <c r="I280" s="52"/>
      <c r="J280" s="63"/>
      <c r="K280" s="50"/>
      <c r="L280" s="52"/>
    </row>
    <row r="281" spans="1:12" ht="14.25" hidden="1" x14ac:dyDescent="0.2">
      <c r="A281" s="63"/>
      <c r="B281" s="67"/>
      <c r="C281" s="103" t="s">
        <v>474</v>
      </c>
      <c r="D281" s="103"/>
      <c r="E281" s="103"/>
      <c r="F281" s="103"/>
      <c r="G281" s="103"/>
      <c r="H281" s="103"/>
      <c r="I281" s="52"/>
      <c r="J281" s="63"/>
      <c r="K281" s="50"/>
      <c r="L281" s="52">
        <f>SUMIF(CD60:CD269, 4, AR60:AR269)</f>
        <v>0</v>
      </c>
    </row>
    <row r="282" spans="1:12" ht="14.25" hidden="1" x14ac:dyDescent="0.2">
      <c r="A282" s="63"/>
      <c r="B282" s="67"/>
      <c r="C282" s="103" t="s">
        <v>448</v>
      </c>
      <c r="D282" s="103"/>
      <c r="E282" s="103"/>
      <c r="F282" s="103"/>
      <c r="G282" s="103"/>
      <c r="H282" s="103"/>
      <c r="I282" s="52"/>
      <c r="J282" s="63"/>
      <c r="K282" s="50"/>
      <c r="L282" s="52">
        <f>L284+L287+L286</f>
        <v>0</v>
      </c>
    </row>
    <row r="283" spans="1:12" ht="14.25" hidden="1" x14ac:dyDescent="0.2">
      <c r="A283" s="63"/>
      <c r="B283" s="67"/>
      <c r="C283" s="106" t="s">
        <v>449</v>
      </c>
      <c r="D283" s="103"/>
      <c r="E283" s="103"/>
      <c r="F283" s="103"/>
      <c r="G283" s="103"/>
      <c r="H283" s="103"/>
      <c r="I283" s="52"/>
      <c r="J283" s="63"/>
      <c r="K283" s="50"/>
      <c r="L283" s="52"/>
    </row>
    <row r="284" spans="1:12" ht="14.25" hidden="1" x14ac:dyDescent="0.2">
      <c r="A284" s="63"/>
      <c r="B284" s="67"/>
      <c r="C284" s="103" t="s">
        <v>448</v>
      </c>
      <c r="D284" s="103"/>
      <c r="E284" s="103"/>
      <c r="F284" s="103"/>
      <c r="G284" s="103"/>
      <c r="H284" s="103"/>
      <c r="I284" s="52"/>
      <c r="J284" s="63"/>
      <c r="K284" s="50"/>
      <c r="L284" s="52">
        <f>SUMIF(CD60:CD269, 4, AO60:AO269)</f>
        <v>0</v>
      </c>
    </row>
    <row r="285" spans="1:12" ht="14.25" hidden="1" x14ac:dyDescent="0.2">
      <c r="A285" s="63"/>
      <c r="B285" s="67"/>
      <c r="C285" s="106" t="s">
        <v>450</v>
      </c>
      <c r="D285" s="103"/>
      <c r="E285" s="103"/>
      <c r="F285" s="103"/>
      <c r="G285" s="103"/>
      <c r="H285" s="103"/>
      <c r="I285" s="52"/>
      <c r="J285" s="63"/>
      <c r="K285" s="50"/>
      <c r="L285" s="52"/>
    </row>
    <row r="286" spans="1:12" ht="14.25" hidden="1" x14ac:dyDescent="0.2">
      <c r="A286" s="63"/>
      <c r="B286" s="67"/>
      <c r="C286" s="103" t="s">
        <v>470</v>
      </c>
      <c r="D286" s="103"/>
      <c r="E286" s="103"/>
      <c r="F286" s="103"/>
      <c r="G286" s="103"/>
      <c r="H286" s="103"/>
      <c r="I286" s="52"/>
      <c r="J286" s="63"/>
      <c r="K286" s="50"/>
      <c r="L286" s="52">
        <f>SUMIF(CD60:CD269, 4, AT60:AT269)</f>
        <v>0</v>
      </c>
    </row>
    <row r="287" spans="1:12" ht="14.25" hidden="1" x14ac:dyDescent="0.2">
      <c r="A287" s="63"/>
      <c r="B287" s="67"/>
      <c r="C287" s="103" t="s">
        <v>451</v>
      </c>
      <c r="D287" s="103"/>
      <c r="E287" s="103"/>
      <c r="F287" s="103"/>
      <c r="G287" s="103"/>
      <c r="H287" s="103"/>
      <c r="I287" s="52"/>
      <c r="J287" s="63"/>
      <c r="K287" s="50"/>
      <c r="L287" s="52">
        <f>SUMIF(CD60:CD269, 4, AV60:AV269)</f>
        <v>0</v>
      </c>
    </row>
    <row r="288" spans="1:12" ht="14.25" hidden="1" x14ac:dyDescent="0.2">
      <c r="A288" s="63"/>
      <c r="B288" s="67"/>
      <c r="C288" s="103" t="s">
        <v>452</v>
      </c>
      <c r="D288" s="103"/>
      <c r="E288" s="103"/>
      <c r="F288" s="103"/>
      <c r="G288" s="103"/>
      <c r="H288" s="103"/>
      <c r="I288" s="52"/>
      <c r="J288" s="63"/>
      <c r="K288" s="50"/>
      <c r="L288" s="52">
        <f>L290+L291</f>
        <v>0</v>
      </c>
    </row>
    <row r="289" spans="1:12" ht="14.25" hidden="1" x14ac:dyDescent="0.2">
      <c r="A289" s="63"/>
      <c r="B289" s="67"/>
      <c r="C289" s="106" t="s">
        <v>449</v>
      </c>
      <c r="D289" s="103"/>
      <c r="E289" s="103"/>
      <c r="F289" s="103"/>
      <c r="G289" s="103"/>
      <c r="H289" s="103"/>
      <c r="I289" s="52"/>
      <c r="J289" s="63"/>
      <c r="K289" s="50"/>
      <c r="L289" s="52"/>
    </row>
    <row r="290" spans="1:12" ht="14.25" hidden="1" x14ac:dyDescent="0.2">
      <c r="A290" s="63"/>
      <c r="B290" s="67"/>
      <c r="C290" s="103" t="s">
        <v>453</v>
      </c>
      <c r="D290" s="103"/>
      <c r="E290" s="103"/>
      <c r="F290" s="103"/>
      <c r="G290" s="103"/>
      <c r="H290" s="103"/>
      <c r="I290" s="52"/>
      <c r="J290" s="63"/>
      <c r="K290" s="50"/>
      <c r="L290" s="52">
        <f>SUMIF(CD60:CD269, 4, AW60:AW269)-SUMIF(CD60:CD269, 4, BK60:BK269)</f>
        <v>0</v>
      </c>
    </row>
    <row r="291" spans="1:12" ht="14.25" hidden="1" x14ac:dyDescent="0.2">
      <c r="A291" s="63"/>
      <c r="B291" s="67"/>
      <c r="C291" s="103" t="s">
        <v>454</v>
      </c>
      <c r="D291" s="103"/>
      <c r="E291" s="103"/>
      <c r="F291" s="103"/>
      <c r="G291" s="103"/>
      <c r="H291" s="103"/>
      <c r="I291" s="52"/>
      <c r="J291" s="63"/>
      <c r="K291" s="50"/>
      <c r="L291" s="52">
        <f>SUMIF(CD60:CD269, 4, BC60:BC269)</f>
        <v>0</v>
      </c>
    </row>
    <row r="292" spans="1:12" ht="14.25" hidden="1" x14ac:dyDescent="0.2">
      <c r="A292" s="63"/>
      <c r="B292" s="67"/>
      <c r="C292" s="103" t="s">
        <v>455</v>
      </c>
      <c r="D292" s="103"/>
      <c r="E292" s="103"/>
      <c r="F292" s="103"/>
      <c r="G292" s="103"/>
      <c r="H292" s="103"/>
      <c r="I292" s="52"/>
      <c r="J292" s="63"/>
      <c r="K292" s="50"/>
      <c r="L292" s="52">
        <f>SUMIF(CD60:CD269, 4, BB60:BB269)</f>
        <v>0</v>
      </c>
    </row>
    <row r="293" spans="1:12" ht="14.25" hidden="1" x14ac:dyDescent="0.2">
      <c r="A293" s="63"/>
      <c r="B293" s="67"/>
      <c r="C293" s="103" t="s">
        <v>475</v>
      </c>
      <c r="D293" s="103"/>
      <c r="E293" s="103"/>
      <c r="F293" s="103"/>
      <c r="G293" s="103"/>
      <c r="H293" s="103"/>
      <c r="I293" s="52"/>
      <c r="J293" s="63"/>
      <c r="K293" s="50"/>
      <c r="L293" s="52">
        <f>SUMIF(CD60:CD269, 4, AR60:AR269)+SUMIF(CD60:CD269, 4, AT60:AT269)+SUMIF(CD60:CD269, 4, AV60:AV269)</f>
        <v>0</v>
      </c>
    </row>
    <row r="294" spans="1:12" ht="14.25" hidden="1" x14ac:dyDescent="0.2">
      <c r="A294" s="63"/>
      <c r="B294" s="67"/>
      <c r="C294" s="103" t="s">
        <v>476</v>
      </c>
      <c r="D294" s="103"/>
      <c r="E294" s="103"/>
      <c r="F294" s="103"/>
      <c r="G294" s="103"/>
      <c r="H294" s="103"/>
      <c r="I294" s="52"/>
      <c r="J294" s="63"/>
      <c r="K294" s="50"/>
      <c r="L294" s="52">
        <f>SUMIF(CD60:CD269, 4, AZ60:AZ269)</f>
        <v>0</v>
      </c>
    </row>
    <row r="295" spans="1:12" ht="14.25" hidden="1" x14ac:dyDescent="0.2">
      <c r="A295" s="63"/>
      <c r="B295" s="67"/>
      <c r="C295" s="103" t="s">
        <v>477</v>
      </c>
      <c r="D295" s="103"/>
      <c r="E295" s="103"/>
      <c r="F295" s="103"/>
      <c r="G295" s="103"/>
      <c r="H295" s="103"/>
      <c r="I295" s="52"/>
      <c r="J295" s="63"/>
      <c r="K295" s="50"/>
      <c r="L295" s="52">
        <f>SUMIF(CD60:CD269, 4, BA60:BA269)</f>
        <v>0</v>
      </c>
    </row>
    <row r="297" spans="1:12" ht="15" x14ac:dyDescent="0.2">
      <c r="A297" s="68"/>
      <c r="B297" s="69"/>
      <c r="C297" s="107" t="s">
        <v>485</v>
      </c>
      <c r="D297" s="107"/>
      <c r="E297" s="107"/>
      <c r="F297" s="107"/>
      <c r="G297" s="107"/>
      <c r="H297" s="107"/>
      <c r="I297" s="55"/>
      <c r="J297" s="68"/>
      <c r="K297" s="70"/>
      <c r="L297" s="55">
        <f>L226+L246+L266+L271</f>
        <v>994779.44</v>
      </c>
    </row>
    <row r="298" spans="1:12" ht="14.25" x14ac:dyDescent="0.2">
      <c r="A298" s="63"/>
      <c r="B298" s="67"/>
      <c r="C298" s="106" t="s">
        <v>446</v>
      </c>
      <c r="D298" s="103"/>
      <c r="E298" s="103"/>
      <c r="F298" s="103"/>
      <c r="G298" s="103"/>
      <c r="H298" s="103"/>
      <c r="I298" s="52"/>
      <c r="J298" s="63"/>
      <c r="K298" s="50"/>
      <c r="L298" s="52"/>
    </row>
    <row r="299" spans="1:12" ht="14.25" x14ac:dyDescent="0.2">
      <c r="A299" s="63"/>
      <c r="B299" s="67"/>
      <c r="C299" s="103" t="s">
        <v>473</v>
      </c>
      <c r="D299" s="103"/>
      <c r="E299" s="103"/>
      <c r="F299" s="103"/>
      <c r="G299" s="103"/>
      <c r="H299" s="103"/>
      <c r="I299" s="52"/>
      <c r="J299" s="63"/>
      <c r="K299" s="50"/>
      <c r="L299" s="52">
        <f>L301+L302+L308+L312</f>
        <v>653705.61</v>
      </c>
    </row>
    <row r="300" spans="1:12" ht="14.25" x14ac:dyDescent="0.2">
      <c r="A300" s="63"/>
      <c r="B300" s="67"/>
      <c r="C300" s="106" t="s">
        <v>446</v>
      </c>
      <c r="D300" s="103"/>
      <c r="E300" s="103"/>
      <c r="F300" s="103"/>
      <c r="G300" s="103"/>
      <c r="H300" s="103"/>
      <c r="I300" s="52"/>
      <c r="J300" s="63"/>
      <c r="K300" s="50"/>
      <c r="L300" s="52"/>
    </row>
    <row r="301" spans="1:12" ht="14.25" x14ac:dyDescent="0.2">
      <c r="A301" s="63"/>
      <c r="B301" s="67"/>
      <c r="C301" s="103" t="s">
        <v>474</v>
      </c>
      <c r="D301" s="103"/>
      <c r="E301" s="103"/>
      <c r="F301" s="103"/>
      <c r="G301" s="103"/>
      <c r="H301" s="103"/>
      <c r="I301" s="52"/>
      <c r="J301" s="63"/>
      <c r="K301" s="50"/>
      <c r="L301" s="52">
        <f>SUM(AR60:AR295)</f>
        <v>253953.08000000002</v>
      </c>
    </row>
    <row r="302" spans="1:12" ht="14.25" hidden="1" x14ac:dyDescent="0.2">
      <c r="A302" s="63"/>
      <c r="B302" s="67"/>
      <c r="C302" s="103" t="s">
        <v>448</v>
      </c>
      <c r="D302" s="103"/>
      <c r="E302" s="103"/>
      <c r="F302" s="103"/>
      <c r="G302" s="103"/>
      <c r="H302" s="103"/>
      <c r="I302" s="52"/>
      <c r="J302" s="63"/>
      <c r="K302" s="50"/>
      <c r="L302" s="52">
        <f>L304+L307+L306</f>
        <v>5401.2400000000007</v>
      </c>
    </row>
    <row r="303" spans="1:12" ht="14.25" hidden="1" x14ac:dyDescent="0.2">
      <c r="A303" s="63"/>
      <c r="B303" s="67"/>
      <c r="C303" s="106" t="s">
        <v>449</v>
      </c>
      <c r="D303" s="103"/>
      <c r="E303" s="103"/>
      <c r="F303" s="103"/>
      <c r="G303" s="103"/>
      <c r="H303" s="103"/>
      <c r="I303" s="52"/>
      <c r="J303" s="63"/>
      <c r="K303" s="50"/>
      <c r="L303" s="52"/>
    </row>
    <row r="304" spans="1:12" ht="14.25" x14ac:dyDescent="0.2">
      <c r="A304" s="63"/>
      <c r="B304" s="67"/>
      <c r="C304" s="103" t="s">
        <v>448</v>
      </c>
      <c r="D304" s="103"/>
      <c r="E304" s="103"/>
      <c r="F304" s="103"/>
      <c r="G304" s="103"/>
      <c r="H304" s="103"/>
      <c r="I304" s="52"/>
      <c r="J304" s="63"/>
      <c r="K304" s="50"/>
      <c r="L304" s="52">
        <f>SUM(AO60:AO295)</f>
        <v>2504.5700000000002</v>
      </c>
    </row>
    <row r="305" spans="1:12" ht="14.25" hidden="1" x14ac:dyDescent="0.2">
      <c r="A305" s="63"/>
      <c r="B305" s="67"/>
      <c r="C305" s="106" t="s">
        <v>450</v>
      </c>
      <c r="D305" s="103"/>
      <c r="E305" s="103"/>
      <c r="F305" s="103"/>
      <c r="G305" s="103"/>
      <c r="H305" s="103"/>
      <c r="I305" s="52"/>
      <c r="J305" s="63"/>
      <c r="K305" s="50"/>
      <c r="L305" s="52"/>
    </row>
    <row r="306" spans="1:12" ht="14.25" x14ac:dyDescent="0.2">
      <c r="A306" s="63"/>
      <c r="B306" s="67"/>
      <c r="C306" s="103" t="s">
        <v>470</v>
      </c>
      <c r="D306" s="103"/>
      <c r="E306" s="103"/>
      <c r="F306" s="103"/>
      <c r="G306" s="103"/>
      <c r="H306" s="103"/>
      <c r="I306" s="52"/>
      <c r="J306" s="63"/>
      <c r="K306" s="50"/>
      <c r="L306" s="52">
        <f>SUM(AT60:AT295)</f>
        <v>2896.6700000000005</v>
      </c>
    </row>
    <row r="307" spans="1:12" ht="14.25" hidden="1" x14ac:dyDescent="0.2">
      <c r="A307" s="63"/>
      <c r="B307" s="67"/>
      <c r="C307" s="103" t="s">
        <v>451</v>
      </c>
      <c r="D307" s="103"/>
      <c r="E307" s="103"/>
      <c r="F307" s="103"/>
      <c r="G307" s="103"/>
      <c r="H307" s="103"/>
      <c r="I307" s="52"/>
      <c r="J307" s="63"/>
      <c r="K307" s="50"/>
      <c r="L307" s="52">
        <f>SUM(AV60:AV295)</f>
        <v>0</v>
      </c>
    </row>
    <row r="308" spans="1:12" ht="14.25" x14ac:dyDescent="0.2">
      <c r="A308" s="63"/>
      <c r="B308" s="67"/>
      <c r="C308" s="103" t="s">
        <v>452</v>
      </c>
      <c r="D308" s="103"/>
      <c r="E308" s="103"/>
      <c r="F308" s="103"/>
      <c r="G308" s="103"/>
      <c r="H308" s="103"/>
      <c r="I308" s="52"/>
      <c r="J308" s="63"/>
      <c r="K308" s="50"/>
      <c r="L308" s="52">
        <f>L310+L311</f>
        <v>379276.95999999996</v>
      </c>
    </row>
    <row r="309" spans="1:12" ht="14.25" x14ac:dyDescent="0.2">
      <c r="A309" s="63"/>
      <c r="B309" s="67"/>
      <c r="C309" s="106" t="s">
        <v>449</v>
      </c>
      <c r="D309" s="103"/>
      <c r="E309" s="103"/>
      <c r="F309" s="103"/>
      <c r="G309" s="103"/>
      <c r="H309" s="103"/>
      <c r="I309" s="52"/>
      <c r="J309" s="63"/>
      <c r="K309" s="50"/>
      <c r="L309" s="52"/>
    </row>
    <row r="310" spans="1:12" ht="14.25" x14ac:dyDescent="0.2">
      <c r="A310" s="63"/>
      <c r="B310" s="67"/>
      <c r="C310" s="103" t="s">
        <v>453</v>
      </c>
      <c r="D310" s="103"/>
      <c r="E310" s="103"/>
      <c r="F310" s="103"/>
      <c r="G310" s="103"/>
      <c r="H310" s="103"/>
      <c r="I310" s="52"/>
      <c r="J310" s="63"/>
      <c r="K310" s="50"/>
      <c r="L310" s="52">
        <f>SUM(AW60:AW295)-SUM(BK60:BK295)</f>
        <v>379276.95999999996</v>
      </c>
    </row>
    <row r="311" spans="1:12" ht="14.25" hidden="1" x14ac:dyDescent="0.2">
      <c r="A311" s="63"/>
      <c r="B311" s="67"/>
      <c r="C311" s="103" t="s">
        <v>454</v>
      </c>
      <c r="D311" s="103"/>
      <c r="E311" s="103"/>
      <c r="F311" s="103"/>
      <c r="G311" s="103"/>
      <c r="H311" s="103"/>
      <c r="I311" s="52"/>
      <c r="J311" s="63"/>
      <c r="K311" s="50"/>
      <c r="L311" s="52">
        <f>SUM(BC60:BC295)</f>
        <v>0</v>
      </c>
    </row>
    <row r="312" spans="1:12" ht="14.25" x14ac:dyDescent="0.2">
      <c r="A312" s="63"/>
      <c r="B312" s="67"/>
      <c r="C312" s="103" t="s">
        <v>455</v>
      </c>
      <c r="D312" s="103"/>
      <c r="E312" s="103"/>
      <c r="F312" s="103"/>
      <c r="G312" s="103"/>
      <c r="H312" s="103"/>
      <c r="I312" s="52"/>
      <c r="J312" s="63"/>
      <c r="K312" s="50"/>
      <c r="L312" s="52">
        <f>SUM(BB60:BB295)</f>
        <v>15074.33</v>
      </c>
    </row>
    <row r="313" spans="1:12" ht="14.25" x14ac:dyDescent="0.2">
      <c r="A313" s="63"/>
      <c r="B313" s="67"/>
      <c r="C313" s="103" t="s">
        <v>456</v>
      </c>
      <c r="D313" s="103"/>
      <c r="E313" s="103"/>
      <c r="F313" s="103"/>
      <c r="G313" s="103"/>
      <c r="H313" s="103"/>
      <c r="I313" s="52"/>
      <c r="J313" s="63"/>
      <c r="K313" s="50"/>
      <c r="L313" s="52">
        <f>SUM(AR60:AR295)+SUM(AT60:AT295)+SUM(AV60:AV295)</f>
        <v>256849.75000000003</v>
      </c>
    </row>
    <row r="314" spans="1:12" ht="14.25" x14ac:dyDescent="0.2">
      <c r="A314" s="63"/>
      <c r="B314" s="67"/>
      <c r="C314" s="103" t="s">
        <v>457</v>
      </c>
      <c r="D314" s="103"/>
      <c r="E314" s="103"/>
      <c r="F314" s="103"/>
      <c r="G314" s="103"/>
      <c r="H314" s="103"/>
      <c r="I314" s="52"/>
      <c r="J314" s="63"/>
      <c r="K314" s="50"/>
      <c r="L314" s="52">
        <f>SUM(AZ60:AZ295)</f>
        <v>229695.22</v>
      </c>
    </row>
    <row r="315" spans="1:12" ht="14.25" x14ac:dyDescent="0.2">
      <c r="A315" s="63"/>
      <c r="B315" s="67"/>
      <c r="C315" s="103" t="s">
        <v>458</v>
      </c>
      <c r="D315" s="103"/>
      <c r="E315" s="103"/>
      <c r="F315" s="103"/>
      <c r="G315" s="103"/>
      <c r="H315" s="103"/>
      <c r="I315" s="52"/>
      <c r="J315" s="63"/>
      <c r="K315" s="50"/>
      <c r="L315" s="52">
        <f>SUM(BA60:BA295)</f>
        <v>111378.61</v>
      </c>
    </row>
    <row r="316" spans="1:12" ht="14.25" hidden="1" x14ac:dyDescent="0.2">
      <c r="A316" s="63"/>
      <c r="B316" s="67"/>
      <c r="C316" s="103" t="s">
        <v>486</v>
      </c>
      <c r="D316" s="103"/>
      <c r="E316" s="103"/>
      <c r="F316" s="103"/>
      <c r="G316" s="103"/>
      <c r="H316" s="103"/>
      <c r="I316" s="52"/>
      <c r="J316" s="63"/>
      <c r="K316" s="50"/>
      <c r="L316" s="52">
        <f>L318+L319</f>
        <v>0</v>
      </c>
    </row>
    <row r="317" spans="1:12" ht="14.25" hidden="1" x14ac:dyDescent="0.2">
      <c r="A317" s="63"/>
      <c r="B317" s="67"/>
      <c r="C317" s="106" t="s">
        <v>446</v>
      </c>
      <c r="D317" s="103"/>
      <c r="E317" s="103"/>
      <c r="F317" s="103"/>
      <c r="G317" s="103"/>
      <c r="H317" s="103"/>
      <c r="I317" s="52"/>
      <c r="J317" s="63"/>
      <c r="K317" s="50"/>
      <c r="L317" s="52"/>
    </row>
    <row r="318" spans="1:12" ht="14.25" hidden="1" x14ac:dyDescent="0.2">
      <c r="A318" s="63"/>
      <c r="B318" s="67"/>
      <c r="C318" s="103" t="s">
        <v>460</v>
      </c>
      <c r="D318" s="103"/>
      <c r="E318" s="103"/>
      <c r="F318" s="103"/>
      <c r="G318" s="103"/>
      <c r="H318" s="103"/>
      <c r="I318" s="52"/>
      <c r="J318" s="63"/>
      <c r="K318" s="50"/>
      <c r="L318" s="52">
        <f>SUM(BK60:BK295)</f>
        <v>0</v>
      </c>
    </row>
    <row r="319" spans="1:12" ht="14.25" hidden="1" x14ac:dyDescent="0.2">
      <c r="A319" s="63"/>
      <c r="B319" s="67"/>
      <c r="C319" s="103" t="s">
        <v>461</v>
      </c>
      <c r="D319" s="103"/>
      <c r="E319" s="103"/>
      <c r="F319" s="103"/>
      <c r="G319" s="103"/>
      <c r="H319" s="103"/>
      <c r="I319" s="52"/>
      <c r="J319" s="63"/>
      <c r="K319" s="50"/>
      <c r="L319" s="52">
        <f>SUM(BD60:BD295)</f>
        <v>0</v>
      </c>
    </row>
    <row r="320" spans="1:12" ht="14.25" hidden="1" x14ac:dyDescent="0.2">
      <c r="A320" s="63"/>
      <c r="B320" s="67"/>
      <c r="C320" s="103" t="s">
        <v>487</v>
      </c>
      <c r="D320" s="103"/>
      <c r="E320" s="103"/>
      <c r="F320" s="103"/>
      <c r="G320" s="103"/>
      <c r="H320" s="103"/>
      <c r="I320" s="52"/>
      <c r="J320" s="63"/>
      <c r="K320" s="50"/>
      <c r="L320" s="52">
        <f>L271</f>
        <v>0</v>
      </c>
    </row>
    <row r="321" spans="1:12" ht="14.25" x14ac:dyDescent="0.2">
      <c r="A321" s="63"/>
      <c r="B321" s="67"/>
      <c r="C321" s="107" t="s">
        <v>465</v>
      </c>
      <c r="D321" s="103"/>
      <c r="E321" s="103"/>
      <c r="F321" s="103"/>
      <c r="G321" s="103"/>
      <c r="H321" s="103"/>
      <c r="I321" s="52"/>
      <c r="J321" s="63"/>
      <c r="K321" s="50"/>
      <c r="L321" s="52"/>
    </row>
    <row r="322" spans="1:12" ht="14.25" hidden="1" x14ac:dyDescent="0.2">
      <c r="A322" s="63"/>
      <c r="B322" s="67"/>
      <c r="C322" s="103" t="s">
        <v>466</v>
      </c>
      <c r="D322" s="103"/>
      <c r="E322" s="103"/>
      <c r="F322" s="103"/>
      <c r="G322" s="103"/>
      <c r="H322" s="103"/>
      <c r="I322" s="52"/>
      <c r="J322" s="63"/>
      <c r="K322" s="50"/>
      <c r="L322" s="52">
        <f>SUM(AX60:AX295)</f>
        <v>0</v>
      </c>
    </row>
    <row r="323" spans="1:12" ht="14.25" hidden="1" x14ac:dyDescent="0.2">
      <c r="A323" s="63"/>
      <c r="B323" s="67"/>
      <c r="C323" s="103" t="s">
        <v>467</v>
      </c>
      <c r="D323" s="103"/>
      <c r="E323" s="103"/>
      <c r="F323" s="103"/>
      <c r="G323" s="103"/>
      <c r="H323" s="103"/>
      <c r="I323" s="52"/>
      <c r="J323" s="63"/>
      <c r="K323" s="50"/>
      <c r="L323" s="52">
        <f>SUM(AY60:AY295)</f>
        <v>0</v>
      </c>
    </row>
    <row r="324" spans="1:12" ht="14.25" x14ac:dyDescent="0.2">
      <c r="A324" s="63"/>
      <c r="B324" s="67"/>
      <c r="C324" s="103" t="s">
        <v>468</v>
      </c>
      <c r="D324" s="103"/>
      <c r="E324" s="103"/>
      <c r="F324" s="104"/>
      <c r="G324" s="54">
        <f>Source!F102</f>
        <v>371.39463000000001</v>
      </c>
      <c r="H324" s="63"/>
      <c r="I324" s="63"/>
      <c r="J324" s="63"/>
      <c r="K324" s="63"/>
      <c r="L324" s="63"/>
    </row>
    <row r="325" spans="1:12" ht="14.25" x14ac:dyDescent="0.2">
      <c r="A325" s="63"/>
      <c r="B325" s="67"/>
      <c r="C325" s="103" t="s">
        <v>469</v>
      </c>
      <c r="D325" s="103"/>
      <c r="E325" s="103"/>
      <c r="F325" s="104"/>
      <c r="G325" s="54">
        <f>Source!F103</f>
        <v>4.0033200000000004</v>
      </c>
      <c r="H325" s="63"/>
      <c r="I325" s="63"/>
      <c r="J325" s="63"/>
      <c r="K325" s="63"/>
      <c r="L325" s="63"/>
    </row>
    <row r="327" spans="1:12" s="98" customFormat="1" ht="18.75" customHeight="1" x14ac:dyDescent="0.25">
      <c r="C327" s="105" t="str">
        <f>Source!H109</f>
        <v>Итого</v>
      </c>
      <c r="D327" s="105"/>
      <c r="E327" s="105"/>
      <c r="F327" s="105"/>
      <c r="G327" s="105"/>
      <c r="H327" s="105"/>
      <c r="I327" s="105"/>
      <c r="J327" s="105"/>
      <c r="K327" s="105"/>
      <c r="L327" s="99">
        <f>IF(Source!Y109=0, "", Source!Y109)</f>
        <v>994779.44</v>
      </c>
    </row>
    <row r="328" spans="1:12" s="98" customFormat="1" ht="15" x14ac:dyDescent="0.25">
      <c r="C328" s="98" t="s">
        <v>499</v>
      </c>
      <c r="L328" s="101">
        <f>L327*0.22</f>
        <v>218851.47679999997</v>
      </c>
    </row>
    <row r="329" spans="1:12" s="98" customFormat="1" ht="15" x14ac:dyDescent="0.25">
      <c r="C329" s="98" t="s">
        <v>183</v>
      </c>
      <c r="L329" s="100">
        <f>L327+L328</f>
        <v>1213630.9168</v>
      </c>
    </row>
    <row r="332" spans="1:12" ht="14.25" customHeight="1" x14ac:dyDescent="0.2">
      <c r="A332" s="79"/>
      <c r="B332" s="80" t="s">
        <v>488</v>
      </c>
      <c r="C332" s="81" t="str">
        <f>IF(Source!AC12&lt;&gt;"", Source!AC12," ")</f>
        <v xml:space="preserve"> </v>
      </c>
      <c r="D332" s="38"/>
      <c r="E332" s="38"/>
      <c r="F332" s="38"/>
      <c r="G332" s="38"/>
      <c r="H332" s="18" t="str">
        <f>IF(Source!AB12&lt;&gt;"", Source!AB12," ")</f>
        <v xml:space="preserve"> </v>
      </c>
      <c r="I332" s="28"/>
      <c r="J332" s="28"/>
      <c r="K332" s="42"/>
      <c r="L332" s="42"/>
    </row>
    <row r="333" spans="1:12" ht="14.25" customHeight="1" x14ac:dyDescent="0.2">
      <c r="A333" s="79"/>
      <c r="B333" s="82"/>
      <c r="C333" s="102" t="s">
        <v>489</v>
      </c>
      <c r="D333" s="102"/>
      <c r="E333" s="102"/>
      <c r="F333" s="102"/>
      <c r="G333" s="102"/>
      <c r="H333" s="28"/>
      <c r="I333" s="28"/>
      <c r="J333" s="28"/>
      <c r="K333" s="42"/>
      <c r="L333" s="42"/>
    </row>
    <row r="334" spans="1:12" ht="14.25" customHeight="1" x14ac:dyDescent="0.2">
      <c r="A334" s="79"/>
      <c r="B334" s="82"/>
      <c r="C334" s="17"/>
      <c r="D334" s="17"/>
      <c r="E334" s="17"/>
      <c r="F334" s="17"/>
      <c r="G334" s="17"/>
      <c r="H334" s="28"/>
      <c r="I334" s="28"/>
      <c r="J334" s="28"/>
      <c r="K334" s="42"/>
      <c r="L334" s="42"/>
    </row>
    <row r="335" spans="1:12" ht="14.25" customHeight="1" x14ac:dyDescent="0.2">
      <c r="A335" s="79"/>
      <c r="B335" s="80" t="s">
        <v>490</v>
      </c>
      <c r="C335" s="81" t="str">
        <f>IF(Source!AE12&lt;&gt;"", Source!AE12," ")</f>
        <v xml:space="preserve"> </v>
      </c>
      <c r="D335" s="38"/>
      <c r="E335" s="38"/>
      <c r="F335" s="38"/>
      <c r="G335" s="38"/>
      <c r="H335" s="18" t="str">
        <f>IF(Source!AD12&lt;&gt;"", Source!AD12," ")</f>
        <v xml:space="preserve"> </v>
      </c>
      <c r="I335" s="28"/>
      <c r="J335" s="28"/>
      <c r="K335" s="42"/>
      <c r="L335" s="42"/>
    </row>
    <row r="336" spans="1:12" ht="14.25" customHeight="1" x14ac:dyDescent="0.2">
      <c r="A336" s="17"/>
      <c r="B336" s="17"/>
      <c r="C336" s="102" t="s">
        <v>489</v>
      </c>
      <c r="D336" s="102"/>
      <c r="E336" s="102"/>
      <c r="F336" s="102"/>
      <c r="G336" s="102"/>
      <c r="H336" s="28"/>
      <c r="I336" s="28"/>
      <c r="J336" s="28"/>
      <c r="K336" s="42"/>
      <c r="L336" s="42"/>
    </row>
  </sheetData>
  <mergeCells count="201">
    <mergeCell ref="B3:E3"/>
    <mergeCell ref="H3:L3"/>
    <mergeCell ref="B4:E4"/>
    <mergeCell ref="H4:L4"/>
    <mergeCell ref="B6:E6"/>
    <mergeCell ref="H6:L6"/>
    <mergeCell ref="A14:E14"/>
    <mergeCell ref="F14:L14"/>
    <mergeCell ref="A16:E16"/>
    <mergeCell ref="F16:L16"/>
    <mergeCell ref="A18:E18"/>
    <mergeCell ref="F18:L18"/>
    <mergeCell ref="B7:E7"/>
    <mergeCell ref="H7:L7"/>
    <mergeCell ref="A10:E10"/>
    <mergeCell ref="F10:L10"/>
    <mergeCell ref="A12:E12"/>
    <mergeCell ref="F12:L12"/>
    <mergeCell ref="A27:L27"/>
    <mergeCell ref="A28:L28"/>
    <mergeCell ref="A30:L30"/>
    <mergeCell ref="A31:L31"/>
    <mergeCell ref="A33:L33"/>
    <mergeCell ref="A35:L35"/>
    <mergeCell ref="A20:E20"/>
    <mergeCell ref="F20:L20"/>
    <mergeCell ref="A22:E22"/>
    <mergeCell ref="F22:L22"/>
    <mergeCell ref="A24:E24"/>
    <mergeCell ref="F24:L24"/>
    <mergeCell ref="C51:D51"/>
    <mergeCell ref="C52:D52"/>
    <mergeCell ref="A54:A58"/>
    <mergeCell ref="B54:B58"/>
    <mergeCell ref="C54:C58"/>
    <mergeCell ref="D54:D58"/>
    <mergeCell ref="A36:L36"/>
    <mergeCell ref="C41:L41"/>
    <mergeCell ref="C42:L42"/>
    <mergeCell ref="C46:D46"/>
    <mergeCell ref="C49:D49"/>
    <mergeCell ref="C50:D50"/>
    <mergeCell ref="C96:H96"/>
    <mergeCell ref="I96:J96"/>
    <mergeCell ref="K96:L96"/>
    <mergeCell ref="C98:L98"/>
    <mergeCell ref="C118:H118"/>
    <mergeCell ref="I118:J118"/>
    <mergeCell ref="K118:L118"/>
    <mergeCell ref="E54:G57"/>
    <mergeCell ref="H54:L57"/>
    <mergeCell ref="A61:L61"/>
    <mergeCell ref="C79:H79"/>
    <mergeCell ref="I79:J79"/>
    <mergeCell ref="K79:L79"/>
    <mergeCell ref="C186:H186"/>
    <mergeCell ref="I186:J186"/>
    <mergeCell ref="K186:L186"/>
    <mergeCell ref="C188:H188"/>
    <mergeCell ref="I188:J188"/>
    <mergeCell ref="K188:L188"/>
    <mergeCell ref="C139:H139"/>
    <mergeCell ref="I139:J139"/>
    <mergeCell ref="K139:L139"/>
    <mergeCell ref="C141:L141"/>
    <mergeCell ref="C165:H165"/>
    <mergeCell ref="I165:J165"/>
    <mergeCell ref="K165:L165"/>
    <mergeCell ref="C195:H195"/>
    <mergeCell ref="C196:H196"/>
    <mergeCell ref="C197:H197"/>
    <mergeCell ref="C198:H198"/>
    <mergeCell ref="C199:H199"/>
    <mergeCell ref="C200:H200"/>
    <mergeCell ref="C190:H190"/>
    <mergeCell ref="I190:J190"/>
    <mergeCell ref="K190:L190"/>
    <mergeCell ref="C192:H192"/>
    <mergeCell ref="C193:H193"/>
    <mergeCell ref="C194:H194"/>
    <mergeCell ref="C207:H207"/>
    <mergeCell ref="C208:H208"/>
    <mergeCell ref="C209:H209"/>
    <mergeCell ref="C210:H210"/>
    <mergeCell ref="C211:H211"/>
    <mergeCell ref="C212:H212"/>
    <mergeCell ref="C201:H201"/>
    <mergeCell ref="C202:H202"/>
    <mergeCell ref="C203:H203"/>
    <mergeCell ref="C204:H204"/>
    <mergeCell ref="C205:H205"/>
    <mergeCell ref="C206:H206"/>
    <mergeCell ref="C219:H219"/>
    <mergeCell ref="C220:F220"/>
    <mergeCell ref="C221:F221"/>
    <mergeCell ref="C224:H224"/>
    <mergeCell ref="C226:H226"/>
    <mergeCell ref="C227:H227"/>
    <mergeCell ref="C213:H213"/>
    <mergeCell ref="C214:H214"/>
    <mergeCell ref="C215:H215"/>
    <mergeCell ref="C216:H216"/>
    <mergeCell ref="C217:H217"/>
    <mergeCell ref="C218:H218"/>
    <mergeCell ref="C234:H234"/>
    <mergeCell ref="C235:H235"/>
    <mergeCell ref="C236:H236"/>
    <mergeCell ref="C237:H237"/>
    <mergeCell ref="C238:H238"/>
    <mergeCell ref="C239:H239"/>
    <mergeCell ref="C228:H228"/>
    <mergeCell ref="C229:H229"/>
    <mergeCell ref="C230:H230"/>
    <mergeCell ref="C231:H231"/>
    <mergeCell ref="C232:H232"/>
    <mergeCell ref="C233:H233"/>
    <mergeCell ref="C247:H247"/>
    <mergeCell ref="C248:H248"/>
    <mergeCell ref="C249:H249"/>
    <mergeCell ref="C250:H250"/>
    <mergeCell ref="C251:H251"/>
    <mergeCell ref="C252:H252"/>
    <mergeCell ref="C240:H240"/>
    <mergeCell ref="C241:H241"/>
    <mergeCell ref="C242:H242"/>
    <mergeCell ref="C243:H243"/>
    <mergeCell ref="C244:H244"/>
    <mergeCell ref="C246:H246"/>
    <mergeCell ref="C259:H259"/>
    <mergeCell ref="C260:H260"/>
    <mergeCell ref="C261:H261"/>
    <mergeCell ref="C262:H262"/>
    <mergeCell ref="C263:H263"/>
    <mergeCell ref="C264:H264"/>
    <mergeCell ref="C253:H253"/>
    <mergeCell ref="C254:H254"/>
    <mergeCell ref="C255:H255"/>
    <mergeCell ref="C256:H256"/>
    <mergeCell ref="C257:H257"/>
    <mergeCell ref="C258:H258"/>
    <mergeCell ref="C273:H273"/>
    <mergeCell ref="C274:H274"/>
    <mergeCell ref="C275:H275"/>
    <mergeCell ref="C276:H276"/>
    <mergeCell ref="C277:H277"/>
    <mergeCell ref="C278:H278"/>
    <mergeCell ref="C266:H266"/>
    <mergeCell ref="C267:H267"/>
    <mergeCell ref="C268:H268"/>
    <mergeCell ref="C269:H269"/>
    <mergeCell ref="C271:H271"/>
    <mergeCell ref="C272:H272"/>
    <mergeCell ref="C285:H285"/>
    <mergeCell ref="C286:H286"/>
    <mergeCell ref="C287:H287"/>
    <mergeCell ref="C288:H288"/>
    <mergeCell ref="C289:H289"/>
    <mergeCell ref="C290:H290"/>
    <mergeCell ref="C279:H279"/>
    <mergeCell ref="C280:H280"/>
    <mergeCell ref="C281:H281"/>
    <mergeCell ref="C282:H282"/>
    <mergeCell ref="C283:H283"/>
    <mergeCell ref="C284:H284"/>
    <mergeCell ref="C298:H298"/>
    <mergeCell ref="C299:H299"/>
    <mergeCell ref="C300:H300"/>
    <mergeCell ref="C301:H301"/>
    <mergeCell ref="C302:H302"/>
    <mergeCell ref="C303:H303"/>
    <mergeCell ref="C291:H291"/>
    <mergeCell ref="C292:H292"/>
    <mergeCell ref="C293:H293"/>
    <mergeCell ref="C294:H294"/>
    <mergeCell ref="C295:H295"/>
    <mergeCell ref="C297:H297"/>
    <mergeCell ref="C310:H310"/>
    <mergeCell ref="C311:H311"/>
    <mergeCell ref="C312:H312"/>
    <mergeCell ref="C313:H313"/>
    <mergeCell ref="C314:H314"/>
    <mergeCell ref="C315:H315"/>
    <mergeCell ref="C304:H304"/>
    <mergeCell ref="C305:H305"/>
    <mergeCell ref="C306:H306"/>
    <mergeCell ref="C307:H307"/>
    <mergeCell ref="C308:H308"/>
    <mergeCell ref="C309:H309"/>
    <mergeCell ref="C336:G336"/>
    <mergeCell ref="C322:H322"/>
    <mergeCell ref="C323:H323"/>
    <mergeCell ref="C324:F324"/>
    <mergeCell ref="C325:F325"/>
    <mergeCell ref="C327:K327"/>
    <mergeCell ref="C333:G333"/>
    <mergeCell ref="C316:H316"/>
    <mergeCell ref="C317:H317"/>
    <mergeCell ref="C318:H318"/>
    <mergeCell ref="C319:H319"/>
    <mergeCell ref="C320:H320"/>
    <mergeCell ref="C321:H321"/>
  </mergeCells>
  <pageMargins left="0.4" right="0.2" top="0.2" bottom="0.4" header="0.2" footer="0.2"/>
  <pageSetup paperSize="9" scale="49" fitToHeight="0" orientation="portrait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zoomScaleNormal="100" workbookViewId="0"/>
  </sheetViews>
  <sheetFormatPr defaultRowHeight="12.75" x14ac:dyDescent="0.2"/>
  <cols>
    <col min="1" max="1" width="6.7109375" customWidth="1"/>
    <col min="2" max="2" width="75.7109375" customWidth="1"/>
    <col min="3" max="5" width="15.7109375" customWidth="1"/>
    <col min="30" max="32" width="0" hidden="1" customWidth="1"/>
  </cols>
  <sheetData>
    <row r="1" spans="1:5" x14ac:dyDescent="0.2">
      <c r="A1" s="14" t="str">
        <f>Source!B1</f>
        <v>Smeta.RU  (495) 974-1589</v>
      </c>
    </row>
    <row r="2" spans="1:5" ht="14.25" x14ac:dyDescent="0.2">
      <c r="C2" s="45"/>
      <c r="D2" s="45"/>
    </row>
    <row r="3" spans="1:5" ht="15" x14ac:dyDescent="0.25">
      <c r="C3" s="45"/>
      <c r="D3" s="83" t="s">
        <v>360</v>
      </c>
    </row>
    <row r="4" spans="1:5" ht="15" x14ac:dyDescent="0.25">
      <c r="C4" s="83"/>
      <c r="D4" s="83"/>
    </row>
    <row r="5" spans="1:5" ht="15" x14ac:dyDescent="0.25">
      <c r="C5" s="137" t="s">
        <v>491</v>
      </c>
      <c r="D5" s="137"/>
    </row>
    <row r="6" spans="1:5" ht="15" x14ac:dyDescent="0.25">
      <c r="C6" s="84"/>
      <c r="D6" s="84"/>
    </row>
    <row r="7" spans="1:5" ht="15" x14ac:dyDescent="0.25">
      <c r="C7" s="137" t="s">
        <v>491</v>
      </c>
      <c r="D7" s="137"/>
    </row>
    <row r="8" spans="1:5" ht="15" x14ac:dyDescent="0.25">
      <c r="C8" s="84"/>
      <c r="D8" s="84"/>
    </row>
    <row r="9" spans="1:5" ht="15" x14ac:dyDescent="0.25">
      <c r="C9" s="83" t="s">
        <v>492</v>
      </c>
      <c r="D9" s="45"/>
    </row>
    <row r="10" spans="1:5" ht="14.25" x14ac:dyDescent="0.2">
      <c r="A10" s="45"/>
      <c r="B10" s="45"/>
      <c r="C10" s="45"/>
      <c r="D10" s="45"/>
      <c r="E10" s="45"/>
    </row>
    <row r="11" spans="1:5" ht="15.75" x14ac:dyDescent="0.25">
      <c r="A11" s="138" t="str">
        <f>CONCATENATE("Дефектный акт ", IF(Source!AN15&lt;&gt;"", Source!AN15," "))</f>
        <v xml:space="preserve">Дефектный акт  </v>
      </c>
      <c r="B11" s="138"/>
      <c r="C11" s="138"/>
      <c r="D11" s="138"/>
      <c r="E11" s="45"/>
    </row>
    <row r="12" spans="1:5" ht="15" x14ac:dyDescent="0.25">
      <c r="A12" s="139" t="str">
        <f>CONCATENATE("На капитальный ремонт ", Source!G12)</f>
        <v>На капитальный ремонт Ремонт   фасада 1 этаж</v>
      </c>
      <c r="B12" s="139"/>
      <c r="C12" s="139"/>
      <c r="D12" s="139"/>
      <c r="E12" s="45"/>
    </row>
    <row r="13" spans="1:5" ht="14.25" x14ac:dyDescent="0.2">
      <c r="A13" s="45"/>
      <c r="B13" s="45"/>
      <c r="C13" s="45"/>
      <c r="D13" s="45"/>
      <c r="E13" s="45"/>
    </row>
    <row r="14" spans="1:5" ht="15" x14ac:dyDescent="0.2">
      <c r="A14" s="45"/>
      <c r="B14" s="85" t="s">
        <v>493</v>
      </c>
      <c r="C14" s="45"/>
      <c r="D14" s="45"/>
      <c r="E14" s="45"/>
    </row>
    <row r="15" spans="1:5" ht="15" x14ac:dyDescent="0.2">
      <c r="A15" s="45"/>
      <c r="B15" s="85" t="s">
        <v>494</v>
      </c>
      <c r="C15" s="45"/>
      <c r="D15" s="45"/>
      <c r="E15" s="45"/>
    </row>
    <row r="16" spans="1:5" ht="15" x14ac:dyDescent="0.2">
      <c r="A16" s="45"/>
      <c r="B16" s="85" t="s">
        <v>495</v>
      </c>
      <c r="C16" s="45"/>
      <c r="D16" s="45"/>
      <c r="E16" s="45"/>
    </row>
    <row r="17" spans="1:5" ht="28.5" x14ac:dyDescent="0.2">
      <c r="A17" s="86" t="s">
        <v>388</v>
      </c>
      <c r="B17" s="86" t="s">
        <v>390</v>
      </c>
      <c r="C17" s="86" t="s">
        <v>391</v>
      </c>
      <c r="D17" s="86" t="s">
        <v>392</v>
      </c>
      <c r="E17" s="87" t="s">
        <v>496</v>
      </c>
    </row>
    <row r="18" spans="1:5" ht="14.25" x14ac:dyDescent="0.2">
      <c r="A18" s="88">
        <v>1</v>
      </c>
      <c r="B18" s="88">
        <v>2</v>
      </c>
      <c r="C18" s="88">
        <v>3</v>
      </c>
      <c r="D18" s="88">
        <v>4</v>
      </c>
      <c r="E18" s="89">
        <v>5</v>
      </c>
    </row>
    <row r="19" spans="1:5" ht="16.5" x14ac:dyDescent="0.25">
      <c r="A19" s="140" t="str">
        <f>CONCATENATE("Локальная смета: ", Source!G20)</f>
        <v>Локальная смета: Новая локальная смета</v>
      </c>
      <c r="B19" s="140"/>
      <c r="C19" s="140"/>
      <c r="D19" s="140"/>
      <c r="E19" s="140"/>
    </row>
    <row r="20" spans="1:5" ht="16.5" x14ac:dyDescent="0.25">
      <c r="A20" s="140" t="str">
        <f>CONCATENATE("Раздел: ", Source!G24)</f>
        <v>Раздел: Ремонт</v>
      </c>
      <c r="B20" s="140"/>
      <c r="C20" s="140"/>
      <c r="D20" s="140"/>
      <c r="E20" s="140"/>
    </row>
    <row r="21" spans="1:5" ht="42.75" x14ac:dyDescent="0.2">
      <c r="A21" s="94">
        <v>1</v>
      </c>
      <c r="B21" s="95" t="str">
        <f>Source!G28</f>
        <v>Ремонт штукатурки гладких фасадов по камню и бетону с земли и лесов: цементно-известковым раствором площадью отдельных мест более 5 м2 толщиной слоя до 20 мм</v>
      </c>
      <c r="C21" s="96" t="str">
        <f>Source!H28</f>
        <v>100 м2</v>
      </c>
      <c r="D21" s="97">
        <f>Source!I28</f>
        <v>0.82</v>
      </c>
      <c r="E21" s="95"/>
    </row>
    <row r="22" spans="1:5" ht="42.75" x14ac:dyDescent="0.2">
      <c r="A22" s="94">
        <v>2</v>
      </c>
      <c r="B22" s="95" t="str">
        <f>Source!G30</f>
        <v>Ремонт штукатурки гладких фасадов по камню и бетону с земли и лесов: на каждые следующие 10 мм толщины слоя добавлять к норме 61-02-001-03</v>
      </c>
      <c r="C22" s="96" t="str">
        <f>Source!H30</f>
        <v>100 м2</v>
      </c>
      <c r="D22" s="97">
        <f>Source!I30</f>
        <v>0.82</v>
      </c>
      <c r="E22" s="95"/>
    </row>
    <row r="23" spans="1:5" ht="57" x14ac:dyDescent="0.2">
      <c r="A23" s="94">
        <v>3</v>
      </c>
      <c r="B23" s="95" t="str">
        <f>Source!G32</f>
        <v>Отделка фасадов мелкозернистыми декоративными покрытиями из минеральных или полимерминеральных составов по подготовленной поверхности с лесов и земли, состав с наполнителем: из крупнозернистого минерала (размер зерна до 5 мм)</v>
      </c>
      <c r="C23" s="96" t="str">
        <f>Source!H32</f>
        <v>100 м2</v>
      </c>
      <c r="D23" s="97">
        <f>Source!I32</f>
        <v>0.82</v>
      </c>
      <c r="E23" s="95"/>
    </row>
    <row r="24" spans="1:5" ht="28.5" x14ac:dyDescent="0.2">
      <c r="A24" s="94">
        <v>4</v>
      </c>
      <c r="B24" s="95" t="str">
        <f>Source!G35</f>
        <v>Смена покрытия кровли простой сложности из листовой стали: без настенных желобов и свесов</v>
      </c>
      <c r="C24" s="96" t="str">
        <f>Source!H35</f>
        <v>100 м2</v>
      </c>
      <c r="D24" s="97">
        <f>Source!I35</f>
        <v>0.08</v>
      </c>
      <c r="E24" s="95"/>
    </row>
    <row r="25" spans="1:5" ht="42.75" x14ac:dyDescent="0.2">
      <c r="A25" s="94">
        <v>5</v>
      </c>
      <c r="B25" s="95" t="str">
        <f>Source!G41</f>
        <v>Установка гипсовых погонных деталей орнаментированных, плоских, выпуклых, рельефных, простого или сложного рисунка (порезки, пояса, фризы, капли и т.п.) высотой: до 500 мм, прим.</v>
      </c>
      <c r="C25" s="96" t="str">
        <f>Source!H41</f>
        <v>100 м</v>
      </c>
      <c r="D25" s="97">
        <f>Source!I41</f>
        <v>0.52</v>
      </c>
      <c r="E25" s="95"/>
    </row>
    <row r="26" spans="1:5" ht="28.5" x14ac:dyDescent="0.2">
      <c r="A26" s="94">
        <v>6</v>
      </c>
      <c r="B26" s="95" t="str">
        <f>Source!G45</f>
        <v>Окраска перхлорвиниловыми красками по подготовленной поверхности фасадов: сложных за 2 раза с земли и лесов</v>
      </c>
      <c r="C26" s="96" t="str">
        <f>Source!H45</f>
        <v>100 м2</v>
      </c>
      <c r="D26" s="97">
        <f>Source!I45</f>
        <v>1.734</v>
      </c>
      <c r="E26" s="95"/>
    </row>
    <row r="27" spans="1:5" ht="28.5" x14ac:dyDescent="0.2">
      <c r="A27" s="94">
        <v>7</v>
      </c>
      <c r="B27" s="95" t="str">
        <f>Source!G47</f>
        <v>Погрузка в автотранспортное средство: мусор строительный с погрузкой вручную</v>
      </c>
      <c r="C27" s="96" t="str">
        <f>Source!H47</f>
        <v>1т груза</v>
      </c>
      <c r="D27" s="97">
        <f>Source!I47</f>
        <v>7.5</v>
      </c>
      <c r="E27" s="95"/>
    </row>
    <row r="28" spans="1:5" ht="71.25" x14ac:dyDescent="0.2">
      <c r="A28" s="90">
        <v>8</v>
      </c>
      <c r="B28" s="91" t="str">
        <f>Source!G48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36 км</v>
      </c>
      <c r="C28" s="92" t="str">
        <f>Source!H48</f>
        <v>1т груза</v>
      </c>
      <c r="D28" s="93">
        <f>Source!I48</f>
        <v>7.5</v>
      </c>
      <c r="E28" s="91"/>
    </row>
    <row r="31" spans="1:5" ht="15" x14ac:dyDescent="0.25">
      <c r="A31" s="98" t="s">
        <v>497</v>
      </c>
      <c r="B31" s="98"/>
      <c r="C31" s="98" t="s">
        <v>498</v>
      </c>
      <c r="D31" s="98"/>
      <c r="E31" s="98"/>
    </row>
  </sheetData>
  <mergeCells count="6">
    <mergeCell ref="A20:E20"/>
    <mergeCell ref="C5:D5"/>
    <mergeCell ref="C7:D7"/>
    <mergeCell ref="A11:D11"/>
    <mergeCell ref="A12:D12"/>
    <mergeCell ref="A19:E19"/>
  </mergeCells>
  <pageMargins left="0.4" right="0.2" top="0.2" bottom="0.4" header="0.2" footer="0.2"/>
  <pageSetup paperSize="9" scale="77" fitToHeight="0" orientation="portrait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77"/>
  <sheetViews>
    <sheetView workbookViewId="0">
      <selection activeCell="A173" sqref="A173:AX173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21931</v>
      </c>
      <c r="M1">
        <v>10</v>
      </c>
      <c r="N1">
        <v>12</v>
      </c>
      <c r="O1">
        <v>1</v>
      </c>
      <c r="P1">
        <v>0</v>
      </c>
      <c r="Q1">
        <v>4</v>
      </c>
    </row>
    <row r="12" spans="1:133" x14ac:dyDescent="0.2">
      <c r="A12" s="1">
        <v>1</v>
      </c>
      <c r="B12" s="1">
        <v>171</v>
      </c>
      <c r="C12" s="1">
        <v>0</v>
      </c>
      <c r="D12" s="1">
        <f>ROW(A111)</f>
        <v>111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18</v>
      </c>
      <c r="CL12" s="1"/>
      <c r="CM12" s="1"/>
      <c r="CN12" s="1"/>
      <c r="CO12" s="1"/>
      <c r="CP12" s="1"/>
      <c r="CQ12" s="1" t="s">
        <v>12</v>
      </c>
      <c r="CR12" s="1" t="s">
        <v>13</v>
      </c>
      <c r="CS12" s="1">
        <v>46161</v>
      </c>
      <c r="CT12" s="1">
        <v>567</v>
      </c>
      <c r="CU12" s="1">
        <v>18</v>
      </c>
      <c r="CV12" s="1" t="s">
        <v>356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55" x14ac:dyDescent="0.2">
      <c r="A18" s="3">
        <v>52</v>
      </c>
      <c r="B18" s="3">
        <f t="shared" ref="B18:G18" si="0">B111</f>
        <v>171</v>
      </c>
      <c r="C18" s="3">
        <f t="shared" si="0"/>
        <v>1</v>
      </c>
      <c r="D18" s="3">
        <f t="shared" si="0"/>
        <v>12</v>
      </c>
      <c r="E18" s="3">
        <f t="shared" si="0"/>
        <v>0</v>
      </c>
      <c r="F18" s="3" t="str">
        <f t="shared" si="0"/>
        <v>Новый объект</v>
      </c>
      <c r="G18" s="3" t="str">
        <f t="shared" si="0"/>
        <v>Ремонт   фасада 1 этаж</v>
      </c>
      <c r="H18" s="3"/>
      <c r="I18" s="3"/>
      <c r="J18" s="3"/>
      <c r="K18" s="3"/>
      <c r="L18" s="3"/>
      <c r="M18" s="3"/>
      <c r="N18" s="3"/>
      <c r="O18" s="3">
        <f t="shared" ref="O18:AT18" si="1">O111</f>
        <v>638631.28</v>
      </c>
      <c r="P18" s="3">
        <f t="shared" si="1"/>
        <v>379276.96</v>
      </c>
      <c r="Q18" s="3">
        <f t="shared" si="1"/>
        <v>2504.5700000000002</v>
      </c>
      <c r="R18" s="3">
        <f t="shared" si="1"/>
        <v>2896.67</v>
      </c>
      <c r="S18" s="3">
        <f t="shared" si="1"/>
        <v>253953.08</v>
      </c>
      <c r="T18" s="3">
        <f t="shared" si="1"/>
        <v>0</v>
      </c>
      <c r="U18" s="3">
        <f t="shared" si="1"/>
        <v>371.39463000000001</v>
      </c>
      <c r="V18" s="3">
        <f t="shared" si="1"/>
        <v>4.0033199999999995</v>
      </c>
      <c r="W18" s="3">
        <f t="shared" si="1"/>
        <v>0</v>
      </c>
      <c r="X18" s="3">
        <f t="shared" si="1"/>
        <v>229695.22</v>
      </c>
      <c r="Y18" s="3">
        <f t="shared" si="1"/>
        <v>111378.61</v>
      </c>
      <c r="Z18" s="3">
        <f t="shared" si="1"/>
        <v>0</v>
      </c>
      <c r="AA18" s="3">
        <f t="shared" si="1"/>
        <v>0</v>
      </c>
      <c r="AB18" s="3">
        <f t="shared" si="1"/>
        <v>0</v>
      </c>
      <c r="AC18" s="3">
        <f t="shared" si="1"/>
        <v>0</v>
      </c>
      <c r="AD18" s="3">
        <f t="shared" si="1"/>
        <v>0</v>
      </c>
      <c r="AE18" s="3">
        <f t="shared" si="1"/>
        <v>0</v>
      </c>
      <c r="AF18" s="3">
        <f t="shared" si="1"/>
        <v>0</v>
      </c>
      <c r="AG18" s="3">
        <f t="shared" si="1"/>
        <v>0</v>
      </c>
      <c r="AH18" s="3">
        <f t="shared" si="1"/>
        <v>0</v>
      </c>
      <c r="AI18" s="3">
        <f t="shared" si="1"/>
        <v>0</v>
      </c>
      <c r="AJ18" s="3">
        <f t="shared" si="1"/>
        <v>0</v>
      </c>
      <c r="AK18" s="3">
        <f t="shared" si="1"/>
        <v>0</v>
      </c>
      <c r="AL18" s="3">
        <f t="shared" si="1"/>
        <v>0</v>
      </c>
      <c r="AM18" s="3">
        <f t="shared" si="1"/>
        <v>0</v>
      </c>
      <c r="AN18" s="3">
        <f t="shared" si="1"/>
        <v>0</v>
      </c>
      <c r="AO18" s="3">
        <f t="shared" si="1"/>
        <v>0</v>
      </c>
      <c r="AP18" s="3">
        <f t="shared" si="1"/>
        <v>0</v>
      </c>
      <c r="AQ18" s="3">
        <f t="shared" si="1"/>
        <v>0</v>
      </c>
      <c r="AR18" s="3">
        <f t="shared" si="1"/>
        <v>994779.44</v>
      </c>
      <c r="AS18" s="3">
        <f t="shared" si="1"/>
        <v>994779.44</v>
      </c>
      <c r="AT18" s="3">
        <f t="shared" si="1"/>
        <v>0</v>
      </c>
      <c r="AU18" s="3">
        <f t="shared" ref="AU18:BZ18" si="2">AU111</f>
        <v>0</v>
      </c>
      <c r="AV18" s="3">
        <f t="shared" si="2"/>
        <v>379276.96</v>
      </c>
      <c r="AW18" s="3">
        <f t="shared" si="2"/>
        <v>379276.96</v>
      </c>
      <c r="AX18" s="3">
        <f t="shared" si="2"/>
        <v>0</v>
      </c>
      <c r="AY18" s="3">
        <f t="shared" si="2"/>
        <v>379276.96</v>
      </c>
      <c r="AZ18" s="3">
        <f t="shared" si="2"/>
        <v>0</v>
      </c>
      <c r="BA18" s="3">
        <f t="shared" si="2"/>
        <v>0</v>
      </c>
      <c r="BB18" s="3">
        <f t="shared" si="2"/>
        <v>0</v>
      </c>
      <c r="BC18" s="3">
        <f t="shared" si="2"/>
        <v>0</v>
      </c>
      <c r="BD18" s="3">
        <f t="shared" si="2"/>
        <v>15074.33</v>
      </c>
      <c r="BE18" s="3">
        <f t="shared" si="2"/>
        <v>0</v>
      </c>
      <c r="BF18" s="3">
        <f t="shared" si="2"/>
        <v>0</v>
      </c>
      <c r="BG18" s="3">
        <f t="shared" si="2"/>
        <v>0</v>
      </c>
      <c r="BH18" s="3">
        <f t="shared" si="2"/>
        <v>0</v>
      </c>
      <c r="BI18" s="3">
        <f t="shared" si="2"/>
        <v>0</v>
      </c>
      <c r="BJ18" s="3">
        <f t="shared" si="2"/>
        <v>0</v>
      </c>
      <c r="BK18" s="3">
        <f t="shared" si="2"/>
        <v>0</v>
      </c>
      <c r="BL18" s="3">
        <f t="shared" si="2"/>
        <v>0</v>
      </c>
      <c r="BM18" s="3">
        <f t="shared" si="2"/>
        <v>0</v>
      </c>
      <c r="BN18" s="3">
        <f t="shared" si="2"/>
        <v>0</v>
      </c>
      <c r="BO18" s="3">
        <f t="shared" si="2"/>
        <v>0</v>
      </c>
      <c r="BP18" s="3">
        <f t="shared" si="2"/>
        <v>0</v>
      </c>
      <c r="BQ18" s="3">
        <f t="shared" si="2"/>
        <v>0</v>
      </c>
      <c r="BR18" s="3">
        <f t="shared" si="2"/>
        <v>0</v>
      </c>
      <c r="BS18" s="3">
        <f t="shared" si="2"/>
        <v>0</v>
      </c>
      <c r="BT18" s="3">
        <f t="shared" si="2"/>
        <v>0</v>
      </c>
      <c r="BU18" s="3">
        <f t="shared" si="2"/>
        <v>0</v>
      </c>
      <c r="BV18" s="3">
        <f t="shared" si="2"/>
        <v>0</v>
      </c>
      <c r="BW18" s="3">
        <f t="shared" si="2"/>
        <v>0</v>
      </c>
      <c r="BX18" s="3">
        <f t="shared" si="2"/>
        <v>0</v>
      </c>
      <c r="BY18" s="3">
        <f t="shared" si="2"/>
        <v>0</v>
      </c>
      <c r="BZ18" s="3">
        <f t="shared" si="2"/>
        <v>0</v>
      </c>
      <c r="CA18" s="3">
        <f t="shared" ref="CA18:DF18" si="3">CA111</f>
        <v>0</v>
      </c>
      <c r="CB18" s="3">
        <f t="shared" si="3"/>
        <v>0</v>
      </c>
      <c r="CC18" s="3">
        <f t="shared" si="3"/>
        <v>0</v>
      </c>
      <c r="CD18" s="3">
        <f t="shared" si="3"/>
        <v>0</v>
      </c>
      <c r="CE18" s="3">
        <f t="shared" si="3"/>
        <v>0</v>
      </c>
      <c r="CF18" s="3">
        <f t="shared" si="3"/>
        <v>0</v>
      </c>
      <c r="CG18" s="3">
        <f t="shared" si="3"/>
        <v>0</v>
      </c>
      <c r="CH18" s="3">
        <f t="shared" si="3"/>
        <v>0</v>
      </c>
      <c r="CI18" s="3">
        <f t="shared" si="3"/>
        <v>0</v>
      </c>
      <c r="CJ18" s="3">
        <f t="shared" si="3"/>
        <v>0</v>
      </c>
      <c r="CK18" s="3">
        <f t="shared" si="3"/>
        <v>0</v>
      </c>
      <c r="CL18" s="3">
        <f t="shared" si="3"/>
        <v>0</v>
      </c>
      <c r="CM18" s="3">
        <f t="shared" si="3"/>
        <v>0</v>
      </c>
      <c r="CN18" s="3">
        <f t="shared" si="3"/>
        <v>0</v>
      </c>
      <c r="CO18" s="3">
        <f t="shared" si="3"/>
        <v>0</v>
      </c>
      <c r="CP18" s="3">
        <f t="shared" si="3"/>
        <v>0</v>
      </c>
      <c r="CQ18" s="3">
        <f t="shared" si="3"/>
        <v>0</v>
      </c>
      <c r="CR18" s="3">
        <f t="shared" si="3"/>
        <v>0</v>
      </c>
      <c r="CS18" s="3">
        <f t="shared" si="3"/>
        <v>0</v>
      </c>
      <c r="CT18" s="3">
        <f t="shared" si="3"/>
        <v>0</v>
      </c>
      <c r="CU18" s="3">
        <f t="shared" si="3"/>
        <v>0</v>
      </c>
      <c r="CV18" s="3">
        <f t="shared" si="3"/>
        <v>0</v>
      </c>
      <c r="CW18" s="3">
        <f t="shared" si="3"/>
        <v>0</v>
      </c>
      <c r="CX18" s="3">
        <f t="shared" si="3"/>
        <v>0</v>
      </c>
      <c r="CY18" s="3">
        <f t="shared" si="3"/>
        <v>0</v>
      </c>
      <c r="CZ18" s="3">
        <f t="shared" si="3"/>
        <v>0</v>
      </c>
      <c r="DA18" s="3">
        <f t="shared" si="3"/>
        <v>0</v>
      </c>
      <c r="DB18" s="3">
        <f t="shared" si="3"/>
        <v>0</v>
      </c>
      <c r="DC18" s="3">
        <f t="shared" si="3"/>
        <v>0</v>
      </c>
      <c r="DD18" s="3">
        <f t="shared" si="3"/>
        <v>0</v>
      </c>
      <c r="DE18" s="3">
        <f t="shared" si="3"/>
        <v>0</v>
      </c>
      <c r="DF18" s="3">
        <f t="shared" si="3"/>
        <v>0</v>
      </c>
      <c r="DG18" s="4">
        <f t="shared" ref="DG18:EL18" si="4">DG111</f>
        <v>0</v>
      </c>
      <c r="DH18" s="4">
        <f t="shared" si="4"/>
        <v>0</v>
      </c>
      <c r="DI18" s="4">
        <f t="shared" si="4"/>
        <v>0</v>
      </c>
      <c r="DJ18" s="4">
        <f t="shared" si="4"/>
        <v>0</v>
      </c>
      <c r="DK18" s="4">
        <f t="shared" si="4"/>
        <v>0</v>
      </c>
      <c r="DL18" s="4">
        <f t="shared" si="4"/>
        <v>0</v>
      </c>
      <c r="DM18" s="4">
        <f t="shared" si="4"/>
        <v>0</v>
      </c>
      <c r="DN18" s="4">
        <f t="shared" si="4"/>
        <v>0</v>
      </c>
      <c r="DO18" s="4">
        <f t="shared" si="4"/>
        <v>0</v>
      </c>
      <c r="DP18" s="4">
        <f t="shared" si="4"/>
        <v>0</v>
      </c>
      <c r="DQ18" s="4">
        <f t="shared" si="4"/>
        <v>0</v>
      </c>
      <c r="DR18" s="4">
        <f t="shared" si="4"/>
        <v>0</v>
      </c>
      <c r="DS18" s="4">
        <f t="shared" si="4"/>
        <v>0</v>
      </c>
      <c r="DT18" s="4">
        <f t="shared" si="4"/>
        <v>0</v>
      </c>
      <c r="DU18" s="4">
        <f t="shared" si="4"/>
        <v>0</v>
      </c>
      <c r="DV18" s="4">
        <f t="shared" si="4"/>
        <v>0</v>
      </c>
      <c r="DW18" s="4">
        <f t="shared" si="4"/>
        <v>0</v>
      </c>
      <c r="DX18" s="4">
        <f t="shared" si="4"/>
        <v>0</v>
      </c>
      <c r="DY18" s="4">
        <f t="shared" si="4"/>
        <v>0</v>
      </c>
      <c r="DZ18" s="4">
        <f t="shared" si="4"/>
        <v>0</v>
      </c>
      <c r="EA18" s="4">
        <f t="shared" si="4"/>
        <v>0</v>
      </c>
      <c r="EB18" s="4">
        <f t="shared" si="4"/>
        <v>0</v>
      </c>
      <c r="EC18" s="4">
        <f t="shared" si="4"/>
        <v>0</v>
      </c>
      <c r="ED18" s="4">
        <f t="shared" si="4"/>
        <v>0</v>
      </c>
      <c r="EE18" s="4">
        <f t="shared" si="4"/>
        <v>0</v>
      </c>
      <c r="EF18" s="4">
        <f t="shared" si="4"/>
        <v>0</v>
      </c>
      <c r="EG18" s="4">
        <f t="shared" si="4"/>
        <v>0</v>
      </c>
      <c r="EH18" s="4">
        <f t="shared" si="4"/>
        <v>0</v>
      </c>
      <c r="EI18" s="4">
        <f t="shared" si="4"/>
        <v>0</v>
      </c>
      <c r="EJ18" s="4">
        <f t="shared" si="4"/>
        <v>0</v>
      </c>
      <c r="EK18" s="4">
        <f t="shared" si="4"/>
        <v>0</v>
      </c>
      <c r="EL18" s="4">
        <f t="shared" si="4"/>
        <v>0</v>
      </c>
      <c r="EM18" s="4">
        <f t="shared" ref="EM18:FR18" si="5">EM111</f>
        <v>0</v>
      </c>
      <c r="EN18" s="4">
        <f t="shared" si="5"/>
        <v>0</v>
      </c>
      <c r="EO18" s="4">
        <f t="shared" si="5"/>
        <v>0</v>
      </c>
      <c r="EP18" s="4">
        <f t="shared" si="5"/>
        <v>0</v>
      </c>
      <c r="EQ18" s="4">
        <f t="shared" si="5"/>
        <v>0</v>
      </c>
      <c r="ER18" s="4">
        <f t="shared" si="5"/>
        <v>0</v>
      </c>
      <c r="ES18" s="4">
        <f t="shared" si="5"/>
        <v>0</v>
      </c>
      <c r="ET18" s="4">
        <f t="shared" si="5"/>
        <v>0</v>
      </c>
      <c r="EU18" s="4">
        <f t="shared" si="5"/>
        <v>0</v>
      </c>
      <c r="EV18" s="4">
        <f t="shared" si="5"/>
        <v>0</v>
      </c>
      <c r="EW18" s="4">
        <f t="shared" si="5"/>
        <v>0</v>
      </c>
      <c r="EX18" s="4">
        <f t="shared" si="5"/>
        <v>0</v>
      </c>
      <c r="EY18" s="4">
        <f t="shared" si="5"/>
        <v>0</v>
      </c>
      <c r="EZ18" s="4">
        <f t="shared" si="5"/>
        <v>0</v>
      </c>
      <c r="FA18" s="4">
        <f t="shared" si="5"/>
        <v>0</v>
      </c>
      <c r="FB18" s="4">
        <f t="shared" si="5"/>
        <v>0</v>
      </c>
      <c r="FC18" s="4">
        <f t="shared" si="5"/>
        <v>0</v>
      </c>
      <c r="FD18" s="4">
        <f t="shared" si="5"/>
        <v>0</v>
      </c>
      <c r="FE18" s="4">
        <f t="shared" si="5"/>
        <v>0</v>
      </c>
      <c r="FF18" s="4">
        <f t="shared" si="5"/>
        <v>0</v>
      </c>
      <c r="FG18" s="4">
        <f t="shared" si="5"/>
        <v>0</v>
      </c>
      <c r="FH18" s="4">
        <f t="shared" si="5"/>
        <v>0</v>
      </c>
      <c r="FI18" s="4">
        <f t="shared" si="5"/>
        <v>0</v>
      </c>
      <c r="FJ18" s="4">
        <f t="shared" si="5"/>
        <v>0</v>
      </c>
      <c r="FK18" s="4">
        <f t="shared" si="5"/>
        <v>0</v>
      </c>
      <c r="FL18" s="4">
        <f t="shared" si="5"/>
        <v>0</v>
      </c>
      <c r="FM18" s="4">
        <f t="shared" si="5"/>
        <v>0</v>
      </c>
      <c r="FN18" s="4">
        <f t="shared" si="5"/>
        <v>0</v>
      </c>
      <c r="FO18" s="4">
        <f t="shared" si="5"/>
        <v>0</v>
      </c>
      <c r="FP18" s="4">
        <f t="shared" si="5"/>
        <v>0</v>
      </c>
      <c r="FQ18" s="4">
        <f t="shared" si="5"/>
        <v>0</v>
      </c>
      <c r="FR18" s="4">
        <f t="shared" si="5"/>
        <v>0</v>
      </c>
      <c r="FS18" s="4">
        <f t="shared" ref="FS18:GX18" si="6">FS111</f>
        <v>0</v>
      </c>
      <c r="FT18" s="4">
        <f t="shared" si="6"/>
        <v>0</v>
      </c>
      <c r="FU18" s="4">
        <f t="shared" si="6"/>
        <v>0</v>
      </c>
      <c r="FV18" s="4">
        <f t="shared" si="6"/>
        <v>0</v>
      </c>
      <c r="FW18" s="4">
        <f t="shared" si="6"/>
        <v>0</v>
      </c>
      <c r="FX18" s="4">
        <f t="shared" si="6"/>
        <v>0</v>
      </c>
      <c r="FY18" s="4">
        <f t="shared" si="6"/>
        <v>0</v>
      </c>
      <c r="FZ18" s="4">
        <f t="shared" si="6"/>
        <v>0</v>
      </c>
      <c r="GA18" s="4">
        <f t="shared" si="6"/>
        <v>0</v>
      </c>
      <c r="GB18" s="4">
        <f t="shared" si="6"/>
        <v>0</v>
      </c>
      <c r="GC18" s="4">
        <f t="shared" si="6"/>
        <v>0</v>
      </c>
      <c r="GD18" s="4">
        <f t="shared" si="6"/>
        <v>0</v>
      </c>
      <c r="GE18" s="4">
        <f t="shared" si="6"/>
        <v>0</v>
      </c>
      <c r="GF18" s="4">
        <f t="shared" si="6"/>
        <v>0</v>
      </c>
      <c r="GG18" s="4">
        <f t="shared" si="6"/>
        <v>0</v>
      </c>
      <c r="GH18" s="4">
        <f t="shared" si="6"/>
        <v>0</v>
      </c>
      <c r="GI18" s="4">
        <f t="shared" si="6"/>
        <v>0</v>
      </c>
      <c r="GJ18" s="4">
        <f t="shared" si="6"/>
        <v>0</v>
      </c>
      <c r="GK18" s="4">
        <f t="shared" si="6"/>
        <v>0</v>
      </c>
      <c r="GL18" s="4">
        <f t="shared" si="6"/>
        <v>0</v>
      </c>
      <c r="GM18" s="4">
        <f t="shared" si="6"/>
        <v>0</v>
      </c>
      <c r="GN18" s="4">
        <f t="shared" si="6"/>
        <v>0</v>
      </c>
      <c r="GO18" s="4">
        <f t="shared" si="6"/>
        <v>0</v>
      </c>
      <c r="GP18" s="4">
        <f t="shared" si="6"/>
        <v>0</v>
      </c>
      <c r="GQ18" s="4">
        <f t="shared" si="6"/>
        <v>0</v>
      </c>
      <c r="GR18" s="4">
        <f t="shared" si="6"/>
        <v>0</v>
      </c>
      <c r="GS18" s="4">
        <f t="shared" si="6"/>
        <v>0</v>
      </c>
      <c r="GT18" s="4">
        <f t="shared" si="6"/>
        <v>0</v>
      </c>
      <c r="GU18" s="4">
        <f t="shared" si="6"/>
        <v>0</v>
      </c>
      <c r="GV18" s="4">
        <f t="shared" si="6"/>
        <v>0</v>
      </c>
      <c r="GW18" s="4">
        <f t="shared" si="6"/>
        <v>0</v>
      </c>
      <c r="GX18" s="4">
        <f t="shared" si="6"/>
        <v>0</v>
      </c>
    </row>
    <row r="20" spans="1:255" x14ac:dyDescent="0.2">
      <c r="A20" s="1">
        <v>3</v>
      </c>
      <c r="B20" s="1">
        <v>1</v>
      </c>
      <c r="C20" s="1"/>
      <c r="D20" s="1">
        <f>ROW(A80)</f>
        <v>80</v>
      </c>
      <c r="E20" s="1"/>
      <c r="F20" s="1" t="s">
        <v>14</v>
      </c>
      <c r="G20" s="1" t="s">
        <v>14</v>
      </c>
      <c r="H20" s="1" t="s">
        <v>3</v>
      </c>
      <c r="I20" s="1">
        <v>0</v>
      </c>
      <c r="J20" s="1" t="s">
        <v>3</v>
      </c>
      <c r="K20" s="1">
        <v>0</v>
      </c>
      <c r="L20" s="1" t="s">
        <v>14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55" x14ac:dyDescent="0.2">
      <c r="A22" s="3">
        <v>52</v>
      </c>
      <c r="B22" s="3">
        <f t="shared" ref="B22:G22" si="7">B80</f>
        <v>1</v>
      </c>
      <c r="C22" s="3">
        <f t="shared" si="7"/>
        <v>3</v>
      </c>
      <c r="D22" s="3">
        <f t="shared" si="7"/>
        <v>20</v>
      </c>
      <c r="E22" s="3">
        <f t="shared" si="7"/>
        <v>0</v>
      </c>
      <c r="F22" s="3" t="str">
        <f t="shared" si="7"/>
        <v>Новая локальная смета</v>
      </c>
      <c r="G22" s="3" t="str">
        <f t="shared" si="7"/>
        <v>Новая локальная смета</v>
      </c>
      <c r="H22" s="3"/>
      <c r="I22" s="3"/>
      <c r="J22" s="3"/>
      <c r="K22" s="3"/>
      <c r="L22" s="3"/>
      <c r="M22" s="3"/>
      <c r="N22" s="3"/>
      <c r="O22" s="3">
        <f t="shared" ref="O22:AT22" si="8">O80</f>
        <v>638631.28</v>
      </c>
      <c r="P22" s="3">
        <f t="shared" si="8"/>
        <v>379276.96</v>
      </c>
      <c r="Q22" s="3">
        <f t="shared" si="8"/>
        <v>2504.5700000000002</v>
      </c>
      <c r="R22" s="3">
        <f t="shared" si="8"/>
        <v>2896.67</v>
      </c>
      <c r="S22" s="3">
        <f t="shared" si="8"/>
        <v>253953.08</v>
      </c>
      <c r="T22" s="3">
        <f t="shared" si="8"/>
        <v>0</v>
      </c>
      <c r="U22" s="3">
        <f t="shared" si="8"/>
        <v>371.39463000000001</v>
      </c>
      <c r="V22" s="3">
        <f t="shared" si="8"/>
        <v>4.0033199999999995</v>
      </c>
      <c r="W22" s="3">
        <f t="shared" si="8"/>
        <v>0</v>
      </c>
      <c r="X22" s="3">
        <f t="shared" si="8"/>
        <v>229695.22</v>
      </c>
      <c r="Y22" s="3">
        <f t="shared" si="8"/>
        <v>111378.61</v>
      </c>
      <c r="Z22" s="3">
        <f t="shared" si="8"/>
        <v>0</v>
      </c>
      <c r="AA22" s="3">
        <f t="shared" si="8"/>
        <v>0</v>
      </c>
      <c r="AB22" s="3">
        <f t="shared" si="8"/>
        <v>0</v>
      </c>
      <c r="AC22" s="3">
        <f t="shared" si="8"/>
        <v>0</v>
      </c>
      <c r="AD22" s="3">
        <f t="shared" si="8"/>
        <v>0</v>
      </c>
      <c r="AE22" s="3">
        <f t="shared" si="8"/>
        <v>0</v>
      </c>
      <c r="AF22" s="3">
        <f t="shared" si="8"/>
        <v>0</v>
      </c>
      <c r="AG22" s="3">
        <f t="shared" si="8"/>
        <v>0</v>
      </c>
      <c r="AH22" s="3">
        <f t="shared" si="8"/>
        <v>0</v>
      </c>
      <c r="AI22" s="3">
        <f t="shared" si="8"/>
        <v>0</v>
      </c>
      <c r="AJ22" s="3">
        <f t="shared" si="8"/>
        <v>0</v>
      </c>
      <c r="AK22" s="3">
        <f t="shared" si="8"/>
        <v>0</v>
      </c>
      <c r="AL22" s="3">
        <f t="shared" si="8"/>
        <v>0</v>
      </c>
      <c r="AM22" s="3">
        <f t="shared" si="8"/>
        <v>0</v>
      </c>
      <c r="AN22" s="3">
        <f t="shared" si="8"/>
        <v>0</v>
      </c>
      <c r="AO22" s="3">
        <f t="shared" si="8"/>
        <v>0</v>
      </c>
      <c r="AP22" s="3">
        <f t="shared" si="8"/>
        <v>0</v>
      </c>
      <c r="AQ22" s="3">
        <f t="shared" si="8"/>
        <v>0</v>
      </c>
      <c r="AR22" s="3">
        <f t="shared" si="8"/>
        <v>994779.44</v>
      </c>
      <c r="AS22" s="3">
        <f t="shared" si="8"/>
        <v>994779.44</v>
      </c>
      <c r="AT22" s="3">
        <f t="shared" si="8"/>
        <v>0</v>
      </c>
      <c r="AU22" s="3">
        <f t="shared" ref="AU22:BZ22" si="9">AU80</f>
        <v>0</v>
      </c>
      <c r="AV22" s="3">
        <f t="shared" si="9"/>
        <v>379276.96</v>
      </c>
      <c r="AW22" s="3">
        <f t="shared" si="9"/>
        <v>379276.96</v>
      </c>
      <c r="AX22" s="3">
        <f t="shared" si="9"/>
        <v>0</v>
      </c>
      <c r="AY22" s="3">
        <f t="shared" si="9"/>
        <v>379276.96</v>
      </c>
      <c r="AZ22" s="3">
        <f t="shared" si="9"/>
        <v>0</v>
      </c>
      <c r="BA22" s="3">
        <f t="shared" si="9"/>
        <v>0</v>
      </c>
      <c r="BB22" s="3">
        <f t="shared" si="9"/>
        <v>0</v>
      </c>
      <c r="BC22" s="3">
        <f t="shared" si="9"/>
        <v>0</v>
      </c>
      <c r="BD22" s="3">
        <f t="shared" si="9"/>
        <v>15074.33</v>
      </c>
      <c r="BE22" s="3">
        <f t="shared" si="9"/>
        <v>0</v>
      </c>
      <c r="BF22" s="3">
        <f t="shared" si="9"/>
        <v>0</v>
      </c>
      <c r="BG22" s="3">
        <f t="shared" si="9"/>
        <v>0</v>
      </c>
      <c r="BH22" s="3">
        <f t="shared" si="9"/>
        <v>0</v>
      </c>
      <c r="BI22" s="3">
        <f t="shared" si="9"/>
        <v>0</v>
      </c>
      <c r="BJ22" s="3">
        <f t="shared" si="9"/>
        <v>0</v>
      </c>
      <c r="BK22" s="3">
        <f t="shared" si="9"/>
        <v>0</v>
      </c>
      <c r="BL22" s="3">
        <f t="shared" si="9"/>
        <v>0</v>
      </c>
      <c r="BM22" s="3">
        <f t="shared" si="9"/>
        <v>0</v>
      </c>
      <c r="BN22" s="3">
        <f t="shared" si="9"/>
        <v>0</v>
      </c>
      <c r="BO22" s="3">
        <f t="shared" si="9"/>
        <v>0</v>
      </c>
      <c r="BP22" s="3">
        <f t="shared" si="9"/>
        <v>0</v>
      </c>
      <c r="BQ22" s="3">
        <f t="shared" si="9"/>
        <v>0</v>
      </c>
      <c r="BR22" s="3">
        <f t="shared" si="9"/>
        <v>0</v>
      </c>
      <c r="BS22" s="3">
        <f t="shared" si="9"/>
        <v>0</v>
      </c>
      <c r="BT22" s="3">
        <f t="shared" si="9"/>
        <v>0</v>
      </c>
      <c r="BU22" s="3">
        <f t="shared" si="9"/>
        <v>0</v>
      </c>
      <c r="BV22" s="3">
        <f t="shared" si="9"/>
        <v>0</v>
      </c>
      <c r="BW22" s="3">
        <f t="shared" si="9"/>
        <v>0</v>
      </c>
      <c r="BX22" s="3">
        <f t="shared" si="9"/>
        <v>0</v>
      </c>
      <c r="BY22" s="3">
        <f t="shared" si="9"/>
        <v>0</v>
      </c>
      <c r="BZ22" s="3">
        <f t="shared" si="9"/>
        <v>0</v>
      </c>
      <c r="CA22" s="3">
        <f t="shared" ref="CA22:DF22" si="10">CA80</f>
        <v>0</v>
      </c>
      <c r="CB22" s="3">
        <f t="shared" si="10"/>
        <v>0</v>
      </c>
      <c r="CC22" s="3">
        <f t="shared" si="10"/>
        <v>0</v>
      </c>
      <c r="CD22" s="3">
        <f t="shared" si="10"/>
        <v>0</v>
      </c>
      <c r="CE22" s="3">
        <f t="shared" si="10"/>
        <v>0</v>
      </c>
      <c r="CF22" s="3">
        <f t="shared" si="10"/>
        <v>0</v>
      </c>
      <c r="CG22" s="3">
        <f t="shared" si="10"/>
        <v>0</v>
      </c>
      <c r="CH22" s="3">
        <f t="shared" si="10"/>
        <v>0</v>
      </c>
      <c r="CI22" s="3">
        <f t="shared" si="10"/>
        <v>0</v>
      </c>
      <c r="CJ22" s="3">
        <f t="shared" si="10"/>
        <v>0</v>
      </c>
      <c r="CK22" s="3">
        <f t="shared" si="10"/>
        <v>0</v>
      </c>
      <c r="CL22" s="3">
        <f t="shared" si="10"/>
        <v>0</v>
      </c>
      <c r="CM22" s="3">
        <f t="shared" si="10"/>
        <v>0</v>
      </c>
      <c r="CN22" s="3">
        <f t="shared" si="10"/>
        <v>0</v>
      </c>
      <c r="CO22" s="3">
        <f t="shared" si="10"/>
        <v>0</v>
      </c>
      <c r="CP22" s="3">
        <f t="shared" si="10"/>
        <v>0</v>
      </c>
      <c r="CQ22" s="3">
        <f t="shared" si="10"/>
        <v>0</v>
      </c>
      <c r="CR22" s="3">
        <f t="shared" si="10"/>
        <v>0</v>
      </c>
      <c r="CS22" s="3">
        <f t="shared" si="10"/>
        <v>0</v>
      </c>
      <c r="CT22" s="3">
        <f t="shared" si="10"/>
        <v>0</v>
      </c>
      <c r="CU22" s="3">
        <f t="shared" si="10"/>
        <v>0</v>
      </c>
      <c r="CV22" s="3">
        <f t="shared" si="10"/>
        <v>0</v>
      </c>
      <c r="CW22" s="3">
        <f t="shared" si="10"/>
        <v>0</v>
      </c>
      <c r="CX22" s="3">
        <f t="shared" si="10"/>
        <v>0</v>
      </c>
      <c r="CY22" s="3">
        <f t="shared" si="10"/>
        <v>0</v>
      </c>
      <c r="CZ22" s="3">
        <f t="shared" si="10"/>
        <v>0</v>
      </c>
      <c r="DA22" s="3">
        <f t="shared" si="10"/>
        <v>0</v>
      </c>
      <c r="DB22" s="3">
        <f t="shared" si="10"/>
        <v>0</v>
      </c>
      <c r="DC22" s="3">
        <f t="shared" si="10"/>
        <v>0</v>
      </c>
      <c r="DD22" s="3">
        <f t="shared" si="10"/>
        <v>0</v>
      </c>
      <c r="DE22" s="3">
        <f t="shared" si="10"/>
        <v>0</v>
      </c>
      <c r="DF22" s="3">
        <f t="shared" si="10"/>
        <v>0</v>
      </c>
      <c r="DG22" s="4">
        <f t="shared" ref="DG22:EL22" si="11">DG80</f>
        <v>0</v>
      </c>
      <c r="DH22" s="4">
        <f t="shared" si="11"/>
        <v>0</v>
      </c>
      <c r="DI22" s="4">
        <f t="shared" si="11"/>
        <v>0</v>
      </c>
      <c r="DJ22" s="4">
        <f t="shared" si="11"/>
        <v>0</v>
      </c>
      <c r="DK22" s="4">
        <f t="shared" si="11"/>
        <v>0</v>
      </c>
      <c r="DL22" s="4">
        <f t="shared" si="11"/>
        <v>0</v>
      </c>
      <c r="DM22" s="4">
        <f t="shared" si="11"/>
        <v>0</v>
      </c>
      <c r="DN22" s="4">
        <f t="shared" si="11"/>
        <v>0</v>
      </c>
      <c r="DO22" s="4">
        <f t="shared" si="11"/>
        <v>0</v>
      </c>
      <c r="DP22" s="4">
        <f t="shared" si="11"/>
        <v>0</v>
      </c>
      <c r="DQ22" s="4">
        <f t="shared" si="11"/>
        <v>0</v>
      </c>
      <c r="DR22" s="4">
        <f t="shared" si="11"/>
        <v>0</v>
      </c>
      <c r="DS22" s="4">
        <f t="shared" si="11"/>
        <v>0</v>
      </c>
      <c r="DT22" s="4">
        <f t="shared" si="11"/>
        <v>0</v>
      </c>
      <c r="DU22" s="4">
        <f t="shared" si="11"/>
        <v>0</v>
      </c>
      <c r="DV22" s="4">
        <f t="shared" si="11"/>
        <v>0</v>
      </c>
      <c r="DW22" s="4">
        <f t="shared" si="11"/>
        <v>0</v>
      </c>
      <c r="DX22" s="4">
        <f t="shared" si="11"/>
        <v>0</v>
      </c>
      <c r="DY22" s="4">
        <f t="shared" si="11"/>
        <v>0</v>
      </c>
      <c r="DZ22" s="4">
        <f t="shared" si="11"/>
        <v>0</v>
      </c>
      <c r="EA22" s="4">
        <f t="shared" si="11"/>
        <v>0</v>
      </c>
      <c r="EB22" s="4">
        <f t="shared" si="11"/>
        <v>0</v>
      </c>
      <c r="EC22" s="4">
        <f t="shared" si="11"/>
        <v>0</v>
      </c>
      <c r="ED22" s="4">
        <f t="shared" si="11"/>
        <v>0</v>
      </c>
      <c r="EE22" s="4">
        <f t="shared" si="11"/>
        <v>0</v>
      </c>
      <c r="EF22" s="4">
        <f t="shared" si="11"/>
        <v>0</v>
      </c>
      <c r="EG22" s="4">
        <f t="shared" si="11"/>
        <v>0</v>
      </c>
      <c r="EH22" s="4">
        <f t="shared" si="11"/>
        <v>0</v>
      </c>
      <c r="EI22" s="4">
        <f t="shared" si="11"/>
        <v>0</v>
      </c>
      <c r="EJ22" s="4">
        <f t="shared" si="11"/>
        <v>0</v>
      </c>
      <c r="EK22" s="4">
        <f t="shared" si="11"/>
        <v>0</v>
      </c>
      <c r="EL22" s="4">
        <f t="shared" si="11"/>
        <v>0</v>
      </c>
      <c r="EM22" s="4">
        <f t="shared" ref="EM22:FR22" si="12">EM80</f>
        <v>0</v>
      </c>
      <c r="EN22" s="4">
        <f t="shared" si="12"/>
        <v>0</v>
      </c>
      <c r="EO22" s="4">
        <f t="shared" si="12"/>
        <v>0</v>
      </c>
      <c r="EP22" s="4">
        <f t="shared" si="12"/>
        <v>0</v>
      </c>
      <c r="EQ22" s="4">
        <f t="shared" si="12"/>
        <v>0</v>
      </c>
      <c r="ER22" s="4">
        <f t="shared" si="12"/>
        <v>0</v>
      </c>
      <c r="ES22" s="4">
        <f t="shared" si="12"/>
        <v>0</v>
      </c>
      <c r="ET22" s="4">
        <f t="shared" si="12"/>
        <v>0</v>
      </c>
      <c r="EU22" s="4">
        <f t="shared" si="12"/>
        <v>0</v>
      </c>
      <c r="EV22" s="4">
        <f t="shared" si="12"/>
        <v>0</v>
      </c>
      <c r="EW22" s="4">
        <f t="shared" si="12"/>
        <v>0</v>
      </c>
      <c r="EX22" s="4">
        <f t="shared" si="12"/>
        <v>0</v>
      </c>
      <c r="EY22" s="4">
        <f t="shared" si="12"/>
        <v>0</v>
      </c>
      <c r="EZ22" s="4">
        <f t="shared" si="12"/>
        <v>0</v>
      </c>
      <c r="FA22" s="4">
        <f t="shared" si="12"/>
        <v>0</v>
      </c>
      <c r="FB22" s="4">
        <f t="shared" si="12"/>
        <v>0</v>
      </c>
      <c r="FC22" s="4">
        <f t="shared" si="12"/>
        <v>0</v>
      </c>
      <c r="FD22" s="4">
        <f t="shared" si="12"/>
        <v>0</v>
      </c>
      <c r="FE22" s="4">
        <f t="shared" si="12"/>
        <v>0</v>
      </c>
      <c r="FF22" s="4">
        <f t="shared" si="12"/>
        <v>0</v>
      </c>
      <c r="FG22" s="4">
        <f t="shared" si="12"/>
        <v>0</v>
      </c>
      <c r="FH22" s="4">
        <f t="shared" si="12"/>
        <v>0</v>
      </c>
      <c r="FI22" s="4">
        <f t="shared" si="12"/>
        <v>0</v>
      </c>
      <c r="FJ22" s="4">
        <f t="shared" si="12"/>
        <v>0</v>
      </c>
      <c r="FK22" s="4">
        <f t="shared" si="12"/>
        <v>0</v>
      </c>
      <c r="FL22" s="4">
        <f t="shared" si="12"/>
        <v>0</v>
      </c>
      <c r="FM22" s="4">
        <f t="shared" si="12"/>
        <v>0</v>
      </c>
      <c r="FN22" s="4">
        <f t="shared" si="12"/>
        <v>0</v>
      </c>
      <c r="FO22" s="4">
        <f t="shared" si="12"/>
        <v>0</v>
      </c>
      <c r="FP22" s="4">
        <f t="shared" si="12"/>
        <v>0</v>
      </c>
      <c r="FQ22" s="4">
        <f t="shared" si="12"/>
        <v>0</v>
      </c>
      <c r="FR22" s="4">
        <f t="shared" si="12"/>
        <v>0</v>
      </c>
      <c r="FS22" s="4">
        <f t="shared" ref="FS22:GX22" si="13">FS80</f>
        <v>0</v>
      </c>
      <c r="FT22" s="4">
        <f t="shared" si="13"/>
        <v>0</v>
      </c>
      <c r="FU22" s="4">
        <f t="shared" si="13"/>
        <v>0</v>
      </c>
      <c r="FV22" s="4">
        <f t="shared" si="13"/>
        <v>0</v>
      </c>
      <c r="FW22" s="4">
        <f t="shared" si="13"/>
        <v>0</v>
      </c>
      <c r="FX22" s="4">
        <f t="shared" si="13"/>
        <v>0</v>
      </c>
      <c r="FY22" s="4">
        <f t="shared" si="13"/>
        <v>0</v>
      </c>
      <c r="FZ22" s="4">
        <f t="shared" si="13"/>
        <v>0</v>
      </c>
      <c r="GA22" s="4">
        <f t="shared" si="13"/>
        <v>0</v>
      </c>
      <c r="GB22" s="4">
        <f t="shared" si="13"/>
        <v>0</v>
      </c>
      <c r="GC22" s="4">
        <f t="shared" si="13"/>
        <v>0</v>
      </c>
      <c r="GD22" s="4">
        <f t="shared" si="13"/>
        <v>0</v>
      </c>
      <c r="GE22" s="4">
        <f t="shared" si="13"/>
        <v>0</v>
      </c>
      <c r="GF22" s="4">
        <f t="shared" si="13"/>
        <v>0</v>
      </c>
      <c r="GG22" s="4">
        <f t="shared" si="13"/>
        <v>0</v>
      </c>
      <c r="GH22" s="4">
        <f t="shared" si="13"/>
        <v>0</v>
      </c>
      <c r="GI22" s="4">
        <f t="shared" si="13"/>
        <v>0</v>
      </c>
      <c r="GJ22" s="4">
        <f t="shared" si="13"/>
        <v>0</v>
      </c>
      <c r="GK22" s="4">
        <f t="shared" si="13"/>
        <v>0</v>
      </c>
      <c r="GL22" s="4">
        <f t="shared" si="13"/>
        <v>0</v>
      </c>
      <c r="GM22" s="4">
        <f t="shared" si="13"/>
        <v>0</v>
      </c>
      <c r="GN22" s="4">
        <f t="shared" si="13"/>
        <v>0</v>
      </c>
      <c r="GO22" s="4">
        <f t="shared" si="13"/>
        <v>0</v>
      </c>
      <c r="GP22" s="4">
        <f t="shared" si="13"/>
        <v>0</v>
      </c>
      <c r="GQ22" s="4">
        <f t="shared" si="13"/>
        <v>0</v>
      </c>
      <c r="GR22" s="4">
        <f t="shared" si="13"/>
        <v>0</v>
      </c>
      <c r="GS22" s="4">
        <f t="shared" si="13"/>
        <v>0</v>
      </c>
      <c r="GT22" s="4">
        <f t="shared" si="13"/>
        <v>0</v>
      </c>
      <c r="GU22" s="4">
        <f t="shared" si="13"/>
        <v>0</v>
      </c>
      <c r="GV22" s="4">
        <f t="shared" si="13"/>
        <v>0</v>
      </c>
      <c r="GW22" s="4">
        <f t="shared" si="13"/>
        <v>0</v>
      </c>
      <c r="GX22" s="4">
        <f t="shared" si="13"/>
        <v>0</v>
      </c>
    </row>
    <row r="24" spans="1:255" x14ac:dyDescent="0.2">
      <c r="A24" s="1">
        <v>4</v>
      </c>
      <c r="B24" s="1">
        <v>1</v>
      </c>
      <c r="C24" s="1"/>
      <c r="D24" s="1">
        <f>ROW(A50)</f>
        <v>50</v>
      </c>
      <c r="E24" s="1"/>
      <c r="F24" s="1" t="s">
        <v>15</v>
      </c>
      <c r="G24" s="1" t="s">
        <v>16</v>
      </c>
      <c r="H24" s="1" t="s">
        <v>3</v>
      </c>
      <c r="I24" s="1">
        <v>0</v>
      </c>
      <c r="J24" s="1"/>
      <c r="K24" s="1">
        <v>-1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55" x14ac:dyDescent="0.2">
      <c r="A26" s="3">
        <v>52</v>
      </c>
      <c r="B26" s="3">
        <f t="shared" ref="B26:G26" si="14">B50</f>
        <v>1</v>
      </c>
      <c r="C26" s="3">
        <f t="shared" si="14"/>
        <v>4</v>
      </c>
      <c r="D26" s="3">
        <f t="shared" si="14"/>
        <v>24</v>
      </c>
      <c r="E26" s="3">
        <f t="shared" si="14"/>
        <v>0</v>
      </c>
      <c r="F26" s="3" t="str">
        <f t="shared" si="14"/>
        <v>Новый раздел</v>
      </c>
      <c r="G26" s="3" t="str">
        <f t="shared" si="14"/>
        <v>Ремонт</v>
      </c>
      <c r="H26" s="3"/>
      <c r="I26" s="3"/>
      <c r="J26" s="3"/>
      <c r="K26" s="3"/>
      <c r="L26" s="3"/>
      <c r="M26" s="3"/>
      <c r="N26" s="3"/>
      <c r="O26" s="3">
        <f t="shared" ref="O26:AT26" si="15">O50</f>
        <v>638631.28</v>
      </c>
      <c r="P26" s="3">
        <f t="shared" si="15"/>
        <v>379276.96</v>
      </c>
      <c r="Q26" s="3">
        <f t="shared" si="15"/>
        <v>2504.5700000000002</v>
      </c>
      <c r="R26" s="3">
        <f t="shared" si="15"/>
        <v>2896.67</v>
      </c>
      <c r="S26" s="3">
        <f t="shared" si="15"/>
        <v>253953.08</v>
      </c>
      <c r="T26" s="3">
        <f t="shared" si="15"/>
        <v>0</v>
      </c>
      <c r="U26" s="3">
        <f t="shared" si="15"/>
        <v>371.39463000000001</v>
      </c>
      <c r="V26" s="3">
        <f t="shared" si="15"/>
        <v>4.0033199999999995</v>
      </c>
      <c r="W26" s="3">
        <f t="shared" si="15"/>
        <v>0</v>
      </c>
      <c r="X26" s="3">
        <f t="shared" si="15"/>
        <v>229695.22</v>
      </c>
      <c r="Y26" s="3">
        <f t="shared" si="15"/>
        <v>111378.61</v>
      </c>
      <c r="Z26" s="3">
        <f t="shared" si="15"/>
        <v>0</v>
      </c>
      <c r="AA26" s="3">
        <f t="shared" si="15"/>
        <v>0</v>
      </c>
      <c r="AB26" s="3">
        <f t="shared" si="15"/>
        <v>638631.28</v>
      </c>
      <c r="AC26" s="3">
        <f t="shared" si="15"/>
        <v>379276.96</v>
      </c>
      <c r="AD26" s="3">
        <f t="shared" si="15"/>
        <v>2504.5700000000002</v>
      </c>
      <c r="AE26" s="3">
        <f t="shared" si="15"/>
        <v>2896.67</v>
      </c>
      <c r="AF26" s="3">
        <f t="shared" si="15"/>
        <v>253953.08</v>
      </c>
      <c r="AG26" s="3">
        <f t="shared" si="15"/>
        <v>0</v>
      </c>
      <c r="AH26" s="3">
        <f t="shared" si="15"/>
        <v>371.39463000000001</v>
      </c>
      <c r="AI26" s="3">
        <f t="shared" si="15"/>
        <v>4.0033199999999995</v>
      </c>
      <c r="AJ26" s="3">
        <f t="shared" si="15"/>
        <v>0</v>
      </c>
      <c r="AK26" s="3">
        <f t="shared" si="15"/>
        <v>229695.22</v>
      </c>
      <c r="AL26" s="3">
        <f t="shared" si="15"/>
        <v>111378.61</v>
      </c>
      <c r="AM26" s="3">
        <f t="shared" si="15"/>
        <v>0</v>
      </c>
      <c r="AN26" s="3">
        <f t="shared" si="15"/>
        <v>0</v>
      </c>
      <c r="AO26" s="3">
        <f t="shared" si="15"/>
        <v>0</v>
      </c>
      <c r="AP26" s="3">
        <f t="shared" si="15"/>
        <v>0</v>
      </c>
      <c r="AQ26" s="3">
        <f t="shared" si="15"/>
        <v>0</v>
      </c>
      <c r="AR26" s="3">
        <f t="shared" si="15"/>
        <v>994779.44</v>
      </c>
      <c r="AS26" s="3">
        <f t="shared" si="15"/>
        <v>994779.44</v>
      </c>
      <c r="AT26" s="3">
        <f t="shared" si="15"/>
        <v>0</v>
      </c>
      <c r="AU26" s="3">
        <f t="shared" ref="AU26:BZ26" si="16">AU50</f>
        <v>0</v>
      </c>
      <c r="AV26" s="3">
        <f t="shared" si="16"/>
        <v>379276.96</v>
      </c>
      <c r="AW26" s="3">
        <f t="shared" si="16"/>
        <v>379276.96</v>
      </c>
      <c r="AX26" s="3">
        <f t="shared" si="16"/>
        <v>0</v>
      </c>
      <c r="AY26" s="3">
        <f t="shared" si="16"/>
        <v>379276.96</v>
      </c>
      <c r="AZ26" s="3">
        <f t="shared" si="16"/>
        <v>0</v>
      </c>
      <c r="BA26" s="3">
        <f t="shared" si="16"/>
        <v>0</v>
      </c>
      <c r="BB26" s="3">
        <f t="shared" si="16"/>
        <v>0</v>
      </c>
      <c r="BC26" s="3">
        <f t="shared" si="16"/>
        <v>0</v>
      </c>
      <c r="BD26" s="3">
        <f t="shared" si="16"/>
        <v>15074.33</v>
      </c>
      <c r="BE26" s="3">
        <f t="shared" si="16"/>
        <v>0</v>
      </c>
      <c r="BF26" s="3">
        <f t="shared" si="16"/>
        <v>0</v>
      </c>
      <c r="BG26" s="3">
        <f t="shared" si="16"/>
        <v>0</v>
      </c>
      <c r="BH26" s="3">
        <f t="shared" si="16"/>
        <v>0</v>
      </c>
      <c r="BI26" s="3">
        <f t="shared" si="16"/>
        <v>0</v>
      </c>
      <c r="BJ26" s="3">
        <f t="shared" si="16"/>
        <v>0</v>
      </c>
      <c r="BK26" s="3">
        <f t="shared" si="16"/>
        <v>0</v>
      </c>
      <c r="BL26" s="3">
        <f t="shared" si="16"/>
        <v>0</v>
      </c>
      <c r="BM26" s="3">
        <f t="shared" si="16"/>
        <v>0</v>
      </c>
      <c r="BN26" s="3">
        <f t="shared" si="16"/>
        <v>0</v>
      </c>
      <c r="BO26" s="3">
        <f t="shared" si="16"/>
        <v>0</v>
      </c>
      <c r="BP26" s="3">
        <f t="shared" si="16"/>
        <v>0</v>
      </c>
      <c r="BQ26" s="3">
        <f t="shared" si="16"/>
        <v>0</v>
      </c>
      <c r="BR26" s="3">
        <f t="shared" si="16"/>
        <v>0</v>
      </c>
      <c r="BS26" s="3">
        <f t="shared" si="16"/>
        <v>0</v>
      </c>
      <c r="BT26" s="3">
        <f t="shared" si="16"/>
        <v>0</v>
      </c>
      <c r="BU26" s="3">
        <f t="shared" si="16"/>
        <v>0</v>
      </c>
      <c r="BV26" s="3">
        <f t="shared" si="16"/>
        <v>0</v>
      </c>
      <c r="BW26" s="3">
        <f t="shared" si="16"/>
        <v>0</v>
      </c>
      <c r="BX26" s="3">
        <f t="shared" si="16"/>
        <v>0</v>
      </c>
      <c r="BY26" s="3">
        <f t="shared" si="16"/>
        <v>0</v>
      </c>
      <c r="BZ26" s="3">
        <f t="shared" si="16"/>
        <v>0</v>
      </c>
      <c r="CA26" s="3">
        <f t="shared" ref="CA26:DF26" si="17">CA50</f>
        <v>994779.44</v>
      </c>
      <c r="CB26" s="3">
        <f t="shared" si="17"/>
        <v>994779.44</v>
      </c>
      <c r="CC26" s="3">
        <f t="shared" si="17"/>
        <v>0</v>
      </c>
      <c r="CD26" s="3">
        <f t="shared" si="17"/>
        <v>0</v>
      </c>
      <c r="CE26" s="3">
        <f t="shared" si="17"/>
        <v>379276.96</v>
      </c>
      <c r="CF26" s="3">
        <f t="shared" si="17"/>
        <v>379276.96</v>
      </c>
      <c r="CG26" s="3">
        <f t="shared" si="17"/>
        <v>0</v>
      </c>
      <c r="CH26" s="3">
        <f t="shared" si="17"/>
        <v>379276.96</v>
      </c>
      <c r="CI26" s="3">
        <f t="shared" si="17"/>
        <v>0</v>
      </c>
      <c r="CJ26" s="3">
        <f t="shared" si="17"/>
        <v>0</v>
      </c>
      <c r="CK26" s="3">
        <f t="shared" si="17"/>
        <v>0</v>
      </c>
      <c r="CL26" s="3">
        <f t="shared" si="17"/>
        <v>0</v>
      </c>
      <c r="CM26" s="3">
        <f t="shared" si="17"/>
        <v>15074.33</v>
      </c>
      <c r="CN26" s="3">
        <f t="shared" si="17"/>
        <v>0</v>
      </c>
      <c r="CO26" s="3">
        <f t="shared" si="17"/>
        <v>0</v>
      </c>
      <c r="CP26" s="3">
        <f t="shared" si="17"/>
        <v>0</v>
      </c>
      <c r="CQ26" s="3">
        <f t="shared" si="17"/>
        <v>0</v>
      </c>
      <c r="CR26" s="3">
        <f t="shared" si="17"/>
        <v>0</v>
      </c>
      <c r="CS26" s="3">
        <f t="shared" si="17"/>
        <v>0</v>
      </c>
      <c r="CT26" s="3">
        <f t="shared" si="17"/>
        <v>0</v>
      </c>
      <c r="CU26" s="3">
        <f t="shared" si="17"/>
        <v>0</v>
      </c>
      <c r="CV26" s="3">
        <f t="shared" si="17"/>
        <v>0</v>
      </c>
      <c r="CW26" s="3">
        <f t="shared" si="17"/>
        <v>0</v>
      </c>
      <c r="CX26" s="3">
        <f t="shared" si="17"/>
        <v>0</v>
      </c>
      <c r="CY26" s="3">
        <f t="shared" si="17"/>
        <v>0</v>
      </c>
      <c r="CZ26" s="3">
        <f t="shared" si="17"/>
        <v>0</v>
      </c>
      <c r="DA26" s="3">
        <f t="shared" si="17"/>
        <v>0</v>
      </c>
      <c r="DB26" s="3">
        <f t="shared" si="17"/>
        <v>0</v>
      </c>
      <c r="DC26" s="3">
        <f t="shared" si="17"/>
        <v>0</v>
      </c>
      <c r="DD26" s="3">
        <f t="shared" si="17"/>
        <v>0</v>
      </c>
      <c r="DE26" s="3">
        <f t="shared" si="17"/>
        <v>0</v>
      </c>
      <c r="DF26" s="3">
        <f t="shared" si="17"/>
        <v>0</v>
      </c>
      <c r="DG26" s="4">
        <f t="shared" ref="DG26:EL26" si="18">DG50</f>
        <v>0</v>
      </c>
      <c r="DH26" s="4">
        <f t="shared" si="18"/>
        <v>0</v>
      </c>
      <c r="DI26" s="4">
        <f t="shared" si="18"/>
        <v>0</v>
      </c>
      <c r="DJ26" s="4">
        <f t="shared" si="18"/>
        <v>0</v>
      </c>
      <c r="DK26" s="4">
        <f t="shared" si="18"/>
        <v>0</v>
      </c>
      <c r="DL26" s="4">
        <f t="shared" si="18"/>
        <v>0</v>
      </c>
      <c r="DM26" s="4">
        <f t="shared" si="18"/>
        <v>0</v>
      </c>
      <c r="DN26" s="4">
        <f t="shared" si="18"/>
        <v>0</v>
      </c>
      <c r="DO26" s="4">
        <f t="shared" si="18"/>
        <v>0</v>
      </c>
      <c r="DP26" s="4">
        <f t="shared" si="18"/>
        <v>0</v>
      </c>
      <c r="DQ26" s="4">
        <f t="shared" si="18"/>
        <v>0</v>
      </c>
      <c r="DR26" s="4">
        <f t="shared" si="18"/>
        <v>0</v>
      </c>
      <c r="DS26" s="4">
        <f t="shared" si="18"/>
        <v>0</v>
      </c>
      <c r="DT26" s="4">
        <f t="shared" si="18"/>
        <v>0</v>
      </c>
      <c r="DU26" s="4">
        <f t="shared" si="18"/>
        <v>0</v>
      </c>
      <c r="DV26" s="4">
        <f t="shared" si="18"/>
        <v>0</v>
      </c>
      <c r="DW26" s="4">
        <f t="shared" si="18"/>
        <v>0</v>
      </c>
      <c r="DX26" s="4">
        <f t="shared" si="18"/>
        <v>0</v>
      </c>
      <c r="DY26" s="4">
        <f t="shared" si="18"/>
        <v>0</v>
      </c>
      <c r="DZ26" s="4">
        <f t="shared" si="18"/>
        <v>0</v>
      </c>
      <c r="EA26" s="4">
        <f t="shared" si="18"/>
        <v>0</v>
      </c>
      <c r="EB26" s="4">
        <f t="shared" si="18"/>
        <v>0</v>
      </c>
      <c r="EC26" s="4">
        <f t="shared" si="18"/>
        <v>0</v>
      </c>
      <c r="ED26" s="4">
        <f t="shared" si="18"/>
        <v>0</v>
      </c>
      <c r="EE26" s="4">
        <f t="shared" si="18"/>
        <v>0</v>
      </c>
      <c r="EF26" s="4">
        <f t="shared" si="18"/>
        <v>0</v>
      </c>
      <c r="EG26" s="4">
        <f t="shared" si="18"/>
        <v>0</v>
      </c>
      <c r="EH26" s="4">
        <f t="shared" si="18"/>
        <v>0</v>
      </c>
      <c r="EI26" s="4">
        <f t="shared" si="18"/>
        <v>0</v>
      </c>
      <c r="EJ26" s="4">
        <f t="shared" si="18"/>
        <v>0</v>
      </c>
      <c r="EK26" s="4">
        <f t="shared" si="18"/>
        <v>0</v>
      </c>
      <c r="EL26" s="4">
        <f t="shared" si="18"/>
        <v>0</v>
      </c>
      <c r="EM26" s="4">
        <f t="shared" ref="EM26:FR26" si="19">EM50</f>
        <v>0</v>
      </c>
      <c r="EN26" s="4">
        <f t="shared" si="19"/>
        <v>0</v>
      </c>
      <c r="EO26" s="4">
        <f t="shared" si="19"/>
        <v>0</v>
      </c>
      <c r="EP26" s="4">
        <f t="shared" si="19"/>
        <v>0</v>
      </c>
      <c r="EQ26" s="4">
        <f t="shared" si="19"/>
        <v>0</v>
      </c>
      <c r="ER26" s="4">
        <f t="shared" si="19"/>
        <v>0</v>
      </c>
      <c r="ES26" s="4">
        <f t="shared" si="19"/>
        <v>0</v>
      </c>
      <c r="ET26" s="4">
        <f t="shared" si="19"/>
        <v>0</v>
      </c>
      <c r="EU26" s="4">
        <f t="shared" si="19"/>
        <v>0</v>
      </c>
      <c r="EV26" s="4">
        <f t="shared" si="19"/>
        <v>0</v>
      </c>
      <c r="EW26" s="4">
        <f t="shared" si="19"/>
        <v>0</v>
      </c>
      <c r="EX26" s="4">
        <f t="shared" si="19"/>
        <v>0</v>
      </c>
      <c r="EY26" s="4">
        <f t="shared" si="19"/>
        <v>0</v>
      </c>
      <c r="EZ26" s="4">
        <f t="shared" si="19"/>
        <v>0</v>
      </c>
      <c r="FA26" s="4">
        <f t="shared" si="19"/>
        <v>0</v>
      </c>
      <c r="FB26" s="4">
        <f t="shared" si="19"/>
        <v>0</v>
      </c>
      <c r="FC26" s="4">
        <f t="shared" si="19"/>
        <v>0</v>
      </c>
      <c r="FD26" s="4">
        <f t="shared" si="19"/>
        <v>0</v>
      </c>
      <c r="FE26" s="4">
        <f t="shared" si="19"/>
        <v>0</v>
      </c>
      <c r="FF26" s="4">
        <f t="shared" si="19"/>
        <v>0</v>
      </c>
      <c r="FG26" s="4">
        <f t="shared" si="19"/>
        <v>0</v>
      </c>
      <c r="FH26" s="4">
        <f t="shared" si="19"/>
        <v>0</v>
      </c>
      <c r="FI26" s="4">
        <f t="shared" si="19"/>
        <v>0</v>
      </c>
      <c r="FJ26" s="4">
        <f t="shared" si="19"/>
        <v>0</v>
      </c>
      <c r="FK26" s="4">
        <f t="shared" si="19"/>
        <v>0</v>
      </c>
      <c r="FL26" s="4">
        <f t="shared" si="19"/>
        <v>0</v>
      </c>
      <c r="FM26" s="4">
        <f t="shared" si="19"/>
        <v>0</v>
      </c>
      <c r="FN26" s="4">
        <f t="shared" si="19"/>
        <v>0</v>
      </c>
      <c r="FO26" s="4">
        <f t="shared" si="19"/>
        <v>0</v>
      </c>
      <c r="FP26" s="4">
        <f t="shared" si="19"/>
        <v>0</v>
      </c>
      <c r="FQ26" s="4">
        <f t="shared" si="19"/>
        <v>0</v>
      </c>
      <c r="FR26" s="4">
        <f t="shared" si="19"/>
        <v>0</v>
      </c>
      <c r="FS26" s="4">
        <f t="shared" ref="FS26:GX26" si="20">FS50</f>
        <v>0</v>
      </c>
      <c r="FT26" s="4">
        <f t="shared" si="20"/>
        <v>0</v>
      </c>
      <c r="FU26" s="4">
        <f t="shared" si="20"/>
        <v>0</v>
      </c>
      <c r="FV26" s="4">
        <f t="shared" si="20"/>
        <v>0</v>
      </c>
      <c r="FW26" s="4">
        <f t="shared" si="20"/>
        <v>0</v>
      </c>
      <c r="FX26" s="4">
        <f t="shared" si="20"/>
        <v>0</v>
      </c>
      <c r="FY26" s="4">
        <f t="shared" si="20"/>
        <v>0</v>
      </c>
      <c r="FZ26" s="4">
        <f t="shared" si="20"/>
        <v>0</v>
      </c>
      <c r="GA26" s="4">
        <f t="shared" si="20"/>
        <v>0</v>
      </c>
      <c r="GB26" s="4">
        <f t="shared" si="20"/>
        <v>0</v>
      </c>
      <c r="GC26" s="4">
        <f t="shared" si="20"/>
        <v>0</v>
      </c>
      <c r="GD26" s="4">
        <f t="shared" si="20"/>
        <v>0</v>
      </c>
      <c r="GE26" s="4">
        <f t="shared" si="20"/>
        <v>0</v>
      </c>
      <c r="GF26" s="4">
        <f t="shared" si="20"/>
        <v>0</v>
      </c>
      <c r="GG26" s="4">
        <f t="shared" si="20"/>
        <v>0</v>
      </c>
      <c r="GH26" s="4">
        <f t="shared" si="20"/>
        <v>0</v>
      </c>
      <c r="GI26" s="4">
        <f t="shared" si="20"/>
        <v>0</v>
      </c>
      <c r="GJ26" s="4">
        <f t="shared" si="20"/>
        <v>0</v>
      </c>
      <c r="GK26" s="4">
        <f t="shared" si="20"/>
        <v>0</v>
      </c>
      <c r="GL26" s="4">
        <f t="shared" si="20"/>
        <v>0</v>
      </c>
      <c r="GM26" s="4">
        <f t="shared" si="20"/>
        <v>0</v>
      </c>
      <c r="GN26" s="4">
        <f t="shared" si="20"/>
        <v>0</v>
      </c>
      <c r="GO26" s="4">
        <f t="shared" si="20"/>
        <v>0</v>
      </c>
      <c r="GP26" s="4">
        <f t="shared" si="20"/>
        <v>0</v>
      </c>
      <c r="GQ26" s="4">
        <f t="shared" si="20"/>
        <v>0</v>
      </c>
      <c r="GR26" s="4">
        <f t="shared" si="20"/>
        <v>0</v>
      </c>
      <c r="GS26" s="4">
        <f t="shared" si="20"/>
        <v>0</v>
      </c>
      <c r="GT26" s="4">
        <f t="shared" si="20"/>
        <v>0</v>
      </c>
      <c r="GU26" s="4">
        <f t="shared" si="20"/>
        <v>0</v>
      </c>
      <c r="GV26" s="4">
        <f t="shared" si="20"/>
        <v>0</v>
      </c>
      <c r="GW26" s="4">
        <f t="shared" si="20"/>
        <v>0</v>
      </c>
      <c r="GX26" s="4">
        <f t="shared" si="20"/>
        <v>0</v>
      </c>
    </row>
    <row r="28" spans="1:255" x14ac:dyDescent="0.2">
      <c r="A28" s="2">
        <v>17</v>
      </c>
      <c r="B28" s="2">
        <v>1</v>
      </c>
      <c r="C28" s="2">
        <f>ROW(SmtRes!A7)</f>
        <v>7</v>
      </c>
      <c r="D28" s="2">
        <f>ROW(EtalonRes!A7)</f>
        <v>7</v>
      </c>
      <c r="E28" s="2" t="s">
        <v>17</v>
      </c>
      <c r="F28" s="2" t="s">
        <v>18</v>
      </c>
      <c r="G28" s="2" t="s">
        <v>19</v>
      </c>
      <c r="H28" s="2" t="s">
        <v>20</v>
      </c>
      <c r="I28" s="2">
        <f>ROUND(82/100,7)</f>
        <v>0.82</v>
      </c>
      <c r="J28" s="2">
        <v>0</v>
      </c>
      <c r="K28" s="2">
        <f>ROUND(82/100,7)</f>
        <v>0.82</v>
      </c>
      <c r="L28" s="2"/>
      <c r="M28" s="2"/>
      <c r="N28" s="2"/>
      <c r="O28" s="2">
        <f t="shared" ref="O28:O46" si="21">ROUND(CP28,2)</f>
        <v>102319.85</v>
      </c>
      <c r="P28" s="2">
        <f>SUMIF(SmtRes!AQ1:'SmtRes'!AQ7,"=1",SmtRes!DF1:'SmtRes'!DF7)</f>
        <v>8583.42</v>
      </c>
      <c r="Q28" s="2">
        <f>SUMIF(SmtRes!AQ1:'SmtRes'!AQ7,"=1",SmtRes!DG1:'SmtRes'!DG7)</f>
        <v>659.48</v>
      </c>
      <c r="R28" s="2">
        <f>SUMIF(SmtRes!AQ1:'SmtRes'!AQ7,"=1",SmtRes!DH1:'SmtRes'!DH7)</f>
        <v>791.32</v>
      </c>
      <c r="S28" s="2">
        <f>SUMIF(SmtRes!AQ1:'SmtRes'!AQ7,"=1",SmtRes!DI1:'SmtRes'!DI7)</f>
        <v>92285.63</v>
      </c>
      <c r="T28" s="2">
        <f t="shared" ref="T28:T46" si="22">ROUND(CU28*I28,2)</f>
        <v>0</v>
      </c>
      <c r="U28" s="2">
        <f>SUMIF(SmtRes!AQ1:'SmtRes'!AQ7,"=1",SmtRes!CV1:'SmtRes'!CV7)</f>
        <v>140.38399999999999</v>
      </c>
      <c r="V28" s="2">
        <f>SUMIF(SmtRes!AQ1:'SmtRes'!AQ7,"=1",SmtRes!CW1:'SmtRes'!CW7)</f>
        <v>1.0824</v>
      </c>
      <c r="W28" s="2">
        <f t="shared" ref="W28:W46" si="23">ROUND(CX28*I28,2)</f>
        <v>0</v>
      </c>
      <c r="X28" s="2">
        <f t="shared" ref="X28:X46" si="24">ROUND(CY28,2)</f>
        <v>82838.490000000005</v>
      </c>
      <c r="Y28" s="2">
        <f t="shared" ref="Y28:Y46" si="25">ROUND(CZ28,2)</f>
        <v>40953.86</v>
      </c>
      <c r="Z28" s="2"/>
      <c r="AA28" s="2">
        <v>94298235</v>
      </c>
      <c r="AB28" s="2">
        <f t="shared" ref="AB28:AB46" si="26">ROUND((AC28+AD28+AF28),6)</f>
        <v>120821.0475</v>
      </c>
      <c r="AC28" s="2">
        <f>ROUND((SUM(SmtRes!BQ1:'SmtRes'!BQ7)),6)</f>
        <v>7475.6904999999997</v>
      </c>
      <c r="AD28" s="2">
        <f>ROUND((((SUM(SmtRes!BR1:'SmtRes'!BR7))-(SUM(SmtRes!BS1:'SmtRes'!BS7)))+AE28),6)</f>
        <v>801.90099999999995</v>
      </c>
      <c r="AE28" s="2">
        <f>ROUND((SUM(SmtRes!BS1:'SmtRes'!BS7)),6)</f>
        <v>965.02560000000005</v>
      </c>
      <c r="AF28" s="2">
        <f>ROUND((SUM(SmtRes!BT1:'SmtRes'!BT7)),6)</f>
        <v>112543.45600000001</v>
      </c>
      <c r="AG28" s="2">
        <f t="shared" ref="AG28:AG46" si="27">ROUND((AP28),6)</f>
        <v>0</v>
      </c>
      <c r="AH28" s="2">
        <f>(SUM(SmtRes!BU1:'SmtRes'!BU7))</f>
        <v>171.2</v>
      </c>
      <c r="AI28" s="2">
        <f>(SUM(SmtRes!BV1:'SmtRes'!BV7))</f>
        <v>1.32</v>
      </c>
      <c r="AJ28" s="2">
        <f t="shared" ref="AJ28:AJ46" si="28">(AS28)</f>
        <v>0</v>
      </c>
      <c r="AK28" s="2">
        <v>121786.07309999998</v>
      </c>
      <c r="AL28" s="2">
        <v>7475.6905000000006</v>
      </c>
      <c r="AM28" s="2">
        <v>801.90100000000007</v>
      </c>
      <c r="AN28" s="2">
        <v>965.02560000000005</v>
      </c>
      <c r="AO28" s="2">
        <v>112543.45599999999</v>
      </c>
      <c r="AP28" s="2">
        <v>0</v>
      </c>
      <c r="AQ28" s="2">
        <v>171.2</v>
      </c>
      <c r="AR28" s="2">
        <v>1.32</v>
      </c>
      <c r="AS28" s="2">
        <v>0</v>
      </c>
      <c r="AT28" s="2">
        <v>89</v>
      </c>
      <c r="AU28" s="2">
        <v>44</v>
      </c>
      <c r="AV28" s="2">
        <v>1</v>
      </c>
      <c r="AW28" s="2">
        <v>1</v>
      </c>
      <c r="AX28" s="2"/>
      <c r="AY28" s="2"/>
      <c r="AZ28" s="2">
        <v>1</v>
      </c>
      <c r="BA28" s="2">
        <v>1</v>
      </c>
      <c r="BB28" s="2">
        <v>1</v>
      </c>
      <c r="BC28" s="2">
        <v>1</v>
      </c>
      <c r="BD28" s="2" t="s">
        <v>3</v>
      </c>
      <c r="BE28" s="2" t="s">
        <v>3</v>
      </c>
      <c r="BF28" s="2" t="s">
        <v>3</v>
      </c>
      <c r="BG28" s="2" t="s">
        <v>3</v>
      </c>
      <c r="BH28" s="2">
        <v>0</v>
      </c>
      <c r="BI28" s="2">
        <v>1</v>
      </c>
      <c r="BJ28" s="2" t="s">
        <v>21</v>
      </c>
      <c r="BK28" s="2"/>
      <c r="BL28" s="2"/>
      <c r="BM28" s="2">
        <v>61001</v>
      </c>
      <c r="BN28" s="2">
        <v>0</v>
      </c>
      <c r="BO28" s="2" t="s">
        <v>3</v>
      </c>
      <c r="BP28" s="2">
        <v>0</v>
      </c>
      <c r="BQ28" s="2">
        <v>6</v>
      </c>
      <c r="BR28" s="2">
        <v>0</v>
      </c>
      <c r="BS28" s="2">
        <v>1</v>
      </c>
      <c r="BT28" s="2">
        <v>1</v>
      </c>
      <c r="BU28" s="2">
        <v>1</v>
      </c>
      <c r="BV28" s="2">
        <v>1</v>
      </c>
      <c r="BW28" s="2">
        <v>1</v>
      </c>
      <c r="BX28" s="2">
        <v>1</v>
      </c>
      <c r="BY28" s="2" t="s">
        <v>3</v>
      </c>
      <c r="BZ28" s="2">
        <v>89</v>
      </c>
      <c r="CA28" s="2">
        <v>44</v>
      </c>
      <c r="CB28" s="2" t="s">
        <v>3</v>
      </c>
      <c r="CC28" s="2"/>
      <c r="CD28" s="2"/>
      <c r="CE28" s="2">
        <v>0</v>
      </c>
      <c r="CF28" s="2">
        <v>0</v>
      </c>
      <c r="CG28" s="2">
        <v>0</v>
      </c>
      <c r="CH28" s="2"/>
      <c r="CI28" s="2"/>
      <c r="CJ28" s="2"/>
      <c r="CK28" s="2"/>
      <c r="CL28" s="2"/>
      <c r="CM28" s="2">
        <v>0</v>
      </c>
      <c r="CN28" s="2" t="s">
        <v>3</v>
      </c>
      <c r="CO28" s="2">
        <v>0</v>
      </c>
      <c r="CP28" s="2">
        <f t="shared" ref="CP28:CP46" si="29">(P28+Q28+S28+R28)</f>
        <v>102319.85</v>
      </c>
      <c r="CQ28" s="2">
        <f>SUMIF(SmtRes!AQ1:'SmtRes'!AQ7,"=1",SmtRes!AA1:'SmtRes'!AA7)</f>
        <v>4803.9400000000005</v>
      </c>
      <c r="CR28" s="2">
        <f>SUMIF(SmtRes!AQ1:'SmtRes'!AQ7,"=1",SmtRes!AB1:'SmtRes'!AB7)</f>
        <v>613.87</v>
      </c>
      <c r="CS28" s="2">
        <f>SUMIF(SmtRes!AQ1:'SmtRes'!AQ7,"=1",SmtRes!AC1:'SmtRes'!AC7)</f>
        <v>731.08</v>
      </c>
      <c r="CT28" s="2">
        <f>SUMIF(SmtRes!AQ1:'SmtRes'!AQ7,"=1",SmtRes!AD1:'SmtRes'!AD7)</f>
        <v>657.38</v>
      </c>
      <c r="CU28" s="2">
        <f t="shared" ref="CU28:CU46" si="30">AG28</f>
        <v>0</v>
      </c>
      <c r="CV28" s="2">
        <f>SUMIF(SmtRes!AQ1:'SmtRes'!AQ7,"=1",SmtRes!BU1:'SmtRes'!BU7)</f>
        <v>171.2</v>
      </c>
      <c r="CW28" s="2">
        <f>SUMIF(SmtRes!AQ1:'SmtRes'!AQ7,"=1",SmtRes!BV1:'SmtRes'!BV7)</f>
        <v>1.32</v>
      </c>
      <c r="CX28" s="2">
        <f t="shared" ref="CX28:CX46" si="31">AJ28</f>
        <v>0</v>
      </c>
      <c r="CY28" s="2">
        <f t="shared" ref="CY28:CY46" si="32">(((S28+R28)*AT28)/100)</f>
        <v>82838.48550000001</v>
      </c>
      <c r="CZ28" s="2">
        <f t="shared" ref="CZ28:CZ46" si="33">(((S28+R28)*AU28)/100)</f>
        <v>40953.858000000007</v>
      </c>
      <c r="DA28" s="2"/>
      <c r="DB28" s="2"/>
      <c r="DC28" s="2" t="s">
        <v>3</v>
      </c>
      <c r="DD28" s="2" t="s">
        <v>3</v>
      </c>
      <c r="DE28" s="2" t="s">
        <v>3</v>
      </c>
      <c r="DF28" s="2" t="s">
        <v>3</v>
      </c>
      <c r="DG28" s="2" t="s">
        <v>3</v>
      </c>
      <c r="DH28" s="2" t="s">
        <v>3</v>
      </c>
      <c r="DI28" s="2" t="s">
        <v>3</v>
      </c>
      <c r="DJ28" s="2" t="s">
        <v>3</v>
      </c>
      <c r="DK28" s="2" t="s">
        <v>3</v>
      </c>
      <c r="DL28" s="2" t="s">
        <v>3</v>
      </c>
      <c r="DM28" s="2" t="s">
        <v>3</v>
      </c>
      <c r="DN28" s="2">
        <v>0</v>
      </c>
      <c r="DO28" s="2">
        <v>0</v>
      </c>
      <c r="DP28" s="2">
        <v>1</v>
      </c>
      <c r="DQ28" s="2">
        <v>1</v>
      </c>
      <c r="DR28" s="2"/>
      <c r="DS28" s="2"/>
      <c r="DT28" s="2"/>
      <c r="DU28" s="2">
        <v>1005</v>
      </c>
      <c r="DV28" s="2" t="s">
        <v>20</v>
      </c>
      <c r="DW28" s="2" t="s">
        <v>20</v>
      </c>
      <c r="DX28" s="2">
        <v>100</v>
      </c>
      <c r="DY28" s="2"/>
      <c r="DZ28" s="2" t="s">
        <v>3</v>
      </c>
      <c r="EA28" s="2" t="s">
        <v>3</v>
      </c>
      <c r="EB28" s="2" t="s">
        <v>3</v>
      </c>
      <c r="EC28" s="2" t="s">
        <v>3</v>
      </c>
      <c r="ED28" s="2"/>
      <c r="EE28" s="2">
        <v>89977075</v>
      </c>
      <c r="EF28" s="2">
        <v>6</v>
      </c>
      <c r="EG28" s="2" t="s">
        <v>22</v>
      </c>
      <c r="EH28" s="2">
        <v>95</v>
      </c>
      <c r="EI28" s="2" t="s">
        <v>23</v>
      </c>
      <c r="EJ28" s="2">
        <v>1</v>
      </c>
      <c r="EK28" s="2">
        <v>61001</v>
      </c>
      <c r="EL28" s="2" t="s">
        <v>23</v>
      </c>
      <c r="EM28" s="2" t="s">
        <v>24</v>
      </c>
      <c r="EN28" s="2"/>
      <c r="EO28" s="2" t="s">
        <v>3</v>
      </c>
      <c r="EP28" s="2"/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171.2</v>
      </c>
      <c r="EX28" s="2">
        <v>1.32</v>
      </c>
      <c r="EY28" s="2">
        <v>0</v>
      </c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>
        <v>0</v>
      </c>
      <c r="FR28" s="2">
        <v>0</v>
      </c>
      <c r="FS28" s="2">
        <v>0</v>
      </c>
      <c r="FT28" s="2"/>
      <c r="FU28" s="2"/>
      <c r="FV28" s="2"/>
      <c r="FW28" s="2"/>
      <c r="FX28" s="2">
        <v>89</v>
      </c>
      <c r="FY28" s="2">
        <v>44</v>
      </c>
      <c r="FZ28" s="2"/>
      <c r="GA28" s="2" t="s">
        <v>3</v>
      </c>
      <c r="GB28" s="2"/>
      <c r="GC28" s="2"/>
      <c r="GD28" s="2">
        <v>1</v>
      </c>
      <c r="GE28" s="2"/>
      <c r="GF28" s="2">
        <v>1771899717</v>
      </c>
      <c r="GG28" s="2">
        <v>2</v>
      </c>
      <c r="GH28" s="2">
        <v>1</v>
      </c>
      <c r="GI28" s="2">
        <v>-2</v>
      </c>
      <c r="GJ28" s="2">
        <v>0</v>
      </c>
      <c r="GK28" s="2">
        <v>0</v>
      </c>
      <c r="GL28" s="2">
        <f t="shared" ref="GL28:GL48" si="34">ROUND(IF(AND(BH28=3,BI28=3,FS28&lt;&gt;0),P28,0),2)</f>
        <v>0</v>
      </c>
      <c r="GM28" s="2">
        <f t="shared" ref="GM28:GM46" si="35">ROUND(O28+X28+Y28,2)+GX28</f>
        <v>226112.2</v>
      </c>
      <c r="GN28" s="2">
        <f t="shared" ref="GN28:GN48" si="36">IF(OR(BI28=0,BI28=1),GM28-GX28,0)</f>
        <v>226112.2</v>
      </c>
      <c r="GO28" s="2">
        <f t="shared" ref="GO28:GO48" si="37">IF(BI28=2,GM28-GX28,0)</f>
        <v>0</v>
      </c>
      <c r="GP28" s="2">
        <f t="shared" ref="GP28:GP48" si="38">IF(BI28=4,GM28-GX28,0)</f>
        <v>0</v>
      </c>
      <c r="GQ28" s="2"/>
      <c r="GR28" s="2">
        <v>0</v>
      </c>
      <c r="GS28" s="2">
        <v>0</v>
      </c>
      <c r="GT28" s="2">
        <v>0</v>
      </c>
      <c r="GU28" s="2" t="s">
        <v>3</v>
      </c>
      <c r="GV28" s="2">
        <f t="shared" ref="GV28:GV46" si="39">ROUND((GT28),6)</f>
        <v>0</v>
      </c>
      <c r="GW28" s="2">
        <v>1</v>
      </c>
      <c r="GX28" s="2">
        <f t="shared" ref="GX28:GX46" si="40">ROUND(HC28*I28,2)</f>
        <v>0</v>
      </c>
      <c r="GY28" s="2"/>
      <c r="GZ28" s="2"/>
      <c r="HA28" s="2">
        <v>0</v>
      </c>
      <c r="HB28" s="2">
        <v>0</v>
      </c>
      <c r="HC28" s="2">
        <f t="shared" ref="HC28:HC46" si="41">GV28*GW28</f>
        <v>0</v>
      </c>
      <c r="HD28" s="2"/>
      <c r="HE28" s="2" t="s">
        <v>3</v>
      </c>
      <c r="HF28" s="2" t="s">
        <v>3</v>
      </c>
      <c r="HG28" s="2"/>
      <c r="HH28" s="2"/>
      <c r="HI28" s="2"/>
      <c r="HJ28" s="2"/>
      <c r="HK28" s="2"/>
      <c r="HL28" s="2"/>
      <c r="HM28" s="2" t="s">
        <v>3</v>
      </c>
      <c r="HN28" s="2" t="s">
        <v>25</v>
      </c>
      <c r="HO28" s="2" t="s">
        <v>26</v>
      </c>
      <c r="HP28" s="2" t="s">
        <v>23</v>
      </c>
      <c r="HQ28" s="2" t="s">
        <v>23</v>
      </c>
      <c r="HR28" s="2"/>
      <c r="HS28" s="2">
        <v>0</v>
      </c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>
        <v>0</v>
      </c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5" x14ac:dyDescent="0.2">
      <c r="A29" s="2">
        <v>18</v>
      </c>
      <c r="B29" s="2">
        <v>1</v>
      </c>
      <c r="C29" s="2">
        <v>7</v>
      </c>
      <c r="D29" s="2"/>
      <c r="E29" s="2" t="s">
        <v>27</v>
      </c>
      <c r="F29" s="2" t="s">
        <v>28</v>
      </c>
      <c r="G29" s="2" t="s">
        <v>29</v>
      </c>
      <c r="H29" s="2" t="s">
        <v>30</v>
      </c>
      <c r="I29" s="2">
        <f>I28*J29</f>
        <v>3.9687999999999994</v>
      </c>
      <c r="J29" s="2">
        <v>4.84</v>
      </c>
      <c r="K29" s="2">
        <v>4.84</v>
      </c>
      <c r="L29" s="2"/>
      <c r="M29" s="2"/>
      <c r="N29" s="2"/>
      <c r="O29" s="2">
        <f t="shared" si="21"/>
        <v>0</v>
      </c>
      <c r="P29" s="2">
        <f>ROUND(CQ29*I29,2)</f>
        <v>0</v>
      </c>
      <c r="Q29" s="2">
        <f>ROUND(CR29*I29,2)</f>
        <v>0</v>
      </c>
      <c r="R29" s="2">
        <f>ROUND(CS29*I29,2)</f>
        <v>0</v>
      </c>
      <c r="S29" s="2">
        <f>ROUND(CT29*I29,2)</f>
        <v>0</v>
      </c>
      <c r="T29" s="2">
        <f t="shared" si="22"/>
        <v>0</v>
      </c>
      <c r="U29" s="2">
        <f>ROUND(CV29*I29,7)</f>
        <v>0</v>
      </c>
      <c r="V29" s="2">
        <f>ROUND(CW29*I29,7)</f>
        <v>0</v>
      </c>
      <c r="W29" s="2">
        <f t="shared" si="23"/>
        <v>0</v>
      </c>
      <c r="X29" s="2">
        <f t="shared" si="24"/>
        <v>0</v>
      </c>
      <c r="Y29" s="2">
        <f t="shared" si="25"/>
        <v>0</v>
      </c>
      <c r="Z29" s="2"/>
      <c r="AA29" s="2">
        <v>94298235</v>
      </c>
      <c r="AB29" s="2">
        <f t="shared" si="26"/>
        <v>0</v>
      </c>
      <c r="AC29" s="2">
        <f>ROUND((ES29),6)</f>
        <v>0</v>
      </c>
      <c r="AD29" s="2">
        <f>ROUND((((ET29)-(EU29))+AE29),6)</f>
        <v>0</v>
      </c>
      <c r="AE29" s="2">
        <f>ROUND((EU29),6)</f>
        <v>0</v>
      </c>
      <c r="AF29" s="2">
        <f>ROUND((EV29),6)</f>
        <v>0</v>
      </c>
      <c r="AG29" s="2">
        <f t="shared" si="27"/>
        <v>0</v>
      </c>
      <c r="AH29" s="2">
        <f>(EW29)</f>
        <v>0</v>
      </c>
      <c r="AI29" s="2">
        <f>(EX29)</f>
        <v>0</v>
      </c>
      <c r="AJ29" s="2">
        <f t="shared" si="28"/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89</v>
      </c>
      <c r="AU29" s="2">
        <v>44</v>
      </c>
      <c r="AV29" s="2">
        <v>1</v>
      </c>
      <c r="AW29" s="2">
        <v>1</v>
      </c>
      <c r="AX29" s="2"/>
      <c r="AY29" s="2"/>
      <c r="AZ29" s="2">
        <v>1</v>
      </c>
      <c r="BA29" s="2">
        <v>1</v>
      </c>
      <c r="BB29" s="2">
        <v>1</v>
      </c>
      <c r="BC29" s="2">
        <v>1</v>
      </c>
      <c r="BD29" s="2" t="s">
        <v>3</v>
      </c>
      <c r="BE29" s="2" t="s">
        <v>3</v>
      </c>
      <c r="BF29" s="2" t="s">
        <v>3</v>
      </c>
      <c r="BG29" s="2" t="s">
        <v>3</v>
      </c>
      <c r="BH29" s="2">
        <v>3</v>
      </c>
      <c r="BI29" s="2">
        <v>1</v>
      </c>
      <c r="BJ29" s="2" t="s">
        <v>3</v>
      </c>
      <c r="BK29" s="2"/>
      <c r="BL29" s="2"/>
      <c r="BM29" s="2">
        <v>61001</v>
      </c>
      <c r="BN29" s="2">
        <v>0</v>
      </c>
      <c r="BO29" s="2" t="s">
        <v>3</v>
      </c>
      <c r="BP29" s="2">
        <v>0</v>
      </c>
      <c r="BQ29" s="2">
        <v>6</v>
      </c>
      <c r="BR29" s="2">
        <v>0</v>
      </c>
      <c r="BS29" s="2">
        <v>1</v>
      </c>
      <c r="BT29" s="2">
        <v>1</v>
      </c>
      <c r="BU29" s="2">
        <v>1</v>
      </c>
      <c r="BV29" s="2">
        <v>1</v>
      </c>
      <c r="BW29" s="2">
        <v>1</v>
      </c>
      <c r="BX29" s="2">
        <v>1</v>
      </c>
      <c r="BY29" s="2" t="s">
        <v>3</v>
      </c>
      <c r="BZ29" s="2">
        <v>89</v>
      </c>
      <c r="CA29" s="2">
        <v>44</v>
      </c>
      <c r="CB29" s="2" t="s">
        <v>3</v>
      </c>
      <c r="CC29" s="2"/>
      <c r="CD29" s="2"/>
      <c r="CE29" s="2">
        <v>0</v>
      </c>
      <c r="CF29" s="2">
        <v>0</v>
      </c>
      <c r="CG29" s="2">
        <v>0</v>
      </c>
      <c r="CH29" s="2"/>
      <c r="CI29" s="2"/>
      <c r="CJ29" s="2"/>
      <c r="CK29" s="2"/>
      <c r="CL29" s="2"/>
      <c r="CM29" s="2">
        <v>0</v>
      </c>
      <c r="CN29" s="2" t="s">
        <v>3</v>
      </c>
      <c r="CO29" s="2">
        <v>0</v>
      </c>
      <c r="CP29" s="2">
        <f t="shared" si="29"/>
        <v>0</v>
      </c>
      <c r="CQ29" s="2">
        <f>ROUND(AL29*BC29,2)</f>
        <v>0</v>
      </c>
      <c r="CR29" s="2">
        <f>ROUND(AM29*BB29,2)</f>
        <v>0</v>
      </c>
      <c r="CS29" s="2">
        <f>ROUND(AN29*BS29,2)</f>
        <v>0</v>
      </c>
      <c r="CT29" s="2">
        <f>ROUND(AO29*BA29,2)</f>
        <v>0</v>
      </c>
      <c r="CU29" s="2">
        <f t="shared" si="30"/>
        <v>0</v>
      </c>
      <c r="CV29" s="2">
        <f>AH29</f>
        <v>0</v>
      </c>
      <c r="CW29" s="2">
        <f>AI29</f>
        <v>0</v>
      </c>
      <c r="CX29" s="2">
        <f t="shared" si="31"/>
        <v>0</v>
      </c>
      <c r="CY29" s="2">
        <f t="shared" si="32"/>
        <v>0</v>
      </c>
      <c r="CZ29" s="2">
        <f t="shared" si="33"/>
        <v>0</v>
      </c>
      <c r="DA29" s="2"/>
      <c r="DB29" s="2"/>
      <c r="DC29" s="2" t="s">
        <v>3</v>
      </c>
      <c r="DD29" s="2" t="s">
        <v>3</v>
      </c>
      <c r="DE29" s="2" t="s">
        <v>3</v>
      </c>
      <c r="DF29" s="2" t="s">
        <v>3</v>
      </c>
      <c r="DG29" s="2" t="s">
        <v>3</v>
      </c>
      <c r="DH29" s="2" t="s">
        <v>3</v>
      </c>
      <c r="DI29" s="2" t="s">
        <v>3</v>
      </c>
      <c r="DJ29" s="2" t="s">
        <v>3</v>
      </c>
      <c r="DK29" s="2" t="s">
        <v>3</v>
      </c>
      <c r="DL29" s="2" t="s">
        <v>3</v>
      </c>
      <c r="DM29" s="2" t="s">
        <v>3</v>
      </c>
      <c r="DN29" s="2">
        <v>0</v>
      </c>
      <c r="DO29" s="2">
        <v>0</v>
      </c>
      <c r="DP29" s="2">
        <v>1</v>
      </c>
      <c r="DQ29" s="2">
        <v>1</v>
      </c>
      <c r="DR29" s="2"/>
      <c r="DS29" s="2"/>
      <c r="DT29" s="2"/>
      <c r="DU29" s="2">
        <v>1009</v>
      </c>
      <c r="DV29" s="2" t="s">
        <v>30</v>
      </c>
      <c r="DW29" s="2" t="s">
        <v>30</v>
      </c>
      <c r="DX29" s="2">
        <v>1000</v>
      </c>
      <c r="DY29" s="2"/>
      <c r="DZ29" s="2" t="s">
        <v>3</v>
      </c>
      <c r="EA29" s="2" t="s">
        <v>3</v>
      </c>
      <c r="EB29" s="2" t="s">
        <v>3</v>
      </c>
      <c r="EC29" s="2" t="s">
        <v>3</v>
      </c>
      <c r="ED29" s="2"/>
      <c r="EE29" s="2">
        <v>89977075</v>
      </c>
      <c r="EF29" s="2">
        <v>6</v>
      </c>
      <c r="EG29" s="2" t="s">
        <v>22</v>
      </c>
      <c r="EH29" s="2">
        <v>95</v>
      </c>
      <c r="EI29" s="2" t="s">
        <v>23</v>
      </c>
      <c r="EJ29" s="2">
        <v>1</v>
      </c>
      <c r="EK29" s="2">
        <v>61001</v>
      </c>
      <c r="EL29" s="2" t="s">
        <v>23</v>
      </c>
      <c r="EM29" s="2" t="s">
        <v>24</v>
      </c>
      <c r="EN29" s="2"/>
      <c r="EO29" s="2" t="s">
        <v>3</v>
      </c>
      <c r="EP29" s="2"/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>
        <v>0</v>
      </c>
      <c r="FR29" s="2">
        <v>0</v>
      </c>
      <c r="FS29" s="2">
        <v>0</v>
      </c>
      <c r="FT29" s="2"/>
      <c r="FU29" s="2"/>
      <c r="FV29" s="2"/>
      <c r="FW29" s="2"/>
      <c r="FX29" s="2">
        <v>89</v>
      </c>
      <c r="FY29" s="2">
        <v>44</v>
      </c>
      <c r="FZ29" s="2"/>
      <c r="GA29" s="2" t="s">
        <v>3</v>
      </c>
      <c r="GB29" s="2"/>
      <c r="GC29" s="2"/>
      <c r="GD29" s="2">
        <v>1</v>
      </c>
      <c r="GE29" s="2"/>
      <c r="GF29" s="2">
        <v>2102561428</v>
      </c>
      <c r="GG29" s="2">
        <v>2</v>
      </c>
      <c r="GH29" s="2">
        <v>1</v>
      </c>
      <c r="GI29" s="2">
        <v>-2</v>
      </c>
      <c r="GJ29" s="2">
        <v>0</v>
      </c>
      <c r="GK29" s="2">
        <v>0</v>
      </c>
      <c r="GL29" s="2">
        <f t="shared" si="34"/>
        <v>0</v>
      </c>
      <c r="GM29" s="2">
        <f t="shared" si="35"/>
        <v>0</v>
      </c>
      <c r="GN29" s="2">
        <f t="shared" si="36"/>
        <v>0</v>
      </c>
      <c r="GO29" s="2">
        <f t="shared" si="37"/>
        <v>0</v>
      </c>
      <c r="GP29" s="2">
        <f t="shared" si="38"/>
        <v>0</v>
      </c>
      <c r="GQ29" s="2"/>
      <c r="GR29" s="2">
        <v>0</v>
      </c>
      <c r="GS29" s="2">
        <v>0</v>
      </c>
      <c r="GT29" s="2">
        <v>0</v>
      </c>
      <c r="GU29" s="2" t="s">
        <v>3</v>
      </c>
      <c r="GV29" s="2">
        <f t="shared" si="39"/>
        <v>0</v>
      </c>
      <c r="GW29" s="2">
        <v>1</v>
      </c>
      <c r="GX29" s="2">
        <f t="shared" si="40"/>
        <v>0</v>
      </c>
      <c r="GY29" s="2"/>
      <c r="GZ29" s="2"/>
      <c r="HA29" s="2">
        <v>0</v>
      </c>
      <c r="HB29" s="2">
        <v>0</v>
      </c>
      <c r="HC29" s="2">
        <f t="shared" si="41"/>
        <v>0</v>
      </c>
      <c r="HD29" s="2"/>
      <c r="HE29" s="2" t="s">
        <v>3</v>
      </c>
      <c r="HF29" s="2" t="s">
        <v>3</v>
      </c>
      <c r="HG29" s="2"/>
      <c r="HH29" s="2"/>
      <c r="HI29" s="2"/>
      <c r="HJ29" s="2"/>
      <c r="HK29" s="2"/>
      <c r="HL29" s="2"/>
      <c r="HM29" s="2" t="s">
        <v>3</v>
      </c>
      <c r="HN29" s="2" t="s">
        <v>25</v>
      </c>
      <c r="HO29" s="2" t="s">
        <v>26</v>
      </c>
      <c r="HP29" s="2" t="s">
        <v>23</v>
      </c>
      <c r="HQ29" s="2" t="s">
        <v>23</v>
      </c>
      <c r="HR29" s="2"/>
      <c r="HS29" s="2">
        <v>0</v>
      </c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>
        <v>0</v>
      </c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5" x14ac:dyDescent="0.2">
      <c r="A30" s="2">
        <v>17</v>
      </c>
      <c r="B30" s="2">
        <v>1</v>
      </c>
      <c r="C30" s="2">
        <f>ROW(SmtRes!A13)</f>
        <v>13</v>
      </c>
      <c r="D30" s="2">
        <f>ROW(EtalonRes!A13)</f>
        <v>13</v>
      </c>
      <c r="E30" s="2" t="s">
        <v>31</v>
      </c>
      <c r="F30" s="2" t="s">
        <v>32</v>
      </c>
      <c r="G30" s="2" t="s">
        <v>33</v>
      </c>
      <c r="H30" s="2" t="s">
        <v>20</v>
      </c>
      <c r="I30" s="2">
        <f>ROUND(82/100,7)</f>
        <v>0.82</v>
      </c>
      <c r="J30" s="2">
        <v>0</v>
      </c>
      <c r="K30" s="2">
        <f>ROUND(82/100,7)</f>
        <v>0.82</v>
      </c>
      <c r="L30" s="2"/>
      <c r="M30" s="2"/>
      <c r="N30" s="2"/>
      <c r="O30" s="2">
        <f t="shared" si="21"/>
        <v>67719.490000000005</v>
      </c>
      <c r="P30" s="2">
        <f>SUMIF(SmtRes!AQ8:'SmtRes'!AQ13,"=1",SmtRes!DF8:'SmtRes'!DF13)</f>
        <v>12851.61</v>
      </c>
      <c r="Q30" s="2">
        <f>SUMIF(SmtRes!AQ8:'SmtRes'!AQ13,"=1",SmtRes!DG8:'SmtRes'!DG13)</f>
        <v>989.34999999999991</v>
      </c>
      <c r="R30" s="2">
        <f>SUMIF(SmtRes!AQ8:'SmtRes'!AQ13,"=1",SmtRes!DH8:'SmtRes'!DH13)</f>
        <v>1186.98</v>
      </c>
      <c r="S30" s="2">
        <f>SUMIF(SmtRes!AQ8:'SmtRes'!AQ13,"=1",SmtRes!DI8:'SmtRes'!DI13)</f>
        <v>52691.55</v>
      </c>
      <c r="T30" s="2">
        <f t="shared" si="22"/>
        <v>0</v>
      </c>
      <c r="U30" s="2">
        <f>SUMIF(SmtRes!AQ8:'SmtRes'!AQ13,"=1",SmtRes!CV8:'SmtRes'!CV13)</f>
        <v>79.162800000000004</v>
      </c>
      <c r="V30" s="2">
        <f>SUMIF(SmtRes!AQ8:'SmtRes'!AQ13,"=1",SmtRes!CW8:'SmtRes'!CW13)</f>
        <v>1.6235999999999999</v>
      </c>
      <c r="W30" s="2">
        <f t="shared" si="23"/>
        <v>0</v>
      </c>
      <c r="X30" s="2">
        <f t="shared" si="24"/>
        <v>47951.89</v>
      </c>
      <c r="Y30" s="2">
        <f t="shared" si="25"/>
        <v>23706.55</v>
      </c>
      <c r="Z30" s="2"/>
      <c r="AA30" s="2">
        <v>94298235</v>
      </c>
      <c r="AB30" s="2">
        <f t="shared" si="26"/>
        <v>76655.728199999998</v>
      </c>
      <c r="AC30" s="2">
        <f>ROUND((SUM(SmtRes!BQ8:'SmtRes'!BQ13)),6)</f>
        <v>11194.788</v>
      </c>
      <c r="AD30" s="2">
        <f>ROUND((((SUM(SmtRes!BR8:'SmtRes'!BR13))-(SUM(SmtRes!BS8:'SmtRes'!BS13)))+AE30),6)</f>
        <v>1202.9508000000001</v>
      </c>
      <c r="AE30" s="2">
        <f>ROUND((SUM(SmtRes!BS8:'SmtRes'!BS13)),6)</f>
        <v>1447.5383999999999</v>
      </c>
      <c r="AF30" s="2">
        <f>ROUND((SUM(SmtRes!BT8:'SmtRes'!BT13)),6)</f>
        <v>64257.989399999999</v>
      </c>
      <c r="AG30" s="2">
        <f t="shared" si="27"/>
        <v>0</v>
      </c>
      <c r="AH30" s="2">
        <f>(SUM(SmtRes!BU8:'SmtRes'!BU13))</f>
        <v>96.539999999999992</v>
      </c>
      <c r="AI30" s="2">
        <f>(SUM(SmtRes!BV8:'SmtRes'!BV13))</f>
        <v>1.98</v>
      </c>
      <c r="AJ30" s="2">
        <f t="shared" si="28"/>
        <v>0</v>
      </c>
      <c r="AK30" s="2">
        <v>26034.422200000001</v>
      </c>
      <c r="AL30" s="2">
        <v>3731.5960000000005</v>
      </c>
      <c r="AM30" s="2">
        <v>400.98360000000002</v>
      </c>
      <c r="AN30" s="2">
        <v>482.51280000000003</v>
      </c>
      <c r="AO30" s="2">
        <v>21419.3298</v>
      </c>
      <c r="AP30" s="2">
        <v>0</v>
      </c>
      <c r="AQ30" s="2">
        <v>32.18</v>
      </c>
      <c r="AR30" s="2">
        <v>0.66</v>
      </c>
      <c r="AS30" s="2">
        <v>0</v>
      </c>
      <c r="AT30" s="2">
        <v>89</v>
      </c>
      <c r="AU30" s="2">
        <v>44</v>
      </c>
      <c r="AV30" s="2">
        <v>1</v>
      </c>
      <c r="AW30" s="2">
        <v>1</v>
      </c>
      <c r="AX30" s="2"/>
      <c r="AY30" s="2"/>
      <c r="AZ30" s="2">
        <v>1</v>
      </c>
      <c r="BA30" s="2">
        <v>1</v>
      </c>
      <c r="BB30" s="2">
        <v>1</v>
      </c>
      <c r="BC30" s="2">
        <v>1</v>
      </c>
      <c r="BD30" s="2" t="s">
        <v>3</v>
      </c>
      <c r="BE30" s="2" t="s">
        <v>3</v>
      </c>
      <c r="BF30" s="2" t="s">
        <v>3</v>
      </c>
      <c r="BG30" s="2" t="s">
        <v>3</v>
      </c>
      <c r="BH30" s="2">
        <v>0</v>
      </c>
      <c r="BI30" s="2">
        <v>1</v>
      </c>
      <c r="BJ30" s="2" t="s">
        <v>34</v>
      </c>
      <c r="BK30" s="2"/>
      <c r="BL30" s="2"/>
      <c r="BM30" s="2">
        <v>61001</v>
      </c>
      <c r="BN30" s="2">
        <v>0</v>
      </c>
      <c r="BO30" s="2" t="s">
        <v>3</v>
      </c>
      <c r="BP30" s="2">
        <v>0</v>
      </c>
      <c r="BQ30" s="2">
        <v>6</v>
      </c>
      <c r="BR30" s="2">
        <v>0</v>
      </c>
      <c r="BS30" s="2">
        <v>1</v>
      </c>
      <c r="BT30" s="2">
        <v>1</v>
      </c>
      <c r="BU30" s="2">
        <v>1</v>
      </c>
      <c r="BV30" s="2">
        <v>1</v>
      </c>
      <c r="BW30" s="2">
        <v>1</v>
      </c>
      <c r="BX30" s="2">
        <v>1</v>
      </c>
      <c r="BY30" s="2" t="s">
        <v>3</v>
      </c>
      <c r="BZ30" s="2">
        <v>89</v>
      </c>
      <c r="CA30" s="2">
        <v>44</v>
      </c>
      <c r="CB30" s="2" t="s">
        <v>3</v>
      </c>
      <c r="CC30" s="2"/>
      <c r="CD30" s="2"/>
      <c r="CE30" s="2">
        <v>0</v>
      </c>
      <c r="CF30" s="2">
        <v>0</v>
      </c>
      <c r="CG30" s="2">
        <v>0</v>
      </c>
      <c r="CH30" s="2"/>
      <c r="CI30" s="2"/>
      <c r="CJ30" s="2"/>
      <c r="CK30" s="2"/>
      <c r="CL30" s="2"/>
      <c r="CM30" s="2">
        <v>0</v>
      </c>
      <c r="CN30" s="2" t="s">
        <v>3</v>
      </c>
      <c r="CO30" s="2">
        <v>0</v>
      </c>
      <c r="CP30" s="2">
        <f t="shared" si="29"/>
        <v>67719.490000000005</v>
      </c>
      <c r="CQ30" s="2">
        <f>SUMIF(SmtRes!AQ8:'SmtRes'!AQ13,"=1",SmtRes!AA8:'SmtRes'!AA13)</f>
        <v>4749.3</v>
      </c>
      <c r="CR30" s="2">
        <f>SUMIF(SmtRes!AQ8:'SmtRes'!AQ13,"=1",SmtRes!AB8:'SmtRes'!AB13)</f>
        <v>613.87</v>
      </c>
      <c r="CS30" s="2">
        <f>SUMIF(SmtRes!AQ8:'SmtRes'!AQ13,"=1",SmtRes!AC8:'SmtRes'!AC13)</f>
        <v>731.08</v>
      </c>
      <c r="CT30" s="2">
        <f>SUMIF(SmtRes!AQ8:'SmtRes'!AQ13,"=1",SmtRes!AD8:'SmtRes'!AD13)</f>
        <v>665.61</v>
      </c>
      <c r="CU30" s="2">
        <f t="shared" si="30"/>
        <v>0</v>
      </c>
      <c r="CV30" s="2">
        <f>SUMIF(SmtRes!AQ8:'SmtRes'!AQ13,"=1",SmtRes!BU8:'SmtRes'!BU13)</f>
        <v>96.539999999999992</v>
      </c>
      <c r="CW30" s="2">
        <f>SUMIF(SmtRes!AQ8:'SmtRes'!AQ13,"=1",SmtRes!BV8:'SmtRes'!BV13)</f>
        <v>1.98</v>
      </c>
      <c r="CX30" s="2">
        <f t="shared" si="31"/>
        <v>0</v>
      </c>
      <c r="CY30" s="2">
        <f t="shared" si="32"/>
        <v>47951.891700000007</v>
      </c>
      <c r="CZ30" s="2">
        <f t="shared" si="33"/>
        <v>23706.553200000002</v>
      </c>
      <c r="DA30" s="2"/>
      <c r="DB30" s="2"/>
      <c r="DC30" s="2" t="s">
        <v>3</v>
      </c>
      <c r="DD30" s="2" t="s">
        <v>35</v>
      </c>
      <c r="DE30" s="2" t="s">
        <v>35</v>
      </c>
      <c r="DF30" s="2" t="s">
        <v>35</v>
      </c>
      <c r="DG30" s="2" t="s">
        <v>35</v>
      </c>
      <c r="DH30" s="2" t="s">
        <v>3</v>
      </c>
      <c r="DI30" s="2" t="s">
        <v>35</v>
      </c>
      <c r="DJ30" s="2" t="s">
        <v>35</v>
      </c>
      <c r="DK30" s="2" t="s">
        <v>3</v>
      </c>
      <c r="DL30" s="2" t="s">
        <v>3</v>
      </c>
      <c r="DM30" s="2" t="s">
        <v>3</v>
      </c>
      <c r="DN30" s="2">
        <v>0</v>
      </c>
      <c r="DO30" s="2">
        <v>0</v>
      </c>
      <c r="DP30" s="2">
        <v>1</v>
      </c>
      <c r="DQ30" s="2">
        <v>1</v>
      </c>
      <c r="DR30" s="2"/>
      <c r="DS30" s="2"/>
      <c r="DT30" s="2"/>
      <c r="DU30" s="2">
        <v>1005</v>
      </c>
      <c r="DV30" s="2" t="s">
        <v>20</v>
      </c>
      <c r="DW30" s="2" t="s">
        <v>20</v>
      </c>
      <c r="DX30" s="2">
        <v>100</v>
      </c>
      <c r="DY30" s="2"/>
      <c r="DZ30" s="2" t="s">
        <v>3</v>
      </c>
      <c r="EA30" s="2" t="s">
        <v>3</v>
      </c>
      <c r="EB30" s="2" t="s">
        <v>3</v>
      </c>
      <c r="EC30" s="2" t="s">
        <v>3</v>
      </c>
      <c r="ED30" s="2"/>
      <c r="EE30" s="2">
        <v>89977075</v>
      </c>
      <c r="EF30" s="2">
        <v>6</v>
      </c>
      <c r="EG30" s="2" t="s">
        <v>22</v>
      </c>
      <c r="EH30" s="2">
        <v>95</v>
      </c>
      <c r="EI30" s="2" t="s">
        <v>23</v>
      </c>
      <c r="EJ30" s="2">
        <v>1</v>
      </c>
      <c r="EK30" s="2">
        <v>61001</v>
      </c>
      <c r="EL30" s="2" t="s">
        <v>23</v>
      </c>
      <c r="EM30" s="2" t="s">
        <v>24</v>
      </c>
      <c r="EN30" s="2"/>
      <c r="EO30" s="2" t="s">
        <v>3</v>
      </c>
      <c r="EP30" s="2"/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32.18</v>
      </c>
      <c r="EX30" s="2">
        <v>0.66</v>
      </c>
      <c r="EY30" s="2">
        <v>0</v>
      </c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>
        <v>0</v>
      </c>
      <c r="FR30" s="2">
        <v>0</v>
      </c>
      <c r="FS30" s="2">
        <v>0</v>
      </c>
      <c r="FT30" s="2"/>
      <c r="FU30" s="2"/>
      <c r="FV30" s="2"/>
      <c r="FW30" s="2"/>
      <c r="FX30" s="2">
        <v>89</v>
      </c>
      <c r="FY30" s="2">
        <v>44</v>
      </c>
      <c r="FZ30" s="2"/>
      <c r="GA30" s="2" t="s">
        <v>3</v>
      </c>
      <c r="GB30" s="2"/>
      <c r="GC30" s="2"/>
      <c r="GD30" s="2">
        <v>1</v>
      </c>
      <c r="GE30" s="2"/>
      <c r="GF30" s="2">
        <v>91352786</v>
      </c>
      <c r="GG30" s="2">
        <v>2</v>
      </c>
      <c r="GH30" s="2">
        <v>1</v>
      </c>
      <c r="GI30" s="2">
        <v>-2</v>
      </c>
      <c r="GJ30" s="2">
        <v>0</v>
      </c>
      <c r="GK30" s="2">
        <v>0</v>
      </c>
      <c r="GL30" s="2">
        <f t="shared" si="34"/>
        <v>0</v>
      </c>
      <c r="GM30" s="2">
        <f t="shared" si="35"/>
        <v>139377.93</v>
      </c>
      <c r="GN30" s="2">
        <f t="shared" si="36"/>
        <v>139377.93</v>
      </c>
      <c r="GO30" s="2">
        <f t="shared" si="37"/>
        <v>0</v>
      </c>
      <c r="GP30" s="2">
        <f t="shared" si="38"/>
        <v>0</v>
      </c>
      <c r="GQ30" s="2"/>
      <c r="GR30" s="2">
        <v>0</v>
      </c>
      <c r="GS30" s="2">
        <v>3</v>
      </c>
      <c r="GT30" s="2">
        <v>0</v>
      </c>
      <c r="GU30" s="2" t="s">
        <v>3</v>
      </c>
      <c r="GV30" s="2">
        <f t="shared" si="39"/>
        <v>0</v>
      </c>
      <c r="GW30" s="2">
        <v>1</v>
      </c>
      <c r="GX30" s="2">
        <f t="shared" si="40"/>
        <v>0</v>
      </c>
      <c r="GY30" s="2"/>
      <c r="GZ30" s="2"/>
      <c r="HA30" s="2">
        <v>0</v>
      </c>
      <c r="HB30" s="2">
        <v>0</v>
      </c>
      <c r="HC30" s="2">
        <f t="shared" si="41"/>
        <v>0</v>
      </c>
      <c r="HD30" s="2"/>
      <c r="HE30" s="2" t="s">
        <v>3</v>
      </c>
      <c r="HF30" s="2" t="s">
        <v>3</v>
      </c>
      <c r="HG30" s="2"/>
      <c r="HH30" s="2"/>
      <c r="HI30" s="2"/>
      <c r="HJ30" s="2"/>
      <c r="HK30" s="2"/>
      <c r="HL30" s="2"/>
      <c r="HM30" s="2" t="s">
        <v>3</v>
      </c>
      <c r="HN30" s="2" t="s">
        <v>25</v>
      </c>
      <c r="HO30" s="2" t="s">
        <v>26</v>
      </c>
      <c r="HP30" s="2" t="s">
        <v>23</v>
      </c>
      <c r="HQ30" s="2" t="s">
        <v>23</v>
      </c>
      <c r="HR30" s="2"/>
      <c r="HS30" s="2">
        <v>0</v>
      </c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>
        <v>0</v>
      </c>
      <c r="IL30" s="2"/>
      <c r="IM30" s="2"/>
      <c r="IN30" s="2"/>
      <c r="IO30" s="2"/>
      <c r="IP30" s="2"/>
      <c r="IQ30" s="2"/>
      <c r="IR30" s="2"/>
      <c r="IS30" s="2"/>
      <c r="IT30" s="2"/>
      <c r="IU30" s="2"/>
    </row>
    <row r="31" spans="1:255" x14ac:dyDescent="0.2">
      <c r="A31" s="2">
        <v>18</v>
      </c>
      <c r="B31" s="2">
        <v>1</v>
      </c>
      <c r="C31" s="2">
        <v>13</v>
      </c>
      <c r="D31" s="2"/>
      <c r="E31" s="2" t="s">
        <v>36</v>
      </c>
      <c r="F31" s="2" t="s">
        <v>28</v>
      </c>
      <c r="G31" s="2" t="s">
        <v>29</v>
      </c>
      <c r="H31" s="2" t="s">
        <v>30</v>
      </c>
      <c r="I31" s="2">
        <f>I30*J31</f>
        <v>5.9531999999999998</v>
      </c>
      <c r="J31" s="2">
        <v>7.26</v>
      </c>
      <c r="K31" s="2">
        <v>2.42</v>
      </c>
      <c r="L31" s="2"/>
      <c r="M31" s="2"/>
      <c r="N31" s="2"/>
      <c r="O31" s="2">
        <f t="shared" si="21"/>
        <v>0</v>
      </c>
      <c r="P31" s="2">
        <f>ROUND(CQ31*I31,2)</f>
        <v>0</v>
      </c>
      <c r="Q31" s="2">
        <f>ROUND(CR31*I31,2)</f>
        <v>0</v>
      </c>
      <c r="R31" s="2">
        <f>ROUND(CS31*I31,2)</f>
        <v>0</v>
      </c>
      <c r="S31" s="2">
        <f>ROUND(CT31*I31,2)</f>
        <v>0</v>
      </c>
      <c r="T31" s="2">
        <f t="shared" si="22"/>
        <v>0</v>
      </c>
      <c r="U31" s="2">
        <f>ROUND(CV31*I31,7)</f>
        <v>0</v>
      </c>
      <c r="V31" s="2">
        <f>ROUND(CW31*I31,7)</f>
        <v>0</v>
      </c>
      <c r="W31" s="2">
        <f t="shared" si="23"/>
        <v>0</v>
      </c>
      <c r="X31" s="2">
        <f t="shared" si="24"/>
        <v>0</v>
      </c>
      <c r="Y31" s="2">
        <f t="shared" si="25"/>
        <v>0</v>
      </c>
      <c r="Z31" s="2"/>
      <c r="AA31" s="2">
        <v>94298235</v>
      </c>
      <c r="AB31" s="2">
        <f t="shared" si="26"/>
        <v>0</v>
      </c>
      <c r="AC31" s="2">
        <f>ROUND((ES31),6)</f>
        <v>0</v>
      </c>
      <c r="AD31" s="2">
        <f>ROUND((((ET31)-(EU31))+AE31),6)</f>
        <v>0</v>
      </c>
      <c r="AE31" s="2">
        <f>ROUND((EU31),6)</f>
        <v>0</v>
      </c>
      <c r="AF31" s="2">
        <f>ROUND((EV31),6)</f>
        <v>0</v>
      </c>
      <c r="AG31" s="2">
        <f t="shared" si="27"/>
        <v>0</v>
      </c>
      <c r="AH31" s="2">
        <f>(EW31)</f>
        <v>0</v>
      </c>
      <c r="AI31" s="2">
        <f>(EX31)</f>
        <v>0</v>
      </c>
      <c r="AJ31" s="2">
        <f t="shared" si="28"/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89</v>
      </c>
      <c r="AU31" s="2">
        <v>44</v>
      </c>
      <c r="AV31" s="2">
        <v>1</v>
      </c>
      <c r="AW31" s="2">
        <v>1</v>
      </c>
      <c r="AX31" s="2"/>
      <c r="AY31" s="2"/>
      <c r="AZ31" s="2">
        <v>1</v>
      </c>
      <c r="BA31" s="2">
        <v>1</v>
      </c>
      <c r="BB31" s="2">
        <v>1</v>
      </c>
      <c r="BC31" s="2">
        <v>1</v>
      </c>
      <c r="BD31" s="2" t="s">
        <v>3</v>
      </c>
      <c r="BE31" s="2" t="s">
        <v>3</v>
      </c>
      <c r="BF31" s="2" t="s">
        <v>3</v>
      </c>
      <c r="BG31" s="2" t="s">
        <v>3</v>
      </c>
      <c r="BH31" s="2">
        <v>3</v>
      </c>
      <c r="BI31" s="2">
        <v>1</v>
      </c>
      <c r="BJ31" s="2" t="s">
        <v>3</v>
      </c>
      <c r="BK31" s="2"/>
      <c r="BL31" s="2"/>
      <c r="BM31" s="2">
        <v>61001</v>
      </c>
      <c r="BN31" s="2">
        <v>0</v>
      </c>
      <c r="BO31" s="2" t="s">
        <v>3</v>
      </c>
      <c r="BP31" s="2">
        <v>0</v>
      </c>
      <c r="BQ31" s="2">
        <v>6</v>
      </c>
      <c r="BR31" s="2">
        <v>0</v>
      </c>
      <c r="BS31" s="2">
        <v>1</v>
      </c>
      <c r="BT31" s="2">
        <v>1</v>
      </c>
      <c r="BU31" s="2">
        <v>1</v>
      </c>
      <c r="BV31" s="2">
        <v>1</v>
      </c>
      <c r="BW31" s="2">
        <v>1</v>
      </c>
      <c r="BX31" s="2">
        <v>1</v>
      </c>
      <c r="BY31" s="2" t="s">
        <v>3</v>
      </c>
      <c r="BZ31" s="2">
        <v>89</v>
      </c>
      <c r="CA31" s="2">
        <v>44</v>
      </c>
      <c r="CB31" s="2" t="s">
        <v>3</v>
      </c>
      <c r="CC31" s="2"/>
      <c r="CD31" s="2"/>
      <c r="CE31" s="2">
        <v>0</v>
      </c>
      <c r="CF31" s="2">
        <v>0</v>
      </c>
      <c r="CG31" s="2">
        <v>0</v>
      </c>
      <c r="CH31" s="2"/>
      <c r="CI31" s="2"/>
      <c r="CJ31" s="2"/>
      <c r="CK31" s="2"/>
      <c r="CL31" s="2"/>
      <c r="CM31" s="2">
        <v>0</v>
      </c>
      <c r="CN31" s="2" t="s">
        <v>3</v>
      </c>
      <c r="CO31" s="2">
        <v>0</v>
      </c>
      <c r="CP31" s="2">
        <f t="shared" si="29"/>
        <v>0</v>
      </c>
      <c r="CQ31" s="2">
        <f>ROUND(AL31*BC31,2)</f>
        <v>0</v>
      </c>
      <c r="CR31" s="2">
        <f>ROUND(AM31*BB31,2)</f>
        <v>0</v>
      </c>
      <c r="CS31" s="2">
        <f>ROUND(AN31*BS31,2)</f>
        <v>0</v>
      </c>
      <c r="CT31" s="2">
        <f>ROUND(AO31*BA31,2)</f>
        <v>0</v>
      </c>
      <c r="CU31" s="2">
        <f t="shared" si="30"/>
        <v>0</v>
      </c>
      <c r="CV31" s="2">
        <f>AH31</f>
        <v>0</v>
      </c>
      <c r="CW31" s="2">
        <f>AI31</f>
        <v>0</v>
      </c>
      <c r="CX31" s="2">
        <f t="shared" si="31"/>
        <v>0</v>
      </c>
      <c r="CY31" s="2">
        <f t="shared" si="32"/>
        <v>0</v>
      </c>
      <c r="CZ31" s="2">
        <f t="shared" si="33"/>
        <v>0</v>
      </c>
      <c r="DA31" s="2"/>
      <c r="DB31" s="2"/>
      <c r="DC31" s="2" t="s">
        <v>3</v>
      </c>
      <c r="DD31" s="2" t="s">
        <v>3</v>
      </c>
      <c r="DE31" s="2" t="s">
        <v>3</v>
      </c>
      <c r="DF31" s="2" t="s">
        <v>3</v>
      </c>
      <c r="DG31" s="2" t="s">
        <v>3</v>
      </c>
      <c r="DH31" s="2" t="s">
        <v>3</v>
      </c>
      <c r="DI31" s="2" t="s">
        <v>3</v>
      </c>
      <c r="DJ31" s="2" t="s">
        <v>3</v>
      </c>
      <c r="DK31" s="2" t="s">
        <v>3</v>
      </c>
      <c r="DL31" s="2" t="s">
        <v>3</v>
      </c>
      <c r="DM31" s="2" t="s">
        <v>3</v>
      </c>
      <c r="DN31" s="2">
        <v>0</v>
      </c>
      <c r="DO31" s="2">
        <v>0</v>
      </c>
      <c r="DP31" s="2">
        <v>1</v>
      </c>
      <c r="DQ31" s="2">
        <v>1</v>
      </c>
      <c r="DR31" s="2"/>
      <c r="DS31" s="2"/>
      <c r="DT31" s="2"/>
      <c r="DU31" s="2">
        <v>1009</v>
      </c>
      <c r="DV31" s="2" t="s">
        <v>30</v>
      </c>
      <c r="DW31" s="2" t="s">
        <v>30</v>
      </c>
      <c r="DX31" s="2">
        <v>1000</v>
      </c>
      <c r="DY31" s="2"/>
      <c r="DZ31" s="2" t="s">
        <v>3</v>
      </c>
      <c r="EA31" s="2" t="s">
        <v>3</v>
      </c>
      <c r="EB31" s="2" t="s">
        <v>3</v>
      </c>
      <c r="EC31" s="2" t="s">
        <v>3</v>
      </c>
      <c r="ED31" s="2"/>
      <c r="EE31" s="2">
        <v>89977075</v>
      </c>
      <c r="EF31" s="2">
        <v>6</v>
      </c>
      <c r="EG31" s="2" t="s">
        <v>22</v>
      </c>
      <c r="EH31" s="2">
        <v>95</v>
      </c>
      <c r="EI31" s="2" t="s">
        <v>23</v>
      </c>
      <c r="EJ31" s="2">
        <v>1</v>
      </c>
      <c r="EK31" s="2">
        <v>61001</v>
      </c>
      <c r="EL31" s="2" t="s">
        <v>23</v>
      </c>
      <c r="EM31" s="2" t="s">
        <v>24</v>
      </c>
      <c r="EN31" s="2"/>
      <c r="EO31" s="2" t="s">
        <v>3</v>
      </c>
      <c r="EP31" s="2"/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>
        <v>0</v>
      </c>
      <c r="FR31" s="2">
        <v>0</v>
      </c>
      <c r="FS31" s="2">
        <v>0</v>
      </c>
      <c r="FT31" s="2"/>
      <c r="FU31" s="2"/>
      <c r="FV31" s="2"/>
      <c r="FW31" s="2"/>
      <c r="FX31" s="2">
        <v>89</v>
      </c>
      <c r="FY31" s="2">
        <v>44</v>
      </c>
      <c r="FZ31" s="2"/>
      <c r="GA31" s="2" t="s">
        <v>3</v>
      </c>
      <c r="GB31" s="2"/>
      <c r="GC31" s="2"/>
      <c r="GD31" s="2">
        <v>1</v>
      </c>
      <c r="GE31" s="2"/>
      <c r="GF31" s="2">
        <v>2102561428</v>
      </c>
      <c r="GG31" s="2">
        <v>2</v>
      </c>
      <c r="GH31" s="2">
        <v>1</v>
      </c>
      <c r="GI31" s="2">
        <v>-2</v>
      </c>
      <c r="GJ31" s="2">
        <v>0</v>
      </c>
      <c r="GK31" s="2">
        <v>0</v>
      </c>
      <c r="GL31" s="2">
        <f t="shared" si="34"/>
        <v>0</v>
      </c>
      <c r="GM31" s="2">
        <f t="shared" si="35"/>
        <v>0</v>
      </c>
      <c r="GN31" s="2">
        <f t="shared" si="36"/>
        <v>0</v>
      </c>
      <c r="GO31" s="2">
        <f t="shared" si="37"/>
        <v>0</v>
      </c>
      <c r="GP31" s="2">
        <f t="shared" si="38"/>
        <v>0</v>
      </c>
      <c r="GQ31" s="2"/>
      <c r="GR31" s="2">
        <v>0</v>
      </c>
      <c r="GS31" s="2">
        <v>3</v>
      </c>
      <c r="GT31" s="2">
        <v>0</v>
      </c>
      <c r="GU31" s="2" t="s">
        <v>3</v>
      </c>
      <c r="GV31" s="2">
        <f t="shared" si="39"/>
        <v>0</v>
      </c>
      <c r="GW31" s="2">
        <v>1</v>
      </c>
      <c r="GX31" s="2">
        <f t="shared" si="40"/>
        <v>0</v>
      </c>
      <c r="GY31" s="2"/>
      <c r="GZ31" s="2"/>
      <c r="HA31" s="2">
        <v>0</v>
      </c>
      <c r="HB31" s="2">
        <v>0</v>
      </c>
      <c r="HC31" s="2">
        <f t="shared" si="41"/>
        <v>0</v>
      </c>
      <c r="HD31" s="2"/>
      <c r="HE31" s="2" t="s">
        <v>3</v>
      </c>
      <c r="HF31" s="2" t="s">
        <v>3</v>
      </c>
      <c r="HG31" s="2"/>
      <c r="HH31" s="2"/>
      <c r="HI31" s="2"/>
      <c r="HJ31" s="2"/>
      <c r="HK31" s="2"/>
      <c r="HL31" s="2"/>
      <c r="HM31" s="2" t="s">
        <v>35</v>
      </c>
      <c r="HN31" s="2" t="s">
        <v>25</v>
      </c>
      <c r="HO31" s="2" t="s">
        <v>26</v>
      </c>
      <c r="HP31" s="2" t="s">
        <v>23</v>
      </c>
      <c r="HQ31" s="2" t="s">
        <v>23</v>
      </c>
      <c r="HR31" s="2"/>
      <c r="HS31" s="2">
        <v>0</v>
      </c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>
        <v>0</v>
      </c>
      <c r="IL31" s="2"/>
      <c r="IM31" s="2"/>
      <c r="IN31" s="2"/>
      <c r="IO31" s="2"/>
      <c r="IP31" s="2"/>
      <c r="IQ31" s="2"/>
      <c r="IR31" s="2"/>
      <c r="IS31" s="2"/>
      <c r="IT31" s="2"/>
      <c r="IU31" s="2"/>
    </row>
    <row r="32" spans="1:255" ht="409.5" x14ac:dyDescent="0.2">
      <c r="A32" s="2">
        <v>17</v>
      </c>
      <c r="B32" s="2">
        <v>1</v>
      </c>
      <c r="C32" s="2">
        <f>ROW(SmtRes!A21)</f>
        <v>21</v>
      </c>
      <c r="D32" s="2">
        <f>ROW(EtalonRes!A21)</f>
        <v>21</v>
      </c>
      <c r="E32" s="2" t="s">
        <v>37</v>
      </c>
      <c r="F32" s="2" t="s">
        <v>38</v>
      </c>
      <c r="G32" s="2" t="s">
        <v>39</v>
      </c>
      <c r="H32" s="2" t="s">
        <v>20</v>
      </c>
      <c r="I32" s="2">
        <f>ROUND(82/100,7)</f>
        <v>0.82</v>
      </c>
      <c r="J32" s="2">
        <v>0</v>
      </c>
      <c r="K32" s="2">
        <f>ROUND(82/100,7)</f>
        <v>0.82</v>
      </c>
      <c r="L32" s="2"/>
      <c r="M32" s="2"/>
      <c r="N32" s="2"/>
      <c r="O32" s="2">
        <f t="shared" si="21"/>
        <v>49527.14</v>
      </c>
      <c r="P32" s="2">
        <f>SUMIF(SmtRes!AQ14:'SmtRes'!AQ21,"=1",SmtRes!DF14:'SmtRes'!DF21)</f>
        <v>8.7799999999999994</v>
      </c>
      <c r="Q32" s="2">
        <f>SUMIF(SmtRes!AQ14:'SmtRes'!AQ21,"=1",SmtRes!DG14:'SmtRes'!DG21)</f>
        <v>296.64999999999998</v>
      </c>
      <c r="R32" s="2">
        <f>SUMIF(SmtRes!AQ14:'SmtRes'!AQ21,"=1",SmtRes!DH14:'SmtRes'!DH21)</f>
        <v>389.67</v>
      </c>
      <c r="S32" s="2">
        <f>SUMIF(SmtRes!AQ14:'SmtRes'!AQ21,"=1",SmtRes!DI14:'SmtRes'!DI21)</f>
        <v>48832.04</v>
      </c>
      <c r="T32" s="2">
        <f t="shared" si="22"/>
        <v>0</v>
      </c>
      <c r="U32" s="2">
        <f>SUMIF(SmtRes!AQ14:'SmtRes'!AQ21,"=1",SmtRes!CV14:'SmtRes'!CV21)</f>
        <v>61.304430000000004</v>
      </c>
      <c r="V32" s="2">
        <f>SUMIF(SmtRes!AQ14:'SmtRes'!AQ21,"=1",SmtRes!CW14:'SmtRes'!CW21)</f>
        <v>0.53300000000000003</v>
      </c>
      <c r="W32" s="2">
        <f t="shared" si="23"/>
        <v>0</v>
      </c>
      <c r="X32" s="2">
        <f t="shared" si="24"/>
        <v>44299.54</v>
      </c>
      <c r="Y32" s="2">
        <f t="shared" si="25"/>
        <v>20500.84</v>
      </c>
      <c r="Z32" s="2"/>
      <c r="AA32" s="2">
        <v>94298235</v>
      </c>
      <c r="AB32" s="2">
        <f t="shared" si="26"/>
        <v>59919.818155000001</v>
      </c>
      <c r="AC32" s="2">
        <f>ROUND((SUM(SmtRes!BQ14:'SmtRes'!BQ21)),6)</f>
        <v>9.2995800000000006</v>
      </c>
      <c r="AD32" s="2">
        <f>ROUND((((SUM(SmtRes!BR14:'SmtRes'!BR21))-(SUM(SmtRes!BS14:'SmtRes'!BS21)))+AE32),6)</f>
        <v>359.24574999999999</v>
      </c>
      <c r="AE32" s="2">
        <f>ROUND((SUM(SmtRes!BS14:'SmtRes'!BS21)),6)</f>
        <v>475.202</v>
      </c>
      <c r="AF32" s="2">
        <f>ROUND((SUM(SmtRes!BT14:'SmtRes'!BT21)),6)</f>
        <v>59551.272825</v>
      </c>
      <c r="AG32" s="2">
        <f t="shared" si="27"/>
        <v>0</v>
      </c>
      <c r="AH32" s="2">
        <f>(SUM(SmtRes!BU14:'SmtRes'!BU21))</f>
        <v>74.761499999999998</v>
      </c>
      <c r="AI32" s="2">
        <f>(SUM(SmtRes!BV14:'SmtRes'!BV21))</f>
        <v>0.65</v>
      </c>
      <c r="AJ32" s="2">
        <f t="shared" si="28"/>
        <v>0</v>
      </c>
      <c r="AK32" s="2">
        <v>52460.573279999997</v>
      </c>
      <c r="AL32" s="2">
        <v>9.2995799999999988</v>
      </c>
      <c r="AM32" s="2">
        <v>287.39659999999998</v>
      </c>
      <c r="AN32" s="2">
        <v>380.16160000000002</v>
      </c>
      <c r="AO32" s="2">
        <v>51783.715499999998</v>
      </c>
      <c r="AP32" s="2">
        <v>0</v>
      </c>
      <c r="AQ32" s="2">
        <v>65.010000000000005</v>
      </c>
      <c r="AR32" s="2">
        <v>0.52</v>
      </c>
      <c r="AS32" s="2">
        <v>0</v>
      </c>
      <c r="AT32" s="2">
        <v>90</v>
      </c>
      <c r="AU32" s="2">
        <v>41.65</v>
      </c>
      <c r="AV32" s="2">
        <v>1</v>
      </c>
      <c r="AW32" s="2">
        <v>1</v>
      </c>
      <c r="AX32" s="2"/>
      <c r="AY32" s="2"/>
      <c r="AZ32" s="2">
        <v>1</v>
      </c>
      <c r="BA32" s="2">
        <v>1</v>
      </c>
      <c r="BB32" s="2">
        <v>1</v>
      </c>
      <c r="BC32" s="2">
        <v>1</v>
      </c>
      <c r="BD32" s="2" t="s">
        <v>3</v>
      </c>
      <c r="BE32" s="2" t="s">
        <v>3</v>
      </c>
      <c r="BF32" s="2" t="s">
        <v>3</v>
      </c>
      <c r="BG32" s="2" t="s">
        <v>3</v>
      </c>
      <c r="BH32" s="2">
        <v>0</v>
      </c>
      <c r="BI32" s="2">
        <v>1</v>
      </c>
      <c r="BJ32" s="2" t="s">
        <v>40</v>
      </c>
      <c r="BK32" s="2"/>
      <c r="BL32" s="2"/>
      <c r="BM32" s="2">
        <v>15001</v>
      </c>
      <c r="BN32" s="2">
        <v>0</v>
      </c>
      <c r="BO32" s="2" t="s">
        <v>3</v>
      </c>
      <c r="BP32" s="2">
        <v>0</v>
      </c>
      <c r="BQ32" s="2">
        <v>2</v>
      </c>
      <c r="BR32" s="2">
        <v>0</v>
      </c>
      <c r="BS32" s="2">
        <v>1</v>
      </c>
      <c r="BT32" s="2">
        <v>1</v>
      </c>
      <c r="BU32" s="2">
        <v>1</v>
      </c>
      <c r="BV32" s="2">
        <v>1</v>
      </c>
      <c r="BW32" s="2">
        <v>1</v>
      </c>
      <c r="BX32" s="2">
        <v>1</v>
      </c>
      <c r="BY32" s="2" t="s">
        <v>3</v>
      </c>
      <c r="BZ32" s="2">
        <v>100</v>
      </c>
      <c r="CA32" s="2">
        <v>49</v>
      </c>
      <c r="CB32" s="2" t="s">
        <v>3</v>
      </c>
      <c r="CC32" s="2"/>
      <c r="CD32" s="2"/>
      <c r="CE32" s="2">
        <v>0</v>
      </c>
      <c r="CF32" s="2">
        <v>0</v>
      </c>
      <c r="CG32" s="2">
        <v>0</v>
      </c>
      <c r="CH32" s="2"/>
      <c r="CI32" s="2"/>
      <c r="CJ32" s="2"/>
      <c r="CK32" s="2"/>
      <c r="CL32" s="2"/>
      <c r="CM32" s="2">
        <v>0</v>
      </c>
      <c r="CN32" s="7" t="s">
        <v>358</v>
      </c>
      <c r="CO32" s="2">
        <v>0</v>
      </c>
      <c r="CP32" s="2">
        <f t="shared" si="29"/>
        <v>49527.14</v>
      </c>
      <c r="CQ32" s="2">
        <f>SUMIF(SmtRes!AQ14:'SmtRes'!AQ21,"=1",SmtRes!AA14:'SmtRes'!AA21)</f>
        <v>61.56</v>
      </c>
      <c r="CR32" s="2">
        <f>SUMIF(SmtRes!AQ14:'SmtRes'!AQ21,"=1",SmtRes!AB14:'SmtRes'!AB21)</f>
        <v>554.84999999999991</v>
      </c>
      <c r="CS32" s="2">
        <f>SUMIF(SmtRes!AQ14:'SmtRes'!AQ21,"=1",SmtRes!AC14:'SmtRes'!AC21)</f>
        <v>731.08</v>
      </c>
      <c r="CT32" s="2">
        <f>SUMIF(SmtRes!AQ14:'SmtRes'!AQ21,"=1",SmtRes!AD14:'SmtRes'!AD21)</f>
        <v>796.55</v>
      </c>
      <c r="CU32" s="2">
        <f t="shared" si="30"/>
        <v>0</v>
      </c>
      <c r="CV32" s="2">
        <f>SUMIF(SmtRes!AQ14:'SmtRes'!AQ21,"=1",SmtRes!BU14:'SmtRes'!BU21)</f>
        <v>74.761499999999998</v>
      </c>
      <c r="CW32" s="2">
        <f>SUMIF(SmtRes!AQ14:'SmtRes'!AQ21,"=1",SmtRes!BV14:'SmtRes'!BV21)</f>
        <v>0.65</v>
      </c>
      <c r="CX32" s="2">
        <f t="shared" si="31"/>
        <v>0</v>
      </c>
      <c r="CY32" s="2">
        <f t="shared" si="32"/>
        <v>44299.539000000004</v>
      </c>
      <c r="CZ32" s="2">
        <f t="shared" si="33"/>
        <v>20500.842215000001</v>
      </c>
      <c r="DA32" s="2"/>
      <c r="DB32" s="2">
        <v>1</v>
      </c>
      <c r="DC32" s="2" t="s">
        <v>3</v>
      </c>
      <c r="DD32" s="2" t="s">
        <v>3</v>
      </c>
      <c r="DE32" s="2" t="s">
        <v>41</v>
      </c>
      <c r="DF32" s="2" t="s">
        <v>41</v>
      </c>
      <c r="DG32" s="2" t="s">
        <v>42</v>
      </c>
      <c r="DH32" s="2" t="s">
        <v>3</v>
      </c>
      <c r="DI32" s="2" t="s">
        <v>42</v>
      </c>
      <c r="DJ32" s="2" t="s">
        <v>41</v>
      </c>
      <c r="DK32" s="2" t="s">
        <v>3</v>
      </c>
      <c r="DL32" s="2" t="s">
        <v>43</v>
      </c>
      <c r="DM32" s="2" t="s">
        <v>44</v>
      </c>
      <c r="DN32" s="2">
        <v>0</v>
      </c>
      <c r="DO32" s="2">
        <v>0</v>
      </c>
      <c r="DP32" s="2">
        <v>1</v>
      </c>
      <c r="DQ32" s="2">
        <v>1</v>
      </c>
      <c r="DR32" s="2"/>
      <c r="DS32" s="2"/>
      <c r="DT32" s="2"/>
      <c r="DU32" s="2">
        <v>1005</v>
      </c>
      <c r="DV32" s="2" t="s">
        <v>20</v>
      </c>
      <c r="DW32" s="2" t="s">
        <v>20</v>
      </c>
      <c r="DX32" s="2">
        <v>100</v>
      </c>
      <c r="DY32" s="2"/>
      <c r="DZ32" s="2" t="s">
        <v>3</v>
      </c>
      <c r="EA32" s="2" t="s">
        <v>3</v>
      </c>
      <c r="EB32" s="2" t="s">
        <v>3</v>
      </c>
      <c r="EC32" s="2" t="s">
        <v>3</v>
      </c>
      <c r="ED32" s="2"/>
      <c r="EE32" s="2">
        <v>89977019</v>
      </c>
      <c r="EF32" s="2">
        <v>2</v>
      </c>
      <c r="EG32" s="2" t="s">
        <v>45</v>
      </c>
      <c r="EH32" s="2">
        <v>15</v>
      </c>
      <c r="EI32" s="2" t="s">
        <v>46</v>
      </c>
      <c r="EJ32" s="2">
        <v>1</v>
      </c>
      <c r="EK32" s="2">
        <v>15001</v>
      </c>
      <c r="EL32" s="2" t="s">
        <v>46</v>
      </c>
      <c r="EM32" s="2" t="s">
        <v>47</v>
      </c>
      <c r="EN32" s="2"/>
      <c r="EO32" s="2" t="s">
        <v>48</v>
      </c>
      <c r="EP32" s="2"/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65.010000000000005</v>
      </c>
      <c r="EX32" s="2">
        <v>0.52</v>
      </c>
      <c r="EY32" s="2">
        <v>0</v>
      </c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>
        <v>0</v>
      </c>
      <c r="FR32" s="2">
        <v>0</v>
      </c>
      <c r="FS32" s="2">
        <v>0</v>
      </c>
      <c r="FT32" s="2"/>
      <c r="FU32" s="2"/>
      <c r="FV32" s="2"/>
      <c r="FW32" s="2"/>
      <c r="FX32" s="2">
        <v>90</v>
      </c>
      <c r="FY32" s="2">
        <v>41.65</v>
      </c>
      <c r="FZ32" s="2"/>
      <c r="GA32" s="2" t="s">
        <v>3</v>
      </c>
      <c r="GB32" s="2"/>
      <c r="GC32" s="2"/>
      <c r="GD32" s="2">
        <v>1</v>
      </c>
      <c r="GE32" s="2"/>
      <c r="GF32" s="2">
        <v>-1575191511</v>
      </c>
      <c r="GG32" s="2">
        <v>2</v>
      </c>
      <c r="GH32" s="2">
        <v>1</v>
      </c>
      <c r="GI32" s="2">
        <v>-2</v>
      </c>
      <c r="GJ32" s="2">
        <v>0</v>
      </c>
      <c r="GK32" s="2">
        <v>0</v>
      </c>
      <c r="GL32" s="2">
        <f t="shared" si="34"/>
        <v>0</v>
      </c>
      <c r="GM32" s="2">
        <f t="shared" si="35"/>
        <v>114327.52</v>
      </c>
      <c r="GN32" s="2">
        <f t="shared" si="36"/>
        <v>114327.52</v>
      </c>
      <c r="GO32" s="2">
        <f t="shared" si="37"/>
        <v>0</v>
      </c>
      <c r="GP32" s="2">
        <f t="shared" si="38"/>
        <v>0</v>
      </c>
      <c r="GQ32" s="2"/>
      <c r="GR32" s="2">
        <v>0</v>
      </c>
      <c r="GS32" s="2">
        <v>3</v>
      </c>
      <c r="GT32" s="2">
        <v>0</v>
      </c>
      <c r="GU32" s="2" t="s">
        <v>3</v>
      </c>
      <c r="GV32" s="2">
        <f t="shared" si="39"/>
        <v>0</v>
      </c>
      <c r="GW32" s="2">
        <v>1</v>
      </c>
      <c r="GX32" s="2">
        <f t="shared" si="40"/>
        <v>0</v>
      </c>
      <c r="GY32" s="2"/>
      <c r="GZ32" s="2"/>
      <c r="HA32" s="2">
        <v>0</v>
      </c>
      <c r="HB32" s="2">
        <v>0</v>
      </c>
      <c r="HC32" s="2">
        <f t="shared" si="41"/>
        <v>0</v>
      </c>
      <c r="HD32" s="2"/>
      <c r="HE32" s="2" t="s">
        <v>3</v>
      </c>
      <c r="HF32" s="2" t="s">
        <v>3</v>
      </c>
      <c r="HG32" s="2"/>
      <c r="HH32" s="2"/>
      <c r="HI32" s="2"/>
      <c r="HJ32" s="2"/>
      <c r="HK32" s="2"/>
      <c r="HL32" s="2"/>
      <c r="HM32" s="2" t="s">
        <v>3</v>
      </c>
      <c r="HN32" s="2" t="s">
        <v>49</v>
      </c>
      <c r="HO32" s="2" t="s">
        <v>50</v>
      </c>
      <c r="HP32" s="2" t="s">
        <v>46</v>
      </c>
      <c r="HQ32" s="2" t="s">
        <v>46</v>
      </c>
      <c r="HR32" s="2"/>
      <c r="HS32" s="2">
        <v>0</v>
      </c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>
        <v>0</v>
      </c>
      <c r="IL32" s="2"/>
      <c r="IM32" s="2"/>
      <c r="IN32" s="2"/>
      <c r="IO32" s="2"/>
      <c r="IP32" s="2"/>
      <c r="IQ32" s="2"/>
      <c r="IR32" s="2"/>
      <c r="IS32" s="2"/>
      <c r="IT32" s="2"/>
      <c r="IU32" s="2"/>
    </row>
    <row r="33" spans="1:255" x14ac:dyDescent="0.2">
      <c r="A33" s="2">
        <v>18</v>
      </c>
      <c r="B33" s="2">
        <v>1</v>
      </c>
      <c r="C33" s="2">
        <v>20</v>
      </c>
      <c r="D33" s="2"/>
      <c r="E33" s="2" t="s">
        <v>51</v>
      </c>
      <c r="F33" s="2" t="s">
        <v>52</v>
      </c>
      <c r="G33" s="2" t="s">
        <v>53</v>
      </c>
      <c r="H33" s="2" t="s">
        <v>30</v>
      </c>
      <c r="I33" s="2">
        <f>I32*J33</f>
        <v>0.41</v>
      </c>
      <c r="J33" s="2">
        <v>0.5</v>
      </c>
      <c r="K33" s="2">
        <v>0.5</v>
      </c>
      <c r="L33" s="2"/>
      <c r="M33" s="2"/>
      <c r="N33" s="2"/>
      <c r="O33" s="2">
        <f t="shared" si="21"/>
        <v>57160.11</v>
      </c>
      <c r="P33" s="2">
        <f>ROUND(CQ33*I33,2)</f>
        <v>57160.11</v>
      </c>
      <c r="Q33" s="2">
        <f>ROUND(CR33*I33,2)</f>
        <v>0</v>
      </c>
      <c r="R33" s="2">
        <f>ROUND(CS33*I33,2)</f>
        <v>0</v>
      </c>
      <c r="S33" s="2">
        <f>ROUND(CT33*I33,2)</f>
        <v>0</v>
      </c>
      <c r="T33" s="2">
        <f t="shared" si="22"/>
        <v>0</v>
      </c>
      <c r="U33" s="2">
        <f>ROUND(CV33*I33,7)</f>
        <v>0</v>
      </c>
      <c r="V33" s="2">
        <f>ROUND(CW33*I33,7)</f>
        <v>0</v>
      </c>
      <c r="W33" s="2">
        <f t="shared" si="23"/>
        <v>0</v>
      </c>
      <c r="X33" s="2">
        <f t="shared" si="24"/>
        <v>0</v>
      </c>
      <c r="Y33" s="2">
        <f t="shared" si="25"/>
        <v>0</v>
      </c>
      <c r="Z33" s="2"/>
      <c r="AA33" s="2">
        <v>94298235</v>
      </c>
      <c r="AB33" s="2">
        <f t="shared" si="26"/>
        <v>89945.1</v>
      </c>
      <c r="AC33" s="2">
        <f>ROUND((ES33),6)</f>
        <v>89945.1</v>
      </c>
      <c r="AD33" s="2">
        <f>ROUND((((ET33)-(EU33))+AE33),6)</f>
        <v>0</v>
      </c>
      <c r="AE33" s="2">
        <f>ROUND((EU33),6)</f>
        <v>0</v>
      </c>
      <c r="AF33" s="2">
        <f>ROUND((EV33),6)</f>
        <v>0</v>
      </c>
      <c r="AG33" s="2">
        <f t="shared" si="27"/>
        <v>0</v>
      </c>
      <c r="AH33" s="2">
        <f>(EW33)</f>
        <v>0</v>
      </c>
      <c r="AI33" s="2">
        <f>(EX33)</f>
        <v>0</v>
      </c>
      <c r="AJ33" s="2">
        <f t="shared" si="28"/>
        <v>0</v>
      </c>
      <c r="AK33" s="2">
        <v>89945.1</v>
      </c>
      <c r="AL33" s="2">
        <v>89945.1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100</v>
      </c>
      <c r="AU33" s="2">
        <v>49</v>
      </c>
      <c r="AV33" s="2">
        <v>1</v>
      </c>
      <c r="AW33" s="2">
        <v>1</v>
      </c>
      <c r="AX33" s="2"/>
      <c r="AY33" s="2"/>
      <c r="AZ33" s="2">
        <v>1</v>
      </c>
      <c r="BA33" s="2">
        <v>1</v>
      </c>
      <c r="BB33" s="2">
        <v>1</v>
      </c>
      <c r="BC33" s="2">
        <v>1.55</v>
      </c>
      <c r="BD33" s="2" t="s">
        <v>3</v>
      </c>
      <c r="BE33" s="2" t="s">
        <v>3</v>
      </c>
      <c r="BF33" s="2" t="s">
        <v>3</v>
      </c>
      <c r="BG33" s="2" t="s">
        <v>3</v>
      </c>
      <c r="BH33" s="2">
        <v>3</v>
      </c>
      <c r="BI33" s="2">
        <v>1</v>
      </c>
      <c r="BJ33" s="2" t="s">
        <v>54</v>
      </c>
      <c r="BK33" s="2"/>
      <c r="BL33" s="2"/>
      <c r="BM33" s="2">
        <v>15001</v>
      </c>
      <c r="BN33" s="2">
        <v>0</v>
      </c>
      <c r="BO33" s="2" t="s">
        <v>52</v>
      </c>
      <c r="BP33" s="2">
        <v>1</v>
      </c>
      <c r="BQ33" s="2">
        <v>2</v>
      </c>
      <c r="BR33" s="2">
        <v>0</v>
      </c>
      <c r="BS33" s="2">
        <v>1</v>
      </c>
      <c r="BT33" s="2">
        <v>1</v>
      </c>
      <c r="BU33" s="2">
        <v>1</v>
      </c>
      <c r="BV33" s="2">
        <v>1</v>
      </c>
      <c r="BW33" s="2">
        <v>1</v>
      </c>
      <c r="BX33" s="2">
        <v>1</v>
      </c>
      <c r="BY33" s="2" t="s">
        <v>3</v>
      </c>
      <c r="BZ33" s="2">
        <v>100</v>
      </c>
      <c r="CA33" s="2">
        <v>49</v>
      </c>
      <c r="CB33" s="2" t="s">
        <v>3</v>
      </c>
      <c r="CC33" s="2"/>
      <c r="CD33" s="2"/>
      <c r="CE33" s="2">
        <v>0</v>
      </c>
      <c r="CF33" s="2">
        <v>0</v>
      </c>
      <c r="CG33" s="2">
        <v>0</v>
      </c>
      <c r="CH33" s="2"/>
      <c r="CI33" s="2"/>
      <c r="CJ33" s="2"/>
      <c r="CK33" s="2"/>
      <c r="CL33" s="2"/>
      <c r="CM33" s="2">
        <v>0</v>
      </c>
      <c r="CN33" s="2" t="s">
        <v>3</v>
      </c>
      <c r="CO33" s="2">
        <v>0</v>
      </c>
      <c r="CP33" s="2">
        <f t="shared" si="29"/>
        <v>57160.11</v>
      </c>
      <c r="CQ33" s="2">
        <f>ROUND(AL33*BC33,2)</f>
        <v>139414.91</v>
      </c>
      <c r="CR33" s="2">
        <f>ROUND(AM33*BB33,2)</f>
        <v>0</v>
      </c>
      <c r="CS33" s="2">
        <f>ROUND(AN33*BS33,2)</f>
        <v>0</v>
      </c>
      <c r="CT33" s="2">
        <f>ROUND(AO33*BA33,2)</f>
        <v>0</v>
      </c>
      <c r="CU33" s="2">
        <f t="shared" si="30"/>
        <v>0</v>
      </c>
      <c r="CV33" s="2">
        <f>AH33</f>
        <v>0</v>
      </c>
      <c r="CW33" s="2">
        <f>AI33</f>
        <v>0</v>
      </c>
      <c r="CX33" s="2">
        <f t="shared" si="31"/>
        <v>0</v>
      </c>
      <c r="CY33" s="2">
        <f t="shared" si="32"/>
        <v>0</v>
      </c>
      <c r="CZ33" s="2">
        <f t="shared" si="33"/>
        <v>0</v>
      </c>
      <c r="DA33" s="2"/>
      <c r="DB33" s="2"/>
      <c r="DC33" s="2" t="s">
        <v>3</v>
      </c>
      <c r="DD33" s="2" t="s">
        <v>3</v>
      </c>
      <c r="DE33" s="2" t="s">
        <v>3</v>
      </c>
      <c r="DF33" s="2" t="s">
        <v>3</v>
      </c>
      <c r="DG33" s="2" t="s">
        <v>3</v>
      </c>
      <c r="DH33" s="2" t="s">
        <v>3</v>
      </c>
      <c r="DI33" s="2" t="s">
        <v>3</v>
      </c>
      <c r="DJ33" s="2" t="s">
        <v>3</v>
      </c>
      <c r="DK33" s="2" t="s">
        <v>3</v>
      </c>
      <c r="DL33" s="2" t="s">
        <v>3</v>
      </c>
      <c r="DM33" s="2" t="s">
        <v>3</v>
      </c>
      <c r="DN33" s="2">
        <v>0</v>
      </c>
      <c r="DO33" s="2">
        <v>0</v>
      </c>
      <c r="DP33" s="2">
        <v>1</v>
      </c>
      <c r="DQ33" s="2">
        <v>1</v>
      </c>
      <c r="DR33" s="2"/>
      <c r="DS33" s="2"/>
      <c r="DT33" s="2"/>
      <c r="DU33" s="2">
        <v>1009</v>
      </c>
      <c r="DV33" s="2" t="s">
        <v>30</v>
      </c>
      <c r="DW33" s="2" t="s">
        <v>30</v>
      </c>
      <c r="DX33" s="2">
        <v>1000</v>
      </c>
      <c r="DY33" s="2"/>
      <c r="DZ33" s="2" t="s">
        <v>3</v>
      </c>
      <c r="EA33" s="2" t="s">
        <v>3</v>
      </c>
      <c r="EB33" s="2" t="s">
        <v>3</v>
      </c>
      <c r="EC33" s="2" t="s">
        <v>3</v>
      </c>
      <c r="ED33" s="2"/>
      <c r="EE33" s="2">
        <v>89977019</v>
      </c>
      <c r="EF33" s="2">
        <v>2</v>
      </c>
      <c r="EG33" s="2" t="s">
        <v>45</v>
      </c>
      <c r="EH33" s="2">
        <v>15</v>
      </c>
      <c r="EI33" s="2" t="s">
        <v>46</v>
      </c>
      <c r="EJ33" s="2">
        <v>1</v>
      </c>
      <c r="EK33" s="2">
        <v>15001</v>
      </c>
      <c r="EL33" s="2" t="s">
        <v>46</v>
      </c>
      <c r="EM33" s="2" t="s">
        <v>47</v>
      </c>
      <c r="EN33" s="2"/>
      <c r="EO33" s="2" t="s">
        <v>3</v>
      </c>
      <c r="EP33" s="2"/>
      <c r="EQ33" s="2">
        <v>0</v>
      </c>
      <c r="ER33" s="2">
        <v>89945.1</v>
      </c>
      <c r="ES33" s="2">
        <v>89945.1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>
        <v>0</v>
      </c>
      <c r="FR33" s="2">
        <v>0</v>
      </c>
      <c r="FS33" s="2">
        <v>0</v>
      </c>
      <c r="FT33" s="2"/>
      <c r="FU33" s="2"/>
      <c r="FV33" s="2"/>
      <c r="FW33" s="2"/>
      <c r="FX33" s="2">
        <v>100</v>
      </c>
      <c r="FY33" s="2">
        <v>49</v>
      </c>
      <c r="FZ33" s="2"/>
      <c r="GA33" s="2" t="s">
        <v>3</v>
      </c>
      <c r="GB33" s="2"/>
      <c r="GC33" s="2"/>
      <c r="GD33" s="2">
        <v>1</v>
      </c>
      <c r="GE33" s="2"/>
      <c r="GF33" s="2">
        <v>1913394429</v>
      </c>
      <c r="GG33" s="2">
        <v>2</v>
      </c>
      <c r="GH33" s="2">
        <v>1</v>
      </c>
      <c r="GI33" s="2">
        <v>2</v>
      </c>
      <c r="GJ33" s="2">
        <v>0</v>
      </c>
      <c r="GK33" s="2">
        <v>0</v>
      </c>
      <c r="GL33" s="2">
        <f t="shared" si="34"/>
        <v>0</v>
      </c>
      <c r="GM33" s="2">
        <f t="shared" si="35"/>
        <v>57160.11</v>
      </c>
      <c r="GN33" s="2">
        <f t="shared" si="36"/>
        <v>57160.11</v>
      </c>
      <c r="GO33" s="2">
        <f t="shared" si="37"/>
        <v>0</v>
      </c>
      <c r="GP33" s="2">
        <f t="shared" si="38"/>
        <v>0</v>
      </c>
      <c r="GQ33" s="2"/>
      <c r="GR33" s="2">
        <v>0</v>
      </c>
      <c r="GS33" s="2">
        <v>3</v>
      </c>
      <c r="GT33" s="2">
        <v>0</v>
      </c>
      <c r="GU33" s="2" t="s">
        <v>3</v>
      </c>
      <c r="GV33" s="2">
        <f t="shared" si="39"/>
        <v>0</v>
      </c>
      <c r="GW33" s="2">
        <v>1</v>
      </c>
      <c r="GX33" s="2">
        <f t="shared" si="40"/>
        <v>0</v>
      </c>
      <c r="GY33" s="2"/>
      <c r="GZ33" s="2"/>
      <c r="HA33" s="2">
        <v>0</v>
      </c>
      <c r="HB33" s="2">
        <v>0</v>
      </c>
      <c r="HC33" s="2">
        <f t="shared" si="41"/>
        <v>0</v>
      </c>
      <c r="HD33" s="2"/>
      <c r="HE33" s="2" t="s">
        <v>3</v>
      </c>
      <c r="HF33" s="2" t="s">
        <v>3</v>
      </c>
      <c r="HG33" s="2"/>
      <c r="HH33" s="2"/>
      <c r="HI33" s="2"/>
      <c r="HJ33" s="2"/>
      <c r="HK33" s="2"/>
      <c r="HL33" s="2"/>
      <c r="HM33" s="2" t="s">
        <v>3</v>
      </c>
      <c r="HN33" s="2" t="s">
        <v>49</v>
      </c>
      <c r="HO33" s="2" t="s">
        <v>50</v>
      </c>
      <c r="HP33" s="2" t="s">
        <v>46</v>
      </c>
      <c r="HQ33" s="2" t="s">
        <v>46</v>
      </c>
      <c r="HR33" s="2"/>
      <c r="HS33" s="2">
        <v>0</v>
      </c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>
        <v>0</v>
      </c>
      <c r="IL33" s="2"/>
      <c r="IM33" s="2"/>
      <c r="IN33" s="2"/>
      <c r="IO33" s="2"/>
      <c r="IP33" s="2"/>
      <c r="IQ33" s="2"/>
      <c r="IR33" s="2"/>
      <c r="IS33" s="2"/>
      <c r="IT33" s="2"/>
      <c r="IU33" s="2"/>
    </row>
    <row r="34" spans="1:255" x14ac:dyDescent="0.2">
      <c r="A34" s="2">
        <v>18</v>
      </c>
      <c r="B34" s="2">
        <v>1</v>
      </c>
      <c r="C34" s="2">
        <v>21</v>
      </c>
      <c r="D34" s="2"/>
      <c r="E34" s="2" t="s">
        <v>55</v>
      </c>
      <c r="F34" s="2" t="s">
        <v>56</v>
      </c>
      <c r="G34" s="2" t="s">
        <v>57</v>
      </c>
      <c r="H34" s="2" t="s">
        <v>58</v>
      </c>
      <c r="I34" s="2">
        <f>I32*J34</f>
        <v>14.76</v>
      </c>
      <c r="J34" s="2">
        <v>18</v>
      </c>
      <c r="K34" s="2">
        <v>18</v>
      </c>
      <c r="L34" s="2"/>
      <c r="M34" s="2"/>
      <c r="N34" s="2"/>
      <c r="O34" s="2">
        <f t="shared" si="21"/>
        <v>1552.31</v>
      </c>
      <c r="P34" s="2">
        <f>ROUND(CQ34*I34,2)</f>
        <v>1552.31</v>
      </c>
      <c r="Q34" s="2">
        <f>ROUND(CR34*I34,2)</f>
        <v>0</v>
      </c>
      <c r="R34" s="2">
        <f>ROUND(CS34*I34,2)</f>
        <v>0</v>
      </c>
      <c r="S34" s="2">
        <f>ROUND(CT34*I34,2)</f>
        <v>0</v>
      </c>
      <c r="T34" s="2">
        <f t="shared" si="22"/>
        <v>0</v>
      </c>
      <c r="U34" s="2">
        <f>ROUND(CV34*I34,7)</f>
        <v>0</v>
      </c>
      <c r="V34" s="2">
        <f>ROUND(CW34*I34,7)</f>
        <v>0</v>
      </c>
      <c r="W34" s="2">
        <f t="shared" si="23"/>
        <v>0</v>
      </c>
      <c r="X34" s="2">
        <f t="shared" si="24"/>
        <v>0</v>
      </c>
      <c r="Y34" s="2">
        <f t="shared" si="25"/>
        <v>0</v>
      </c>
      <c r="Z34" s="2"/>
      <c r="AA34" s="2">
        <v>94298235</v>
      </c>
      <c r="AB34" s="2">
        <f t="shared" si="26"/>
        <v>68.290000000000006</v>
      </c>
      <c r="AC34" s="2">
        <f>ROUND((ES34),6)</f>
        <v>68.290000000000006</v>
      </c>
      <c r="AD34" s="2">
        <f>ROUND((((ET34)-(EU34))+AE34),6)</f>
        <v>0</v>
      </c>
      <c r="AE34" s="2">
        <f>ROUND((EU34),6)</f>
        <v>0</v>
      </c>
      <c r="AF34" s="2">
        <f>ROUND((EV34),6)</f>
        <v>0</v>
      </c>
      <c r="AG34" s="2">
        <f t="shared" si="27"/>
        <v>0</v>
      </c>
      <c r="AH34" s="2">
        <f>(EW34)</f>
        <v>0</v>
      </c>
      <c r="AI34" s="2">
        <f>(EX34)</f>
        <v>0</v>
      </c>
      <c r="AJ34" s="2">
        <f t="shared" si="28"/>
        <v>0</v>
      </c>
      <c r="AK34" s="2">
        <v>68.290000000000006</v>
      </c>
      <c r="AL34" s="2">
        <v>68.290000000000006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100</v>
      </c>
      <c r="AU34" s="2">
        <v>49</v>
      </c>
      <c r="AV34" s="2">
        <v>1</v>
      </c>
      <c r="AW34" s="2">
        <v>1</v>
      </c>
      <c r="AX34" s="2"/>
      <c r="AY34" s="2"/>
      <c r="AZ34" s="2">
        <v>1</v>
      </c>
      <c r="BA34" s="2">
        <v>1</v>
      </c>
      <c r="BB34" s="2">
        <v>1</v>
      </c>
      <c r="BC34" s="2">
        <v>1.54</v>
      </c>
      <c r="BD34" s="2" t="s">
        <v>3</v>
      </c>
      <c r="BE34" s="2" t="s">
        <v>3</v>
      </c>
      <c r="BF34" s="2" t="s">
        <v>3</v>
      </c>
      <c r="BG34" s="2" t="s">
        <v>3</v>
      </c>
      <c r="BH34" s="2">
        <v>3</v>
      </c>
      <c r="BI34" s="2">
        <v>1</v>
      </c>
      <c r="BJ34" s="2" t="s">
        <v>59</v>
      </c>
      <c r="BK34" s="2"/>
      <c r="BL34" s="2"/>
      <c r="BM34" s="2">
        <v>15001</v>
      </c>
      <c r="BN34" s="2">
        <v>0</v>
      </c>
      <c r="BO34" s="2" t="s">
        <v>56</v>
      </c>
      <c r="BP34" s="2">
        <v>1</v>
      </c>
      <c r="BQ34" s="2">
        <v>2</v>
      </c>
      <c r="BR34" s="2">
        <v>0</v>
      </c>
      <c r="BS34" s="2">
        <v>1</v>
      </c>
      <c r="BT34" s="2">
        <v>1</v>
      </c>
      <c r="BU34" s="2">
        <v>1</v>
      </c>
      <c r="BV34" s="2">
        <v>1</v>
      </c>
      <c r="BW34" s="2">
        <v>1</v>
      </c>
      <c r="BX34" s="2">
        <v>1</v>
      </c>
      <c r="BY34" s="2" t="s">
        <v>3</v>
      </c>
      <c r="BZ34" s="2">
        <v>100</v>
      </c>
      <c r="CA34" s="2">
        <v>49</v>
      </c>
      <c r="CB34" s="2" t="s">
        <v>3</v>
      </c>
      <c r="CC34" s="2"/>
      <c r="CD34" s="2"/>
      <c r="CE34" s="2">
        <v>0</v>
      </c>
      <c r="CF34" s="2">
        <v>0</v>
      </c>
      <c r="CG34" s="2">
        <v>0</v>
      </c>
      <c r="CH34" s="2"/>
      <c r="CI34" s="2"/>
      <c r="CJ34" s="2"/>
      <c r="CK34" s="2"/>
      <c r="CL34" s="2"/>
      <c r="CM34" s="2">
        <v>0</v>
      </c>
      <c r="CN34" s="2" t="s">
        <v>3</v>
      </c>
      <c r="CO34" s="2">
        <v>0</v>
      </c>
      <c r="CP34" s="2">
        <f t="shared" si="29"/>
        <v>1552.31</v>
      </c>
      <c r="CQ34" s="2">
        <f>ROUND(AL34*BC34,2)</f>
        <v>105.17</v>
      </c>
      <c r="CR34" s="2">
        <f>ROUND(AM34*BB34,2)</f>
        <v>0</v>
      </c>
      <c r="CS34" s="2">
        <f>ROUND(AN34*BS34,2)</f>
        <v>0</v>
      </c>
      <c r="CT34" s="2">
        <f>ROUND(AO34*BA34,2)</f>
        <v>0</v>
      </c>
      <c r="CU34" s="2">
        <f t="shared" si="30"/>
        <v>0</v>
      </c>
      <c r="CV34" s="2">
        <f>AH34</f>
        <v>0</v>
      </c>
      <c r="CW34" s="2">
        <f>AI34</f>
        <v>0</v>
      </c>
      <c r="CX34" s="2">
        <f t="shared" si="31"/>
        <v>0</v>
      </c>
      <c r="CY34" s="2">
        <f t="shared" si="32"/>
        <v>0</v>
      </c>
      <c r="CZ34" s="2">
        <f t="shared" si="33"/>
        <v>0</v>
      </c>
      <c r="DA34" s="2"/>
      <c r="DB34" s="2"/>
      <c r="DC34" s="2" t="s">
        <v>3</v>
      </c>
      <c r="DD34" s="2" t="s">
        <v>3</v>
      </c>
      <c r="DE34" s="2" t="s">
        <v>3</v>
      </c>
      <c r="DF34" s="2" t="s">
        <v>3</v>
      </c>
      <c r="DG34" s="2" t="s">
        <v>3</v>
      </c>
      <c r="DH34" s="2" t="s">
        <v>3</v>
      </c>
      <c r="DI34" s="2" t="s">
        <v>3</v>
      </c>
      <c r="DJ34" s="2" t="s">
        <v>3</v>
      </c>
      <c r="DK34" s="2" t="s">
        <v>3</v>
      </c>
      <c r="DL34" s="2" t="s">
        <v>3</v>
      </c>
      <c r="DM34" s="2" t="s">
        <v>3</v>
      </c>
      <c r="DN34" s="2">
        <v>0</v>
      </c>
      <c r="DO34" s="2">
        <v>0</v>
      </c>
      <c r="DP34" s="2">
        <v>1</v>
      </c>
      <c r="DQ34" s="2">
        <v>1</v>
      </c>
      <c r="DR34" s="2"/>
      <c r="DS34" s="2"/>
      <c r="DT34" s="2"/>
      <c r="DU34" s="2">
        <v>1009</v>
      </c>
      <c r="DV34" s="2" t="s">
        <v>58</v>
      </c>
      <c r="DW34" s="2" t="s">
        <v>58</v>
      </c>
      <c r="DX34" s="2">
        <v>1</v>
      </c>
      <c r="DY34" s="2"/>
      <c r="DZ34" s="2" t="s">
        <v>3</v>
      </c>
      <c r="EA34" s="2" t="s">
        <v>3</v>
      </c>
      <c r="EB34" s="2" t="s">
        <v>3</v>
      </c>
      <c r="EC34" s="2" t="s">
        <v>3</v>
      </c>
      <c r="ED34" s="2"/>
      <c r="EE34" s="2">
        <v>89977019</v>
      </c>
      <c r="EF34" s="2">
        <v>2</v>
      </c>
      <c r="EG34" s="2" t="s">
        <v>45</v>
      </c>
      <c r="EH34" s="2">
        <v>15</v>
      </c>
      <c r="EI34" s="2" t="s">
        <v>46</v>
      </c>
      <c r="EJ34" s="2">
        <v>1</v>
      </c>
      <c r="EK34" s="2">
        <v>15001</v>
      </c>
      <c r="EL34" s="2" t="s">
        <v>46</v>
      </c>
      <c r="EM34" s="2" t="s">
        <v>47</v>
      </c>
      <c r="EN34" s="2"/>
      <c r="EO34" s="2" t="s">
        <v>3</v>
      </c>
      <c r="EP34" s="2"/>
      <c r="EQ34" s="2">
        <v>0</v>
      </c>
      <c r="ER34" s="2">
        <v>68.290000000000006</v>
      </c>
      <c r="ES34" s="2">
        <v>68.290000000000006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>
        <v>0</v>
      </c>
      <c r="FR34" s="2">
        <v>0</v>
      </c>
      <c r="FS34" s="2">
        <v>0</v>
      </c>
      <c r="FT34" s="2"/>
      <c r="FU34" s="2"/>
      <c r="FV34" s="2"/>
      <c r="FW34" s="2"/>
      <c r="FX34" s="2">
        <v>100</v>
      </c>
      <c r="FY34" s="2">
        <v>49</v>
      </c>
      <c r="FZ34" s="2"/>
      <c r="GA34" s="2" t="s">
        <v>3</v>
      </c>
      <c r="GB34" s="2"/>
      <c r="GC34" s="2"/>
      <c r="GD34" s="2">
        <v>1</v>
      </c>
      <c r="GE34" s="2"/>
      <c r="GF34" s="2">
        <v>1546742732</v>
      </c>
      <c r="GG34" s="2">
        <v>2</v>
      </c>
      <c r="GH34" s="2">
        <v>1</v>
      </c>
      <c r="GI34" s="2">
        <v>2</v>
      </c>
      <c r="GJ34" s="2">
        <v>0</v>
      </c>
      <c r="GK34" s="2">
        <v>0</v>
      </c>
      <c r="GL34" s="2">
        <f t="shared" si="34"/>
        <v>0</v>
      </c>
      <c r="GM34" s="2">
        <f t="shared" si="35"/>
        <v>1552.31</v>
      </c>
      <c r="GN34" s="2">
        <f t="shared" si="36"/>
        <v>1552.31</v>
      </c>
      <c r="GO34" s="2">
        <f t="shared" si="37"/>
        <v>0</v>
      </c>
      <c r="GP34" s="2">
        <f t="shared" si="38"/>
        <v>0</v>
      </c>
      <c r="GQ34" s="2"/>
      <c r="GR34" s="2">
        <v>0</v>
      </c>
      <c r="GS34" s="2">
        <v>3</v>
      </c>
      <c r="GT34" s="2">
        <v>0</v>
      </c>
      <c r="GU34" s="2" t="s">
        <v>3</v>
      </c>
      <c r="GV34" s="2">
        <f t="shared" si="39"/>
        <v>0</v>
      </c>
      <c r="GW34" s="2">
        <v>1</v>
      </c>
      <c r="GX34" s="2">
        <f t="shared" si="40"/>
        <v>0</v>
      </c>
      <c r="GY34" s="2"/>
      <c r="GZ34" s="2"/>
      <c r="HA34" s="2">
        <v>0</v>
      </c>
      <c r="HB34" s="2">
        <v>0</v>
      </c>
      <c r="HC34" s="2">
        <f t="shared" si="41"/>
        <v>0</v>
      </c>
      <c r="HD34" s="2"/>
      <c r="HE34" s="2" t="s">
        <v>3</v>
      </c>
      <c r="HF34" s="2" t="s">
        <v>3</v>
      </c>
      <c r="HG34" s="2"/>
      <c r="HH34" s="2"/>
      <c r="HI34" s="2"/>
      <c r="HJ34" s="2"/>
      <c r="HK34" s="2"/>
      <c r="HL34" s="2"/>
      <c r="HM34" s="2" t="s">
        <v>3</v>
      </c>
      <c r="HN34" s="2" t="s">
        <v>49</v>
      </c>
      <c r="HO34" s="2" t="s">
        <v>50</v>
      </c>
      <c r="HP34" s="2" t="s">
        <v>46</v>
      </c>
      <c r="HQ34" s="2" t="s">
        <v>46</v>
      </c>
      <c r="HR34" s="2"/>
      <c r="HS34" s="2">
        <v>0</v>
      </c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>
        <v>0</v>
      </c>
      <c r="IL34" s="2"/>
      <c r="IM34" s="2"/>
      <c r="IN34" s="2"/>
      <c r="IO34" s="2"/>
      <c r="IP34" s="2"/>
      <c r="IQ34" s="2"/>
      <c r="IR34" s="2"/>
      <c r="IS34" s="2"/>
      <c r="IT34" s="2"/>
      <c r="IU34" s="2"/>
    </row>
    <row r="35" spans="1:255" x14ac:dyDescent="0.2">
      <c r="A35" s="2">
        <v>17</v>
      </c>
      <c r="B35" s="2">
        <v>1</v>
      </c>
      <c r="C35" s="2">
        <f>ROW(SmtRes!A29)</f>
        <v>29</v>
      </c>
      <c r="D35" s="2">
        <f>ROW(EtalonRes!A29)</f>
        <v>29</v>
      </c>
      <c r="E35" s="2" t="s">
        <v>60</v>
      </c>
      <c r="F35" s="2" t="s">
        <v>61</v>
      </c>
      <c r="G35" s="2" t="s">
        <v>62</v>
      </c>
      <c r="H35" s="2" t="s">
        <v>20</v>
      </c>
      <c r="I35" s="2">
        <f>ROUND(8/100,7)</f>
        <v>0.08</v>
      </c>
      <c r="J35" s="2">
        <v>0</v>
      </c>
      <c r="K35" s="2">
        <f>ROUND(8/100,7)</f>
        <v>0.08</v>
      </c>
      <c r="L35" s="2"/>
      <c r="M35" s="2"/>
      <c r="N35" s="2"/>
      <c r="O35" s="2">
        <f t="shared" si="21"/>
        <v>6475.76</v>
      </c>
      <c r="P35" s="2">
        <f>SUMIF(SmtRes!AQ22:'SmtRes'!AQ29,"=1",SmtRes!DF22:'SmtRes'!DF29)</f>
        <v>384.53</v>
      </c>
      <c r="Q35" s="2">
        <f>SUMIF(SmtRes!AQ22:'SmtRes'!AQ29,"=1",SmtRes!DG22:'SmtRes'!DG29)</f>
        <v>34.46</v>
      </c>
      <c r="R35" s="2">
        <f>SUMIF(SmtRes!AQ22:'SmtRes'!AQ29,"=1",SmtRes!DH22:'SmtRes'!DH29)</f>
        <v>139.82</v>
      </c>
      <c r="S35" s="2">
        <f>SUMIF(SmtRes!AQ22:'SmtRes'!AQ29,"=1",SmtRes!DI22:'SmtRes'!DI29)</f>
        <v>5916.95</v>
      </c>
      <c r="T35" s="2">
        <f t="shared" si="22"/>
        <v>0</v>
      </c>
      <c r="U35" s="2">
        <f>SUMIF(SmtRes!AQ22:'SmtRes'!AQ29,"=1",SmtRes!CV22:'SmtRes'!CV29)</f>
        <v>8.7815999999999992</v>
      </c>
      <c r="V35" s="2">
        <f>SUMIF(SmtRes!AQ22:'SmtRes'!AQ29,"=1",SmtRes!CW22:'SmtRes'!CW29)</f>
        <v>0.20960000000000001</v>
      </c>
      <c r="W35" s="2">
        <f t="shared" si="23"/>
        <v>0</v>
      </c>
      <c r="X35" s="2">
        <f t="shared" si="24"/>
        <v>5451.09</v>
      </c>
      <c r="Y35" s="2">
        <f t="shared" si="25"/>
        <v>2786.11</v>
      </c>
      <c r="Z35" s="2"/>
      <c r="AA35" s="2">
        <v>94298235</v>
      </c>
      <c r="AB35" s="2">
        <f t="shared" si="26"/>
        <v>78087.140979999996</v>
      </c>
      <c r="AC35" s="2">
        <f>ROUND((SUM(SmtRes!BQ22:'SmtRes'!BQ29)),6)</f>
        <v>3738.1022800000001</v>
      </c>
      <c r="AD35" s="2">
        <f>ROUND((((SUM(SmtRes!BR22:'SmtRes'!BR29))-(SUM(SmtRes!BS22:'SmtRes'!BS29)))+AE35),6)</f>
        <v>387.11040000000003</v>
      </c>
      <c r="AE35" s="2">
        <f>ROUND((SUM(SmtRes!BS22:'SmtRes'!BS29)),6)</f>
        <v>1747.6576</v>
      </c>
      <c r="AF35" s="2">
        <f>ROUND((SUM(SmtRes!BT22:'SmtRes'!BT29)),6)</f>
        <v>73961.9283</v>
      </c>
      <c r="AG35" s="2">
        <f t="shared" si="27"/>
        <v>0</v>
      </c>
      <c r="AH35" s="2">
        <f>(SUM(SmtRes!BU22:'SmtRes'!BU29))</f>
        <v>109.77</v>
      </c>
      <c r="AI35" s="2">
        <f>(SUM(SmtRes!BV22:'SmtRes'!BV29))</f>
        <v>2.6199999999999997</v>
      </c>
      <c r="AJ35" s="2">
        <f t="shared" si="28"/>
        <v>0</v>
      </c>
      <c r="AK35" s="2">
        <v>79834.798580000002</v>
      </c>
      <c r="AL35" s="2">
        <v>3738.1022800000005</v>
      </c>
      <c r="AM35" s="2">
        <v>387.11039999999991</v>
      </c>
      <c r="AN35" s="2">
        <v>1747.6576</v>
      </c>
      <c r="AO35" s="2">
        <v>73961.9283</v>
      </c>
      <c r="AP35" s="2">
        <v>0</v>
      </c>
      <c r="AQ35" s="2">
        <v>109.77</v>
      </c>
      <c r="AR35" s="2">
        <v>2.6199999999999997</v>
      </c>
      <c r="AS35" s="2">
        <v>0</v>
      </c>
      <c r="AT35" s="2">
        <v>90</v>
      </c>
      <c r="AU35" s="2">
        <v>46</v>
      </c>
      <c r="AV35" s="2">
        <v>1</v>
      </c>
      <c r="AW35" s="2">
        <v>1</v>
      </c>
      <c r="AX35" s="2"/>
      <c r="AY35" s="2"/>
      <c r="AZ35" s="2">
        <v>1</v>
      </c>
      <c r="BA35" s="2">
        <v>1</v>
      </c>
      <c r="BB35" s="2">
        <v>1</v>
      </c>
      <c r="BC35" s="2">
        <v>1</v>
      </c>
      <c r="BD35" s="2" t="s">
        <v>3</v>
      </c>
      <c r="BE35" s="2" t="s">
        <v>3</v>
      </c>
      <c r="BF35" s="2" t="s">
        <v>3</v>
      </c>
      <c r="BG35" s="2" t="s">
        <v>3</v>
      </c>
      <c r="BH35" s="2">
        <v>0</v>
      </c>
      <c r="BI35" s="2">
        <v>1</v>
      </c>
      <c r="BJ35" s="2" t="s">
        <v>63</v>
      </c>
      <c r="BK35" s="2"/>
      <c r="BL35" s="2"/>
      <c r="BM35" s="2">
        <v>58001</v>
      </c>
      <c r="BN35" s="2">
        <v>0</v>
      </c>
      <c r="BO35" s="2" t="s">
        <v>3</v>
      </c>
      <c r="BP35" s="2">
        <v>0</v>
      </c>
      <c r="BQ35" s="2">
        <v>6</v>
      </c>
      <c r="BR35" s="2">
        <v>0</v>
      </c>
      <c r="BS35" s="2">
        <v>1</v>
      </c>
      <c r="BT35" s="2">
        <v>1</v>
      </c>
      <c r="BU35" s="2">
        <v>1</v>
      </c>
      <c r="BV35" s="2">
        <v>1</v>
      </c>
      <c r="BW35" s="2">
        <v>1</v>
      </c>
      <c r="BX35" s="2">
        <v>1</v>
      </c>
      <c r="BY35" s="2" t="s">
        <v>3</v>
      </c>
      <c r="BZ35" s="2">
        <v>90</v>
      </c>
      <c r="CA35" s="2">
        <v>46</v>
      </c>
      <c r="CB35" s="2" t="s">
        <v>3</v>
      </c>
      <c r="CC35" s="2"/>
      <c r="CD35" s="2"/>
      <c r="CE35" s="2">
        <v>0</v>
      </c>
      <c r="CF35" s="2">
        <v>0</v>
      </c>
      <c r="CG35" s="2">
        <v>0</v>
      </c>
      <c r="CH35" s="2"/>
      <c r="CI35" s="2"/>
      <c r="CJ35" s="2"/>
      <c r="CK35" s="2"/>
      <c r="CL35" s="2"/>
      <c r="CM35" s="2">
        <v>0</v>
      </c>
      <c r="CN35" s="2" t="s">
        <v>3</v>
      </c>
      <c r="CO35" s="2">
        <v>0</v>
      </c>
      <c r="CP35" s="2">
        <f t="shared" si="29"/>
        <v>6475.7599999999993</v>
      </c>
      <c r="CQ35" s="2">
        <f>SUMIF(SmtRes!AQ22:'SmtRes'!AQ29,"=1",SmtRes!AA22:'SmtRes'!AA29)</f>
        <v>163718.76</v>
      </c>
      <c r="CR35" s="2">
        <f>SUMIF(SmtRes!AQ22:'SmtRes'!AQ29,"=1",SmtRes!AB22:'SmtRes'!AB29)</f>
        <v>603.51</v>
      </c>
      <c r="CS35" s="2">
        <f>SUMIF(SmtRes!AQ22:'SmtRes'!AQ29,"=1",SmtRes!AC22:'SmtRes'!AC29)</f>
        <v>1380.3200000000002</v>
      </c>
      <c r="CT35" s="2">
        <f>SUMIF(SmtRes!AQ22:'SmtRes'!AQ29,"=1",SmtRes!AD22:'SmtRes'!AD29)</f>
        <v>673.79</v>
      </c>
      <c r="CU35" s="2">
        <f t="shared" si="30"/>
        <v>0</v>
      </c>
      <c r="CV35" s="2">
        <f>SUMIF(SmtRes!AQ22:'SmtRes'!AQ29,"=1",SmtRes!BU22:'SmtRes'!BU29)</f>
        <v>109.77</v>
      </c>
      <c r="CW35" s="2">
        <f>SUMIF(SmtRes!AQ22:'SmtRes'!AQ29,"=1",SmtRes!BV22:'SmtRes'!BV29)</f>
        <v>2.6199999999999997</v>
      </c>
      <c r="CX35" s="2">
        <f t="shared" si="31"/>
        <v>0</v>
      </c>
      <c r="CY35" s="2">
        <f t="shared" si="32"/>
        <v>5451.0929999999989</v>
      </c>
      <c r="CZ35" s="2">
        <f t="shared" si="33"/>
        <v>2786.1142</v>
      </c>
      <c r="DA35" s="2"/>
      <c r="DB35" s="2"/>
      <c r="DC35" s="2" t="s">
        <v>3</v>
      </c>
      <c r="DD35" s="2" t="s">
        <v>3</v>
      </c>
      <c r="DE35" s="2" t="s">
        <v>3</v>
      </c>
      <c r="DF35" s="2" t="s">
        <v>3</v>
      </c>
      <c r="DG35" s="2" t="s">
        <v>3</v>
      </c>
      <c r="DH35" s="2" t="s">
        <v>3</v>
      </c>
      <c r="DI35" s="2" t="s">
        <v>3</v>
      </c>
      <c r="DJ35" s="2" t="s">
        <v>3</v>
      </c>
      <c r="DK35" s="2" t="s">
        <v>3</v>
      </c>
      <c r="DL35" s="2" t="s">
        <v>3</v>
      </c>
      <c r="DM35" s="2" t="s">
        <v>3</v>
      </c>
      <c r="DN35" s="2">
        <v>0</v>
      </c>
      <c r="DO35" s="2">
        <v>0</v>
      </c>
      <c r="DP35" s="2">
        <v>1</v>
      </c>
      <c r="DQ35" s="2">
        <v>1</v>
      </c>
      <c r="DR35" s="2"/>
      <c r="DS35" s="2"/>
      <c r="DT35" s="2"/>
      <c r="DU35" s="2">
        <v>1005</v>
      </c>
      <c r="DV35" s="2" t="s">
        <v>20</v>
      </c>
      <c r="DW35" s="2" t="s">
        <v>20</v>
      </c>
      <c r="DX35" s="2">
        <v>100</v>
      </c>
      <c r="DY35" s="2"/>
      <c r="DZ35" s="2" t="s">
        <v>3</v>
      </c>
      <c r="EA35" s="2" t="s">
        <v>3</v>
      </c>
      <c r="EB35" s="2" t="s">
        <v>3</v>
      </c>
      <c r="EC35" s="2" t="s">
        <v>3</v>
      </c>
      <c r="ED35" s="2"/>
      <c r="EE35" s="2">
        <v>89977072</v>
      </c>
      <c r="EF35" s="2">
        <v>6</v>
      </c>
      <c r="EG35" s="2" t="s">
        <v>22</v>
      </c>
      <c r="EH35" s="2">
        <v>92</v>
      </c>
      <c r="EI35" s="2" t="s">
        <v>64</v>
      </c>
      <c r="EJ35" s="2">
        <v>1</v>
      </c>
      <c r="EK35" s="2">
        <v>58001</v>
      </c>
      <c r="EL35" s="2" t="s">
        <v>64</v>
      </c>
      <c r="EM35" s="2" t="s">
        <v>65</v>
      </c>
      <c r="EN35" s="2"/>
      <c r="EO35" s="2" t="s">
        <v>3</v>
      </c>
      <c r="EP35" s="2"/>
      <c r="EQ35" s="2">
        <v>0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109.77</v>
      </c>
      <c r="EX35" s="2">
        <v>2.62</v>
      </c>
      <c r="EY35" s="2">
        <v>0</v>
      </c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>
        <v>0</v>
      </c>
      <c r="FR35" s="2">
        <v>0</v>
      </c>
      <c r="FS35" s="2">
        <v>0</v>
      </c>
      <c r="FT35" s="2"/>
      <c r="FU35" s="2"/>
      <c r="FV35" s="2"/>
      <c r="FW35" s="2"/>
      <c r="FX35" s="2">
        <v>90</v>
      </c>
      <c r="FY35" s="2">
        <v>46</v>
      </c>
      <c r="FZ35" s="2"/>
      <c r="GA35" s="2" t="s">
        <v>3</v>
      </c>
      <c r="GB35" s="2"/>
      <c r="GC35" s="2"/>
      <c r="GD35" s="2">
        <v>1</v>
      </c>
      <c r="GE35" s="2"/>
      <c r="GF35" s="2">
        <v>-857275018</v>
      </c>
      <c r="GG35" s="2">
        <v>2</v>
      </c>
      <c r="GH35" s="2">
        <v>1</v>
      </c>
      <c r="GI35" s="2">
        <v>-2</v>
      </c>
      <c r="GJ35" s="2">
        <v>0</v>
      </c>
      <c r="GK35" s="2">
        <v>0</v>
      </c>
      <c r="GL35" s="2">
        <f t="shared" si="34"/>
        <v>0</v>
      </c>
      <c r="GM35" s="2">
        <f t="shared" si="35"/>
        <v>14712.96</v>
      </c>
      <c r="GN35" s="2">
        <f t="shared" si="36"/>
        <v>14712.96</v>
      </c>
      <c r="GO35" s="2">
        <f t="shared" si="37"/>
        <v>0</v>
      </c>
      <c r="GP35" s="2">
        <f t="shared" si="38"/>
        <v>0</v>
      </c>
      <c r="GQ35" s="2"/>
      <c r="GR35" s="2">
        <v>0</v>
      </c>
      <c r="GS35" s="2">
        <v>3</v>
      </c>
      <c r="GT35" s="2">
        <v>0</v>
      </c>
      <c r="GU35" s="2" t="s">
        <v>3</v>
      </c>
      <c r="GV35" s="2">
        <f t="shared" si="39"/>
        <v>0</v>
      </c>
      <c r="GW35" s="2">
        <v>1</v>
      </c>
      <c r="GX35" s="2">
        <f t="shared" si="40"/>
        <v>0</v>
      </c>
      <c r="GY35" s="2"/>
      <c r="GZ35" s="2"/>
      <c r="HA35" s="2">
        <v>0</v>
      </c>
      <c r="HB35" s="2">
        <v>0</v>
      </c>
      <c r="HC35" s="2">
        <f t="shared" si="41"/>
        <v>0</v>
      </c>
      <c r="HD35" s="2"/>
      <c r="HE35" s="2" t="s">
        <v>3</v>
      </c>
      <c r="HF35" s="2" t="s">
        <v>3</v>
      </c>
      <c r="HG35" s="2"/>
      <c r="HH35" s="2"/>
      <c r="HI35" s="2"/>
      <c r="HJ35" s="2"/>
      <c r="HK35" s="2"/>
      <c r="HL35" s="2"/>
      <c r="HM35" s="2" t="s">
        <v>3</v>
      </c>
      <c r="HN35" s="2" t="s">
        <v>66</v>
      </c>
      <c r="HO35" s="2" t="s">
        <v>67</v>
      </c>
      <c r="HP35" s="2" t="s">
        <v>68</v>
      </c>
      <c r="HQ35" s="2" t="s">
        <v>68</v>
      </c>
      <c r="HR35" s="2"/>
      <c r="HS35" s="2">
        <v>0</v>
      </c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>
        <v>0</v>
      </c>
      <c r="IL35" s="2"/>
      <c r="IM35" s="2"/>
      <c r="IN35" s="2"/>
      <c r="IO35" s="2"/>
      <c r="IP35" s="2"/>
      <c r="IQ35" s="2"/>
      <c r="IR35" s="2"/>
      <c r="IS35" s="2"/>
      <c r="IT35" s="2"/>
      <c r="IU35" s="2"/>
    </row>
    <row r="36" spans="1:255" x14ac:dyDescent="0.2">
      <c r="A36" s="2">
        <v>18</v>
      </c>
      <c r="B36" s="2">
        <v>1</v>
      </c>
      <c r="C36" s="2">
        <v>28</v>
      </c>
      <c r="D36" s="2"/>
      <c r="E36" s="2" t="s">
        <v>69</v>
      </c>
      <c r="F36" s="2" t="s">
        <v>70</v>
      </c>
      <c r="G36" s="2" t="s">
        <v>71</v>
      </c>
      <c r="H36" s="2" t="s">
        <v>72</v>
      </c>
      <c r="I36" s="2">
        <f>I35*J36</f>
        <v>8.8000000000000007</v>
      </c>
      <c r="J36" s="2">
        <v>110</v>
      </c>
      <c r="K36" s="2">
        <v>110</v>
      </c>
      <c r="L36" s="2"/>
      <c r="M36" s="2"/>
      <c r="N36" s="2"/>
      <c r="O36" s="2">
        <f t="shared" si="21"/>
        <v>7209.58</v>
      </c>
      <c r="P36" s="2">
        <f>ROUND(CQ36*I36,2)</f>
        <v>7209.58</v>
      </c>
      <c r="Q36" s="2">
        <f>ROUND(CR36*I36,2)</f>
        <v>0</v>
      </c>
      <c r="R36" s="2">
        <f>ROUND(CS36*I36,2)</f>
        <v>0</v>
      </c>
      <c r="S36" s="2">
        <f>ROUND(CT36*I36,2)</f>
        <v>0</v>
      </c>
      <c r="T36" s="2">
        <f t="shared" si="22"/>
        <v>0</v>
      </c>
      <c r="U36" s="2">
        <f>ROUND(CV36*I36,7)</f>
        <v>0</v>
      </c>
      <c r="V36" s="2">
        <f>ROUND(CW36*I36,7)</f>
        <v>0</v>
      </c>
      <c r="W36" s="2">
        <f t="shared" si="23"/>
        <v>0</v>
      </c>
      <c r="X36" s="2">
        <f t="shared" si="24"/>
        <v>0</v>
      </c>
      <c r="Y36" s="2">
        <f t="shared" si="25"/>
        <v>0</v>
      </c>
      <c r="Z36" s="2"/>
      <c r="AA36" s="2">
        <v>94298235</v>
      </c>
      <c r="AB36" s="2">
        <f t="shared" si="26"/>
        <v>1050.3499999999999</v>
      </c>
      <c r="AC36" s="2">
        <f>ROUND((ES36),6)</f>
        <v>1050.3499999999999</v>
      </c>
      <c r="AD36" s="2">
        <f>ROUND((((ET36)-(EU36))+AE36),6)</f>
        <v>0</v>
      </c>
      <c r="AE36" s="2">
        <f>ROUND((EU36),6)</f>
        <v>0</v>
      </c>
      <c r="AF36" s="2">
        <f>ROUND((EV36),6)</f>
        <v>0</v>
      </c>
      <c r="AG36" s="2">
        <f t="shared" si="27"/>
        <v>0</v>
      </c>
      <c r="AH36" s="2">
        <f>(EW36)</f>
        <v>0</v>
      </c>
      <c r="AI36" s="2">
        <f>(EX36)</f>
        <v>0</v>
      </c>
      <c r="AJ36" s="2">
        <f t="shared" si="28"/>
        <v>0</v>
      </c>
      <c r="AK36" s="2">
        <v>1050.3499999999999</v>
      </c>
      <c r="AL36" s="2">
        <v>1050.3499999999999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90</v>
      </c>
      <c r="AU36" s="2">
        <v>46</v>
      </c>
      <c r="AV36" s="2">
        <v>1</v>
      </c>
      <c r="AW36" s="2">
        <v>1</v>
      </c>
      <c r="AX36" s="2"/>
      <c r="AY36" s="2"/>
      <c r="AZ36" s="2">
        <v>1</v>
      </c>
      <c r="BA36" s="2">
        <v>1</v>
      </c>
      <c r="BB36" s="2">
        <v>1</v>
      </c>
      <c r="BC36" s="2">
        <v>0.78</v>
      </c>
      <c r="BD36" s="2" t="s">
        <v>3</v>
      </c>
      <c r="BE36" s="2" t="s">
        <v>3</v>
      </c>
      <c r="BF36" s="2" t="s">
        <v>3</v>
      </c>
      <c r="BG36" s="2" t="s">
        <v>3</v>
      </c>
      <c r="BH36" s="2">
        <v>3</v>
      </c>
      <c r="BI36" s="2">
        <v>1</v>
      </c>
      <c r="BJ36" s="2" t="s">
        <v>73</v>
      </c>
      <c r="BK36" s="2"/>
      <c r="BL36" s="2"/>
      <c r="BM36" s="2">
        <v>58001</v>
      </c>
      <c r="BN36" s="2">
        <v>0</v>
      </c>
      <c r="BO36" s="2" t="s">
        <v>70</v>
      </c>
      <c r="BP36" s="2">
        <v>1</v>
      </c>
      <c r="BQ36" s="2">
        <v>6</v>
      </c>
      <c r="BR36" s="2">
        <v>0</v>
      </c>
      <c r="BS36" s="2">
        <v>1</v>
      </c>
      <c r="BT36" s="2">
        <v>1</v>
      </c>
      <c r="BU36" s="2">
        <v>1</v>
      </c>
      <c r="BV36" s="2">
        <v>1</v>
      </c>
      <c r="BW36" s="2">
        <v>1</v>
      </c>
      <c r="BX36" s="2">
        <v>1</v>
      </c>
      <c r="BY36" s="2" t="s">
        <v>3</v>
      </c>
      <c r="BZ36" s="2">
        <v>90</v>
      </c>
      <c r="CA36" s="2">
        <v>46</v>
      </c>
      <c r="CB36" s="2" t="s">
        <v>3</v>
      </c>
      <c r="CC36" s="2"/>
      <c r="CD36" s="2"/>
      <c r="CE36" s="2">
        <v>0</v>
      </c>
      <c r="CF36" s="2">
        <v>0</v>
      </c>
      <c r="CG36" s="2">
        <v>0</v>
      </c>
      <c r="CH36" s="2"/>
      <c r="CI36" s="2"/>
      <c r="CJ36" s="2"/>
      <c r="CK36" s="2"/>
      <c r="CL36" s="2"/>
      <c r="CM36" s="2">
        <v>0</v>
      </c>
      <c r="CN36" s="2" t="s">
        <v>3</v>
      </c>
      <c r="CO36" s="2">
        <v>0</v>
      </c>
      <c r="CP36" s="2">
        <f t="shared" si="29"/>
        <v>7209.58</v>
      </c>
      <c r="CQ36" s="2">
        <f>ROUND(AL36*BC36,2)</f>
        <v>819.27</v>
      </c>
      <c r="CR36" s="2">
        <f>ROUND(AM36*BB36,2)</f>
        <v>0</v>
      </c>
      <c r="CS36" s="2">
        <f>ROUND(AN36*BS36,2)</f>
        <v>0</v>
      </c>
      <c r="CT36" s="2">
        <f>ROUND(AO36*BA36,2)</f>
        <v>0</v>
      </c>
      <c r="CU36" s="2">
        <f t="shared" si="30"/>
        <v>0</v>
      </c>
      <c r="CV36" s="2">
        <f>AH36</f>
        <v>0</v>
      </c>
      <c r="CW36" s="2">
        <f>AI36</f>
        <v>0</v>
      </c>
      <c r="CX36" s="2">
        <f t="shared" si="31"/>
        <v>0</v>
      </c>
      <c r="CY36" s="2">
        <f t="shared" si="32"/>
        <v>0</v>
      </c>
      <c r="CZ36" s="2">
        <f t="shared" si="33"/>
        <v>0</v>
      </c>
      <c r="DA36" s="2"/>
      <c r="DB36" s="2"/>
      <c r="DC36" s="2" t="s">
        <v>3</v>
      </c>
      <c r="DD36" s="2" t="s">
        <v>3</v>
      </c>
      <c r="DE36" s="2" t="s">
        <v>3</v>
      </c>
      <c r="DF36" s="2" t="s">
        <v>3</v>
      </c>
      <c r="DG36" s="2" t="s">
        <v>3</v>
      </c>
      <c r="DH36" s="2" t="s">
        <v>3</v>
      </c>
      <c r="DI36" s="2" t="s">
        <v>3</v>
      </c>
      <c r="DJ36" s="2" t="s">
        <v>3</v>
      </c>
      <c r="DK36" s="2" t="s">
        <v>3</v>
      </c>
      <c r="DL36" s="2" t="s">
        <v>3</v>
      </c>
      <c r="DM36" s="2" t="s">
        <v>3</v>
      </c>
      <c r="DN36" s="2">
        <v>0</v>
      </c>
      <c r="DO36" s="2">
        <v>0</v>
      </c>
      <c r="DP36" s="2">
        <v>1</v>
      </c>
      <c r="DQ36" s="2">
        <v>1</v>
      </c>
      <c r="DR36" s="2"/>
      <c r="DS36" s="2"/>
      <c r="DT36" s="2"/>
      <c r="DU36" s="2">
        <v>1005</v>
      </c>
      <c r="DV36" s="2" t="s">
        <v>72</v>
      </c>
      <c r="DW36" s="2" t="s">
        <v>72</v>
      </c>
      <c r="DX36" s="2">
        <v>1</v>
      </c>
      <c r="DY36" s="2"/>
      <c r="DZ36" s="2" t="s">
        <v>3</v>
      </c>
      <c r="EA36" s="2" t="s">
        <v>3</v>
      </c>
      <c r="EB36" s="2" t="s">
        <v>3</v>
      </c>
      <c r="EC36" s="2" t="s">
        <v>3</v>
      </c>
      <c r="ED36" s="2"/>
      <c r="EE36" s="2">
        <v>89977072</v>
      </c>
      <c r="EF36" s="2">
        <v>6</v>
      </c>
      <c r="EG36" s="2" t="s">
        <v>22</v>
      </c>
      <c r="EH36" s="2">
        <v>92</v>
      </c>
      <c r="EI36" s="2" t="s">
        <v>64</v>
      </c>
      <c r="EJ36" s="2">
        <v>1</v>
      </c>
      <c r="EK36" s="2">
        <v>58001</v>
      </c>
      <c r="EL36" s="2" t="s">
        <v>64</v>
      </c>
      <c r="EM36" s="2" t="s">
        <v>65</v>
      </c>
      <c r="EN36" s="2"/>
      <c r="EO36" s="2" t="s">
        <v>3</v>
      </c>
      <c r="EP36" s="2"/>
      <c r="EQ36" s="2">
        <v>0</v>
      </c>
      <c r="ER36" s="2">
        <v>1050.3499999999999</v>
      </c>
      <c r="ES36" s="2">
        <v>1050.3499999999999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>
        <v>0</v>
      </c>
      <c r="FR36" s="2">
        <v>0</v>
      </c>
      <c r="FS36" s="2">
        <v>0</v>
      </c>
      <c r="FT36" s="2"/>
      <c r="FU36" s="2"/>
      <c r="FV36" s="2"/>
      <c r="FW36" s="2"/>
      <c r="FX36" s="2">
        <v>90</v>
      </c>
      <c r="FY36" s="2">
        <v>46</v>
      </c>
      <c r="FZ36" s="2"/>
      <c r="GA36" s="2" t="s">
        <v>3</v>
      </c>
      <c r="GB36" s="2"/>
      <c r="GC36" s="2"/>
      <c r="GD36" s="2">
        <v>1</v>
      </c>
      <c r="GE36" s="2"/>
      <c r="GF36" s="2">
        <v>902782656</v>
      </c>
      <c r="GG36" s="2">
        <v>2</v>
      </c>
      <c r="GH36" s="2">
        <v>1</v>
      </c>
      <c r="GI36" s="2">
        <v>2</v>
      </c>
      <c r="GJ36" s="2">
        <v>0</v>
      </c>
      <c r="GK36" s="2">
        <v>0</v>
      </c>
      <c r="GL36" s="2">
        <f t="shared" si="34"/>
        <v>0</v>
      </c>
      <c r="GM36" s="2">
        <f t="shared" si="35"/>
        <v>7209.58</v>
      </c>
      <c r="GN36" s="2">
        <f t="shared" si="36"/>
        <v>7209.58</v>
      </c>
      <c r="GO36" s="2">
        <f t="shared" si="37"/>
        <v>0</v>
      </c>
      <c r="GP36" s="2">
        <f t="shared" si="38"/>
        <v>0</v>
      </c>
      <c r="GQ36" s="2"/>
      <c r="GR36" s="2">
        <v>0</v>
      </c>
      <c r="GS36" s="2">
        <v>3</v>
      </c>
      <c r="GT36" s="2">
        <v>0</v>
      </c>
      <c r="GU36" s="2" t="s">
        <v>3</v>
      </c>
      <c r="GV36" s="2">
        <f t="shared" si="39"/>
        <v>0</v>
      </c>
      <c r="GW36" s="2">
        <v>1</v>
      </c>
      <c r="GX36" s="2">
        <f t="shared" si="40"/>
        <v>0</v>
      </c>
      <c r="GY36" s="2"/>
      <c r="GZ36" s="2"/>
      <c r="HA36" s="2">
        <v>0</v>
      </c>
      <c r="HB36" s="2">
        <v>0</v>
      </c>
      <c r="HC36" s="2">
        <f t="shared" si="41"/>
        <v>0</v>
      </c>
      <c r="HD36" s="2"/>
      <c r="HE36" s="2" t="s">
        <v>3</v>
      </c>
      <c r="HF36" s="2" t="s">
        <v>3</v>
      </c>
      <c r="HG36" s="2"/>
      <c r="HH36" s="2"/>
      <c r="HI36" s="2"/>
      <c r="HJ36" s="2"/>
      <c r="HK36" s="2"/>
      <c r="HL36" s="2"/>
      <c r="HM36" s="2" t="s">
        <v>3</v>
      </c>
      <c r="HN36" s="2" t="s">
        <v>66</v>
      </c>
      <c r="HO36" s="2" t="s">
        <v>67</v>
      </c>
      <c r="HP36" s="2" t="s">
        <v>68</v>
      </c>
      <c r="HQ36" s="2" t="s">
        <v>68</v>
      </c>
      <c r="HR36" s="2"/>
      <c r="HS36" s="2">
        <v>0</v>
      </c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>
        <v>0</v>
      </c>
      <c r="IL36" s="2"/>
      <c r="IM36" s="2"/>
      <c r="IN36" s="2"/>
      <c r="IO36" s="2"/>
      <c r="IP36" s="2"/>
      <c r="IQ36" s="2"/>
      <c r="IR36" s="2"/>
      <c r="IS36" s="2"/>
      <c r="IT36" s="2"/>
      <c r="IU36" s="2"/>
    </row>
    <row r="37" spans="1:255" x14ac:dyDescent="0.2">
      <c r="A37" s="2">
        <v>17</v>
      </c>
      <c r="B37" s="2">
        <v>1</v>
      </c>
      <c r="C37" s="2">
        <f>ROW(SmtRes!A39)</f>
        <v>39</v>
      </c>
      <c r="D37" s="2">
        <f>ROW(EtalonRes!A38)</f>
        <v>38</v>
      </c>
      <c r="E37" s="2" t="s">
        <v>74</v>
      </c>
      <c r="F37" s="2" t="s">
        <v>75</v>
      </c>
      <c r="G37" s="2" t="s">
        <v>76</v>
      </c>
      <c r="H37" s="2" t="s">
        <v>77</v>
      </c>
      <c r="I37" s="2">
        <v>0</v>
      </c>
      <c r="J37" s="2">
        <v>0</v>
      </c>
      <c r="K37" s="2">
        <v>0</v>
      </c>
      <c r="L37" s="2"/>
      <c r="M37" s="2"/>
      <c r="N37" s="2"/>
      <c r="O37" s="2">
        <f t="shared" si="21"/>
        <v>0</v>
      </c>
      <c r="P37" s="2">
        <f>SUMIF(SmtRes!AQ30:'SmtRes'!AQ39,"=1",SmtRes!DF30:'SmtRes'!DF39)</f>
        <v>0</v>
      </c>
      <c r="Q37" s="2">
        <f>SUMIF(SmtRes!AQ30:'SmtRes'!AQ39,"=1",SmtRes!DG30:'SmtRes'!DG39)</f>
        <v>0</v>
      </c>
      <c r="R37" s="2">
        <f>SUMIF(SmtRes!AQ30:'SmtRes'!AQ39,"=1",SmtRes!DH30:'SmtRes'!DH39)</f>
        <v>0</v>
      </c>
      <c r="S37" s="2">
        <f>SUMIF(SmtRes!AQ30:'SmtRes'!AQ39,"=1",SmtRes!DI30:'SmtRes'!DI39)</f>
        <v>0</v>
      </c>
      <c r="T37" s="2">
        <f t="shared" si="22"/>
        <v>0</v>
      </c>
      <c r="U37" s="2">
        <f>SUMIF(SmtRes!AQ30:'SmtRes'!AQ39,"=1",SmtRes!CV30:'SmtRes'!CV39)</f>
        <v>0</v>
      </c>
      <c r="V37" s="2">
        <f>SUMIF(SmtRes!AQ30:'SmtRes'!AQ39,"=1",SmtRes!CW30:'SmtRes'!CW39)</f>
        <v>0</v>
      </c>
      <c r="W37" s="2">
        <f t="shared" si="23"/>
        <v>0</v>
      </c>
      <c r="X37" s="2">
        <f t="shared" si="24"/>
        <v>0</v>
      </c>
      <c r="Y37" s="2">
        <f t="shared" si="25"/>
        <v>0</v>
      </c>
      <c r="Z37" s="2"/>
      <c r="AA37" s="2">
        <v>94298235</v>
      </c>
      <c r="AB37" s="2">
        <f t="shared" si="26"/>
        <v>46165.377800000002</v>
      </c>
      <c r="AC37" s="2">
        <f>ROUND((SUM(SmtRes!BQ30:'SmtRes'!BQ39)),6)</f>
        <v>70.296199999999999</v>
      </c>
      <c r="AD37" s="2">
        <f>ROUND((((SUM(SmtRes!BR30:'SmtRes'!BR39))-(SUM(SmtRes!BS30:'SmtRes'!BS39)))+AE37),6)</f>
        <v>63.822000000000003</v>
      </c>
      <c r="AE37" s="2">
        <f>ROUND((SUM(SmtRes!BS30:'SmtRes'!BS39)),6)</f>
        <v>235.41800000000001</v>
      </c>
      <c r="AF37" s="2">
        <f>ROUND((SUM(SmtRes!BT30:'SmtRes'!BT39)),6)</f>
        <v>46031.259599999998</v>
      </c>
      <c r="AG37" s="2">
        <f t="shared" si="27"/>
        <v>0</v>
      </c>
      <c r="AH37" s="2">
        <f>(SUM(SmtRes!BU30:'SmtRes'!BU39))</f>
        <v>74.010000000000005</v>
      </c>
      <c r="AI37" s="2">
        <f>(SUM(SmtRes!BV30:'SmtRes'!BV39))</f>
        <v>0.35</v>
      </c>
      <c r="AJ37" s="2">
        <f t="shared" si="28"/>
        <v>0</v>
      </c>
      <c r="AK37" s="2">
        <v>53784.565699999999</v>
      </c>
      <c r="AL37" s="2">
        <v>7454.0661</v>
      </c>
      <c r="AM37" s="2">
        <v>63.821999999999996</v>
      </c>
      <c r="AN37" s="2">
        <v>235.41800000000001</v>
      </c>
      <c r="AO37" s="2">
        <v>46031.259600000005</v>
      </c>
      <c r="AP37" s="2">
        <v>0</v>
      </c>
      <c r="AQ37" s="2">
        <v>74.010000000000005</v>
      </c>
      <c r="AR37" s="2">
        <v>0.35</v>
      </c>
      <c r="AS37" s="2">
        <v>0</v>
      </c>
      <c r="AT37" s="2">
        <v>90</v>
      </c>
      <c r="AU37" s="2">
        <v>46</v>
      </c>
      <c r="AV37" s="2">
        <v>1</v>
      </c>
      <c r="AW37" s="2">
        <v>1</v>
      </c>
      <c r="AX37" s="2"/>
      <c r="AY37" s="2"/>
      <c r="AZ37" s="2">
        <v>1</v>
      </c>
      <c r="BA37" s="2">
        <v>1</v>
      </c>
      <c r="BB37" s="2">
        <v>1</v>
      </c>
      <c r="BC37" s="2">
        <v>1</v>
      </c>
      <c r="BD37" s="2" t="s">
        <v>3</v>
      </c>
      <c r="BE37" s="2" t="s">
        <v>3</v>
      </c>
      <c r="BF37" s="2" t="s">
        <v>3</v>
      </c>
      <c r="BG37" s="2" t="s">
        <v>3</v>
      </c>
      <c r="BH37" s="2">
        <v>0</v>
      </c>
      <c r="BI37" s="2">
        <v>1</v>
      </c>
      <c r="BJ37" s="2" t="s">
        <v>78</v>
      </c>
      <c r="BK37" s="2"/>
      <c r="BL37" s="2"/>
      <c r="BM37" s="2">
        <v>58001</v>
      </c>
      <c r="BN37" s="2">
        <v>0</v>
      </c>
      <c r="BO37" s="2" t="s">
        <v>3</v>
      </c>
      <c r="BP37" s="2">
        <v>0</v>
      </c>
      <c r="BQ37" s="2">
        <v>6</v>
      </c>
      <c r="BR37" s="2">
        <v>0</v>
      </c>
      <c r="BS37" s="2">
        <v>1</v>
      </c>
      <c r="BT37" s="2">
        <v>1</v>
      </c>
      <c r="BU37" s="2">
        <v>1</v>
      </c>
      <c r="BV37" s="2">
        <v>1</v>
      </c>
      <c r="BW37" s="2">
        <v>1</v>
      </c>
      <c r="BX37" s="2">
        <v>1</v>
      </c>
      <c r="BY37" s="2" t="s">
        <v>3</v>
      </c>
      <c r="BZ37" s="2">
        <v>90</v>
      </c>
      <c r="CA37" s="2">
        <v>46</v>
      </c>
      <c r="CB37" s="2" t="s">
        <v>3</v>
      </c>
      <c r="CC37" s="2"/>
      <c r="CD37" s="2"/>
      <c r="CE37" s="2">
        <v>0</v>
      </c>
      <c r="CF37" s="2">
        <v>0</v>
      </c>
      <c r="CG37" s="2">
        <v>0</v>
      </c>
      <c r="CH37" s="2"/>
      <c r="CI37" s="2"/>
      <c r="CJ37" s="2"/>
      <c r="CK37" s="2"/>
      <c r="CL37" s="2"/>
      <c r="CM37" s="2">
        <v>0</v>
      </c>
      <c r="CN37" s="2" t="s">
        <v>3</v>
      </c>
      <c r="CO37" s="2">
        <v>0</v>
      </c>
      <c r="CP37" s="2">
        <f t="shared" si="29"/>
        <v>0</v>
      </c>
      <c r="CQ37" s="2">
        <f>SUMIF(SmtRes!AQ30:'SmtRes'!AQ39,"=1",SmtRes!AA30:'SmtRes'!AA39)</f>
        <v>289579.03000000003</v>
      </c>
      <c r="CR37" s="2">
        <f>SUMIF(SmtRes!AQ30:'SmtRes'!AQ39,"=1",SmtRes!AB30:'SmtRes'!AB39)</f>
        <v>603.51</v>
      </c>
      <c r="CS37" s="2">
        <f>SUMIF(SmtRes!AQ30:'SmtRes'!AQ39,"=1",SmtRes!AC30:'SmtRes'!AC39)</f>
        <v>1380.3200000000002</v>
      </c>
      <c r="CT37" s="2">
        <f>SUMIF(SmtRes!AQ30:'SmtRes'!AQ39,"=1",SmtRes!AD30:'SmtRes'!AD39)</f>
        <v>621.96</v>
      </c>
      <c r="CU37" s="2">
        <f t="shared" si="30"/>
        <v>0</v>
      </c>
      <c r="CV37" s="2">
        <f>SUMIF(SmtRes!AQ30:'SmtRes'!AQ39,"=1",SmtRes!BU30:'SmtRes'!BU39)</f>
        <v>74.010000000000005</v>
      </c>
      <c r="CW37" s="2">
        <f>SUMIF(SmtRes!AQ30:'SmtRes'!AQ39,"=1",SmtRes!BV30:'SmtRes'!BV39)</f>
        <v>0.35</v>
      </c>
      <c r="CX37" s="2">
        <f t="shared" si="31"/>
        <v>0</v>
      </c>
      <c r="CY37" s="2">
        <f t="shared" si="32"/>
        <v>0</v>
      </c>
      <c r="CZ37" s="2">
        <f t="shared" si="33"/>
        <v>0</v>
      </c>
      <c r="DA37" s="2"/>
      <c r="DB37" s="2"/>
      <c r="DC37" s="2" t="s">
        <v>3</v>
      </c>
      <c r="DD37" s="2" t="s">
        <v>3</v>
      </c>
      <c r="DE37" s="2" t="s">
        <v>3</v>
      </c>
      <c r="DF37" s="2" t="s">
        <v>3</v>
      </c>
      <c r="DG37" s="2" t="s">
        <v>3</v>
      </c>
      <c r="DH37" s="2" t="s">
        <v>3</v>
      </c>
      <c r="DI37" s="2" t="s">
        <v>3</v>
      </c>
      <c r="DJ37" s="2" t="s">
        <v>3</v>
      </c>
      <c r="DK37" s="2" t="s">
        <v>3</v>
      </c>
      <c r="DL37" s="2" t="s">
        <v>3</v>
      </c>
      <c r="DM37" s="2" t="s">
        <v>3</v>
      </c>
      <c r="DN37" s="2">
        <v>0</v>
      </c>
      <c r="DO37" s="2">
        <v>0</v>
      </c>
      <c r="DP37" s="2">
        <v>1</v>
      </c>
      <c r="DQ37" s="2">
        <v>1</v>
      </c>
      <c r="DR37" s="2"/>
      <c r="DS37" s="2"/>
      <c r="DT37" s="2"/>
      <c r="DU37" s="2">
        <v>1003</v>
      </c>
      <c r="DV37" s="2" t="s">
        <v>77</v>
      </c>
      <c r="DW37" s="2" t="s">
        <v>77</v>
      </c>
      <c r="DX37" s="2">
        <v>100</v>
      </c>
      <c r="DY37" s="2"/>
      <c r="DZ37" s="2" t="s">
        <v>3</v>
      </c>
      <c r="EA37" s="2" t="s">
        <v>3</v>
      </c>
      <c r="EB37" s="2" t="s">
        <v>3</v>
      </c>
      <c r="EC37" s="2" t="s">
        <v>3</v>
      </c>
      <c r="ED37" s="2"/>
      <c r="EE37" s="2">
        <v>89977072</v>
      </c>
      <c r="EF37" s="2">
        <v>6</v>
      </c>
      <c r="EG37" s="2" t="s">
        <v>22</v>
      </c>
      <c r="EH37" s="2">
        <v>92</v>
      </c>
      <c r="EI37" s="2" t="s">
        <v>64</v>
      </c>
      <c r="EJ37" s="2">
        <v>1</v>
      </c>
      <c r="EK37" s="2">
        <v>58001</v>
      </c>
      <c r="EL37" s="2" t="s">
        <v>64</v>
      </c>
      <c r="EM37" s="2" t="s">
        <v>65</v>
      </c>
      <c r="EN37" s="2"/>
      <c r="EO37" s="2" t="s">
        <v>3</v>
      </c>
      <c r="EP37" s="2"/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74.010000000000005</v>
      </c>
      <c r="EX37" s="2">
        <v>0.35</v>
      </c>
      <c r="EY37" s="2">
        <v>0</v>
      </c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>
        <v>0</v>
      </c>
      <c r="FR37" s="2">
        <v>0</v>
      </c>
      <c r="FS37" s="2">
        <v>0</v>
      </c>
      <c r="FT37" s="2"/>
      <c r="FU37" s="2"/>
      <c r="FV37" s="2"/>
      <c r="FW37" s="2"/>
      <c r="FX37" s="2">
        <v>90</v>
      </c>
      <c r="FY37" s="2">
        <v>46</v>
      </c>
      <c r="FZ37" s="2"/>
      <c r="GA37" s="2" t="s">
        <v>3</v>
      </c>
      <c r="GB37" s="2"/>
      <c r="GC37" s="2"/>
      <c r="GD37" s="2">
        <v>1</v>
      </c>
      <c r="GE37" s="2"/>
      <c r="GF37" s="2">
        <v>1471887507</v>
      </c>
      <c r="GG37" s="2">
        <v>2</v>
      </c>
      <c r="GH37" s="2">
        <v>1</v>
      </c>
      <c r="GI37" s="2">
        <v>-2</v>
      </c>
      <c r="GJ37" s="2">
        <v>0</v>
      </c>
      <c r="GK37" s="2">
        <v>0</v>
      </c>
      <c r="GL37" s="2">
        <f t="shared" si="34"/>
        <v>0</v>
      </c>
      <c r="GM37" s="2">
        <f t="shared" si="35"/>
        <v>0</v>
      </c>
      <c r="GN37" s="2">
        <f t="shared" si="36"/>
        <v>0</v>
      </c>
      <c r="GO37" s="2">
        <f t="shared" si="37"/>
        <v>0</v>
      </c>
      <c r="GP37" s="2">
        <f t="shared" si="38"/>
        <v>0</v>
      </c>
      <c r="GQ37" s="2"/>
      <c r="GR37" s="2">
        <v>0</v>
      </c>
      <c r="GS37" s="2">
        <v>3</v>
      </c>
      <c r="GT37" s="2">
        <v>0</v>
      </c>
      <c r="GU37" s="2" t="s">
        <v>3</v>
      </c>
      <c r="GV37" s="2">
        <f t="shared" si="39"/>
        <v>0</v>
      </c>
      <c r="GW37" s="2">
        <v>1</v>
      </c>
      <c r="GX37" s="2">
        <f t="shared" si="40"/>
        <v>0</v>
      </c>
      <c r="GY37" s="2"/>
      <c r="GZ37" s="2"/>
      <c r="HA37" s="2">
        <v>0</v>
      </c>
      <c r="HB37" s="2">
        <v>0</v>
      </c>
      <c r="HC37" s="2">
        <f t="shared" si="41"/>
        <v>0</v>
      </c>
      <c r="HD37" s="2"/>
      <c r="HE37" s="2" t="s">
        <v>3</v>
      </c>
      <c r="HF37" s="2" t="s">
        <v>3</v>
      </c>
      <c r="HG37" s="2"/>
      <c r="HH37" s="2"/>
      <c r="HI37" s="2"/>
      <c r="HJ37" s="2"/>
      <c r="HK37" s="2"/>
      <c r="HL37" s="2"/>
      <c r="HM37" s="2" t="s">
        <v>3</v>
      </c>
      <c r="HN37" s="2" t="s">
        <v>66</v>
      </c>
      <c r="HO37" s="2" t="s">
        <v>67</v>
      </c>
      <c r="HP37" s="2" t="s">
        <v>68</v>
      </c>
      <c r="HQ37" s="2" t="s">
        <v>68</v>
      </c>
      <c r="HR37" s="2"/>
      <c r="HS37" s="2">
        <v>0</v>
      </c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>
        <v>0</v>
      </c>
      <c r="IL37" s="2"/>
      <c r="IM37" s="2"/>
      <c r="IN37" s="2"/>
      <c r="IO37" s="2"/>
      <c r="IP37" s="2"/>
      <c r="IQ37" s="2"/>
      <c r="IR37" s="2"/>
      <c r="IS37" s="2"/>
      <c r="IT37" s="2"/>
      <c r="IU37" s="2"/>
    </row>
    <row r="38" spans="1:255" x14ac:dyDescent="0.2">
      <c r="A38" s="2">
        <v>18</v>
      </c>
      <c r="B38" s="2">
        <v>1</v>
      </c>
      <c r="C38" s="2">
        <v>37</v>
      </c>
      <c r="D38" s="2"/>
      <c r="E38" s="2" t="s">
        <v>79</v>
      </c>
      <c r="F38" s="2" t="s">
        <v>80</v>
      </c>
      <c r="G38" s="2" t="s">
        <v>81</v>
      </c>
      <c r="H38" s="2" t="s">
        <v>82</v>
      </c>
      <c r="I38" s="2">
        <f>I37*J38</f>
        <v>0</v>
      </c>
      <c r="J38" s="2">
        <v>0.67307689999999998</v>
      </c>
      <c r="K38" s="2">
        <v>0.67307689999999998</v>
      </c>
      <c r="L38" s="2"/>
      <c r="M38" s="2"/>
      <c r="N38" s="2"/>
      <c r="O38" s="2">
        <f t="shared" si="21"/>
        <v>0</v>
      </c>
      <c r="P38" s="2">
        <f>ROUND(CQ38*I38,2)</f>
        <v>0</v>
      </c>
      <c r="Q38" s="2">
        <f>ROUND(CR38*I38,2)</f>
        <v>0</v>
      </c>
      <c r="R38" s="2">
        <f>ROUND(CS38*I38,2)</f>
        <v>0</v>
      </c>
      <c r="S38" s="2">
        <f>ROUND(CT38*I38,2)</f>
        <v>0</v>
      </c>
      <c r="T38" s="2">
        <f t="shared" si="22"/>
        <v>0</v>
      </c>
      <c r="U38" s="2">
        <f>ROUND(CV38*I38,7)</f>
        <v>0</v>
      </c>
      <c r="V38" s="2">
        <f>ROUND(CW38*I38,7)</f>
        <v>0</v>
      </c>
      <c r="W38" s="2">
        <f t="shared" si="23"/>
        <v>0</v>
      </c>
      <c r="X38" s="2">
        <f t="shared" si="24"/>
        <v>0</v>
      </c>
      <c r="Y38" s="2">
        <f t="shared" si="25"/>
        <v>0</v>
      </c>
      <c r="Z38" s="2"/>
      <c r="AA38" s="2">
        <v>94298235</v>
      </c>
      <c r="AB38" s="2">
        <f t="shared" si="26"/>
        <v>14484.16</v>
      </c>
      <c r="AC38" s="2">
        <f>ROUND((ES38),6)</f>
        <v>14484.16</v>
      </c>
      <c r="AD38" s="2">
        <f>ROUND((((ET38)-(EU38))+AE38),6)</f>
        <v>0</v>
      </c>
      <c r="AE38" s="2">
        <f t="shared" ref="AE38:AF40" si="42">ROUND((EU38),6)</f>
        <v>0</v>
      </c>
      <c r="AF38" s="2">
        <f t="shared" si="42"/>
        <v>0</v>
      </c>
      <c r="AG38" s="2">
        <f t="shared" si="27"/>
        <v>0</v>
      </c>
      <c r="AH38" s="2">
        <f t="shared" ref="AH38:AI40" si="43">(EW38)</f>
        <v>0</v>
      </c>
      <c r="AI38" s="2">
        <f t="shared" si="43"/>
        <v>0</v>
      </c>
      <c r="AJ38" s="2">
        <f t="shared" si="28"/>
        <v>0</v>
      </c>
      <c r="AK38" s="2">
        <v>14484.16</v>
      </c>
      <c r="AL38" s="2">
        <v>14484.16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90</v>
      </c>
      <c r="AU38" s="2">
        <v>46</v>
      </c>
      <c r="AV38" s="2">
        <v>1</v>
      </c>
      <c r="AW38" s="2">
        <v>1</v>
      </c>
      <c r="AX38" s="2"/>
      <c r="AY38" s="2"/>
      <c r="AZ38" s="2">
        <v>1</v>
      </c>
      <c r="BA38" s="2">
        <v>1</v>
      </c>
      <c r="BB38" s="2">
        <v>1</v>
      </c>
      <c r="BC38" s="2">
        <v>1.5</v>
      </c>
      <c r="BD38" s="2" t="s">
        <v>3</v>
      </c>
      <c r="BE38" s="2" t="s">
        <v>3</v>
      </c>
      <c r="BF38" s="2" t="s">
        <v>3</v>
      </c>
      <c r="BG38" s="2" t="s">
        <v>3</v>
      </c>
      <c r="BH38" s="2">
        <v>3</v>
      </c>
      <c r="BI38" s="2">
        <v>1</v>
      </c>
      <c r="BJ38" s="2" t="s">
        <v>83</v>
      </c>
      <c r="BK38" s="2"/>
      <c r="BL38" s="2"/>
      <c r="BM38" s="2">
        <v>58001</v>
      </c>
      <c r="BN38" s="2">
        <v>0</v>
      </c>
      <c r="BO38" s="2" t="s">
        <v>80</v>
      </c>
      <c r="BP38" s="2">
        <v>1</v>
      </c>
      <c r="BQ38" s="2">
        <v>6</v>
      </c>
      <c r="BR38" s="2">
        <v>0</v>
      </c>
      <c r="BS38" s="2">
        <v>1</v>
      </c>
      <c r="BT38" s="2">
        <v>1</v>
      </c>
      <c r="BU38" s="2">
        <v>1</v>
      </c>
      <c r="BV38" s="2">
        <v>1</v>
      </c>
      <c r="BW38" s="2">
        <v>1</v>
      </c>
      <c r="BX38" s="2">
        <v>1</v>
      </c>
      <c r="BY38" s="2" t="s">
        <v>3</v>
      </c>
      <c r="BZ38" s="2">
        <v>90</v>
      </c>
      <c r="CA38" s="2">
        <v>46</v>
      </c>
      <c r="CB38" s="2" t="s">
        <v>3</v>
      </c>
      <c r="CC38" s="2"/>
      <c r="CD38" s="2"/>
      <c r="CE38" s="2">
        <v>0</v>
      </c>
      <c r="CF38" s="2">
        <v>0</v>
      </c>
      <c r="CG38" s="2">
        <v>0</v>
      </c>
      <c r="CH38" s="2"/>
      <c r="CI38" s="2"/>
      <c r="CJ38" s="2"/>
      <c r="CK38" s="2"/>
      <c r="CL38" s="2"/>
      <c r="CM38" s="2">
        <v>0</v>
      </c>
      <c r="CN38" s="2" t="s">
        <v>3</v>
      </c>
      <c r="CO38" s="2">
        <v>0</v>
      </c>
      <c r="CP38" s="2">
        <f t="shared" si="29"/>
        <v>0</v>
      </c>
      <c r="CQ38" s="2">
        <f>ROUND(AL38*BC38,2)</f>
        <v>21726.240000000002</v>
      </c>
      <c r="CR38" s="2">
        <f>ROUND(AM38*BB38,2)</f>
        <v>0</v>
      </c>
      <c r="CS38" s="2">
        <f>ROUND(AN38*BS38,2)</f>
        <v>0</v>
      </c>
      <c r="CT38" s="2">
        <f>ROUND(AO38*BA38,2)</f>
        <v>0</v>
      </c>
      <c r="CU38" s="2">
        <f t="shared" si="30"/>
        <v>0</v>
      </c>
      <c r="CV38" s="2">
        <f t="shared" ref="CV38:CW40" si="44">AH38</f>
        <v>0</v>
      </c>
      <c r="CW38" s="2">
        <f t="shared" si="44"/>
        <v>0</v>
      </c>
      <c r="CX38" s="2">
        <f t="shared" si="31"/>
        <v>0</v>
      </c>
      <c r="CY38" s="2">
        <f t="shared" si="32"/>
        <v>0</v>
      </c>
      <c r="CZ38" s="2">
        <f t="shared" si="33"/>
        <v>0</v>
      </c>
      <c r="DA38" s="2"/>
      <c r="DB38" s="2"/>
      <c r="DC38" s="2" t="s">
        <v>3</v>
      </c>
      <c r="DD38" s="2" t="s">
        <v>3</v>
      </c>
      <c r="DE38" s="2" t="s">
        <v>3</v>
      </c>
      <c r="DF38" s="2" t="s">
        <v>3</v>
      </c>
      <c r="DG38" s="2" t="s">
        <v>3</v>
      </c>
      <c r="DH38" s="2" t="s">
        <v>3</v>
      </c>
      <c r="DI38" s="2" t="s">
        <v>3</v>
      </c>
      <c r="DJ38" s="2" t="s">
        <v>3</v>
      </c>
      <c r="DK38" s="2" t="s">
        <v>3</v>
      </c>
      <c r="DL38" s="2" t="s">
        <v>3</v>
      </c>
      <c r="DM38" s="2" t="s">
        <v>3</v>
      </c>
      <c r="DN38" s="2">
        <v>0</v>
      </c>
      <c r="DO38" s="2">
        <v>0</v>
      </c>
      <c r="DP38" s="2">
        <v>1</v>
      </c>
      <c r="DQ38" s="2">
        <v>1</v>
      </c>
      <c r="DR38" s="2"/>
      <c r="DS38" s="2"/>
      <c r="DT38" s="2"/>
      <c r="DU38" s="2">
        <v>1013</v>
      </c>
      <c r="DV38" s="2" t="s">
        <v>82</v>
      </c>
      <c r="DW38" s="2" t="s">
        <v>82</v>
      </c>
      <c r="DX38" s="2">
        <v>1</v>
      </c>
      <c r="DY38" s="2"/>
      <c r="DZ38" s="2" t="s">
        <v>3</v>
      </c>
      <c r="EA38" s="2" t="s">
        <v>3</v>
      </c>
      <c r="EB38" s="2" t="s">
        <v>3</v>
      </c>
      <c r="EC38" s="2" t="s">
        <v>3</v>
      </c>
      <c r="ED38" s="2"/>
      <c r="EE38" s="2">
        <v>89977072</v>
      </c>
      <c r="EF38" s="2">
        <v>6</v>
      </c>
      <c r="EG38" s="2" t="s">
        <v>22</v>
      </c>
      <c r="EH38" s="2">
        <v>92</v>
      </c>
      <c r="EI38" s="2" t="s">
        <v>64</v>
      </c>
      <c r="EJ38" s="2">
        <v>1</v>
      </c>
      <c r="EK38" s="2">
        <v>58001</v>
      </c>
      <c r="EL38" s="2" t="s">
        <v>64</v>
      </c>
      <c r="EM38" s="2" t="s">
        <v>65</v>
      </c>
      <c r="EN38" s="2"/>
      <c r="EO38" s="2" t="s">
        <v>3</v>
      </c>
      <c r="EP38" s="2"/>
      <c r="EQ38" s="2">
        <v>0</v>
      </c>
      <c r="ER38" s="2">
        <v>14484.16</v>
      </c>
      <c r="ES38" s="2">
        <v>14484.16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>
        <v>0</v>
      </c>
      <c r="FR38" s="2">
        <v>0</v>
      </c>
      <c r="FS38" s="2">
        <v>0</v>
      </c>
      <c r="FT38" s="2"/>
      <c r="FU38" s="2"/>
      <c r="FV38" s="2"/>
      <c r="FW38" s="2"/>
      <c r="FX38" s="2">
        <v>90</v>
      </c>
      <c r="FY38" s="2">
        <v>46</v>
      </c>
      <c r="FZ38" s="2"/>
      <c r="GA38" s="2" t="s">
        <v>3</v>
      </c>
      <c r="GB38" s="2"/>
      <c r="GC38" s="2"/>
      <c r="GD38" s="2">
        <v>1</v>
      </c>
      <c r="GE38" s="2"/>
      <c r="GF38" s="2">
        <v>-541549127</v>
      </c>
      <c r="GG38" s="2">
        <v>2</v>
      </c>
      <c r="GH38" s="2">
        <v>1</v>
      </c>
      <c r="GI38" s="2">
        <v>2</v>
      </c>
      <c r="GJ38" s="2">
        <v>0</v>
      </c>
      <c r="GK38" s="2">
        <v>0</v>
      </c>
      <c r="GL38" s="2">
        <f t="shared" si="34"/>
        <v>0</v>
      </c>
      <c r="GM38" s="2">
        <f t="shared" si="35"/>
        <v>0</v>
      </c>
      <c r="GN38" s="2">
        <f t="shared" si="36"/>
        <v>0</v>
      </c>
      <c r="GO38" s="2">
        <f t="shared" si="37"/>
        <v>0</v>
      </c>
      <c r="GP38" s="2">
        <f t="shared" si="38"/>
        <v>0</v>
      </c>
      <c r="GQ38" s="2"/>
      <c r="GR38" s="2">
        <v>0</v>
      </c>
      <c r="GS38" s="2">
        <v>3</v>
      </c>
      <c r="GT38" s="2">
        <v>0</v>
      </c>
      <c r="GU38" s="2" t="s">
        <v>3</v>
      </c>
      <c r="GV38" s="2">
        <f t="shared" si="39"/>
        <v>0</v>
      </c>
      <c r="GW38" s="2">
        <v>1</v>
      </c>
      <c r="GX38" s="2">
        <f t="shared" si="40"/>
        <v>0</v>
      </c>
      <c r="GY38" s="2"/>
      <c r="GZ38" s="2"/>
      <c r="HA38" s="2">
        <v>0</v>
      </c>
      <c r="HB38" s="2">
        <v>0</v>
      </c>
      <c r="HC38" s="2">
        <f t="shared" si="41"/>
        <v>0</v>
      </c>
      <c r="HD38" s="2"/>
      <c r="HE38" s="2" t="s">
        <v>3</v>
      </c>
      <c r="HF38" s="2" t="s">
        <v>3</v>
      </c>
      <c r="HG38" s="2"/>
      <c r="HH38" s="2"/>
      <c r="HI38" s="2"/>
      <c r="HJ38" s="2"/>
      <c r="HK38" s="2"/>
      <c r="HL38" s="2"/>
      <c r="HM38" s="2" t="s">
        <v>3</v>
      </c>
      <c r="HN38" s="2" t="s">
        <v>66</v>
      </c>
      <c r="HO38" s="2" t="s">
        <v>67</v>
      </c>
      <c r="HP38" s="2" t="s">
        <v>68</v>
      </c>
      <c r="HQ38" s="2" t="s">
        <v>68</v>
      </c>
      <c r="HR38" s="2"/>
      <c r="HS38" s="2">
        <v>0</v>
      </c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>
        <v>0</v>
      </c>
      <c r="IL38" s="2"/>
      <c r="IM38" s="2"/>
      <c r="IN38" s="2"/>
      <c r="IO38" s="2"/>
      <c r="IP38" s="2"/>
      <c r="IQ38" s="2"/>
      <c r="IR38" s="2"/>
      <c r="IS38" s="2"/>
      <c r="IT38" s="2"/>
      <c r="IU38" s="2"/>
    </row>
    <row r="39" spans="1:255" x14ac:dyDescent="0.2">
      <c r="A39" s="2">
        <v>18</v>
      </c>
      <c r="B39" s="2">
        <v>1</v>
      </c>
      <c r="C39" s="2">
        <v>35</v>
      </c>
      <c r="D39" s="2"/>
      <c r="E39" s="2" t="s">
        <v>84</v>
      </c>
      <c r="F39" s="2" t="s">
        <v>85</v>
      </c>
      <c r="G39" s="2" t="s">
        <v>86</v>
      </c>
      <c r="H39" s="2" t="s">
        <v>87</v>
      </c>
      <c r="I39" s="2">
        <f>I37*J39</f>
        <v>0</v>
      </c>
      <c r="J39" s="2">
        <v>200</v>
      </c>
      <c r="K39" s="2">
        <v>200</v>
      </c>
      <c r="L39" s="2"/>
      <c r="M39" s="2"/>
      <c r="N39" s="2"/>
      <c r="O39" s="2">
        <f t="shared" si="21"/>
        <v>0</v>
      </c>
      <c r="P39" s="2">
        <f>ROUND(CQ39*I39,2)</f>
        <v>0</v>
      </c>
      <c r="Q39" s="2">
        <f>ROUND(CR39*I39,2)</f>
        <v>0</v>
      </c>
      <c r="R39" s="2">
        <f>ROUND(CS39*I39,2)</f>
        <v>0</v>
      </c>
      <c r="S39" s="2">
        <f>ROUND(CT39*I39,2)</f>
        <v>0</v>
      </c>
      <c r="T39" s="2">
        <f t="shared" si="22"/>
        <v>0</v>
      </c>
      <c r="U39" s="2">
        <f>ROUND(CV39*I39,7)</f>
        <v>0</v>
      </c>
      <c r="V39" s="2">
        <f>ROUND(CW39*I39,7)</f>
        <v>0</v>
      </c>
      <c r="W39" s="2">
        <f t="shared" si="23"/>
        <v>0</v>
      </c>
      <c r="X39" s="2">
        <f t="shared" si="24"/>
        <v>0</v>
      </c>
      <c r="Y39" s="2">
        <f t="shared" si="25"/>
        <v>0</v>
      </c>
      <c r="Z39" s="2"/>
      <c r="AA39" s="2">
        <v>94298235</v>
      </c>
      <c r="AB39" s="2">
        <f t="shared" si="26"/>
        <v>44.16</v>
      </c>
      <c r="AC39" s="2">
        <f>ROUND((ES39),6)</f>
        <v>44.16</v>
      </c>
      <c r="AD39" s="2">
        <f>ROUND((((ET39)-(EU39))+AE39),6)</f>
        <v>0</v>
      </c>
      <c r="AE39" s="2">
        <f t="shared" si="42"/>
        <v>0</v>
      </c>
      <c r="AF39" s="2">
        <f t="shared" si="42"/>
        <v>0</v>
      </c>
      <c r="AG39" s="2">
        <f t="shared" si="27"/>
        <v>0</v>
      </c>
      <c r="AH39" s="2">
        <f t="shared" si="43"/>
        <v>0</v>
      </c>
      <c r="AI39" s="2">
        <f t="shared" si="43"/>
        <v>0</v>
      </c>
      <c r="AJ39" s="2">
        <f t="shared" si="28"/>
        <v>0</v>
      </c>
      <c r="AK39" s="2">
        <v>44.16</v>
      </c>
      <c r="AL39" s="2">
        <v>44.16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90</v>
      </c>
      <c r="AU39" s="2">
        <v>46</v>
      </c>
      <c r="AV39" s="2">
        <v>1</v>
      </c>
      <c r="AW39" s="2">
        <v>1</v>
      </c>
      <c r="AX39" s="2"/>
      <c r="AY39" s="2"/>
      <c r="AZ39" s="2">
        <v>1</v>
      </c>
      <c r="BA39" s="2">
        <v>1</v>
      </c>
      <c r="BB39" s="2">
        <v>1</v>
      </c>
      <c r="BC39" s="2">
        <v>0.85</v>
      </c>
      <c r="BD39" s="2" t="s">
        <v>3</v>
      </c>
      <c r="BE39" s="2" t="s">
        <v>3</v>
      </c>
      <c r="BF39" s="2" t="s">
        <v>3</v>
      </c>
      <c r="BG39" s="2" t="s">
        <v>3</v>
      </c>
      <c r="BH39" s="2">
        <v>3</v>
      </c>
      <c r="BI39" s="2">
        <v>1</v>
      </c>
      <c r="BJ39" s="2" t="s">
        <v>88</v>
      </c>
      <c r="BK39" s="2"/>
      <c r="BL39" s="2"/>
      <c r="BM39" s="2">
        <v>58001</v>
      </c>
      <c r="BN39" s="2">
        <v>0</v>
      </c>
      <c r="BO39" s="2" t="s">
        <v>85</v>
      </c>
      <c r="BP39" s="2">
        <v>1</v>
      </c>
      <c r="BQ39" s="2">
        <v>6</v>
      </c>
      <c r="BR39" s="2">
        <v>0</v>
      </c>
      <c r="BS39" s="2">
        <v>1</v>
      </c>
      <c r="BT39" s="2">
        <v>1</v>
      </c>
      <c r="BU39" s="2">
        <v>1</v>
      </c>
      <c r="BV39" s="2">
        <v>1</v>
      </c>
      <c r="BW39" s="2">
        <v>1</v>
      </c>
      <c r="BX39" s="2">
        <v>1</v>
      </c>
      <c r="BY39" s="2" t="s">
        <v>3</v>
      </c>
      <c r="BZ39" s="2">
        <v>90</v>
      </c>
      <c r="CA39" s="2">
        <v>46</v>
      </c>
      <c r="CB39" s="2" t="s">
        <v>3</v>
      </c>
      <c r="CC39" s="2"/>
      <c r="CD39" s="2"/>
      <c r="CE39" s="2">
        <v>0</v>
      </c>
      <c r="CF39" s="2">
        <v>0</v>
      </c>
      <c r="CG39" s="2">
        <v>0</v>
      </c>
      <c r="CH39" s="2"/>
      <c r="CI39" s="2"/>
      <c r="CJ39" s="2"/>
      <c r="CK39" s="2"/>
      <c r="CL39" s="2"/>
      <c r="CM39" s="2">
        <v>0</v>
      </c>
      <c r="CN39" s="2" t="s">
        <v>3</v>
      </c>
      <c r="CO39" s="2">
        <v>0</v>
      </c>
      <c r="CP39" s="2">
        <f t="shared" si="29"/>
        <v>0</v>
      </c>
      <c r="CQ39" s="2">
        <f>ROUND(AL39*BC39,2)</f>
        <v>37.54</v>
      </c>
      <c r="CR39" s="2">
        <f>ROUND(AM39*BB39,2)</f>
        <v>0</v>
      </c>
      <c r="CS39" s="2">
        <f>ROUND(AN39*BS39,2)</f>
        <v>0</v>
      </c>
      <c r="CT39" s="2">
        <f>ROUND(AO39*BA39,2)</f>
        <v>0</v>
      </c>
      <c r="CU39" s="2">
        <f t="shared" si="30"/>
        <v>0</v>
      </c>
      <c r="CV39" s="2">
        <f t="shared" si="44"/>
        <v>0</v>
      </c>
      <c r="CW39" s="2">
        <f t="shared" si="44"/>
        <v>0</v>
      </c>
      <c r="CX39" s="2">
        <f t="shared" si="31"/>
        <v>0</v>
      </c>
      <c r="CY39" s="2">
        <f t="shared" si="32"/>
        <v>0</v>
      </c>
      <c r="CZ39" s="2">
        <f t="shared" si="33"/>
        <v>0</v>
      </c>
      <c r="DA39" s="2"/>
      <c r="DB39" s="2"/>
      <c r="DC39" s="2" t="s">
        <v>3</v>
      </c>
      <c r="DD39" s="2" t="s">
        <v>3</v>
      </c>
      <c r="DE39" s="2" t="s">
        <v>3</v>
      </c>
      <c r="DF39" s="2" t="s">
        <v>3</v>
      </c>
      <c r="DG39" s="2" t="s">
        <v>3</v>
      </c>
      <c r="DH39" s="2" t="s">
        <v>3</v>
      </c>
      <c r="DI39" s="2" t="s">
        <v>3</v>
      </c>
      <c r="DJ39" s="2" t="s">
        <v>3</v>
      </c>
      <c r="DK39" s="2" t="s">
        <v>3</v>
      </c>
      <c r="DL39" s="2" t="s">
        <v>3</v>
      </c>
      <c r="DM39" s="2" t="s">
        <v>3</v>
      </c>
      <c r="DN39" s="2">
        <v>0</v>
      </c>
      <c r="DO39" s="2">
        <v>0</v>
      </c>
      <c r="DP39" s="2">
        <v>1</v>
      </c>
      <c r="DQ39" s="2">
        <v>1</v>
      </c>
      <c r="DR39" s="2"/>
      <c r="DS39" s="2"/>
      <c r="DT39" s="2"/>
      <c r="DU39" s="2">
        <v>1003</v>
      </c>
      <c r="DV39" s="2" t="s">
        <v>87</v>
      </c>
      <c r="DW39" s="2" t="s">
        <v>87</v>
      </c>
      <c r="DX39" s="2">
        <v>1</v>
      </c>
      <c r="DY39" s="2"/>
      <c r="DZ39" s="2" t="s">
        <v>3</v>
      </c>
      <c r="EA39" s="2" t="s">
        <v>3</v>
      </c>
      <c r="EB39" s="2" t="s">
        <v>3</v>
      </c>
      <c r="EC39" s="2" t="s">
        <v>3</v>
      </c>
      <c r="ED39" s="2"/>
      <c r="EE39" s="2">
        <v>89977072</v>
      </c>
      <c r="EF39" s="2">
        <v>6</v>
      </c>
      <c r="EG39" s="2" t="s">
        <v>22</v>
      </c>
      <c r="EH39" s="2">
        <v>92</v>
      </c>
      <c r="EI39" s="2" t="s">
        <v>64</v>
      </c>
      <c r="EJ39" s="2">
        <v>1</v>
      </c>
      <c r="EK39" s="2">
        <v>58001</v>
      </c>
      <c r="EL39" s="2" t="s">
        <v>64</v>
      </c>
      <c r="EM39" s="2" t="s">
        <v>65</v>
      </c>
      <c r="EN39" s="2"/>
      <c r="EO39" s="2" t="s">
        <v>3</v>
      </c>
      <c r="EP39" s="2"/>
      <c r="EQ39" s="2">
        <v>0</v>
      </c>
      <c r="ER39" s="2">
        <v>44.16</v>
      </c>
      <c r="ES39" s="2">
        <v>44.16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>
        <v>0</v>
      </c>
      <c r="FR39" s="2">
        <v>0</v>
      </c>
      <c r="FS39" s="2">
        <v>0</v>
      </c>
      <c r="FT39" s="2"/>
      <c r="FU39" s="2"/>
      <c r="FV39" s="2"/>
      <c r="FW39" s="2"/>
      <c r="FX39" s="2">
        <v>90</v>
      </c>
      <c r="FY39" s="2">
        <v>46</v>
      </c>
      <c r="FZ39" s="2"/>
      <c r="GA39" s="2" t="s">
        <v>3</v>
      </c>
      <c r="GB39" s="2"/>
      <c r="GC39" s="2"/>
      <c r="GD39" s="2">
        <v>1</v>
      </c>
      <c r="GE39" s="2"/>
      <c r="GF39" s="2">
        <v>1951047089</v>
      </c>
      <c r="GG39" s="2">
        <v>2</v>
      </c>
      <c r="GH39" s="2">
        <v>1</v>
      </c>
      <c r="GI39" s="2">
        <v>2</v>
      </c>
      <c r="GJ39" s="2">
        <v>0</v>
      </c>
      <c r="GK39" s="2">
        <v>0</v>
      </c>
      <c r="GL39" s="2">
        <f t="shared" si="34"/>
        <v>0</v>
      </c>
      <c r="GM39" s="2">
        <f t="shared" si="35"/>
        <v>0</v>
      </c>
      <c r="GN39" s="2">
        <f t="shared" si="36"/>
        <v>0</v>
      </c>
      <c r="GO39" s="2">
        <f t="shared" si="37"/>
        <v>0</v>
      </c>
      <c r="GP39" s="2">
        <f t="shared" si="38"/>
        <v>0</v>
      </c>
      <c r="GQ39" s="2"/>
      <c r="GR39" s="2">
        <v>0</v>
      </c>
      <c r="GS39" s="2">
        <v>3</v>
      </c>
      <c r="GT39" s="2">
        <v>0</v>
      </c>
      <c r="GU39" s="2" t="s">
        <v>3</v>
      </c>
      <c r="GV39" s="2">
        <f t="shared" si="39"/>
        <v>0</v>
      </c>
      <c r="GW39" s="2">
        <v>1</v>
      </c>
      <c r="GX39" s="2">
        <f t="shared" si="40"/>
        <v>0</v>
      </c>
      <c r="GY39" s="2"/>
      <c r="GZ39" s="2"/>
      <c r="HA39" s="2">
        <v>0</v>
      </c>
      <c r="HB39" s="2">
        <v>0</v>
      </c>
      <c r="HC39" s="2">
        <f t="shared" si="41"/>
        <v>0</v>
      </c>
      <c r="HD39" s="2"/>
      <c r="HE39" s="2" t="s">
        <v>3</v>
      </c>
      <c r="HF39" s="2" t="s">
        <v>3</v>
      </c>
      <c r="HG39" s="2"/>
      <c r="HH39" s="2"/>
      <c r="HI39" s="2"/>
      <c r="HJ39" s="2"/>
      <c r="HK39" s="2"/>
      <c r="HL39" s="2"/>
      <c r="HM39" s="2" t="s">
        <v>3</v>
      </c>
      <c r="HN39" s="2" t="s">
        <v>66</v>
      </c>
      <c r="HO39" s="2" t="s">
        <v>67</v>
      </c>
      <c r="HP39" s="2" t="s">
        <v>68</v>
      </c>
      <c r="HQ39" s="2" t="s">
        <v>68</v>
      </c>
      <c r="HR39" s="2"/>
      <c r="HS39" s="2">
        <v>0</v>
      </c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>
        <v>0</v>
      </c>
      <c r="IL39" s="2"/>
      <c r="IM39" s="2"/>
      <c r="IN39" s="2"/>
      <c r="IO39" s="2"/>
      <c r="IP39" s="2"/>
      <c r="IQ39" s="2"/>
      <c r="IR39" s="2"/>
      <c r="IS39" s="2"/>
      <c r="IT39" s="2"/>
      <c r="IU39" s="2"/>
    </row>
    <row r="40" spans="1:255" x14ac:dyDescent="0.2">
      <c r="A40" s="2">
        <v>18</v>
      </c>
      <c r="B40" s="2">
        <v>1</v>
      </c>
      <c r="C40" s="2">
        <v>39</v>
      </c>
      <c r="D40" s="2"/>
      <c r="E40" s="2" t="s">
        <v>89</v>
      </c>
      <c r="F40" s="2" t="s">
        <v>90</v>
      </c>
      <c r="G40" s="2" t="s">
        <v>91</v>
      </c>
      <c r="H40" s="2" t="s">
        <v>87</v>
      </c>
      <c r="I40" s="2">
        <f>I37*J40</f>
        <v>0</v>
      </c>
      <c r="J40" s="2">
        <v>100</v>
      </c>
      <c r="K40" s="2">
        <v>100</v>
      </c>
      <c r="L40" s="2"/>
      <c r="M40" s="2"/>
      <c r="N40" s="2"/>
      <c r="O40" s="2">
        <f t="shared" si="21"/>
        <v>0</v>
      </c>
      <c r="P40" s="2">
        <f>ROUND(CQ40*I40,2)</f>
        <v>0</v>
      </c>
      <c r="Q40" s="2">
        <f>ROUND(CR40*I40,2)</f>
        <v>0</v>
      </c>
      <c r="R40" s="2">
        <f>ROUND(CS40*I40,2)</f>
        <v>0</v>
      </c>
      <c r="S40" s="2">
        <f>ROUND(CT40*I40,2)</f>
        <v>0</v>
      </c>
      <c r="T40" s="2">
        <f t="shared" si="22"/>
        <v>0</v>
      </c>
      <c r="U40" s="2">
        <f>ROUND(CV40*I40,7)</f>
        <v>0</v>
      </c>
      <c r="V40" s="2">
        <f>ROUND(CW40*I40,7)</f>
        <v>0</v>
      </c>
      <c r="W40" s="2">
        <f t="shared" si="23"/>
        <v>0</v>
      </c>
      <c r="X40" s="2">
        <f t="shared" si="24"/>
        <v>0</v>
      </c>
      <c r="Y40" s="2">
        <f t="shared" si="25"/>
        <v>0</v>
      </c>
      <c r="Z40" s="2"/>
      <c r="AA40" s="2">
        <v>94298235</v>
      </c>
      <c r="AB40" s="2">
        <f t="shared" si="26"/>
        <v>4624.8999999999996</v>
      </c>
      <c r="AC40" s="2">
        <f>ROUND((ES40),6)</f>
        <v>4624.8999999999996</v>
      </c>
      <c r="AD40" s="2">
        <f>ROUND((((ET40)-(EU40))+AE40),6)</f>
        <v>0</v>
      </c>
      <c r="AE40" s="2">
        <f t="shared" si="42"/>
        <v>0</v>
      </c>
      <c r="AF40" s="2">
        <f t="shared" si="42"/>
        <v>0</v>
      </c>
      <c r="AG40" s="2">
        <f t="shared" si="27"/>
        <v>0</v>
      </c>
      <c r="AH40" s="2">
        <f t="shared" si="43"/>
        <v>0</v>
      </c>
      <c r="AI40" s="2">
        <f t="shared" si="43"/>
        <v>0</v>
      </c>
      <c r="AJ40" s="2">
        <f t="shared" si="28"/>
        <v>0</v>
      </c>
      <c r="AK40" s="2">
        <v>4624.8999999999996</v>
      </c>
      <c r="AL40" s="2">
        <v>4624.8999999999996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90</v>
      </c>
      <c r="AU40" s="2">
        <v>46</v>
      </c>
      <c r="AV40" s="2">
        <v>1</v>
      </c>
      <c r="AW40" s="2">
        <v>1</v>
      </c>
      <c r="AX40" s="2"/>
      <c r="AY40" s="2"/>
      <c r="AZ40" s="2">
        <v>1</v>
      </c>
      <c r="BA40" s="2">
        <v>1</v>
      </c>
      <c r="BB40" s="2">
        <v>1</v>
      </c>
      <c r="BC40" s="2">
        <v>1.1000000000000001</v>
      </c>
      <c r="BD40" s="2" t="s">
        <v>3</v>
      </c>
      <c r="BE40" s="2" t="s">
        <v>3</v>
      </c>
      <c r="BF40" s="2" t="s">
        <v>3</v>
      </c>
      <c r="BG40" s="2" t="s">
        <v>3</v>
      </c>
      <c r="BH40" s="2">
        <v>3</v>
      </c>
      <c r="BI40" s="2">
        <v>1</v>
      </c>
      <c r="BJ40" s="2" t="s">
        <v>92</v>
      </c>
      <c r="BK40" s="2"/>
      <c r="BL40" s="2"/>
      <c r="BM40" s="2">
        <v>58001</v>
      </c>
      <c r="BN40" s="2">
        <v>0</v>
      </c>
      <c r="BO40" s="2" t="s">
        <v>90</v>
      </c>
      <c r="BP40" s="2">
        <v>1</v>
      </c>
      <c r="BQ40" s="2">
        <v>6</v>
      </c>
      <c r="BR40" s="2">
        <v>0</v>
      </c>
      <c r="BS40" s="2">
        <v>1</v>
      </c>
      <c r="BT40" s="2">
        <v>1</v>
      </c>
      <c r="BU40" s="2">
        <v>1</v>
      </c>
      <c r="BV40" s="2">
        <v>1</v>
      </c>
      <c r="BW40" s="2">
        <v>1</v>
      </c>
      <c r="BX40" s="2">
        <v>1</v>
      </c>
      <c r="BY40" s="2" t="s">
        <v>3</v>
      </c>
      <c r="BZ40" s="2">
        <v>90</v>
      </c>
      <c r="CA40" s="2">
        <v>46</v>
      </c>
      <c r="CB40" s="2" t="s">
        <v>3</v>
      </c>
      <c r="CC40" s="2"/>
      <c r="CD40" s="2"/>
      <c r="CE40" s="2">
        <v>0</v>
      </c>
      <c r="CF40" s="2">
        <v>0</v>
      </c>
      <c r="CG40" s="2">
        <v>0</v>
      </c>
      <c r="CH40" s="2"/>
      <c r="CI40" s="2"/>
      <c r="CJ40" s="2"/>
      <c r="CK40" s="2"/>
      <c r="CL40" s="2"/>
      <c r="CM40" s="2">
        <v>0</v>
      </c>
      <c r="CN40" s="2" t="s">
        <v>3</v>
      </c>
      <c r="CO40" s="2">
        <v>0</v>
      </c>
      <c r="CP40" s="2">
        <f t="shared" si="29"/>
        <v>0</v>
      </c>
      <c r="CQ40" s="2">
        <f>ROUND(AL40*BC40,2)</f>
        <v>5087.3900000000003</v>
      </c>
      <c r="CR40" s="2">
        <f>ROUND(AM40*BB40,2)</f>
        <v>0</v>
      </c>
      <c r="CS40" s="2">
        <f>ROUND(AN40*BS40,2)</f>
        <v>0</v>
      </c>
      <c r="CT40" s="2">
        <f>ROUND(AO40*BA40,2)</f>
        <v>0</v>
      </c>
      <c r="CU40" s="2">
        <f t="shared" si="30"/>
        <v>0</v>
      </c>
      <c r="CV40" s="2">
        <f t="shared" si="44"/>
        <v>0</v>
      </c>
      <c r="CW40" s="2">
        <f t="shared" si="44"/>
        <v>0</v>
      </c>
      <c r="CX40" s="2">
        <f t="shared" si="31"/>
        <v>0</v>
      </c>
      <c r="CY40" s="2">
        <f t="shared" si="32"/>
        <v>0</v>
      </c>
      <c r="CZ40" s="2">
        <f t="shared" si="33"/>
        <v>0</v>
      </c>
      <c r="DA40" s="2"/>
      <c r="DB40" s="2"/>
      <c r="DC40" s="2" t="s">
        <v>3</v>
      </c>
      <c r="DD40" s="2" t="s">
        <v>3</v>
      </c>
      <c r="DE40" s="2" t="s">
        <v>3</v>
      </c>
      <c r="DF40" s="2" t="s">
        <v>3</v>
      </c>
      <c r="DG40" s="2" t="s">
        <v>3</v>
      </c>
      <c r="DH40" s="2" t="s">
        <v>3</v>
      </c>
      <c r="DI40" s="2" t="s">
        <v>3</v>
      </c>
      <c r="DJ40" s="2" t="s">
        <v>3</v>
      </c>
      <c r="DK40" s="2" t="s">
        <v>3</v>
      </c>
      <c r="DL40" s="2" t="s">
        <v>3</v>
      </c>
      <c r="DM40" s="2" t="s">
        <v>3</v>
      </c>
      <c r="DN40" s="2">
        <v>0</v>
      </c>
      <c r="DO40" s="2">
        <v>0</v>
      </c>
      <c r="DP40" s="2">
        <v>1</v>
      </c>
      <c r="DQ40" s="2">
        <v>1</v>
      </c>
      <c r="DR40" s="2"/>
      <c r="DS40" s="2"/>
      <c r="DT40" s="2"/>
      <c r="DU40" s="2">
        <v>1003</v>
      </c>
      <c r="DV40" s="2" t="s">
        <v>87</v>
      </c>
      <c r="DW40" s="2" t="s">
        <v>87</v>
      </c>
      <c r="DX40" s="2">
        <v>1</v>
      </c>
      <c r="DY40" s="2"/>
      <c r="DZ40" s="2" t="s">
        <v>3</v>
      </c>
      <c r="EA40" s="2" t="s">
        <v>3</v>
      </c>
      <c r="EB40" s="2" t="s">
        <v>3</v>
      </c>
      <c r="EC40" s="2" t="s">
        <v>3</v>
      </c>
      <c r="ED40" s="2"/>
      <c r="EE40" s="2">
        <v>89977072</v>
      </c>
      <c r="EF40" s="2">
        <v>6</v>
      </c>
      <c r="EG40" s="2" t="s">
        <v>22</v>
      </c>
      <c r="EH40" s="2">
        <v>92</v>
      </c>
      <c r="EI40" s="2" t="s">
        <v>64</v>
      </c>
      <c r="EJ40" s="2">
        <v>1</v>
      </c>
      <c r="EK40" s="2">
        <v>58001</v>
      </c>
      <c r="EL40" s="2" t="s">
        <v>64</v>
      </c>
      <c r="EM40" s="2" t="s">
        <v>65</v>
      </c>
      <c r="EN40" s="2"/>
      <c r="EO40" s="2" t="s">
        <v>3</v>
      </c>
      <c r="EP40" s="2"/>
      <c r="EQ40" s="2">
        <v>0</v>
      </c>
      <c r="ER40" s="2">
        <v>4624.8999999999996</v>
      </c>
      <c r="ES40" s="2">
        <v>4624.8999999999996</v>
      </c>
      <c r="ET40" s="2">
        <v>0</v>
      </c>
      <c r="EU40" s="2">
        <v>0</v>
      </c>
      <c r="EV40" s="2">
        <v>0</v>
      </c>
      <c r="EW40" s="2">
        <v>0</v>
      </c>
      <c r="EX40" s="2">
        <v>0</v>
      </c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>
        <v>0</v>
      </c>
      <c r="FR40" s="2">
        <v>0</v>
      </c>
      <c r="FS40" s="2">
        <v>0</v>
      </c>
      <c r="FT40" s="2"/>
      <c r="FU40" s="2"/>
      <c r="FV40" s="2"/>
      <c r="FW40" s="2"/>
      <c r="FX40" s="2">
        <v>90</v>
      </c>
      <c r="FY40" s="2">
        <v>46</v>
      </c>
      <c r="FZ40" s="2"/>
      <c r="GA40" s="2" t="s">
        <v>3</v>
      </c>
      <c r="GB40" s="2"/>
      <c r="GC40" s="2"/>
      <c r="GD40" s="2">
        <v>1</v>
      </c>
      <c r="GE40" s="2"/>
      <c r="GF40" s="2">
        <v>1244494453</v>
      </c>
      <c r="GG40" s="2">
        <v>2</v>
      </c>
      <c r="GH40" s="2">
        <v>1</v>
      </c>
      <c r="GI40" s="2">
        <v>2</v>
      </c>
      <c r="GJ40" s="2">
        <v>0</v>
      </c>
      <c r="GK40" s="2">
        <v>0</v>
      </c>
      <c r="GL40" s="2">
        <f t="shared" si="34"/>
        <v>0</v>
      </c>
      <c r="GM40" s="2">
        <f t="shared" si="35"/>
        <v>0</v>
      </c>
      <c r="GN40" s="2">
        <f t="shared" si="36"/>
        <v>0</v>
      </c>
      <c r="GO40" s="2">
        <f t="shared" si="37"/>
        <v>0</v>
      </c>
      <c r="GP40" s="2">
        <f t="shared" si="38"/>
        <v>0</v>
      </c>
      <c r="GQ40" s="2"/>
      <c r="GR40" s="2">
        <v>0</v>
      </c>
      <c r="GS40" s="2">
        <v>3</v>
      </c>
      <c r="GT40" s="2">
        <v>0</v>
      </c>
      <c r="GU40" s="2" t="s">
        <v>3</v>
      </c>
      <c r="GV40" s="2">
        <f t="shared" si="39"/>
        <v>0</v>
      </c>
      <c r="GW40" s="2">
        <v>1</v>
      </c>
      <c r="GX40" s="2">
        <f t="shared" si="40"/>
        <v>0</v>
      </c>
      <c r="GY40" s="2"/>
      <c r="GZ40" s="2"/>
      <c r="HA40" s="2">
        <v>0</v>
      </c>
      <c r="HB40" s="2">
        <v>0</v>
      </c>
      <c r="HC40" s="2">
        <f t="shared" si="41"/>
        <v>0</v>
      </c>
      <c r="HD40" s="2"/>
      <c r="HE40" s="2" t="s">
        <v>3</v>
      </c>
      <c r="HF40" s="2" t="s">
        <v>3</v>
      </c>
      <c r="HG40" s="2"/>
      <c r="HH40" s="2"/>
      <c r="HI40" s="2"/>
      <c r="HJ40" s="2"/>
      <c r="HK40" s="2"/>
      <c r="HL40" s="2"/>
      <c r="HM40" s="2" t="s">
        <v>3</v>
      </c>
      <c r="HN40" s="2" t="s">
        <v>66</v>
      </c>
      <c r="HO40" s="2" t="s">
        <v>67</v>
      </c>
      <c r="HP40" s="2" t="s">
        <v>68</v>
      </c>
      <c r="HQ40" s="2" t="s">
        <v>68</v>
      </c>
      <c r="HR40" s="2"/>
      <c r="HS40" s="2">
        <v>0</v>
      </c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>
        <v>0</v>
      </c>
      <c r="IL40" s="2"/>
      <c r="IM40" s="2"/>
      <c r="IN40" s="2"/>
      <c r="IO40" s="2"/>
      <c r="IP40" s="2"/>
      <c r="IQ40" s="2"/>
      <c r="IR40" s="2"/>
      <c r="IS40" s="2"/>
      <c r="IT40" s="2"/>
      <c r="IU40" s="2"/>
    </row>
    <row r="41" spans="1:255" ht="409.5" x14ac:dyDescent="0.2">
      <c r="A41" s="2">
        <v>17</v>
      </c>
      <c r="B41" s="2">
        <v>1</v>
      </c>
      <c r="C41" s="2">
        <f>ROW(SmtRes!A51)</f>
        <v>51</v>
      </c>
      <c r="D41" s="2">
        <f>ROW(EtalonRes!A48)</f>
        <v>48</v>
      </c>
      <c r="E41" s="2" t="s">
        <v>93</v>
      </c>
      <c r="F41" s="2" t="s">
        <v>94</v>
      </c>
      <c r="G41" s="2" t="s">
        <v>95</v>
      </c>
      <c r="H41" s="2" t="s">
        <v>77</v>
      </c>
      <c r="I41" s="2">
        <f>ROUND(52/100,7)</f>
        <v>0.52</v>
      </c>
      <c r="J41" s="2">
        <v>0</v>
      </c>
      <c r="K41" s="2">
        <f>ROUND(52/100,7)</f>
        <v>0.52</v>
      </c>
      <c r="L41" s="2"/>
      <c r="M41" s="2"/>
      <c r="N41" s="2"/>
      <c r="O41" s="2">
        <f t="shared" si="21"/>
        <v>39392.15</v>
      </c>
      <c r="P41" s="2">
        <f>SUMIF(SmtRes!AQ40:'SmtRes'!AQ51,"=1",SmtRes!DF40:'SmtRes'!DF51)</f>
        <v>335.65</v>
      </c>
      <c r="Q41" s="2">
        <f>SUMIF(SmtRes!AQ40:'SmtRes'!AQ51,"=1",SmtRes!DG40:'SmtRes'!DG51)</f>
        <v>159.66999999999999</v>
      </c>
      <c r="R41" s="2">
        <f>SUMIF(SmtRes!AQ40:'SmtRes'!AQ51,"=1",SmtRes!DH40:'SmtRes'!DH51)</f>
        <v>287.45999999999998</v>
      </c>
      <c r="S41" s="2">
        <f>SUMIF(SmtRes!AQ40:'SmtRes'!AQ51,"=1",SmtRes!DI40:'SmtRes'!DI51)</f>
        <v>38609.370000000003</v>
      </c>
      <c r="T41" s="2">
        <f t="shared" si="22"/>
        <v>0</v>
      </c>
      <c r="U41" s="2">
        <f>SUMIF(SmtRes!AQ40:'SmtRes'!AQ51,"=1",SmtRes!CV40:'SmtRes'!CV51)</f>
        <v>58.006</v>
      </c>
      <c r="V41" s="2">
        <f>SUMIF(SmtRes!AQ40:'SmtRes'!AQ51,"=1",SmtRes!CW40:'SmtRes'!CW51)</f>
        <v>0.41600000000000004</v>
      </c>
      <c r="W41" s="2">
        <f t="shared" si="23"/>
        <v>0</v>
      </c>
      <c r="X41" s="2">
        <f t="shared" si="24"/>
        <v>35007.15</v>
      </c>
      <c r="Y41" s="2">
        <f t="shared" si="25"/>
        <v>16200.53</v>
      </c>
      <c r="Z41" s="2"/>
      <c r="AA41" s="2">
        <v>94298235</v>
      </c>
      <c r="AB41" s="2">
        <f t="shared" si="26"/>
        <v>75045.521699999998</v>
      </c>
      <c r="AC41" s="2">
        <f>ROUND((SUM(SmtRes!BQ40:'SmtRes'!BQ51)),6)</f>
        <v>502.96319999999997</v>
      </c>
      <c r="AD41" s="2">
        <f>ROUND((((SUM(SmtRes!BR40:'SmtRes'!BR51))-(SUM(SmtRes!BS40:'SmtRes'!BS51)))+AE41),6)</f>
        <v>293.76299999999998</v>
      </c>
      <c r="AE41" s="2">
        <f>ROUND((SUM(SmtRes!BS40:'SmtRes'!BS51)),6)</f>
        <v>552.80825000000004</v>
      </c>
      <c r="AF41" s="2">
        <f>ROUND((SUM(SmtRes!BT40:'SmtRes'!BT51)),6)</f>
        <v>74248.795499999993</v>
      </c>
      <c r="AG41" s="2">
        <f t="shared" si="27"/>
        <v>0</v>
      </c>
      <c r="AH41" s="2">
        <f>(SUM(SmtRes!BU40:'SmtRes'!BU51))</f>
        <v>111.55</v>
      </c>
      <c r="AI41" s="2">
        <f>(SUM(SmtRes!BV40:'SmtRes'!BV51))</f>
        <v>0.8</v>
      </c>
      <c r="AJ41" s="2">
        <f t="shared" si="28"/>
        <v>0</v>
      </c>
      <c r="AK41" s="2">
        <v>66450.523109999995</v>
      </c>
      <c r="AL41" s="2">
        <v>1209.09611</v>
      </c>
      <c r="AM41" s="2">
        <v>235.0104</v>
      </c>
      <c r="AN41" s="2">
        <v>442.24660000000006</v>
      </c>
      <c r="AO41" s="2">
        <v>64564.17</v>
      </c>
      <c r="AP41" s="2">
        <v>0</v>
      </c>
      <c r="AQ41" s="2">
        <v>97</v>
      </c>
      <c r="AR41" s="2">
        <v>0.64</v>
      </c>
      <c r="AS41" s="2">
        <v>0</v>
      </c>
      <c r="AT41" s="2">
        <v>90</v>
      </c>
      <c r="AU41" s="2">
        <v>41.65</v>
      </c>
      <c r="AV41" s="2">
        <v>1</v>
      </c>
      <c r="AW41" s="2">
        <v>1</v>
      </c>
      <c r="AX41" s="2"/>
      <c r="AY41" s="2"/>
      <c r="AZ41" s="2">
        <v>1</v>
      </c>
      <c r="BA41" s="2">
        <v>1</v>
      </c>
      <c r="BB41" s="2">
        <v>1</v>
      </c>
      <c r="BC41" s="2">
        <v>1</v>
      </c>
      <c r="BD41" s="2" t="s">
        <v>3</v>
      </c>
      <c r="BE41" s="2" t="s">
        <v>3</v>
      </c>
      <c r="BF41" s="2" t="s">
        <v>3</v>
      </c>
      <c r="BG41" s="2" t="s">
        <v>3</v>
      </c>
      <c r="BH41" s="2">
        <v>0</v>
      </c>
      <c r="BI41" s="2">
        <v>1</v>
      </c>
      <c r="BJ41" s="2" t="s">
        <v>96</v>
      </c>
      <c r="BK41" s="2"/>
      <c r="BL41" s="2"/>
      <c r="BM41" s="2">
        <v>15001</v>
      </c>
      <c r="BN41" s="2">
        <v>0</v>
      </c>
      <c r="BO41" s="2" t="s">
        <v>3</v>
      </c>
      <c r="BP41" s="2">
        <v>0</v>
      </c>
      <c r="BQ41" s="2">
        <v>2</v>
      </c>
      <c r="BR41" s="2">
        <v>0</v>
      </c>
      <c r="BS41" s="2">
        <v>1</v>
      </c>
      <c r="BT41" s="2">
        <v>1</v>
      </c>
      <c r="BU41" s="2">
        <v>1</v>
      </c>
      <c r="BV41" s="2">
        <v>1</v>
      </c>
      <c r="BW41" s="2">
        <v>1</v>
      </c>
      <c r="BX41" s="2">
        <v>1</v>
      </c>
      <c r="BY41" s="2" t="s">
        <v>3</v>
      </c>
      <c r="BZ41" s="2">
        <v>100</v>
      </c>
      <c r="CA41" s="2">
        <v>49</v>
      </c>
      <c r="CB41" s="2" t="s">
        <v>3</v>
      </c>
      <c r="CC41" s="2"/>
      <c r="CD41" s="2"/>
      <c r="CE41" s="2">
        <v>0</v>
      </c>
      <c r="CF41" s="2">
        <v>0</v>
      </c>
      <c r="CG41" s="2">
        <v>0</v>
      </c>
      <c r="CH41" s="2"/>
      <c r="CI41" s="2"/>
      <c r="CJ41" s="2"/>
      <c r="CK41" s="2"/>
      <c r="CL41" s="2"/>
      <c r="CM41" s="2">
        <v>0</v>
      </c>
      <c r="CN41" s="7" t="s">
        <v>358</v>
      </c>
      <c r="CO41" s="2">
        <v>0</v>
      </c>
      <c r="CP41" s="2">
        <f t="shared" si="29"/>
        <v>39392.15</v>
      </c>
      <c r="CQ41" s="2">
        <f>SUMIF(SmtRes!AQ40:'SmtRes'!AQ51,"=1",SmtRes!AA40:'SmtRes'!AA51)</f>
        <v>191504.3</v>
      </c>
      <c r="CR41" s="2">
        <f>SUMIF(SmtRes!AQ40:'SmtRes'!AQ51,"=1",SmtRes!AB40:'SmtRes'!AB51)</f>
        <v>1603.9499999999998</v>
      </c>
      <c r="CS41" s="2">
        <f>SUMIF(SmtRes!AQ40:'SmtRes'!AQ51,"=1",SmtRes!AC40:'SmtRes'!AC51)</f>
        <v>1489.43</v>
      </c>
      <c r="CT41" s="2">
        <f>SUMIF(SmtRes!AQ40:'SmtRes'!AQ51,"=1",SmtRes!AD40:'SmtRes'!AD51)</f>
        <v>665.61</v>
      </c>
      <c r="CU41" s="2">
        <f t="shared" si="30"/>
        <v>0</v>
      </c>
      <c r="CV41" s="2">
        <f>SUMIF(SmtRes!AQ40:'SmtRes'!AQ51,"=1",SmtRes!BU40:'SmtRes'!BU51)</f>
        <v>111.55</v>
      </c>
      <c r="CW41" s="2">
        <f>SUMIF(SmtRes!AQ40:'SmtRes'!AQ51,"=1",SmtRes!BV40:'SmtRes'!BV51)</f>
        <v>0.8</v>
      </c>
      <c r="CX41" s="2">
        <f t="shared" si="31"/>
        <v>0</v>
      </c>
      <c r="CY41" s="2">
        <f t="shared" si="32"/>
        <v>35007.147000000004</v>
      </c>
      <c r="CZ41" s="2">
        <f t="shared" si="33"/>
        <v>16200.529695000001</v>
      </c>
      <c r="DA41" s="2"/>
      <c r="DB41" s="2">
        <v>2</v>
      </c>
      <c r="DC41" s="2" t="s">
        <v>3</v>
      </c>
      <c r="DD41" s="2" t="s">
        <v>3</v>
      </c>
      <c r="DE41" s="2" t="s">
        <v>41</v>
      </c>
      <c r="DF41" s="2" t="s">
        <v>41</v>
      </c>
      <c r="DG41" s="2" t="s">
        <v>42</v>
      </c>
      <c r="DH41" s="2" t="s">
        <v>3</v>
      </c>
      <c r="DI41" s="2" t="s">
        <v>42</v>
      </c>
      <c r="DJ41" s="2" t="s">
        <v>41</v>
      </c>
      <c r="DK41" s="2" t="s">
        <v>3</v>
      </c>
      <c r="DL41" s="2" t="s">
        <v>43</v>
      </c>
      <c r="DM41" s="2" t="s">
        <v>44</v>
      </c>
      <c r="DN41" s="2">
        <v>0</v>
      </c>
      <c r="DO41" s="2">
        <v>0</v>
      </c>
      <c r="DP41" s="2">
        <v>1</v>
      </c>
      <c r="DQ41" s="2">
        <v>1</v>
      </c>
      <c r="DR41" s="2"/>
      <c r="DS41" s="2"/>
      <c r="DT41" s="2"/>
      <c r="DU41" s="2">
        <v>1003</v>
      </c>
      <c r="DV41" s="2" t="s">
        <v>77</v>
      </c>
      <c r="DW41" s="2" t="s">
        <v>77</v>
      </c>
      <c r="DX41" s="2">
        <v>100</v>
      </c>
      <c r="DY41" s="2"/>
      <c r="DZ41" s="2" t="s">
        <v>3</v>
      </c>
      <c r="EA41" s="2" t="s">
        <v>3</v>
      </c>
      <c r="EB41" s="2" t="s">
        <v>3</v>
      </c>
      <c r="EC41" s="2" t="s">
        <v>3</v>
      </c>
      <c r="ED41" s="2"/>
      <c r="EE41" s="2">
        <v>89977019</v>
      </c>
      <c r="EF41" s="2">
        <v>2</v>
      </c>
      <c r="EG41" s="2" t="s">
        <v>45</v>
      </c>
      <c r="EH41" s="2">
        <v>15</v>
      </c>
      <c r="EI41" s="2" t="s">
        <v>46</v>
      </c>
      <c r="EJ41" s="2">
        <v>1</v>
      </c>
      <c r="EK41" s="2">
        <v>15001</v>
      </c>
      <c r="EL41" s="2" t="s">
        <v>46</v>
      </c>
      <c r="EM41" s="2" t="s">
        <v>47</v>
      </c>
      <c r="EN41" s="2"/>
      <c r="EO41" s="2" t="s">
        <v>48</v>
      </c>
      <c r="EP41" s="2"/>
      <c r="EQ41" s="2">
        <v>0</v>
      </c>
      <c r="ER41" s="2">
        <v>0</v>
      </c>
      <c r="ES41" s="2">
        <v>0</v>
      </c>
      <c r="ET41" s="2">
        <v>0</v>
      </c>
      <c r="EU41" s="2">
        <v>0</v>
      </c>
      <c r="EV41" s="2">
        <v>0</v>
      </c>
      <c r="EW41" s="2">
        <v>97</v>
      </c>
      <c r="EX41" s="2">
        <v>0.64</v>
      </c>
      <c r="EY41" s="2">
        <v>0</v>
      </c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>
        <v>0</v>
      </c>
      <c r="FR41" s="2">
        <v>0</v>
      </c>
      <c r="FS41" s="2">
        <v>0</v>
      </c>
      <c r="FT41" s="2"/>
      <c r="FU41" s="2"/>
      <c r="FV41" s="2"/>
      <c r="FW41" s="2"/>
      <c r="FX41" s="2">
        <v>90</v>
      </c>
      <c r="FY41" s="2">
        <v>41.65</v>
      </c>
      <c r="FZ41" s="2"/>
      <c r="GA41" s="2" t="s">
        <v>3</v>
      </c>
      <c r="GB41" s="2"/>
      <c r="GC41" s="2"/>
      <c r="GD41" s="2">
        <v>1</v>
      </c>
      <c r="GE41" s="2"/>
      <c r="GF41" s="2">
        <v>-2071355963</v>
      </c>
      <c r="GG41" s="2">
        <v>2</v>
      </c>
      <c r="GH41" s="2">
        <v>1</v>
      </c>
      <c r="GI41" s="2">
        <v>-2</v>
      </c>
      <c r="GJ41" s="2">
        <v>0</v>
      </c>
      <c r="GK41" s="2">
        <v>0</v>
      </c>
      <c r="GL41" s="2">
        <f t="shared" si="34"/>
        <v>0</v>
      </c>
      <c r="GM41" s="2">
        <f t="shared" si="35"/>
        <v>90599.83</v>
      </c>
      <c r="GN41" s="2">
        <f t="shared" si="36"/>
        <v>90599.83</v>
      </c>
      <c r="GO41" s="2">
        <f t="shared" si="37"/>
        <v>0</v>
      </c>
      <c r="GP41" s="2">
        <f t="shared" si="38"/>
        <v>0</v>
      </c>
      <c r="GQ41" s="2"/>
      <c r="GR41" s="2">
        <v>0</v>
      </c>
      <c r="GS41" s="2">
        <v>3</v>
      </c>
      <c r="GT41" s="2">
        <v>0</v>
      </c>
      <c r="GU41" s="2" t="s">
        <v>3</v>
      </c>
      <c r="GV41" s="2">
        <f t="shared" si="39"/>
        <v>0</v>
      </c>
      <c r="GW41" s="2">
        <v>1</v>
      </c>
      <c r="GX41" s="2">
        <f t="shared" si="40"/>
        <v>0</v>
      </c>
      <c r="GY41" s="2"/>
      <c r="GZ41" s="2"/>
      <c r="HA41" s="2">
        <v>0</v>
      </c>
      <c r="HB41" s="2">
        <v>0</v>
      </c>
      <c r="HC41" s="2">
        <f t="shared" si="41"/>
        <v>0</v>
      </c>
      <c r="HD41" s="2"/>
      <c r="HE41" s="2" t="s">
        <v>3</v>
      </c>
      <c r="HF41" s="2" t="s">
        <v>3</v>
      </c>
      <c r="HG41" s="2"/>
      <c r="HH41" s="2"/>
      <c r="HI41" s="2"/>
      <c r="HJ41" s="2"/>
      <c r="HK41" s="2"/>
      <c r="HL41" s="2"/>
      <c r="HM41" s="2" t="s">
        <v>3</v>
      </c>
      <c r="HN41" s="2" t="s">
        <v>49</v>
      </c>
      <c r="HO41" s="2" t="s">
        <v>50</v>
      </c>
      <c r="HP41" s="2" t="s">
        <v>46</v>
      </c>
      <c r="HQ41" s="2" t="s">
        <v>46</v>
      </c>
      <c r="HR41" s="2"/>
      <c r="HS41" s="2">
        <v>0</v>
      </c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>
        <v>0</v>
      </c>
      <c r="IL41" s="2"/>
      <c r="IM41" s="2"/>
      <c r="IN41" s="2"/>
      <c r="IO41" s="2"/>
      <c r="IP41" s="2"/>
      <c r="IQ41" s="2"/>
      <c r="IR41" s="2"/>
      <c r="IS41" s="2"/>
      <c r="IT41" s="2"/>
      <c r="IU41" s="2"/>
    </row>
    <row r="42" spans="1:255" x14ac:dyDescent="0.2">
      <c r="A42" s="2">
        <v>18</v>
      </c>
      <c r="B42" s="2">
        <v>1</v>
      </c>
      <c r="C42" s="2">
        <v>48</v>
      </c>
      <c r="D42" s="2"/>
      <c r="E42" s="2" t="s">
        <v>97</v>
      </c>
      <c r="F42" s="2" t="s">
        <v>80</v>
      </c>
      <c r="G42" s="2" t="s">
        <v>81</v>
      </c>
      <c r="H42" s="2" t="s">
        <v>82</v>
      </c>
      <c r="I42" s="2">
        <f>I41*J42</f>
        <v>0.35</v>
      </c>
      <c r="J42" s="2">
        <v>0.67307692307692302</v>
      </c>
      <c r="K42" s="2">
        <v>0.67307689999999998</v>
      </c>
      <c r="L42" s="2"/>
      <c r="M42" s="2"/>
      <c r="N42" s="2"/>
      <c r="O42" s="2">
        <f t="shared" si="21"/>
        <v>7604.18</v>
      </c>
      <c r="P42" s="2">
        <f>ROUND(CQ42*I42,2)</f>
        <v>7604.18</v>
      </c>
      <c r="Q42" s="2">
        <f>ROUND(CR42*I42,2)</f>
        <v>0</v>
      </c>
      <c r="R42" s="2">
        <f>ROUND(CS42*I42,2)</f>
        <v>0</v>
      </c>
      <c r="S42" s="2">
        <f>ROUND(CT42*I42,2)</f>
        <v>0</v>
      </c>
      <c r="T42" s="2">
        <f t="shared" si="22"/>
        <v>0</v>
      </c>
      <c r="U42" s="2">
        <f>ROUND(CV42*I42,7)</f>
        <v>0</v>
      </c>
      <c r="V42" s="2">
        <f>ROUND(CW42*I42,7)</f>
        <v>0</v>
      </c>
      <c r="W42" s="2">
        <f t="shared" si="23"/>
        <v>0</v>
      </c>
      <c r="X42" s="2">
        <f t="shared" si="24"/>
        <v>0</v>
      </c>
      <c r="Y42" s="2">
        <f t="shared" si="25"/>
        <v>0</v>
      </c>
      <c r="Z42" s="2"/>
      <c r="AA42" s="2">
        <v>94298235</v>
      </c>
      <c r="AB42" s="2">
        <f t="shared" si="26"/>
        <v>14484.16</v>
      </c>
      <c r="AC42" s="2">
        <f>ROUND((ES42),6)</f>
        <v>14484.16</v>
      </c>
      <c r="AD42" s="2">
        <f>ROUND((((ET42)-(EU42))+AE42),6)</f>
        <v>0</v>
      </c>
      <c r="AE42" s="2">
        <f t="shared" ref="AE42:AF44" si="45">ROUND((EU42),6)</f>
        <v>0</v>
      </c>
      <c r="AF42" s="2">
        <f t="shared" si="45"/>
        <v>0</v>
      </c>
      <c r="AG42" s="2">
        <f t="shared" si="27"/>
        <v>0</v>
      </c>
      <c r="AH42" s="2">
        <f t="shared" ref="AH42:AI44" si="46">(EW42)</f>
        <v>0</v>
      </c>
      <c r="AI42" s="2">
        <f t="shared" si="46"/>
        <v>0</v>
      </c>
      <c r="AJ42" s="2">
        <f t="shared" si="28"/>
        <v>0</v>
      </c>
      <c r="AK42" s="2">
        <v>14484.16</v>
      </c>
      <c r="AL42" s="2">
        <v>14484.16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90</v>
      </c>
      <c r="AU42" s="2">
        <v>46</v>
      </c>
      <c r="AV42" s="2">
        <v>1</v>
      </c>
      <c r="AW42" s="2">
        <v>1</v>
      </c>
      <c r="AX42" s="2"/>
      <c r="AY42" s="2"/>
      <c r="AZ42" s="2">
        <v>1</v>
      </c>
      <c r="BA42" s="2">
        <v>1</v>
      </c>
      <c r="BB42" s="2">
        <v>1</v>
      </c>
      <c r="BC42" s="2">
        <v>1.5</v>
      </c>
      <c r="BD42" s="2" t="s">
        <v>3</v>
      </c>
      <c r="BE42" s="2" t="s">
        <v>3</v>
      </c>
      <c r="BF42" s="2" t="s">
        <v>3</v>
      </c>
      <c r="BG42" s="2" t="s">
        <v>3</v>
      </c>
      <c r="BH42" s="2">
        <v>3</v>
      </c>
      <c r="BI42" s="2">
        <v>1</v>
      </c>
      <c r="BJ42" s="2" t="s">
        <v>83</v>
      </c>
      <c r="BK42" s="2"/>
      <c r="BL42" s="2"/>
      <c r="BM42" s="2">
        <v>58001</v>
      </c>
      <c r="BN42" s="2">
        <v>0</v>
      </c>
      <c r="BO42" s="2" t="s">
        <v>80</v>
      </c>
      <c r="BP42" s="2">
        <v>1</v>
      </c>
      <c r="BQ42" s="2">
        <v>6</v>
      </c>
      <c r="BR42" s="2">
        <v>0</v>
      </c>
      <c r="BS42" s="2">
        <v>1</v>
      </c>
      <c r="BT42" s="2">
        <v>1</v>
      </c>
      <c r="BU42" s="2">
        <v>1</v>
      </c>
      <c r="BV42" s="2">
        <v>1</v>
      </c>
      <c r="BW42" s="2">
        <v>1</v>
      </c>
      <c r="BX42" s="2">
        <v>1</v>
      </c>
      <c r="BY42" s="2" t="s">
        <v>3</v>
      </c>
      <c r="BZ42" s="2">
        <v>90</v>
      </c>
      <c r="CA42" s="2">
        <v>46</v>
      </c>
      <c r="CB42" s="2" t="s">
        <v>3</v>
      </c>
      <c r="CC42" s="2"/>
      <c r="CD42" s="2"/>
      <c r="CE42" s="2">
        <v>0</v>
      </c>
      <c r="CF42" s="2">
        <v>0</v>
      </c>
      <c r="CG42" s="2">
        <v>0</v>
      </c>
      <c r="CH42" s="2"/>
      <c r="CI42" s="2"/>
      <c r="CJ42" s="2"/>
      <c r="CK42" s="2"/>
      <c r="CL42" s="2"/>
      <c r="CM42" s="2">
        <v>0</v>
      </c>
      <c r="CN42" s="2" t="s">
        <v>3</v>
      </c>
      <c r="CO42" s="2">
        <v>0</v>
      </c>
      <c r="CP42" s="2">
        <f t="shared" si="29"/>
        <v>7604.18</v>
      </c>
      <c r="CQ42" s="2">
        <f>ROUND(AL42*BC42,2)</f>
        <v>21726.240000000002</v>
      </c>
      <c r="CR42" s="2">
        <f>ROUND(AM42*BB42,2)</f>
        <v>0</v>
      </c>
      <c r="CS42" s="2">
        <f>ROUND(AN42*BS42,2)</f>
        <v>0</v>
      </c>
      <c r="CT42" s="2">
        <f>ROUND(AO42*BA42,2)</f>
        <v>0</v>
      </c>
      <c r="CU42" s="2">
        <f t="shared" si="30"/>
        <v>0</v>
      </c>
      <c r="CV42" s="2">
        <f t="shared" ref="CV42:CW44" si="47">AH42</f>
        <v>0</v>
      </c>
      <c r="CW42" s="2">
        <f t="shared" si="47"/>
        <v>0</v>
      </c>
      <c r="CX42" s="2">
        <f t="shared" si="31"/>
        <v>0</v>
      </c>
      <c r="CY42" s="2">
        <f t="shared" si="32"/>
        <v>0</v>
      </c>
      <c r="CZ42" s="2">
        <f t="shared" si="33"/>
        <v>0</v>
      </c>
      <c r="DA42" s="2"/>
      <c r="DB42" s="2"/>
      <c r="DC42" s="2" t="s">
        <v>3</v>
      </c>
      <c r="DD42" s="2" t="s">
        <v>3</v>
      </c>
      <c r="DE42" s="2" t="s">
        <v>3</v>
      </c>
      <c r="DF42" s="2" t="s">
        <v>3</v>
      </c>
      <c r="DG42" s="2" t="s">
        <v>3</v>
      </c>
      <c r="DH42" s="2" t="s">
        <v>3</v>
      </c>
      <c r="DI42" s="2" t="s">
        <v>3</v>
      </c>
      <c r="DJ42" s="2" t="s">
        <v>3</v>
      </c>
      <c r="DK42" s="2" t="s">
        <v>3</v>
      </c>
      <c r="DL42" s="2" t="s">
        <v>3</v>
      </c>
      <c r="DM42" s="2" t="s">
        <v>3</v>
      </c>
      <c r="DN42" s="2">
        <v>0</v>
      </c>
      <c r="DO42" s="2">
        <v>0</v>
      </c>
      <c r="DP42" s="2">
        <v>1</v>
      </c>
      <c r="DQ42" s="2">
        <v>1</v>
      </c>
      <c r="DR42" s="2"/>
      <c r="DS42" s="2"/>
      <c r="DT42" s="2"/>
      <c r="DU42" s="2">
        <v>1013</v>
      </c>
      <c r="DV42" s="2" t="s">
        <v>82</v>
      </c>
      <c r="DW42" s="2" t="s">
        <v>82</v>
      </c>
      <c r="DX42" s="2">
        <v>1</v>
      </c>
      <c r="DY42" s="2"/>
      <c r="DZ42" s="2" t="s">
        <v>3</v>
      </c>
      <c r="EA42" s="2" t="s">
        <v>3</v>
      </c>
      <c r="EB42" s="2" t="s">
        <v>3</v>
      </c>
      <c r="EC42" s="2" t="s">
        <v>3</v>
      </c>
      <c r="ED42" s="2"/>
      <c r="EE42" s="2">
        <v>89977072</v>
      </c>
      <c r="EF42" s="2">
        <v>6</v>
      </c>
      <c r="EG42" s="2" t="s">
        <v>22</v>
      </c>
      <c r="EH42" s="2">
        <v>92</v>
      </c>
      <c r="EI42" s="2" t="s">
        <v>64</v>
      </c>
      <c r="EJ42" s="2">
        <v>1</v>
      </c>
      <c r="EK42" s="2">
        <v>58001</v>
      </c>
      <c r="EL42" s="2" t="s">
        <v>64</v>
      </c>
      <c r="EM42" s="2" t="s">
        <v>65</v>
      </c>
      <c r="EN42" s="2"/>
      <c r="EO42" s="2" t="s">
        <v>3</v>
      </c>
      <c r="EP42" s="2"/>
      <c r="EQ42" s="2">
        <v>0</v>
      </c>
      <c r="ER42" s="2">
        <v>14484.16</v>
      </c>
      <c r="ES42" s="2">
        <v>14484.16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>
        <v>0</v>
      </c>
      <c r="FR42" s="2">
        <v>0</v>
      </c>
      <c r="FS42" s="2">
        <v>0</v>
      </c>
      <c r="FT42" s="2"/>
      <c r="FU42" s="2"/>
      <c r="FV42" s="2"/>
      <c r="FW42" s="2"/>
      <c r="FX42" s="2">
        <v>90</v>
      </c>
      <c r="FY42" s="2">
        <v>46</v>
      </c>
      <c r="FZ42" s="2"/>
      <c r="GA42" s="2" t="s">
        <v>3</v>
      </c>
      <c r="GB42" s="2"/>
      <c r="GC42" s="2"/>
      <c r="GD42" s="2">
        <v>1</v>
      </c>
      <c r="GE42" s="2"/>
      <c r="GF42" s="2">
        <v>-541549127</v>
      </c>
      <c r="GG42" s="2">
        <v>2</v>
      </c>
      <c r="GH42" s="2">
        <v>1</v>
      </c>
      <c r="GI42" s="2">
        <v>2</v>
      </c>
      <c r="GJ42" s="2">
        <v>0</v>
      </c>
      <c r="GK42" s="2">
        <v>0</v>
      </c>
      <c r="GL42" s="2">
        <f t="shared" si="34"/>
        <v>0</v>
      </c>
      <c r="GM42" s="2">
        <f t="shared" si="35"/>
        <v>7604.18</v>
      </c>
      <c r="GN42" s="2">
        <f t="shared" si="36"/>
        <v>7604.18</v>
      </c>
      <c r="GO42" s="2">
        <f t="shared" si="37"/>
        <v>0</v>
      </c>
      <c r="GP42" s="2">
        <f t="shared" si="38"/>
        <v>0</v>
      </c>
      <c r="GQ42" s="2"/>
      <c r="GR42" s="2">
        <v>0</v>
      </c>
      <c r="GS42" s="2">
        <v>3</v>
      </c>
      <c r="GT42" s="2">
        <v>0</v>
      </c>
      <c r="GU42" s="2" t="s">
        <v>3</v>
      </c>
      <c r="GV42" s="2">
        <f t="shared" si="39"/>
        <v>0</v>
      </c>
      <c r="GW42" s="2">
        <v>1</v>
      </c>
      <c r="GX42" s="2">
        <f t="shared" si="40"/>
        <v>0</v>
      </c>
      <c r="GY42" s="2"/>
      <c r="GZ42" s="2"/>
      <c r="HA42" s="2">
        <v>0</v>
      </c>
      <c r="HB42" s="2">
        <v>0</v>
      </c>
      <c r="HC42" s="2">
        <f t="shared" si="41"/>
        <v>0</v>
      </c>
      <c r="HD42" s="2"/>
      <c r="HE42" s="2" t="s">
        <v>3</v>
      </c>
      <c r="HF42" s="2" t="s">
        <v>3</v>
      </c>
      <c r="HG42" s="2"/>
      <c r="HH42" s="2"/>
      <c r="HI42" s="2"/>
      <c r="HJ42" s="2"/>
      <c r="HK42" s="2"/>
      <c r="HL42" s="2"/>
      <c r="HM42" s="2" t="s">
        <v>3</v>
      </c>
      <c r="HN42" s="2" t="s">
        <v>66</v>
      </c>
      <c r="HO42" s="2" t="s">
        <v>67</v>
      </c>
      <c r="HP42" s="2" t="s">
        <v>68</v>
      </c>
      <c r="HQ42" s="2" t="s">
        <v>68</v>
      </c>
      <c r="HR42" s="2"/>
      <c r="HS42" s="2">
        <v>0</v>
      </c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>
        <v>0</v>
      </c>
      <c r="IL42" s="2"/>
      <c r="IM42" s="2"/>
      <c r="IN42" s="2"/>
      <c r="IO42" s="2"/>
      <c r="IP42" s="2"/>
      <c r="IQ42" s="2"/>
      <c r="IR42" s="2"/>
      <c r="IS42" s="2"/>
      <c r="IT42" s="2"/>
      <c r="IU42" s="2"/>
    </row>
    <row r="43" spans="1:255" x14ac:dyDescent="0.2">
      <c r="A43" s="2">
        <v>18</v>
      </c>
      <c r="B43" s="2">
        <v>1</v>
      </c>
      <c r="C43" s="2">
        <v>47</v>
      </c>
      <c r="D43" s="2"/>
      <c r="E43" s="2" t="s">
        <v>98</v>
      </c>
      <c r="F43" s="2" t="s">
        <v>85</v>
      </c>
      <c r="G43" s="2" t="s">
        <v>86</v>
      </c>
      <c r="H43" s="2" t="s">
        <v>87</v>
      </c>
      <c r="I43" s="2">
        <f>I41*J43</f>
        <v>104</v>
      </c>
      <c r="J43" s="2">
        <v>200</v>
      </c>
      <c r="K43" s="2">
        <v>200</v>
      </c>
      <c r="L43" s="2"/>
      <c r="M43" s="2"/>
      <c r="N43" s="2"/>
      <c r="O43" s="2">
        <f t="shared" si="21"/>
        <v>3904.16</v>
      </c>
      <c r="P43" s="2">
        <f>ROUND(CQ43*I43,2)</f>
        <v>3904.16</v>
      </c>
      <c r="Q43" s="2">
        <f>ROUND(CR43*I43,2)</f>
        <v>0</v>
      </c>
      <c r="R43" s="2">
        <f>ROUND(CS43*I43,2)</f>
        <v>0</v>
      </c>
      <c r="S43" s="2">
        <f>ROUND(CT43*I43,2)</f>
        <v>0</v>
      </c>
      <c r="T43" s="2">
        <f t="shared" si="22"/>
        <v>0</v>
      </c>
      <c r="U43" s="2">
        <f>ROUND(CV43*I43,7)</f>
        <v>0</v>
      </c>
      <c r="V43" s="2">
        <f>ROUND(CW43*I43,7)</f>
        <v>0</v>
      </c>
      <c r="W43" s="2">
        <f t="shared" si="23"/>
        <v>0</v>
      </c>
      <c r="X43" s="2">
        <f t="shared" si="24"/>
        <v>0</v>
      </c>
      <c r="Y43" s="2">
        <f t="shared" si="25"/>
        <v>0</v>
      </c>
      <c r="Z43" s="2"/>
      <c r="AA43" s="2">
        <v>94298235</v>
      </c>
      <c r="AB43" s="2">
        <f t="shared" si="26"/>
        <v>44.16</v>
      </c>
      <c r="AC43" s="2">
        <f>ROUND((ES43),6)</f>
        <v>44.16</v>
      </c>
      <c r="AD43" s="2">
        <f>ROUND((((ET43)-(EU43))+AE43),6)</f>
        <v>0</v>
      </c>
      <c r="AE43" s="2">
        <f t="shared" si="45"/>
        <v>0</v>
      </c>
      <c r="AF43" s="2">
        <f t="shared" si="45"/>
        <v>0</v>
      </c>
      <c r="AG43" s="2">
        <f t="shared" si="27"/>
        <v>0</v>
      </c>
      <c r="AH43" s="2">
        <f t="shared" si="46"/>
        <v>0</v>
      </c>
      <c r="AI43" s="2">
        <f t="shared" si="46"/>
        <v>0</v>
      </c>
      <c r="AJ43" s="2">
        <f t="shared" si="28"/>
        <v>0</v>
      </c>
      <c r="AK43" s="2">
        <v>44.16</v>
      </c>
      <c r="AL43" s="2">
        <v>44.16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90</v>
      </c>
      <c r="AU43" s="2">
        <v>46</v>
      </c>
      <c r="AV43" s="2">
        <v>1</v>
      </c>
      <c r="AW43" s="2">
        <v>1</v>
      </c>
      <c r="AX43" s="2"/>
      <c r="AY43" s="2"/>
      <c r="AZ43" s="2">
        <v>1</v>
      </c>
      <c r="BA43" s="2">
        <v>1</v>
      </c>
      <c r="BB43" s="2">
        <v>1</v>
      </c>
      <c r="BC43" s="2">
        <v>0.85</v>
      </c>
      <c r="BD43" s="2" t="s">
        <v>3</v>
      </c>
      <c r="BE43" s="2" t="s">
        <v>3</v>
      </c>
      <c r="BF43" s="2" t="s">
        <v>3</v>
      </c>
      <c r="BG43" s="2" t="s">
        <v>3</v>
      </c>
      <c r="BH43" s="2">
        <v>3</v>
      </c>
      <c r="BI43" s="2">
        <v>1</v>
      </c>
      <c r="BJ43" s="2" t="s">
        <v>88</v>
      </c>
      <c r="BK43" s="2"/>
      <c r="BL43" s="2"/>
      <c r="BM43" s="2">
        <v>58001</v>
      </c>
      <c r="BN43" s="2">
        <v>0</v>
      </c>
      <c r="BO43" s="2" t="s">
        <v>85</v>
      </c>
      <c r="BP43" s="2">
        <v>1</v>
      </c>
      <c r="BQ43" s="2">
        <v>6</v>
      </c>
      <c r="BR43" s="2">
        <v>0</v>
      </c>
      <c r="BS43" s="2">
        <v>1</v>
      </c>
      <c r="BT43" s="2">
        <v>1</v>
      </c>
      <c r="BU43" s="2">
        <v>1</v>
      </c>
      <c r="BV43" s="2">
        <v>1</v>
      </c>
      <c r="BW43" s="2">
        <v>1</v>
      </c>
      <c r="BX43" s="2">
        <v>1</v>
      </c>
      <c r="BY43" s="2" t="s">
        <v>3</v>
      </c>
      <c r="BZ43" s="2">
        <v>90</v>
      </c>
      <c r="CA43" s="2">
        <v>46</v>
      </c>
      <c r="CB43" s="2" t="s">
        <v>3</v>
      </c>
      <c r="CC43" s="2"/>
      <c r="CD43" s="2"/>
      <c r="CE43" s="2">
        <v>0</v>
      </c>
      <c r="CF43" s="2">
        <v>0</v>
      </c>
      <c r="CG43" s="2">
        <v>0</v>
      </c>
      <c r="CH43" s="2"/>
      <c r="CI43" s="2"/>
      <c r="CJ43" s="2"/>
      <c r="CK43" s="2"/>
      <c r="CL43" s="2"/>
      <c r="CM43" s="2">
        <v>0</v>
      </c>
      <c r="CN43" s="2" t="s">
        <v>3</v>
      </c>
      <c r="CO43" s="2">
        <v>0</v>
      </c>
      <c r="CP43" s="2">
        <f t="shared" si="29"/>
        <v>3904.16</v>
      </c>
      <c r="CQ43" s="2">
        <f>ROUND(AL43*BC43,2)</f>
        <v>37.54</v>
      </c>
      <c r="CR43" s="2">
        <f>ROUND(AM43*BB43,2)</f>
        <v>0</v>
      </c>
      <c r="CS43" s="2">
        <f>ROUND(AN43*BS43,2)</f>
        <v>0</v>
      </c>
      <c r="CT43" s="2">
        <f>ROUND(AO43*BA43,2)</f>
        <v>0</v>
      </c>
      <c r="CU43" s="2">
        <f t="shared" si="30"/>
        <v>0</v>
      </c>
      <c r="CV43" s="2">
        <f t="shared" si="47"/>
        <v>0</v>
      </c>
      <c r="CW43" s="2">
        <f t="shared" si="47"/>
        <v>0</v>
      </c>
      <c r="CX43" s="2">
        <f t="shared" si="31"/>
        <v>0</v>
      </c>
      <c r="CY43" s="2">
        <f t="shared" si="32"/>
        <v>0</v>
      </c>
      <c r="CZ43" s="2">
        <f t="shared" si="33"/>
        <v>0</v>
      </c>
      <c r="DA43" s="2"/>
      <c r="DB43" s="2"/>
      <c r="DC43" s="2" t="s">
        <v>3</v>
      </c>
      <c r="DD43" s="2" t="s">
        <v>3</v>
      </c>
      <c r="DE43" s="2" t="s">
        <v>3</v>
      </c>
      <c r="DF43" s="2" t="s">
        <v>3</v>
      </c>
      <c r="DG43" s="2" t="s">
        <v>3</v>
      </c>
      <c r="DH43" s="2" t="s">
        <v>3</v>
      </c>
      <c r="DI43" s="2" t="s">
        <v>3</v>
      </c>
      <c r="DJ43" s="2" t="s">
        <v>3</v>
      </c>
      <c r="DK43" s="2" t="s">
        <v>3</v>
      </c>
      <c r="DL43" s="2" t="s">
        <v>3</v>
      </c>
      <c r="DM43" s="2" t="s">
        <v>3</v>
      </c>
      <c r="DN43" s="2">
        <v>0</v>
      </c>
      <c r="DO43" s="2">
        <v>0</v>
      </c>
      <c r="DP43" s="2">
        <v>1</v>
      </c>
      <c r="DQ43" s="2">
        <v>1</v>
      </c>
      <c r="DR43" s="2"/>
      <c r="DS43" s="2"/>
      <c r="DT43" s="2"/>
      <c r="DU43" s="2">
        <v>1003</v>
      </c>
      <c r="DV43" s="2" t="s">
        <v>87</v>
      </c>
      <c r="DW43" s="2" t="s">
        <v>87</v>
      </c>
      <c r="DX43" s="2">
        <v>1</v>
      </c>
      <c r="DY43" s="2"/>
      <c r="DZ43" s="2" t="s">
        <v>3</v>
      </c>
      <c r="EA43" s="2" t="s">
        <v>3</v>
      </c>
      <c r="EB43" s="2" t="s">
        <v>3</v>
      </c>
      <c r="EC43" s="2" t="s">
        <v>3</v>
      </c>
      <c r="ED43" s="2"/>
      <c r="EE43" s="2">
        <v>89977072</v>
      </c>
      <c r="EF43" s="2">
        <v>6</v>
      </c>
      <c r="EG43" s="2" t="s">
        <v>22</v>
      </c>
      <c r="EH43" s="2">
        <v>92</v>
      </c>
      <c r="EI43" s="2" t="s">
        <v>64</v>
      </c>
      <c r="EJ43" s="2">
        <v>1</v>
      </c>
      <c r="EK43" s="2">
        <v>58001</v>
      </c>
      <c r="EL43" s="2" t="s">
        <v>64</v>
      </c>
      <c r="EM43" s="2" t="s">
        <v>65</v>
      </c>
      <c r="EN43" s="2"/>
      <c r="EO43" s="2" t="s">
        <v>3</v>
      </c>
      <c r="EP43" s="2"/>
      <c r="EQ43" s="2">
        <v>0</v>
      </c>
      <c r="ER43" s="2">
        <v>44.16</v>
      </c>
      <c r="ES43" s="2">
        <v>44.16</v>
      </c>
      <c r="ET43" s="2">
        <v>0</v>
      </c>
      <c r="EU43" s="2">
        <v>0</v>
      </c>
      <c r="EV43" s="2">
        <v>0</v>
      </c>
      <c r="EW43" s="2">
        <v>0</v>
      </c>
      <c r="EX43" s="2">
        <v>0</v>
      </c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>
        <v>0</v>
      </c>
      <c r="FR43" s="2">
        <v>0</v>
      </c>
      <c r="FS43" s="2">
        <v>0</v>
      </c>
      <c r="FT43" s="2"/>
      <c r="FU43" s="2"/>
      <c r="FV43" s="2"/>
      <c r="FW43" s="2"/>
      <c r="FX43" s="2">
        <v>90</v>
      </c>
      <c r="FY43" s="2">
        <v>46</v>
      </c>
      <c r="FZ43" s="2"/>
      <c r="GA43" s="2" t="s">
        <v>3</v>
      </c>
      <c r="GB43" s="2"/>
      <c r="GC43" s="2"/>
      <c r="GD43" s="2">
        <v>1</v>
      </c>
      <c r="GE43" s="2"/>
      <c r="GF43" s="2">
        <v>1951047089</v>
      </c>
      <c r="GG43" s="2">
        <v>2</v>
      </c>
      <c r="GH43" s="2">
        <v>1</v>
      </c>
      <c r="GI43" s="2">
        <v>2</v>
      </c>
      <c r="GJ43" s="2">
        <v>0</v>
      </c>
      <c r="GK43" s="2">
        <v>0</v>
      </c>
      <c r="GL43" s="2">
        <f t="shared" si="34"/>
        <v>0</v>
      </c>
      <c r="GM43" s="2">
        <f t="shared" si="35"/>
        <v>3904.16</v>
      </c>
      <c r="GN43" s="2">
        <f t="shared" si="36"/>
        <v>3904.16</v>
      </c>
      <c r="GO43" s="2">
        <f t="shared" si="37"/>
        <v>0</v>
      </c>
      <c r="GP43" s="2">
        <f t="shared" si="38"/>
        <v>0</v>
      </c>
      <c r="GQ43" s="2"/>
      <c r="GR43" s="2">
        <v>0</v>
      </c>
      <c r="GS43" s="2">
        <v>3</v>
      </c>
      <c r="GT43" s="2">
        <v>0</v>
      </c>
      <c r="GU43" s="2" t="s">
        <v>3</v>
      </c>
      <c r="GV43" s="2">
        <f t="shared" si="39"/>
        <v>0</v>
      </c>
      <c r="GW43" s="2">
        <v>1</v>
      </c>
      <c r="GX43" s="2">
        <f t="shared" si="40"/>
        <v>0</v>
      </c>
      <c r="GY43" s="2"/>
      <c r="GZ43" s="2"/>
      <c r="HA43" s="2">
        <v>0</v>
      </c>
      <c r="HB43" s="2">
        <v>0</v>
      </c>
      <c r="HC43" s="2">
        <f t="shared" si="41"/>
        <v>0</v>
      </c>
      <c r="HD43" s="2"/>
      <c r="HE43" s="2" t="s">
        <v>3</v>
      </c>
      <c r="HF43" s="2" t="s">
        <v>3</v>
      </c>
      <c r="HG43" s="2"/>
      <c r="HH43" s="2"/>
      <c r="HI43" s="2"/>
      <c r="HJ43" s="2"/>
      <c r="HK43" s="2"/>
      <c r="HL43" s="2"/>
      <c r="HM43" s="2" t="s">
        <v>3</v>
      </c>
      <c r="HN43" s="2" t="s">
        <v>66</v>
      </c>
      <c r="HO43" s="2" t="s">
        <v>67</v>
      </c>
      <c r="HP43" s="2" t="s">
        <v>68</v>
      </c>
      <c r="HQ43" s="2" t="s">
        <v>68</v>
      </c>
      <c r="HR43" s="2"/>
      <c r="HS43" s="2">
        <v>0</v>
      </c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>
        <v>0</v>
      </c>
      <c r="IL43" s="2"/>
      <c r="IM43" s="2"/>
      <c r="IN43" s="2"/>
      <c r="IO43" s="2"/>
      <c r="IP43" s="2"/>
      <c r="IQ43" s="2"/>
      <c r="IR43" s="2"/>
      <c r="IS43" s="2"/>
      <c r="IT43" s="2"/>
      <c r="IU43" s="2"/>
    </row>
    <row r="44" spans="1:255" x14ac:dyDescent="0.2">
      <c r="A44" s="2">
        <v>18</v>
      </c>
      <c r="B44" s="2">
        <v>1</v>
      </c>
      <c r="C44" s="2">
        <v>51</v>
      </c>
      <c r="D44" s="2"/>
      <c r="E44" s="2" t="s">
        <v>99</v>
      </c>
      <c r="F44" s="2" t="s">
        <v>90</v>
      </c>
      <c r="G44" s="2" t="s">
        <v>91</v>
      </c>
      <c r="H44" s="2" t="s">
        <v>87</v>
      </c>
      <c r="I44" s="2">
        <f>I41*J44</f>
        <v>52.52</v>
      </c>
      <c r="J44" s="2">
        <v>101</v>
      </c>
      <c r="K44" s="2">
        <v>101</v>
      </c>
      <c r="L44" s="2"/>
      <c r="M44" s="2"/>
      <c r="N44" s="2"/>
      <c r="O44" s="2">
        <f t="shared" si="21"/>
        <v>267189.71999999997</v>
      </c>
      <c r="P44" s="2">
        <f>ROUND(CQ44*I44,2)</f>
        <v>267189.71999999997</v>
      </c>
      <c r="Q44" s="2">
        <f>ROUND(CR44*I44,2)</f>
        <v>0</v>
      </c>
      <c r="R44" s="2">
        <f>ROUND(CS44*I44,2)</f>
        <v>0</v>
      </c>
      <c r="S44" s="2">
        <f>ROUND(CT44*I44,2)</f>
        <v>0</v>
      </c>
      <c r="T44" s="2">
        <f t="shared" si="22"/>
        <v>0</v>
      </c>
      <c r="U44" s="2">
        <f>ROUND(CV44*I44,7)</f>
        <v>0</v>
      </c>
      <c r="V44" s="2">
        <f>ROUND(CW44*I44,7)</f>
        <v>0</v>
      </c>
      <c r="W44" s="2">
        <f t="shared" si="23"/>
        <v>0</v>
      </c>
      <c r="X44" s="2">
        <f t="shared" si="24"/>
        <v>0</v>
      </c>
      <c r="Y44" s="2">
        <f t="shared" si="25"/>
        <v>0</v>
      </c>
      <c r="Z44" s="2"/>
      <c r="AA44" s="2">
        <v>94298235</v>
      </c>
      <c r="AB44" s="2">
        <f t="shared" si="26"/>
        <v>4624.8999999999996</v>
      </c>
      <c r="AC44" s="2">
        <f>ROUND((ES44),6)</f>
        <v>4624.8999999999996</v>
      </c>
      <c r="AD44" s="2">
        <f>ROUND((((ET44)-(EU44))+AE44),6)</f>
        <v>0</v>
      </c>
      <c r="AE44" s="2">
        <f t="shared" si="45"/>
        <v>0</v>
      </c>
      <c r="AF44" s="2">
        <f t="shared" si="45"/>
        <v>0</v>
      </c>
      <c r="AG44" s="2">
        <f t="shared" si="27"/>
        <v>0</v>
      </c>
      <c r="AH44" s="2">
        <f t="shared" si="46"/>
        <v>0</v>
      </c>
      <c r="AI44" s="2">
        <f t="shared" si="46"/>
        <v>0</v>
      </c>
      <c r="AJ44" s="2">
        <f t="shared" si="28"/>
        <v>0</v>
      </c>
      <c r="AK44" s="2">
        <v>4624.8999999999996</v>
      </c>
      <c r="AL44" s="2">
        <v>4624.8999999999996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90</v>
      </c>
      <c r="AU44" s="2">
        <v>46</v>
      </c>
      <c r="AV44" s="2">
        <v>1</v>
      </c>
      <c r="AW44" s="2">
        <v>1</v>
      </c>
      <c r="AX44" s="2"/>
      <c r="AY44" s="2"/>
      <c r="AZ44" s="2">
        <v>1</v>
      </c>
      <c r="BA44" s="2">
        <v>1</v>
      </c>
      <c r="BB44" s="2">
        <v>1</v>
      </c>
      <c r="BC44" s="2">
        <v>1.1000000000000001</v>
      </c>
      <c r="BD44" s="2" t="s">
        <v>3</v>
      </c>
      <c r="BE44" s="2" t="s">
        <v>3</v>
      </c>
      <c r="BF44" s="2" t="s">
        <v>3</v>
      </c>
      <c r="BG44" s="2" t="s">
        <v>3</v>
      </c>
      <c r="BH44" s="2">
        <v>3</v>
      </c>
      <c r="BI44" s="2">
        <v>1</v>
      </c>
      <c r="BJ44" s="2" t="s">
        <v>92</v>
      </c>
      <c r="BK44" s="2"/>
      <c r="BL44" s="2"/>
      <c r="BM44" s="2">
        <v>58001</v>
      </c>
      <c r="BN44" s="2">
        <v>0</v>
      </c>
      <c r="BO44" s="2" t="s">
        <v>90</v>
      </c>
      <c r="BP44" s="2">
        <v>1</v>
      </c>
      <c r="BQ44" s="2">
        <v>6</v>
      </c>
      <c r="BR44" s="2">
        <v>0</v>
      </c>
      <c r="BS44" s="2">
        <v>1</v>
      </c>
      <c r="BT44" s="2">
        <v>1</v>
      </c>
      <c r="BU44" s="2">
        <v>1</v>
      </c>
      <c r="BV44" s="2">
        <v>1</v>
      </c>
      <c r="BW44" s="2">
        <v>1</v>
      </c>
      <c r="BX44" s="2">
        <v>1</v>
      </c>
      <c r="BY44" s="2" t="s">
        <v>3</v>
      </c>
      <c r="BZ44" s="2">
        <v>90</v>
      </c>
      <c r="CA44" s="2">
        <v>46</v>
      </c>
      <c r="CB44" s="2" t="s">
        <v>3</v>
      </c>
      <c r="CC44" s="2"/>
      <c r="CD44" s="2"/>
      <c r="CE44" s="2">
        <v>0</v>
      </c>
      <c r="CF44" s="2">
        <v>0</v>
      </c>
      <c r="CG44" s="2">
        <v>0</v>
      </c>
      <c r="CH44" s="2"/>
      <c r="CI44" s="2"/>
      <c r="CJ44" s="2"/>
      <c r="CK44" s="2"/>
      <c r="CL44" s="2"/>
      <c r="CM44" s="2">
        <v>0</v>
      </c>
      <c r="CN44" s="2" t="s">
        <v>3</v>
      </c>
      <c r="CO44" s="2">
        <v>0</v>
      </c>
      <c r="CP44" s="2">
        <f t="shared" si="29"/>
        <v>267189.71999999997</v>
      </c>
      <c r="CQ44" s="2">
        <f>ROUND(AL44*BC44,2)</f>
        <v>5087.3900000000003</v>
      </c>
      <c r="CR44" s="2">
        <f>ROUND(AM44*BB44,2)</f>
        <v>0</v>
      </c>
      <c r="CS44" s="2">
        <f>ROUND(AN44*BS44,2)</f>
        <v>0</v>
      </c>
      <c r="CT44" s="2">
        <f>ROUND(AO44*BA44,2)</f>
        <v>0</v>
      </c>
      <c r="CU44" s="2">
        <f t="shared" si="30"/>
        <v>0</v>
      </c>
      <c r="CV44" s="2">
        <f t="shared" si="47"/>
        <v>0</v>
      </c>
      <c r="CW44" s="2">
        <f t="shared" si="47"/>
        <v>0</v>
      </c>
      <c r="CX44" s="2">
        <f t="shared" si="31"/>
        <v>0</v>
      </c>
      <c r="CY44" s="2">
        <f t="shared" si="32"/>
        <v>0</v>
      </c>
      <c r="CZ44" s="2">
        <f t="shared" si="33"/>
        <v>0</v>
      </c>
      <c r="DA44" s="2"/>
      <c r="DB44" s="2"/>
      <c r="DC44" s="2" t="s">
        <v>3</v>
      </c>
      <c r="DD44" s="2" t="s">
        <v>3</v>
      </c>
      <c r="DE44" s="2" t="s">
        <v>3</v>
      </c>
      <c r="DF44" s="2" t="s">
        <v>3</v>
      </c>
      <c r="DG44" s="2" t="s">
        <v>3</v>
      </c>
      <c r="DH44" s="2" t="s">
        <v>3</v>
      </c>
      <c r="DI44" s="2" t="s">
        <v>3</v>
      </c>
      <c r="DJ44" s="2" t="s">
        <v>3</v>
      </c>
      <c r="DK44" s="2" t="s">
        <v>3</v>
      </c>
      <c r="DL44" s="2" t="s">
        <v>3</v>
      </c>
      <c r="DM44" s="2" t="s">
        <v>3</v>
      </c>
      <c r="DN44" s="2">
        <v>0</v>
      </c>
      <c r="DO44" s="2">
        <v>0</v>
      </c>
      <c r="DP44" s="2">
        <v>1</v>
      </c>
      <c r="DQ44" s="2">
        <v>1</v>
      </c>
      <c r="DR44" s="2"/>
      <c r="DS44" s="2"/>
      <c r="DT44" s="2"/>
      <c r="DU44" s="2">
        <v>1003</v>
      </c>
      <c r="DV44" s="2" t="s">
        <v>87</v>
      </c>
      <c r="DW44" s="2" t="s">
        <v>87</v>
      </c>
      <c r="DX44" s="2">
        <v>1</v>
      </c>
      <c r="DY44" s="2"/>
      <c r="DZ44" s="2" t="s">
        <v>3</v>
      </c>
      <c r="EA44" s="2" t="s">
        <v>3</v>
      </c>
      <c r="EB44" s="2" t="s">
        <v>3</v>
      </c>
      <c r="EC44" s="2" t="s">
        <v>3</v>
      </c>
      <c r="ED44" s="2"/>
      <c r="EE44" s="2">
        <v>89977072</v>
      </c>
      <c r="EF44" s="2">
        <v>6</v>
      </c>
      <c r="EG44" s="2" t="s">
        <v>22</v>
      </c>
      <c r="EH44" s="2">
        <v>92</v>
      </c>
      <c r="EI44" s="2" t="s">
        <v>64</v>
      </c>
      <c r="EJ44" s="2">
        <v>1</v>
      </c>
      <c r="EK44" s="2">
        <v>58001</v>
      </c>
      <c r="EL44" s="2" t="s">
        <v>64</v>
      </c>
      <c r="EM44" s="2" t="s">
        <v>65</v>
      </c>
      <c r="EN44" s="2"/>
      <c r="EO44" s="2" t="s">
        <v>3</v>
      </c>
      <c r="EP44" s="2"/>
      <c r="EQ44" s="2">
        <v>0</v>
      </c>
      <c r="ER44" s="2">
        <v>4624.8999999999996</v>
      </c>
      <c r="ES44" s="2">
        <v>4624.8999999999996</v>
      </c>
      <c r="ET44" s="2">
        <v>0</v>
      </c>
      <c r="EU44" s="2">
        <v>0</v>
      </c>
      <c r="EV44" s="2">
        <v>0</v>
      </c>
      <c r="EW44" s="2">
        <v>0</v>
      </c>
      <c r="EX44" s="2">
        <v>0</v>
      </c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>
        <v>0</v>
      </c>
      <c r="FR44" s="2">
        <v>0</v>
      </c>
      <c r="FS44" s="2">
        <v>0</v>
      </c>
      <c r="FT44" s="2"/>
      <c r="FU44" s="2"/>
      <c r="FV44" s="2"/>
      <c r="FW44" s="2"/>
      <c r="FX44" s="2">
        <v>90</v>
      </c>
      <c r="FY44" s="2">
        <v>46</v>
      </c>
      <c r="FZ44" s="2"/>
      <c r="GA44" s="2" t="s">
        <v>3</v>
      </c>
      <c r="GB44" s="2"/>
      <c r="GC44" s="2"/>
      <c r="GD44" s="2">
        <v>1</v>
      </c>
      <c r="GE44" s="2"/>
      <c r="GF44" s="2">
        <v>1244494453</v>
      </c>
      <c r="GG44" s="2">
        <v>2</v>
      </c>
      <c r="GH44" s="2">
        <v>1</v>
      </c>
      <c r="GI44" s="2">
        <v>2</v>
      </c>
      <c r="GJ44" s="2">
        <v>0</v>
      </c>
      <c r="GK44" s="2">
        <v>0</v>
      </c>
      <c r="GL44" s="2">
        <f t="shared" si="34"/>
        <v>0</v>
      </c>
      <c r="GM44" s="2">
        <f t="shared" si="35"/>
        <v>267189.71999999997</v>
      </c>
      <c r="GN44" s="2">
        <f t="shared" si="36"/>
        <v>267189.71999999997</v>
      </c>
      <c r="GO44" s="2">
        <f t="shared" si="37"/>
        <v>0</v>
      </c>
      <c r="GP44" s="2">
        <f t="shared" si="38"/>
        <v>0</v>
      </c>
      <c r="GQ44" s="2"/>
      <c r="GR44" s="2">
        <v>0</v>
      </c>
      <c r="GS44" s="2">
        <v>3</v>
      </c>
      <c r="GT44" s="2">
        <v>0</v>
      </c>
      <c r="GU44" s="2" t="s">
        <v>3</v>
      </c>
      <c r="GV44" s="2">
        <f t="shared" si="39"/>
        <v>0</v>
      </c>
      <c r="GW44" s="2">
        <v>1</v>
      </c>
      <c r="GX44" s="2">
        <f t="shared" si="40"/>
        <v>0</v>
      </c>
      <c r="GY44" s="2"/>
      <c r="GZ44" s="2"/>
      <c r="HA44" s="2">
        <v>0</v>
      </c>
      <c r="HB44" s="2">
        <v>0</v>
      </c>
      <c r="HC44" s="2">
        <f t="shared" si="41"/>
        <v>0</v>
      </c>
      <c r="HD44" s="2"/>
      <c r="HE44" s="2" t="s">
        <v>3</v>
      </c>
      <c r="HF44" s="2" t="s">
        <v>3</v>
      </c>
      <c r="HG44" s="2"/>
      <c r="HH44" s="2"/>
      <c r="HI44" s="2"/>
      <c r="HJ44" s="2"/>
      <c r="HK44" s="2"/>
      <c r="HL44" s="2"/>
      <c r="HM44" s="2" t="s">
        <v>3</v>
      </c>
      <c r="HN44" s="2" t="s">
        <v>66</v>
      </c>
      <c r="HO44" s="2" t="s">
        <v>67</v>
      </c>
      <c r="HP44" s="2" t="s">
        <v>68</v>
      </c>
      <c r="HQ44" s="2" t="s">
        <v>68</v>
      </c>
      <c r="HR44" s="2"/>
      <c r="HS44" s="2">
        <v>0</v>
      </c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>
        <v>0</v>
      </c>
      <c r="IL44" s="2"/>
      <c r="IM44" s="2"/>
      <c r="IN44" s="2"/>
      <c r="IO44" s="2"/>
      <c r="IP44" s="2"/>
      <c r="IQ44" s="2"/>
      <c r="IR44" s="2"/>
      <c r="IS44" s="2"/>
      <c r="IT44" s="2"/>
      <c r="IU44" s="2"/>
    </row>
    <row r="45" spans="1:255" x14ac:dyDescent="0.2">
      <c r="A45" s="2">
        <v>17</v>
      </c>
      <c r="B45" s="2">
        <v>1</v>
      </c>
      <c r="C45" s="2">
        <f>ROW(SmtRes!A60)</f>
        <v>60</v>
      </c>
      <c r="D45" s="2">
        <f>ROW(EtalonRes!A57)</f>
        <v>57</v>
      </c>
      <c r="E45" s="2" t="s">
        <v>100</v>
      </c>
      <c r="F45" s="2" t="s">
        <v>101</v>
      </c>
      <c r="G45" s="2" t="s">
        <v>102</v>
      </c>
      <c r="H45" s="2" t="s">
        <v>20</v>
      </c>
      <c r="I45" s="2">
        <f>ROUND(163/100+52*0.2/100,7)</f>
        <v>1.734</v>
      </c>
      <c r="J45" s="2">
        <v>0</v>
      </c>
      <c r="K45" s="2">
        <f>ROUND(163/100+52*0.2/100,7)</f>
        <v>1.734</v>
      </c>
      <c r="L45" s="2"/>
      <c r="M45" s="2"/>
      <c r="N45" s="2"/>
      <c r="O45" s="2">
        <f t="shared" si="21"/>
        <v>16389.84</v>
      </c>
      <c r="P45" s="2">
        <f>SUMIF(SmtRes!AQ52:'SmtRes'!AQ60,"=1",SmtRes!DF52:'SmtRes'!DF60)</f>
        <v>305.92</v>
      </c>
      <c r="Q45" s="2">
        <f>SUMIF(SmtRes!AQ52:'SmtRes'!AQ60,"=1",SmtRes!DG52:'SmtRes'!DG60)</f>
        <v>364.96000000000004</v>
      </c>
      <c r="R45" s="2">
        <f>SUMIF(SmtRes!AQ52:'SmtRes'!AQ60,"=1",SmtRes!DH52:'SmtRes'!DH60)</f>
        <v>101.42</v>
      </c>
      <c r="S45" s="2">
        <f>SUMIF(SmtRes!AQ52:'SmtRes'!AQ60,"=1",SmtRes!DI52:'SmtRes'!DI60)</f>
        <v>15617.54</v>
      </c>
      <c r="T45" s="2">
        <f t="shared" si="22"/>
        <v>0</v>
      </c>
      <c r="U45" s="2">
        <f>SUMIF(SmtRes!AQ52:'SmtRes'!AQ60,"=1",SmtRes!CV52:'SmtRes'!CV60)</f>
        <v>23.755800000000001</v>
      </c>
      <c r="V45" s="2">
        <f>SUMIF(SmtRes!AQ52:'SmtRes'!AQ60,"=1",SmtRes!CW52:'SmtRes'!CW60)</f>
        <v>0.13872000000000001</v>
      </c>
      <c r="W45" s="2">
        <f t="shared" si="23"/>
        <v>0</v>
      </c>
      <c r="X45" s="2">
        <f t="shared" si="24"/>
        <v>14147.06</v>
      </c>
      <c r="Y45" s="2">
        <f t="shared" si="25"/>
        <v>7230.72</v>
      </c>
      <c r="Z45" s="2"/>
      <c r="AA45" s="2">
        <v>94298235</v>
      </c>
      <c r="AB45" s="2">
        <f t="shared" si="26"/>
        <v>9299.2819999999992</v>
      </c>
      <c r="AC45" s="2">
        <f>ROUND((SUM(SmtRes!BQ52:'SmtRes'!BQ60)),6)</f>
        <v>119.96510000000001</v>
      </c>
      <c r="AD45" s="2">
        <f>ROUND((((SUM(SmtRes!BR52:'SmtRes'!BR60))-(SUM(SmtRes!BS52:'SmtRes'!BS60)))+AE45),6)</f>
        <v>172.66290000000001</v>
      </c>
      <c r="AE45" s="2">
        <f>ROUND((SUM(SmtRes!BS52:'SmtRes'!BS60)),6)</f>
        <v>58.486400000000003</v>
      </c>
      <c r="AF45" s="2">
        <f>ROUND((SUM(SmtRes!BT52:'SmtRes'!BT60)),6)</f>
        <v>9006.6540000000005</v>
      </c>
      <c r="AG45" s="2">
        <f t="shared" si="27"/>
        <v>0</v>
      </c>
      <c r="AH45" s="2">
        <f>(SUM(SmtRes!BU52:'SmtRes'!BU60))</f>
        <v>13.7</v>
      </c>
      <c r="AI45" s="2">
        <f>(SUM(SmtRes!BV52:'SmtRes'!BV60))</f>
        <v>0.08</v>
      </c>
      <c r="AJ45" s="2">
        <f t="shared" si="28"/>
        <v>0</v>
      </c>
      <c r="AK45" s="2">
        <v>9357.768399999999</v>
      </c>
      <c r="AL45" s="2">
        <v>119.96510000000001</v>
      </c>
      <c r="AM45" s="2">
        <v>172.66289999999998</v>
      </c>
      <c r="AN45" s="2">
        <v>58.486400000000003</v>
      </c>
      <c r="AO45" s="2">
        <v>9006.6539999999986</v>
      </c>
      <c r="AP45" s="2">
        <v>0</v>
      </c>
      <c r="AQ45" s="2">
        <v>13.7</v>
      </c>
      <c r="AR45" s="2">
        <v>0.08</v>
      </c>
      <c r="AS45" s="2">
        <v>0</v>
      </c>
      <c r="AT45" s="2">
        <v>90</v>
      </c>
      <c r="AU45" s="2">
        <v>46</v>
      </c>
      <c r="AV45" s="2">
        <v>1</v>
      </c>
      <c r="AW45" s="2">
        <v>1</v>
      </c>
      <c r="AX45" s="2"/>
      <c r="AY45" s="2"/>
      <c r="AZ45" s="2">
        <v>1</v>
      </c>
      <c r="BA45" s="2">
        <v>1</v>
      </c>
      <c r="BB45" s="2">
        <v>1</v>
      </c>
      <c r="BC45" s="2">
        <v>1</v>
      </c>
      <c r="BD45" s="2" t="s">
        <v>3</v>
      </c>
      <c r="BE45" s="2" t="s">
        <v>3</v>
      </c>
      <c r="BF45" s="2" t="s">
        <v>3</v>
      </c>
      <c r="BG45" s="2" t="s">
        <v>3</v>
      </c>
      <c r="BH45" s="2">
        <v>0</v>
      </c>
      <c r="BI45" s="2">
        <v>1</v>
      </c>
      <c r="BJ45" s="2" t="s">
        <v>103</v>
      </c>
      <c r="BK45" s="2"/>
      <c r="BL45" s="2"/>
      <c r="BM45" s="2">
        <v>62001</v>
      </c>
      <c r="BN45" s="2">
        <v>0</v>
      </c>
      <c r="BO45" s="2" t="s">
        <v>3</v>
      </c>
      <c r="BP45" s="2">
        <v>0</v>
      </c>
      <c r="BQ45" s="2">
        <v>6</v>
      </c>
      <c r="BR45" s="2">
        <v>0</v>
      </c>
      <c r="BS45" s="2">
        <v>1</v>
      </c>
      <c r="BT45" s="2">
        <v>1</v>
      </c>
      <c r="BU45" s="2">
        <v>1</v>
      </c>
      <c r="BV45" s="2">
        <v>1</v>
      </c>
      <c r="BW45" s="2">
        <v>1</v>
      </c>
      <c r="BX45" s="2">
        <v>1</v>
      </c>
      <c r="BY45" s="2" t="s">
        <v>3</v>
      </c>
      <c r="BZ45" s="2">
        <v>90</v>
      </c>
      <c r="CA45" s="2">
        <v>46</v>
      </c>
      <c r="CB45" s="2" t="s">
        <v>3</v>
      </c>
      <c r="CC45" s="2"/>
      <c r="CD45" s="2"/>
      <c r="CE45" s="2">
        <v>0</v>
      </c>
      <c r="CF45" s="2">
        <v>0</v>
      </c>
      <c r="CG45" s="2">
        <v>0</v>
      </c>
      <c r="CH45" s="2"/>
      <c r="CI45" s="2"/>
      <c r="CJ45" s="2"/>
      <c r="CK45" s="2"/>
      <c r="CL45" s="2"/>
      <c r="CM45" s="2">
        <v>0</v>
      </c>
      <c r="CN45" s="2" t="s">
        <v>3</v>
      </c>
      <c r="CO45" s="2">
        <v>0</v>
      </c>
      <c r="CP45" s="2">
        <f t="shared" si="29"/>
        <v>16389.84</v>
      </c>
      <c r="CQ45" s="2">
        <f>SUMIF(SmtRes!AQ52:'SmtRes'!AQ60,"=1",SmtRes!AA52:'SmtRes'!AA60)</f>
        <v>177.04000000000002</v>
      </c>
      <c r="CR45" s="2">
        <f>SUMIF(SmtRes!AQ52:'SmtRes'!AQ60,"=1",SmtRes!AB52:'SmtRes'!AB60)</f>
        <v>576.04999999999984</v>
      </c>
      <c r="CS45" s="2">
        <f>SUMIF(SmtRes!AQ52:'SmtRes'!AQ60,"=1",SmtRes!AC52:'SmtRes'!AC60)</f>
        <v>731.08</v>
      </c>
      <c r="CT45" s="2">
        <f>SUMIF(SmtRes!AQ52:'SmtRes'!AQ60,"=1",SmtRes!AD52:'SmtRes'!AD60)</f>
        <v>657.42</v>
      </c>
      <c r="CU45" s="2">
        <f t="shared" si="30"/>
        <v>0</v>
      </c>
      <c r="CV45" s="2">
        <f>SUMIF(SmtRes!AQ52:'SmtRes'!AQ60,"=1",SmtRes!BU52:'SmtRes'!BU60)</f>
        <v>13.7</v>
      </c>
      <c r="CW45" s="2">
        <f>SUMIF(SmtRes!AQ52:'SmtRes'!AQ60,"=1",SmtRes!BV52:'SmtRes'!BV60)</f>
        <v>0.08</v>
      </c>
      <c r="CX45" s="2">
        <f t="shared" si="31"/>
        <v>0</v>
      </c>
      <c r="CY45" s="2">
        <f t="shared" si="32"/>
        <v>14147.064000000002</v>
      </c>
      <c r="CZ45" s="2">
        <f t="shared" si="33"/>
        <v>7230.7216000000008</v>
      </c>
      <c r="DA45" s="2"/>
      <c r="DB45" s="2"/>
      <c r="DC45" s="2" t="s">
        <v>3</v>
      </c>
      <c r="DD45" s="2" t="s">
        <v>3</v>
      </c>
      <c r="DE45" s="2" t="s">
        <v>3</v>
      </c>
      <c r="DF45" s="2" t="s">
        <v>3</v>
      </c>
      <c r="DG45" s="2" t="s">
        <v>3</v>
      </c>
      <c r="DH45" s="2" t="s">
        <v>3</v>
      </c>
      <c r="DI45" s="2" t="s">
        <v>3</v>
      </c>
      <c r="DJ45" s="2" t="s">
        <v>3</v>
      </c>
      <c r="DK45" s="2" t="s">
        <v>3</v>
      </c>
      <c r="DL45" s="2" t="s">
        <v>3</v>
      </c>
      <c r="DM45" s="2" t="s">
        <v>3</v>
      </c>
      <c r="DN45" s="2">
        <v>0</v>
      </c>
      <c r="DO45" s="2">
        <v>0</v>
      </c>
      <c r="DP45" s="2">
        <v>1</v>
      </c>
      <c r="DQ45" s="2">
        <v>1</v>
      </c>
      <c r="DR45" s="2"/>
      <c r="DS45" s="2"/>
      <c r="DT45" s="2"/>
      <c r="DU45" s="2">
        <v>1005</v>
      </c>
      <c r="DV45" s="2" t="s">
        <v>20</v>
      </c>
      <c r="DW45" s="2" t="s">
        <v>20</v>
      </c>
      <c r="DX45" s="2">
        <v>100</v>
      </c>
      <c r="DY45" s="2"/>
      <c r="DZ45" s="2" t="s">
        <v>3</v>
      </c>
      <c r="EA45" s="2" t="s">
        <v>3</v>
      </c>
      <c r="EB45" s="2" t="s">
        <v>3</v>
      </c>
      <c r="EC45" s="2" t="s">
        <v>3</v>
      </c>
      <c r="ED45" s="2"/>
      <c r="EE45" s="2">
        <v>89977076</v>
      </c>
      <c r="EF45" s="2">
        <v>6</v>
      </c>
      <c r="EG45" s="2" t="s">
        <v>22</v>
      </c>
      <c r="EH45" s="2">
        <v>96</v>
      </c>
      <c r="EI45" s="2" t="s">
        <v>104</v>
      </c>
      <c r="EJ45" s="2">
        <v>1</v>
      </c>
      <c r="EK45" s="2">
        <v>62001</v>
      </c>
      <c r="EL45" s="2" t="s">
        <v>104</v>
      </c>
      <c r="EM45" s="2" t="s">
        <v>105</v>
      </c>
      <c r="EN45" s="2"/>
      <c r="EO45" s="2" t="s">
        <v>3</v>
      </c>
      <c r="EP45" s="2"/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13.7</v>
      </c>
      <c r="EX45" s="2">
        <v>0.08</v>
      </c>
      <c r="EY45" s="2">
        <v>0</v>
      </c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>
        <v>0</v>
      </c>
      <c r="FR45" s="2">
        <v>0</v>
      </c>
      <c r="FS45" s="2">
        <v>0</v>
      </c>
      <c r="FT45" s="2"/>
      <c r="FU45" s="2"/>
      <c r="FV45" s="2"/>
      <c r="FW45" s="2"/>
      <c r="FX45" s="2">
        <v>90</v>
      </c>
      <c r="FY45" s="2">
        <v>46</v>
      </c>
      <c r="FZ45" s="2"/>
      <c r="GA45" s="2" t="s">
        <v>3</v>
      </c>
      <c r="GB45" s="2"/>
      <c r="GC45" s="2"/>
      <c r="GD45" s="2">
        <v>1</v>
      </c>
      <c r="GE45" s="2"/>
      <c r="GF45" s="2">
        <v>781403576</v>
      </c>
      <c r="GG45" s="2">
        <v>2</v>
      </c>
      <c r="GH45" s="2">
        <v>1</v>
      </c>
      <c r="GI45" s="2">
        <v>-2</v>
      </c>
      <c r="GJ45" s="2">
        <v>0</v>
      </c>
      <c r="GK45" s="2">
        <v>0</v>
      </c>
      <c r="GL45" s="2">
        <f t="shared" si="34"/>
        <v>0</v>
      </c>
      <c r="GM45" s="2">
        <f t="shared" si="35"/>
        <v>37767.620000000003</v>
      </c>
      <c r="GN45" s="2">
        <f t="shared" si="36"/>
        <v>37767.620000000003</v>
      </c>
      <c r="GO45" s="2">
        <f t="shared" si="37"/>
        <v>0</v>
      </c>
      <c r="GP45" s="2">
        <f t="shared" si="38"/>
        <v>0</v>
      </c>
      <c r="GQ45" s="2"/>
      <c r="GR45" s="2">
        <v>0</v>
      </c>
      <c r="GS45" s="2">
        <v>3</v>
      </c>
      <c r="GT45" s="2">
        <v>0</v>
      </c>
      <c r="GU45" s="2" t="s">
        <v>3</v>
      </c>
      <c r="GV45" s="2">
        <f t="shared" si="39"/>
        <v>0</v>
      </c>
      <c r="GW45" s="2">
        <v>1</v>
      </c>
      <c r="GX45" s="2">
        <f t="shared" si="40"/>
        <v>0</v>
      </c>
      <c r="GY45" s="2"/>
      <c r="GZ45" s="2"/>
      <c r="HA45" s="2">
        <v>0</v>
      </c>
      <c r="HB45" s="2">
        <v>0</v>
      </c>
      <c r="HC45" s="2">
        <f t="shared" si="41"/>
        <v>0</v>
      </c>
      <c r="HD45" s="2"/>
      <c r="HE45" s="2" t="s">
        <v>3</v>
      </c>
      <c r="HF45" s="2" t="s">
        <v>3</v>
      </c>
      <c r="HG45" s="2"/>
      <c r="HH45" s="2"/>
      <c r="HI45" s="2"/>
      <c r="HJ45" s="2"/>
      <c r="HK45" s="2"/>
      <c r="HL45" s="2"/>
      <c r="HM45" s="2" t="s">
        <v>3</v>
      </c>
      <c r="HN45" s="2" t="s">
        <v>106</v>
      </c>
      <c r="HO45" s="2" t="s">
        <v>107</v>
      </c>
      <c r="HP45" s="2" t="s">
        <v>104</v>
      </c>
      <c r="HQ45" s="2" t="s">
        <v>104</v>
      </c>
      <c r="HR45" s="2"/>
      <c r="HS45" s="2">
        <v>0</v>
      </c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>
        <v>0</v>
      </c>
      <c r="IL45" s="2"/>
      <c r="IM45" s="2"/>
      <c r="IN45" s="2"/>
      <c r="IO45" s="2"/>
      <c r="IP45" s="2"/>
      <c r="IQ45" s="2"/>
      <c r="IR45" s="2"/>
      <c r="IS45" s="2"/>
      <c r="IT45" s="2"/>
      <c r="IU45" s="2"/>
    </row>
    <row r="46" spans="1:255" x14ac:dyDescent="0.2">
      <c r="A46" s="2">
        <v>18</v>
      </c>
      <c r="B46" s="2">
        <v>1</v>
      </c>
      <c r="C46" s="2">
        <v>59</v>
      </c>
      <c r="D46" s="2"/>
      <c r="E46" s="2" t="s">
        <v>108</v>
      </c>
      <c r="F46" s="2" t="s">
        <v>109</v>
      </c>
      <c r="G46" s="2" t="s">
        <v>110</v>
      </c>
      <c r="H46" s="2" t="s">
        <v>30</v>
      </c>
      <c r="I46" s="2">
        <f>I45*J46</f>
        <v>9.3289200000000003E-2</v>
      </c>
      <c r="J46" s="2">
        <v>5.3800000000000001E-2</v>
      </c>
      <c r="K46" s="2">
        <v>5.3800000000000001E-2</v>
      </c>
      <c r="L46" s="2"/>
      <c r="M46" s="2"/>
      <c r="N46" s="2"/>
      <c r="O46" s="2">
        <f t="shared" si="21"/>
        <v>12186.99</v>
      </c>
      <c r="P46" s="2">
        <f>ROUND(CQ46*I46,2)</f>
        <v>12186.99</v>
      </c>
      <c r="Q46" s="2">
        <f>ROUND(CR46*I46,2)</f>
        <v>0</v>
      </c>
      <c r="R46" s="2">
        <f>ROUND(CS46*I46,2)</f>
        <v>0</v>
      </c>
      <c r="S46" s="2">
        <f>ROUND(CT46*I46,2)</f>
        <v>0</v>
      </c>
      <c r="T46" s="2">
        <f t="shared" si="22"/>
        <v>0</v>
      </c>
      <c r="U46" s="2">
        <f>ROUND(CV46*I46,7)</f>
        <v>0</v>
      </c>
      <c r="V46" s="2">
        <f>ROUND(CW46*I46,7)</f>
        <v>0</v>
      </c>
      <c r="W46" s="2">
        <f t="shared" si="23"/>
        <v>0</v>
      </c>
      <c r="X46" s="2">
        <f t="shared" si="24"/>
        <v>0</v>
      </c>
      <c r="Y46" s="2">
        <f t="shared" si="25"/>
        <v>0</v>
      </c>
      <c r="Z46" s="2"/>
      <c r="AA46" s="2">
        <v>94298235</v>
      </c>
      <c r="AB46" s="2">
        <f t="shared" si="26"/>
        <v>119850.13</v>
      </c>
      <c r="AC46" s="2">
        <f>ROUND((ES46),6)</f>
        <v>119850.13</v>
      </c>
      <c r="AD46" s="2">
        <f>ROUND((((ET46)-(EU46))+AE46),6)</f>
        <v>0</v>
      </c>
      <c r="AE46" s="2">
        <f>ROUND((EU46),6)</f>
        <v>0</v>
      </c>
      <c r="AF46" s="2">
        <f>ROUND((EV46),6)</f>
        <v>0</v>
      </c>
      <c r="AG46" s="2">
        <f t="shared" si="27"/>
        <v>0</v>
      </c>
      <c r="AH46" s="2">
        <f>(EW46)</f>
        <v>0</v>
      </c>
      <c r="AI46" s="2">
        <f>(EX46)</f>
        <v>0</v>
      </c>
      <c r="AJ46" s="2">
        <f t="shared" si="28"/>
        <v>0</v>
      </c>
      <c r="AK46" s="2">
        <v>119850.13</v>
      </c>
      <c r="AL46" s="2">
        <v>119850.13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90</v>
      </c>
      <c r="AU46" s="2">
        <v>46</v>
      </c>
      <c r="AV46" s="2">
        <v>1</v>
      </c>
      <c r="AW46" s="2">
        <v>1</v>
      </c>
      <c r="AX46" s="2"/>
      <c r="AY46" s="2"/>
      <c r="AZ46" s="2">
        <v>1</v>
      </c>
      <c r="BA46" s="2">
        <v>1</v>
      </c>
      <c r="BB46" s="2">
        <v>1</v>
      </c>
      <c r="BC46" s="2">
        <v>1.0900000000000001</v>
      </c>
      <c r="BD46" s="2" t="s">
        <v>3</v>
      </c>
      <c r="BE46" s="2" t="s">
        <v>3</v>
      </c>
      <c r="BF46" s="2" t="s">
        <v>3</v>
      </c>
      <c r="BG46" s="2" t="s">
        <v>3</v>
      </c>
      <c r="BH46" s="2">
        <v>3</v>
      </c>
      <c r="BI46" s="2">
        <v>1</v>
      </c>
      <c r="BJ46" s="2" t="s">
        <v>111</v>
      </c>
      <c r="BK46" s="2"/>
      <c r="BL46" s="2"/>
      <c r="BM46" s="2">
        <v>62001</v>
      </c>
      <c r="BN46" s="2">
        <v>0</v>
      </c>
      <c r="BO46" s="2" t="s">
        <v>109</v>
      </c>
      <c r="BP46" s="2">
        <v>1</v>
      </c>
      <c r="BQ46" s="2">
        <v>6</v>
      </c>
      <c r="BR46" s="2">
        <v>0</v>
      </c>
      <c r="BS46" s="2">
        <v>1</v>
      </c>
      <c r="BT46" s="2">
        <v>1</v>
      </c>
      <c r="BU46" s="2">
        <v>1</v>
      </c>
      <c r="BV46" s="2">
        <v>1</v>
      </c>
      <c r="BW46" s="2">
        <v>1</v>
      </c>
      <c r="BX46" s="2">
        <v>1</v>
      </c>
      <c r="BY46" s="2" t="s">
        <v>3</v>
      </c>
      <c r="BZ46" s="2">
        <v>90</v>
      </c>
      <c r="CA46" s="2">
        <v>46</v>
      </c>
      <c r="CB46" s="2" t="s">
        <v>3</v>
      </c>
      <c r="CC46" s="2"/>
      <c r="CD46" s="2"/>
      <c r="CE46" s="2">
        <v>0</v>
      </c>
      <c r="CF46" s="2">
        <v>0</v>
      </c>
      <c r="CG46" s="2">
        <v>0</v>
      </c>
      <c r="CH46" s="2"/>
      <c r="CI46" s="2"/>
      <c r="CJ46" s="2"/>
      <c r="CK46" s="2"/>
      <c r="CL46" s="2"/>
      <c r="CM46" s="2">
        <v>0</v>
      </c>
      <c r="CN46" s="2" t="s">
        <v>3</v>
      </c>
      <c r="CO46" s="2">
        <v>0</v>
      </c>
      <c r="CP46" s="2">
        <f t="shared" si="29"/>
        <v>12186.99</v>
      </c>
      <c r="CQ46" s="2">
        <f>ROUND(AL46*BC46,2)</f>
        <v>130636.64</v>
      </c>
      <c r="CR46" s="2">
        <f>ROUND(AM46*BB46,2)</f>
        <v>0</v>
      </c>
      <c r="CS46" s="2">
        <f>ROUND(AN46*BS46,2)</f>
        <v>0</v>
      </c>
      <c r="CT46" s="2">
        <f>ROUND(AO46*BA46,2)</f>
        <v>0</v>
      </c>
      <c r="CU46" s="2">
        <f t="shared" si="30"/>
        <v>0</v>
      </c>
      <c r="CV46" s="2">
        <f>AH46</f>
        <v>0</v>
      </c>
      <c r="CW46" s="2">
        <f>AI46</f>
        <v>0</v>
      </c>
      <c r="CX46" s="2">
        <f t="shared" si="31"/>
        <v>0</v>
      </c>
      <c r="CY46" s="2">
        <f t="shared" si="32"/>
        <v>0</v>
      </c>
      <c r="CZ46" s="2">
        <f t="shared" si="33"/>
        <v>0</v>
      </c>
      <c r="DA46" s="2"/>
      <c r="DB46" s="2"/>
      <c r="DC46" s="2" t="s">
        <v>3</v>
      </c>
      <c r="DD46" s="2" t="s">
        <v>3</v>
      </c>
      <c r="DE46" s="2" t="s">
        <v>3</v>
      </c>
      <c r="DF46" s="2" t="s">
        <v>3</v>
      </c>
      <c r="DG46" s="2" t="s">
        <v>3</v>
      </c>
      <c r="DH46" s="2" t="s">
        <v>3</v>
      </c>
      <c r="DI46" s="2" t="s">
        <v>3</v>
      </c>
      <c r="DJ46" s="2" t="s">
        <v>3</v>
      </c>
      <c r="DK46" s="2" t="s">
        <v>3</v>
      </c>
      <c r="DL46" s="2" t="s">
        <v>3</v>
      </c>
      <c r="DM46" s="2" t="s">
        <v>3</v>
      </c>
      <c r="DN46" s="2">
        <v>0</v>
      </c>
      <c r="DO46" s="2">
        <v>0</v>
      </c>
      <c r="DP46" s="2">
        <v>1</v>
      </c>
      <c r="DQ46" s="2">
        <v>1</v>
      </c>
      <c r="DR46" s="2"/>
      <c r="DS46" s="2"/>
      <c r="DT46" s="2"/>
      <c r="DU46" s="2">
        <v>1009</v>
      </c>
      <c r="DV46" s="2" t="s">
        <v>30</v>
      </c>
      <c r="DW46" s="2" t="s">
        <v>30</v>
      </c>
      <c r="DX46" s="2">
        <v>1000</v>
      </c>
      <c r="DY46" s="2"/>
      <c r="DZ46" s="2" t="s">
        <v>3</v>
      </c>
      <c r="EA46" s="2" t="s">
        <v>3</v>
      </c>
      <c r="EB46" s="2" t="s">
        <v>3</v>
      </c>
      <c r="EC46" s="2" t="s">
        <v>3</v>
      </c>
      <c r="ED46" s="2"/>
      <c r="EE46" s="2">
        <v>89977076</v>
      </c>
      <c r="EF46" s="2">
        <v>6</v>
      </c>
      <c r="EG46" s="2" t="s">
        <v>22</v>
      </c>
      <c r="EH46" s="2">
        <v>96</v>
      </c>
      <c r="EI46" s="2" t="s">
        <v>104</v>
      </c>
      <c r="EJ46" s="2">
        <v>1</v>
      </c>
      <c r="EK46" s="2">
        <v>62001</v>
      </c>
      <c r="EL46" s="2" t="s">
        <v>104</v>
      </c>
      <c r="EM46" s="2" t="s">
        <v>105</v>
      </c>
      <c r="EN46" s="2"/>
      <c r="EO46" s="2" t="s">
        <v>3</v>
      </c>
      <c r="EP46" s="2"/>
      <c r="EQ46" s="2">
        <v>0</v>
      </c>
      <c r="ER46" s="2">
        <v>119850.13</v>
      </c>
      <c r="ES46" s="2">
        <v>119850.13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>
        <v>0</v>
      </c>
      <c r="FR46" s="2">
        <v>0</v>
      </c>
      <c r="FS46" s="2">
        <v>0</v>
      </c>
      <c r="FT46" s="2"/>
      <c r="FU46" s="2"/>
      <c r="FV46" s="2"/>
      <c r="FW46" s="2"/>
      <c r="FX46" s="2">
        <v>90</v>
      </c>
      <c r="FY46" s="2">
        <v>46</v>
      </c>
      <c r="FZ46" s="2"/>
      <c r="GA46" s="2" t="s">
        <v>3</v>
      </c>
      <c r="GB46" s="2"/>
      <c r="GC46" s="2"/>
      <c r="GD46" s="2">
        <v>1</v>
      </c>
      <c r="GE46" s="2"/>
      <c r="GF46" s="2">
        <v>-1162192685</v>
      </c>
      <c r="GG46" s="2">
        <v>2</v>
      </c>
      <c r="GH46" s="2">
        <v>1</v>
      </c>
      <c r="GI46" s="2">
        <v>2</v>
      </c>
      <c r="GJ46" s="2">
        <v>0</v>
      </c>
      <c r="GK46" s="2">
        <v>0</v>
      </c>
      <c r="GL46" s="2">
        <f t="shared" si="34"/>
        <v>0</v>
      </c>
      <c r="GM46" s="2">
        <f t="shared" si="35"/>
        <v>12186.99</v>
      </c>
      <c r="GN46" s="2">
        <f t="shared" si="36"/>
        <v>12186.99</v>
      </c>
      <c r="GO46" s="2">
        <f t="shared" si="37"/>
        <v>0</v>
      </c>
      <c r="GP46" s="2">
        <f t="shared" si="38"/>
        <v>0</v>
      </c>
      <c r="GQ46" s="2"/>
      <c r="GR46" s="2">
        <v>0</v>
      </c>
      <c r="GS46" s="2">
        <v>3</v>
      </c>
      <c r="GT46" s="2">
        <v>0</v>
      </c>
      <c r="GU46" s="2" t="s">
        <v>3</v>
      </c>
      <c r="GV46" s="2">
        <f t="shared" si="39"/>
        <v>0</v>
      </c>
      <c r="GW46" s="2">
        <v>1</v>
      </c>
      <c r="GX46" s="2">
        <f t="shared" si="40"/>
        <v>0</v>
      </c>
      <c r="GY46" s="2"/>
      <c r="GZ46" s="2"/>
      <c r="HA46" s="2">
        <v>0</v>
      </c>
      <c r="HB46" s="2">
        <v>0</v>
      </c>
      <c r="HC46" s="2">
        <f t="shared" si="41"/>
        <v>0</v>
      </c>
      <c r="HD46" s="2"/>
      <c r="HE46" s="2" t="s">
        <v>3</v>
      </c>
      <c r="HF46" s="2" t="s">
        <v>3</v>
      </c>
      <c r="HG46" s="2"/>
      <c r="HH46" s="2"/>
      <c r="HI46" s="2"/>
      <c r="HJ46" s="2"/>
      <c r="HK46" s="2"/>
      <c r="HL46" s="2"/>
      <c r="HM46" s="2" t="s">
        <v>3</v>
      </c>
      <c r="HN46" s="2" t="s">
        <v>106</v>
      </c>
      <c r="HO46" s="2" t="s">
        <v>107</v>
      </c>
      <c r="HP46" s="2" t="s">
        <v>104</v>
      </c>
      <c r="HQ46" s="2" t="s">
        <v>104</v>
      </c>
      <c r="HR46" s="2"/>
      <c r="HS46" s="2">
        <v>0</v>
      </c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>
        <v>0</v>
      </c>
      <c r="IL46" s="2"/>
      <c r="IM46" s="2"/>
      <c r="IN46" s="2"/>
      <c r="IO46" s="2"/>
      <c r="IP46" s="2"/>
      <c r="IQ46" s="2"/>
      <c r="IR46" s="2"/>
      <c r="IS46" s="2"/>
      <c r="IT46" s="2"/>
      <c r="IU46" s="2"/>
    </row>
    <row r="47" spans="1:255" x14ac:dyDescent="0.2">
      <c r="A47" s="2">
        <v>17</v>
      </c>
      <c r="B47" s="2">
        <v>1</v>
      </c>
      <c r="C47" s="2"/>
      <c r="D47" s="2"/>
      <c r="E47" s="2" t="s">
        <v>112</v>
      </c>
      <c r="F47" s="2" t="s">
        <v>113</v>
      </c>
      <c r="G47" s="2" t="s">
        <v>114</v>
      </c>
      <c r="H47" s="2" t="s">
        <v>115</v>
      </c>
      <c r="I47" s="2">
        <v>7.5</v>
      </c>
      <c r="J47" s="2">
        <v>0</v>
      </c>
      <c r="K47" s="2">
        <v>7.5</v>
      </c>
      <c r="L47" s="2"/>
      <c r="M47" s="2"/>
      <c r="N47" s="2"/>
      <c r="O47" s="2">
        <f>0</f>
        <v>0</v>
      </c>
      <c r="P47" s="2">
        <f>0</f>
        <v>0</v>
      </c>
      <c r="Q47" s="2">
        <f>0</f>
        <v>0</v>
      </c>
      <c r="R47" s="2">
        <f>0</f>
        <v>0</v>
      </c>
      <c r="S47" s="2">
        <f>0</f>
        <v>0</v>
      </c>
      <c r="T47" s="2">
        <f>0</f>
        <v>0</v>
      </c>
      <c r="U47" s="2">
        <f>0</f>
        <v>0</v>
      </c>
      <c r="V47" s="2">
        <f>0</f>
        <v>0</v>
      </c>
      <c r="W47" s="2">
        <f>0</f>
        <v>0</v>
      </c>
      <c r="X47" s="2">
        <f>0</f>
        <v>0</v>
      </c>
      <c r="Y47" s="2">
        <f>0</f>
        <v>0</v>
      </c>
      <c r="Z47" s="2"/>
      <c r="AA47" s="2">
        <v>94298235</v>
      </c>
      <c r="AB47" s="2">
        <f>ROUND((AK47),6)</f>
        <v>1490.12</v>
      </c>
      <c r="AC47" s="2">
        <f>0</f>
        <v>0</v>
      </c>
      <c r="AD47" s="2">
        <f>0</f>
        <v>0</v>
      </c>
      <c r="AE47" s="2">
        <f>0</f>
        <v>0</v>
      </c>
      <c r="AF47" s="2">
        <f>0</f>
        <v>0</v>
      </c>
      <c r="AG47" s="2">
        <f>0</f>
        <v>0</v>
      </c>
      <c r="AH47" s="2">
        <f>0</f>
        <v>0</v>
      </c>
      <c r="AI47" s="2">
        <f>0</f>
        <v>0</v>
      </c>
      <c r="AJ47" s="2">
        <f>0</f>
        <v>0</v>
      </c>
      <c r="AK47" s="2">
        <v>1490.12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1</v>
      </c>
      <c r="AW47" s="2">
        <v>1</v>
      </c>
      <c r="AX47" s="2"/>
      <c r="AY47" s="2"/>
      <c r="AZ47" s="2">
        <v>1</v>
      </c>
      <c r="BA47" s="2">
        <v>1</v>
      </c>
      <c r="BB47" s="2">
        <v>1</v>
      </c>
      <c r="BC47" s="2">
        <v>1</v>
      </c>
      <c r="BD47" s="2" t="s">
        <v>3</v>
      </c>
      <c r="BE47" s="2" t="s">
        <v>3</v>
      </c>
      <c r="BF47" s="2" t="s">
        <v>3</v>
      </c>
      <c r="BG47" s="2" t="s">
        <v>3</v>
      </c>
      <c r="BH47" s="2">
        <v>0</v>
      </c>
      <c r="BI47" s="2">
        <v>1</v>
      </c>
      <c r="BJ47" s="2" t="s">
        <v>113</v>
      </c>
      <c r="BK47" s="2"/>
      <c r="BL47" s="2"/>
      <c r="BM47" s="2">
        <v>700007</v>
      </c>
      <c r="BN47" s="2">
        <v>0</v>
      </c>
      <c r="BO47" s="2" t="s">
        <v>3</v>
      </c>
      <c r="BP47" s="2">
        <v>0</v>
      </c>
      <c r="BQ47" s="2">
        <v>19</v>
      </c>
      <c r="BR47" s="2">
        <v>0</v>
      </c>
      <c r="BS47" s="2">
        <v>1</v>
      </c>
      <c r="BT47" s="2">
        <v>1</v>
      </c>
      <c r="BU47" s="2">
        <v>1</v>
      </c>
      <c r="BV47" s="2">
        <v>1</v>
      </c>
      <c r="BW47" s="2">
        <v>1</v>
      </c>
      <c r="BX47" s="2">
        <v>1</v>
      </c>
      <c r="BY47" s="2" t="s">
        <v>3</v>
      </c>
      <c r="BZ47" s="2">
        <v>90</v>
      </c>
      <c r="CA47" s="2">
        <v>42</v>
      </c>
      <c r="CB47" s="2" t="s">
        <v>3</v>
      </c>
      <c r="CC47" s="2"/>
      <c r="CD47" s="2"/>
      <c r="CE47" s="2">
        <v>0</v>
      </c>
      <c r="CF47" s="2">
        <v>0</v>
      </c>
      <c r="CG47" s="2">
        <v>0</v>
      </c>
      <c r="CH47" s="2"/>
      <c r="CI47" s="2"/>
      <c r="CJ47" s="2"/>
      <c r="CK47" s="2"/>
      <c r="CL47" s="2"/>
      <c r="CM47" s="2">
        <v>0</v>
      </c>
      <c r="CN47" s="2" t="s">
        <v>3</v>
      </c>
      <c r="CO47" s="2">
        <v>0</v>
      </c>
      <c r="CP47" s="2">
        <f>AB47*AZ47</f>
        <v>1490.12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/>
      <c r="DB47" s="2"/>
      <c r="DC47" s="2" t="s">
        <v>3</v>
      </c>
      <c r="DD47" s="2" t="s">
        <v>3</v>
      </c>
      <c r="DE47" s="2" t="s">
        <v>3</v>
      </c>
      <c r="DF47" s="2" t="s">
        <v>3</v>
      </c>
      <c r="DG47" s="2" t="s">
        <v>3</v>
      </c>
      <c r="DH47" s="2" t="s">
        <v>3</v>
      </c>
      <c r="DI47" s="2" t="s">
        <v>3</v>
      </c>
      <c r="DJ47" s="2" t="s">
        <v>3</v>
      </c>
      <c r="DK47" s="2" t="s">
        <v>3</v>
      </c>
      <c r="DL47" s="2" t="s">
        <v>3</v>
      </c>
      <c r="DM47" s="2" t="s">
        <v>3</v>
      </c>
      <c r="DN47" s="2">
        <v>0</v>
      </c>
      <c r="DO47" s="2">
        <v>0</v>
      </c>
      <c r="DP47" s="2">
        <v>1</v>
      </c>
      <c r="DQ47" s="2">
        <v>1</v>
      </c>
      <c r="DR47" s="2"/>
      <c r="DS47" s="2"/>
      <c r="DT47" s="2"/>
      <c r="DU47" s="2">
        <v>1013</v>
      </c>
      <c r="DV47" s="2" t="s">
        <v>115</v>
      </c>
      <c r="DW47" s="2" t="s">
        <v>115</v>
      </c>
      <c r="DX47" s="2">
        <v>1</v>
      </c>
      <c r="DY47" s="2"/>
      <c r="DZ47" s="2" t="s">
        <v>3</v>
      </c>
      <c r="EA47" s="2" t="s">
        <v>3</v>
      </c>
      <c r="EB47" s="2" t="s">
        <v>3</v>
      </c>
      <c r="EC47" s="2" t="s">
        <v>3</v>
      </c>
      <c r="ED47" s="2"/>
      <c r="EE47" s="2">
        <v>89977456</v>
      </c>
      <c r="EF47" s="2">
        <v>19</v>
      </c>
      <c r="EG47" s="2" t="s">
        <v>116</v>
      </c>
      <c r="EH47" s="2">
        <v>106</v>
      </c>
      <c r="EI47" s="2" t="s">
        <v>116</v>
      </c>
      <c r="EJ47" s="2">
        <v>1</v>
      </c>
      <c r="EK47" s="2">
        <v>700007</v>
      </c>
      <c r="EL47" s="2" t="s">
        <v>116</v>
      </c>
      <c r="EM47" s="2" t="s">
        <v>117</v>
      </c>
      <c r="EN47" s="2"/>
      <c r="EO47" s="2" t="s">
        <v>3</v>
      </c>
      <c r="EP47" s="2"/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0</v>
      </c>
      <c r="EX47" s="2">
        <v>0</v>
      </c>
      <c r="EY47" s="2">
        <v>0</v>
      </c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>
        <v>0</v>
      </c>
      <c r="FR47" s="2">
        <v>0</v>
      </c>
      <c r="FS47" s="2">
        <v>0</v>
      </c>
      <c r="FT47" s="2"/>
      <c r="FU47" s="2"/>
      <c r="FV47" s="2"/>
      <c r="FW47" s="2"/>
      <c r="FX47" s="2">
        <v>0</v>
      </c>
      <c r="FY47" s="2">
        <v>0</v>
      </c>
      <c r="FZ47" s="2"/>
      <c r="GA47" s="2" t="s">
        <v>3</v>
      </c>
      <c r="GB47" s="2"/>
      <c r="GC47" s="2"/>
      <c r="GD47" s="2">
        <v>1</v>
      </c>
      <c r="GE47" s="2"/>
      <c r="GF47" s="2">
        <v>974204656</v>
      </c>
      <c r="GG47" s="2">
        <v>2</v>
      </c>
      <c r="GH47" s="2">
        <v>1</v>
      </c>
      <c r="GI47" s="2">
        <v>-2</v>
      </c>
      <c r="GJ47" s="2">
        <v>2</v>
      </c>
      <c r="GK47" s="2">
        <v>0</v>
      </c>
      <c r="GL47" s="2">
        <f t="shared" si="34"/>
        <v>0</v>
      </c>
      <c r="GM47" s="2">
        <f>ROUND(CP47*I47,2)</f>
        <v>11175.9</v>
      </c>
      <c r="GN47" s="2">
        <f t="shared" si="36"/>
        <v>11175.9</v>
      </c>
      <c r="GO47" s="2">
        <f t="shared" si="37"/>
        <v>0</v>
      </c>
      <c r="GP47" s="2">
        <f t="shared" si="38"/>
        <v>0</v>
      </c>
      <c r="GQ47" s="2"/>
      <c r="GR47" s="2">
        <v>0</v>
      </c>
      <c r="GS47" s="2">
        <v>0</v>
      </c>
      <c r="GT47" s="2">
        <v>0</v>
      </c>
      <c r="GU47" s="2" t="s">
        <v>3</v>
      </c>
      <c r="GV47" s="2">
        <f>0</f>
        <v>0</v>
      </c>
      <c r="GW47" s="2">
        <v>1</v>
      </c>
      <c r="GX47" s="2">
        <f>0</f>
        <v>0</v>
      </c>
      <c r="GY47" s="2"/>
      <c r="GZ47" s="2"/>
      <c r="HA47" s="2">
        <v>0</v>
      </c>
      <c r="HB47" s="2">
        <v>0</v>
      </c>
      <c r="HC47" s="2">
        <v>0</v>
      </c>
      <c r="HD47" s="2">
        <f>GM47</f>
        <v>11175.9</v>
      </c>
      <c r="HE47" s="2" t="s">
        <v>3</v>
      </c>
      <c r="HF47" s="2" t="s">
        <v>3</v>
      </c>
      <c r="HG47" s="2"/>
      <c r="HH47" s="2"/>
      <c r="HI47" s="2"/>
      <c r="HJ47" s="2"/>
      <c r="HK47" s="2"/>
      <c r="HL47" s="2"/>
      <c r="HM47" s="2" t="s">
        <v>3</v>
      </c>
      <c r="HN47" s="2" t="s">
        <v>118</v>
      </c>
      <c r="HO47" s="2" t="s">
        <v>119</v>
      </c>
      <c r="HP47" s="2" t="s">
        <v>116</v>
      </c>
      <c r="HQ47" s="2" t="s">
        <v>116</v>
      </c>
      <c r="HR47" s="2"/>
      <c r="HS47" s="2">
        <v>0</v>
      </c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>
        <v>0</v>
      </c>
      <c r="IL47" s="2"/>
      <c r="IM47" s="2"/>
      <c r="IN47" s="2"/>
      <c r="IO47" s="2"/>
      <c r="IP47" s="2"/>
      <c r="IQ47" s="2"/>
      <c r="IR47" s="2"/>
      <c r="IS47" s="2"/>
      <c r="IT47" s="2"/>
      <c r="IU47" s="2"/>
    </row>
    <row r="48" spans="1:255" x14ac:dyDescent="0.2">
      <c r="A48" s="2">
        <v>17</v>
      </c>
      <c r="B48" s="2">
        <v>1</v>
      </c>
      <c r="C48" s="2"/>
      <c r="D48" s="2"/>
      <c r="E48" s="2" t="s">
        <v>120</v>
      </c>
      <c r="F48" s="2" t="s">
        <v>121</v>
      </c>
      <c r="G48" s="2" t="s">
        <v>122</v>
      </c>
      <c r="H48" s="2" t="s">
        <v>115</v>
      </c>
      <c r="I48" s="2">
        <v>7.5</v>
      </c>
      <c r="J48" s="2">
        <v>0</v>
      </c>
      <c r="K48" s="2">
        <v>7.5</v>
      </c>
      <c r="L48" s="2"/>
      <c r="M48" s="2"/>
      <c r="N48" s="2"/>
      <c r="O48" s="2">
        <f>0</f>
        <v>0</v>
      </c>
      <c r="P48" s="2">
        <f>0</f>
        <v>0</v>
      </c>
      <c r="Q48" s="2">
        <f>0</f>
        <v>0</v>
      </c>
      <c r="R48" s="2">
        <f>0</f>
        <v>0</v>
      </c>
      <c r="S48" s="2">
        <f>0</f>
        <v>0</v>
      </c>
      <c r="T48" s="2">
        <f>0</f>
        <v>0</v>
      </c>
      <c r="U48" s="2">
        <f>0</f>
        <v>0</v>
      </c>
      <c r="V48" s="2">
        <f>0</f>
        <v>0</v>
      </c>
      <c r="W48" s="2">
        <f>0</f>
        <v>0</v>
      </c>
      <c r="X48" s="2">
        <f>0</f>
        <v>0</v>
      </c>
      <c r="Y48" s="2">
        <f>0</f>
        <v>0</v>
      </c>
      <c r="Z48" s="2"/>
      <c r="AA48" s="2">
        <v>94298235</v>
      </c>
      <c r="AB48" s="2">
        <f>ROUND((AK48),6)</f>
        <v>519.79</v>
      </c>
      <c r="AC48" s="2">
        <f>0</f>
        <v>0</v>
      </c>
      <c r="AD48" s="2">
        <f>0</f>
        <v>0</v>
      </c>
      <c r="AE48" s="2">
        <f>0</f>
        <v>0</v>
      </c>
      <c r="AF48" s="2">
        <f>0</f>
        <v>0</v>
      </c>
      <c r="AG48" s="2">
        <f>0</f>
        <v>0</v>
      </c>
      <c r="AH48" s="2">
        <f>0</f>
        <v>0</v>
      </c>
      <c r="AI48" s="2">
        <f>0</f>
        <v>0</v>
      </c>
      <c r="AJ48" s="2">
        <f>0</f>
        <v>0</v>
      </c>
      <c r="AK48" s="2">
        <v>519.79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1</v>
      </c>
      <c r="AW48" s="2">
        <v>1</v>
      </c>
      <c r="AX48" s="2"/>
      <c r="AY48" s="2"/>
      <c r="AZ48" s="2">
        <v>1</v>
      </c>
      <c r="BA48" s="2">
        <v>1</v>
      </c>
      <c r="BB48" s="2">
        <v>1</v>
      </c>
      <c r="BC48" s="2">
        <v>1</v>
      </c>
      <c r="BD48" s="2" t="s">
        <v>3</v>
      </c>
      <c r="BE48" s="2" t="s">
        <v>3</v>
      </c>
      <c r="BF48" s="2" t="s">
        <v>3</v>
      </c>
      <c r="BG48" s="2" t="s">
        <v>3</v>
      </c>
      <c r="BH48" s="2">
        <v>0</v>
      </c>
      <c r="BI48" s="2">
        <v>1</v>
      </c>
      <c r="BJ48" s="2" t="s">
        <v>121</v>
      </c>
      <c r="BK48" s="2"/>
      <c r="BL48" s="2"/>
      <c r="BM48" s="2">
        <v>700008</v>
      </c>
      <c r="BN48" s="2">
        <v>0</v>
      </c>
      <c r="BO48" s="2" t="s">
        <v>3</v>
      </c>
      <c r="BP48" s="2">
        <v>0</v>
      </c>
      <c r="BQ48" s="2">
        <v>10</v>
      </c>
      <c r="BR48" s="2">
        <v>0</v>
      </c>
      <c r="BS48" s="2">
        <v>1</v>
      </c>
      <c r="BT48" s="2">
        <v>1</v>
      </c>
      <c r="BU48" s="2">
        <v>1</v>
      </c>
      <c r="BV48" s="2">
        <v>1</v>
      </c>
      <c r="BW48" s="2">
        <v>1</v>
      </c>
      <c r="BX48" s="2">
        <v>1</v>
      </c>
      <c r="BY48" s="2" t="s">
        <v>3</v>
      </c>
      <c r="BZ48" s="2">
        <v>94</v>
      </c>
      <c r="CA48" s="2">
        <v>61</v>
      </c>
      <c r="CB48" s="2" t="s">
        <v>3</v>
      </c>
      <c r="CC48" s="2"/>
      <c r="CD48" s="2"/>
      <c r="CE48" s="2">
        <v>0</v>
      </c>
      <c r="CF48" s="2">
        <v>0</v>
      </c>
      <c r="CG48" s="2">
        <v>0</v>
      </c>
      <c r="CH48" s="2"/>
      <c r="CI48" s="2"/>
      <c r="CJ48" s="2"/>
      <c r="CK48" s="2"/>
      <c r="CL48" s="2"/>
      <c r="CM48" s="2">
        <v>0</v>
      </c>
      <c r="CN48" s="2" t="s">
        <v>3</v>
      </c>
      <c r="CO48" s="2">
        <v>0</v>
      </c>
      <c r="CP48" s="2">
        <f>AB48*AZ48</f>
        <v>519.79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/>
      <c r="DB48" s="2"/>
      <c r="DC48" s="2" t="s">
        <v>3</v>
      </c>
      <c r="DD48" s="2" t="s">
        <v>3</v>
      </c>
      <c r="DE48" s="2" t="s">
        <v>3</v>
      </c>
      <c r="DF48" s="2" t="s">
        <v>3</v>
      </c>
      <c r="DG48" s="2" t="s">
        <v>3</v>
      </c>
      <c r="DH48" s="2" t="s">
        <v>3</v>
      </c>
      <c r="DI48" s="2" t="s">
        <v>3</v>
      </c>
      <c r="DJ48" s="2" t="s">
        <v>3</v>
      </c>
      <c r="DK48" s="2" t="s">
        <v>3</v>
      </c>
      <c r="DL48" s="2" t="s">
        <v>3</v>
      </c>
      <c r="DM48" s="2" t="s">
        <v>3</v>
      </c>
      <c r="DN48" s="2">
        <v>0</v>
      </c>
      <c r="DO48" s="2">
        <v>0</v>
      </c>
      <c r="DP48" s="2">
        <v>1</v>
      </c>
      <c r="DQ48" s="2">
        <v>1</v>
      </c>
      <c r="DR48" s="2"/>
      <c r="DS48" s="2"/>
      <c r="DT48" s="2"/>
      <c r="DU48" s="2">
        <v>1013</v>
      </c>
      <c r="DV48" s="2" t="s">
        <v>115</v>
      </c>
      <c r="DW48" s="2" t="s">
        <v>115</v>
      </c>
      <c r="DX48" s="2">
        <v>1</v>
      </c>
      <c r="DY48" s="2"/>
      <c r="DZ48" s="2" t="s">
        <v>3</v>
      </c>
      <c r="EA48" s="2" t="s">
        <v>3</v>
      </c>
      <c r="EB48" s="2" t="s">
        <v>3</v>
      </c>
      <c r="EC48" s="2" t="s">
        <v>3</v>
      </c>
      <c r="ED48" s="2"/>
      <c r="EE48" s="2">
        <v>89977457</v>
      </c>
      <c r="EF48" s="2">
        <v>10</v>
      </c>
      <c r="EG48" s="2" t="s">
        <v>123</v>
      </c>
      <c r="EH48" s="2">
        <v>107</v>
      </c>
      <c r="EI48" s="2" t="s">
        <v>124</v>
      </c>
      <c r="EJ48" s="2">
        <v>1</v>
      </c>
      <c r="EK48" s="2">
        <v>700008</v>
      </c>
      <c r="EL48" s="2" t="s">
        <v>125</v>
      </c>
      <c r="EM48" s="2" t="s">
        <v>126</v>
      </c>
      <c r="EN48" s="2"/>
      <c r="EO48" s="2" t="s">
        <v>3</v>
      </c>
      <c r="EP48" s="2"/>
      <c r="EQ48" s="2">
        <v>0</v>
      </c>
      <c r="ER48" s="2">
        <v>0</v>
      </c>
      <c r="ES48" s="2">
        <v>0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>
        <v>0</v>
      </c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>
        <v>0</v>
      </c>
      <c r="FR48" s="2">
        <v>0</v>
      </c>
      <c r="FS48" s="2">
        <v>0</v>
      </c>
      <c r="FT48" s="2"/>
      <c r="FU48" s="2"/>
      <c r="FV48" s="2"/>
      <c r="FW48" s="2"/>
      <c r="FX48" s="2">
        <v>0</v>
      </c>
      <c r="FY48" s="2">
        <v>0</v>
      </c>
      <c r="FZ48" s="2"/>
      <c r="GA48" s="2" t="s">
        <v>3</v>
      </c>
      <c r="GB48" s="2"/>
      <c r="GC48" s="2"/>
      <c r="GD48" s="2">
        <v>1</v>
      </c>
      <c r="GE48" s="2"/>
      <c r="GF48" s="2">
        <v>-1584862761</v>
      </c>
      <c r="GG48" s="2">
        <v>2</v>
      </c>
      <c r="GH48" s="2">
        <v>1</v>
      </c>
      <c r="GI48" s="2">
        <v>-2</v>
      </c>
      <c r="GJ48" s="2">
        <v>2</v>
      </c>
      <c r="GK48" s="2">
        <v>0</v>
      </c>
      <c r="GL48" s="2">
        <f t="shared" si="34"/>
        <v>0</v>
      </c>
      <c r="GM48" s="2">
        <f>ROUND(CP48*I48,2)</f>
        <v>3898.43</v>
      </c>
      <c r="GN48" s="2">
        <f t="shared" si="36"/>
        <v>3898.43</v>
      </c>
      <c r="GO48" s="2">
        <f t="shared" si="37"/>
        <v>0</v>
      </c>
      <c r="GP48" s="2">
        <f t="shared" si="38"/>
        <v>0</v>
      </c>
      <c r="GQ48" s="2"/>
      <c r="GR48" s="2">
        <v>0</v>
      </c>
      <c r="GS48" s="2">
        <v>0</v>
      </c>
      <c r="GT48" s="2">
        <v>0</v>
      </c>
      <c r="GU48" s="2" t="s">
        <v>3</v>
      </c>
      <c r="GV48" s="2">
        <f>0</f>
        <v>0</v>
      </c>
      <c r="GW48" s="2">
        <v>1</v>
      </c>
      <c r="GX48" s="2">
        <f>0</f>
        <v>0</v>
      </c>
      <c r="GY48" s="2"/>
      <c r="GZ48" s="2"/>
      <c r="HA48" s="2">
        <v>0</v>
      </c>
      <c r="HB48" s="2">
        <v>0</v>
      </c>
      <c r="HC48" s="2">
        <v>0</v>
      </c>
      <c r="HD48" s="2">
        <f>GM48</f>
        <v>3898.43</v>
      </c>
      <c r="HE48" s="2" t="s">
        <v>3</v>
      </c>
      <c r="HF48" s="2" t="s">
        <v>3</v>
      </c>
      <c r="HG48" s="2"/>
      <c r="HH48" s="2"/>
      <c r="HI48" s="2"/>
      <c r="HJ48" s="2"/>
      <c r="HK48" s="2"/>
      <c r="HL48" s="2"/>
      <c r="HM48" s="2" t="s">
        <v>3</v>
      </c>
      <c r="HN48" s="2" t="s">
        <v>127</v>
      </c>
      <c r="HO48" s="2" t="s">
        <v>128</v>
      </c>
      <c r="HP48" s="2" t="s">
        <v>124</v>
      </c>
      <c r="HQ48" s="2" t="s">
        <v>124</v>
      </c>
      <c r="HR48" s="2"/>
      <c r="HS48" s="2">
        <v>0</v>
      </c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>
        <v>0</v>
      </c>
      <c r="IL48" s="2"/>
      <c r="IM48" s="2"/>
      <c r="IN48" s="2"/>
      <c r="IO48" s="2"/>
      <c r="IP48" s="2"/>
      <c r="IQ48" s="2"/>
      <c r="IR48" s="2"/>
      <c r="IS48" s="2"/>
      <c r="IT48" s="2"/>
      <c r="IU48" s="2"/>
    </row>
    <row r="50" spans="1:206" x14ac:dyDescent="0.2">
      <c r="A50" s="3">
        <v>51</v>
      </c>
      <c r="B50" s="3">
        <f>B24</f>
        <v>1</v>
      </c>
      <c r="C50" s="3">
        <f>A24</f>
        <v>4</v>
      </c>
      <c r="D50" s="3">
        <f>ROW(A24)</f>
        <v>24</v>
      </c>
      <c r="E50" s="3"/>
      <c r="F50" s="3" t="str">
        <f>IF(F24&lt;&gt;"",F24,"")</f>
        <v>Новый раздел</v>
      </c>
      <c r="G50" s="3" t="str">
        <f>IF(G24&lt;&gt;"",G24,"")</f>
        <v>Ремонт</v>
      </c>
      <c r="H50" s="3">
        <v>0</v>
      </c>
      <c r="I50" s="3"/>
      <c r="J50" s="3"/>
      <c r="K50" s="3"/>
      <c r="L50" s="3"/>
      <c r="M50" s="3"/>
      <c r="N50" s="3"/>
      <c r="O50" s="3">
        <f t="shared" ref="O50:T50" si="48">ROUND(AB50,2)</f>
        <v>638631.28</v>
      </c>
      <c r="P50" s="3">
        <f t="shared" si="48"/>
        <v>379276.96</v>
      </c>
      <c r="Q50" s="3">
        <f t="shared" si="48"/>
        <v>2504.5700000000002</v>
      </c>
      <c r="R50" s="3">
        <f t="shared" si="48"/>
        <v>2896.67</v>
      </c>
      <c r="S50" s="3">
        <f t="shared" si="48"/>
        <v>253953.08</v>
      </c>
      <c r="T50" s="3">
        <f t="shared" si="48"/>
        <v>0</v>
      </c>
      <c r="U50" s="3">
        <f>AH50</f>
        <v>371.39463000000001</v>
      </c>
      <c r="V50" s="3">
        <f>AI50</f>
        <v>4.0033199999999995</v>
      </c>
      <c r="W50" s="3">
        <f>ROUND(AJ50,2)</f>
        <v>0</v>
      </c>
      <c r="X50" s="3">
        <f>ROUND(AK50,2)</f>
        <v>229695.22</v>
      </c>
      <c r="Y50" s="3">
        <f>ROUND(AL50,2)</f>
        <v>111378.61</v>
      </c>
      <c r="Z50" s="3"/>
      <c r="AA50" s="3"/>
      <c r="AB50" s="3">
        <f>ROUND(SUMIF(AA28:AA48,"=94298235",O28:O48),2)</f>
        <v>638631.28</v>
      </c>
      <c r="AC50" s="3">
        <f>ROUND(SUMIF(AA28:AA48,"=94298235",P28:P48),2)</f>
        <v>379276.96</v>
      </c>
      <c r="AD50" s="3">
        <f>ROUND(SUMIF(AA28:AA48,"=94298235",Q28:Q48),2)</f>
        <v>2504.5700000000002</v>
      </c>
      <c r="AE50" s="3">
        <f>ROUND(SUMIF(AA28:AA48,"=94298235",R28:R48),2)</f>
        <v>2896.67</v>
      </c>
      <c r="AF50" s="3">
        <f>ROUND(SUMIF(AA28:AA48,"=94298235",S28:S48),2)</f>
        <v>253953.08</v>
      </c>
      <c r="AG50" s="3">
        <f>ROUND(SUMIF(AA28:AA48,"=94298235",T28:T48),2)</f>
        <v>0</v>
      </c>
      <c r="AH50" s="3">
        <f>SUMIF(AA28:AA48,"=94298235",U28:U48)</f>
        <v>371.39463000000001</v>
      </c>
      <c r="AI50" s="3">
        <f>SUMIF(AA28:AA48,"=94298235",V28:V48)</f>
        <v>4.0033199999999995</v>
      </c>
      <c r="AJ50" s="3">
        <f>ROUND(SUMIF(AA28:AA48,"=94298235",W28:W48),2)</f>
        <v>0</v>
      </c>
      <c r="AK50" s="3">
        <f>ROUND(SUMIF(AA28:AA48,"=94298235",X28:X48),2)</f>
        <v>229695.22</v>
      </c>
      <c r="AL50" s="3">
        <f>ROUND(SUMIF(AA28:AA48,"=94298235",Y28:Y48),2)</f>
        <v>111378.61</v>
      </c>
      <c r="AM50" s="3"/>
      <c r="AN50" s="3"/>
      <c r="AO50" s="3">
        <f t="shared" ref="AO50:BD50" si="49">ROUND(BX50,2)</f>
        <v>0</v>
      </c>
      <c r="AP50" s="3">
        <f t="shared" si="49"/>
        <v>0</v>
      </c>
      <c r="AQ50" s="3">
        <f t="shared" si="49"/>
        <v>0</v>
      </c>
      <c r="AR50" s="3">
        <f t="shared" si="49"/>
        <v>994779.44</v>
      </c>
      <c r="AS50" s="3">
        <f t="shared" si="49"/>
        <v>994779.44</v>
      </c>
      <c r="AT50" s="3">
        <f t="shared" si="49"/>
        <v>0</v>
      </c>
      <c r="AU50" s="3">
        <f t="shared" si="49"/>
        <v>0</v>
      </c>
      <c r="AV50" s="3">
        <f t="shared" si="49"/>
        <v>379276.96</v>
      </c>
      <c r="AW50" s="3">
        <f t="shared" si="49"/>
        <v>379276.96</v>
      </c>
      <c r="AX50" s="3">
        <f t="shared" si="49"/>
        <v>0</v>
      </c>
      <c r="AY50" s="3">
        <f t="shared" si="49"/>
        <v>379276.96</v>
      </c>
      <c r="AZ50" s="3">
        <f t="shared" si="49"/>
        <v>0</v>
      </c>
      <c r="BA50" s="3">
        <f t="shared" si="49"/>
        <v>0</v>
      </c>
      <c r="BB50" s="3">
        <f t="shared" si="49"/>
        <v>0</v>
      </c>
      <c r="BC50" s="3">
        <f t="shared" si="49"/>
        <v>0</v>
      </c>
      <c r="BD50" s="3">
        <f t="shared" si="49"/>
        <v>15074.33</v>
      </c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>
        <f>ROUND(SUMIF(AA28:AA48,"=94298235",FQ28:FQ48),2)</f>
        <v>0</v>
      </c>
      <c r="BY50" s="3">
        <f>ROUND(SUMIF(AA28:AA48,"=94298235",FR28:FR48),2)</f>
        <v>0</v>
      </c>
      <c r="BZ50" s="3">
        <f>ROUND(SUMIF(AA28:AA48,"=94298235",GL28:GL48),2)</f>
        <v>0</v>
      </c>
      <c r="CA50" s="3">
        <f>ROUND(SUMIF(AA28:AA48,"=94298235",GM28:GM48),2)</f>
        <v>994779.44</v>
      </c>
      <c r="CB50" s="3">
        <f>ROUND(SUMIF(AA28:AA48,"=94298235",GN28:GN48),2)</f>
        <v>994779.44</v>
      </c>
      <c r="CC50" s="3">
        <f>ROUND(SUMIF(AA28:AA48,"=94298235",GO28:GO48),2)</f>
        <v>0</v>
      </c>
      <c r="CD50" s="3">
        <f>ROUND(SUMIF(AA28:AA48,"=94298235",GP28:GP48),2)</f>
        <v>0</v>
      </c>
      <c r="CE50" s="3">
        <f>AC50-BX50</f>
        <v>379276.96</v>
      </c>
      <c r="CF50" s="3">
        <f>AC50-BY50</f>
        <v>379276.96</v>
      </c>
      <c r="CG50" s="3">
        <f>BX50-BZ50</f>
        <v>0</v>
      </c>
      <c r="CH50" s="3">
        <f>AC50-BX50-BY50+BZ50</f>
        <v>379276.96</v>
      </c>
      <c r="CI50" s="3">
        <f>BY50-BZ50</f>
        <v>0</v>
      </c>
      <c r="CJ50" s="3">
        <f>ROUND(SUMIF(AA28:AA48,"=94298235",GX28:GX48),2)</f>
        <v>0</v>
      </c>
      <c r="CK50" s="3">
        <f>ROUND(SUMIF(AA28:AA48,"=94298235",GY28:GY48),2)</f>
        <v>0</v>
      </c>
      <c r="CL50" s="3">
        <f>ROUND(SUMIF(AA28:AA48,"=94298235",GZ28:GZ48),2)</f>
        <v>0</v>
      </c>
      <c r="CM50" s="3">
        <f>ROUND(SUMIF(AA28:AA48,"=94298235",HD28:HD48),2)</f>
        <v>15074.33</v>
      </c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>
        <v>0</v>
      </c>
    </row>
    <row r="52" spans="1:206" x14ac:dyDescent="0.2">
      <c r="A52" s="5">
        <v>50</v>
      </c>
      <c r="B52" s="5">
        <v>0</v>
      </c>
      <c r="C52" s="5">
        <v>0</v>
      </c>
      <c r="D52" s="5">
        <v>1</v>
      </c>
      <c r="E52" s="5">
        <v>201</v>
      </c>
      <c r="F52" s="5">
        <f>ROUND(Source!O50,O52)</f>
        <v>638631.28</v>
      </c>
      <c r="G52" s="5" t="s">
        <v>129</v>
      </c>
      <c r="H52" s="5" t="s">
        <v>130</v>
      </c>
      <c r="I52" s="5"/>
      <c r="J52" s="5"/>
      <c r="K52" s="5">
        <v>201</v>
      </c>
      <c r="L52" s="5">
        <v>1</v>
      </c>
      <c r="M52" s="5">
        <v>3</v>
      </c>
      <c r="N52" s="5" t="s">
        <v>3</v>
      </c>
      <c r="O52" s="5">
        <v>2</v>
      </c>
      <c r="P52" s="5"/>
      <c r="Q52" s="5"/>
      <c r="R52" s="5"/>
      <c r="S52" s="5"/>
      <c r="T52" s="5"/>
      <c r="U52" s="5"/>
      <c r="V52" s="5"/>
      <c r="W52" s="5">
        <v>653705.6100000001</v>
      </c>
      <c r="X52" s="5">
        <v>1</v>
      </c>
      <c r="Y52" s="5">
        <v>653705.6100000001</v>
      </c>
      <c r="Z52" s="5"/>
      <c r="AA52" s="5"/>
      <c r="AB52" s="5"/>
    </row>
    <row r="53" spans="1:206" x14ac:dyDescent="0.2">
      <c r="A53" s="5">
        <v>50</v>
      </c>
      <c r="B53" s="5">
        <v>0</v>
      </c>
      <c r="C53" s="5">
        <v>0</v>
      </c>
      <c r="D53" s="5">
        <v>1</v>
      </c>
      <c r="E53" s="5">
        <v>202</v>
      </c>
      <c r="F53" s="5">
        <f>ROUND(Source!P50,O53)</f>
        <v>379276.96</v>
      </c>
      <c r="G53" s="5" t="s">
        <v>131</v>
      </c>
      <c r="H53" s="5" t="s">
        <v>132</v>
      </c>
      <c r="I53" s="5"/>
      <c r="J53" s="5"/>
      <c r="K53" s="5">
        <v>202</v>
      </c>
      <c r="L53" s="5">
        <v>2</v>
      </c>
      <c r="M53" s="5">
        <v>3</v>
      </c>
      <c r="N53" s="5" t="s">
        <v>3</v>
      </c>
      <c r="O53" s="5">
        <v>2</v>
      </c>
      <c r="P53" s="5"/>
      <c r="Q53" s="5"/>
      <c r="R53" s="5"/>
      <c r="S53" s="5"/>
      <c r="T53" s="5"/>
      <c r="U53" s="5"/>
      <c r="V53" s="5"/>
      <c r="W53" s="5">
        <v>379276.96</v>
      </c>
      <c r="X53" s="5">
        <v>1</v>
      </c>
      <c r="Y53" s="5">
        <v>379276.96</v>
      </c>
      <c r="Z53" s="5"/>
      <c r="AA53" s="5"/>
      <c r="AB53" s="5"/>
    </row>
    <row r="54" spans="1:206" x14ac:dyDescent="0.2">
      <c r="A54" s="5">
        <v>50</v>
      </c>
      <c r="B54" s="5">
        <v>0</v>
      </c>
      <c r="C54" s="5">
        <v>0</v>
      </c>
      <c r="D54" s="5">
        <v>1</v>
      </c>
      <c r="E54" s="5">
        <v>222</v>
      </c>
      <c r="F54" s="5">
        <f>ROUND(Source!AO50,O54)</f>
        <v>0</v>
      </c>
      <c r="G54" s="5" t="s">
        <v>133</v>
      </c>
      <c r="H54" s="5" t="s">
        <v>134</v>
      </c>
      <c r="I54" s="5"/>
      <c r="J54" s="5"/>
      <c r="K54" s="5">
        <v>222</v>
      </c>
      <c r="L54" s="5">
        <v>3</v>
      </c>
      <c r="M54" s="5">
        <v>3</v>
      </c>
      <c r="N54" s="5" t="s">
        <v>3</v>
      </c>
      <c r="O54" s="5">
        <v>2</v>
      </c>
      <c r="P54" s="5"/>
      <c r="Q54" s="5"/>
      <c r="R54" s="5"/>
      <c r="S54" s="5"/>
      <c r="T54" s="5"/>
      <c r="U54" s="5"/>
      <c r="V54" s="5"/>
      <c r="W54" s="5">
        <v>0</v>
      </c>
      <c r="X54" s="5">
        <v>1</v>
      </c>
      <c r="Y54" s="5">
        <v>0</v>
      </c>
      <c r="Z54" s="5"/>
      <c r="AA54" s="5"/>
      <c r="AB54" s="5"/>
    </row>
    <row r="55" spans="1:206" x14ac:dyDescent="0.2">
      <c r="A55" s="5">
        <v>50</v>
      </c>
      <c r="B55" s="5">
        <v>0</v>
      </c>
      <c r="C55" s="5">
        <v>0</v>
      </c>
      <c r="D55" s="5">
        <v>1</v>
      </c>
      <c r="E55" s="5">
        <v>225</v>
      </c>
      <c r="F55" s="5">
        <f>ROUND(Source!AV50,O55)</f>
        <v>379276.96</v>
      </c>
      <c r="G55" s="5" t="s">
        <v>135</v>
      </c>
      <c r="H55" s="5" t="s">
        <v>136</v>
      </c>
      <c r="I55" s="5"/>
      <c r="J55" s="5"/>
      <c r="K55" s="5">
        <v>225</v>
      </c>
      <c r="L55" s="5">
        <v>4</v>
      </c>
      <c r="M55" s="5">
        <v>3</v>
      </c>
      <c r="N55" s="5" t="s">
        <v>3</v>
      </c>
      <c r="O55" s="5">
        <v>2</v>
      </c>
      <c r="P55" s="5"/>
      <c r="Q55" s="5"/>
      <c r="R55" s="5"/>
      <c r="S55" s="5"/>
      <c r="T55" s="5"/>
      <c r="U55" s="5"/>
      <c r="V55" s="5"/>
      <c r="W55" s="5">
        <v>379276.96</v>
      </c>
      <c r="X55" s="5">
        <v>1</v>
      </c>
      <c r="Y55" s="5">
        <v>379276.96</v>
      </c>
      <c r="Z55" s="5"/>
      <c r="AA55" s="5"/>
      <c r="AB55" s="5"/>
    </row>
    <row r="56" spans="1:206" x14ac:dyDescent="0.2">
      <c r="A56" s="5">
        <v>50</v>
      </c>
      <c r="B56" s="5">
        <v>0</v>
      </c>
      <c r="C56" s="5">
        <v>0</v>
      </c>
      <c r="D56" s="5">
        <v>1</v>
      </c>
      <c r="E56" s="5">
        <v>226</v>
      </c>
      <c r="F56" s="5">
        <f>ROUND(Source!AW50,O56)</f>
        <v>379276.96</v>
      </c>
      <c r="G56" s="5" t="s">
        <v>137</v>
      </c>
      <c r="H56" s="5" t="s">
        <v>138</v>
      </c>
      <c r="I56" s="5"/>
      <c r="J56" s="5"/>
      <c r="K56" s="5">
        <v>226</v>
      </c>
      <c r="L56" s="5">
        <v>5</v>
      </c>
      <c r="M56" s="5">
        <v>3</v>
      </c>
      <c r="N56" s="5" t="s">
        <v>3</v>
      </c>
      <c r="O56" s="5">
        <v>2</v>
      </c>
      <c r="P56" s="5"/>
      <c r="Q56" s="5"/>
      <c r="R56" s="5"/>
      <c r="S56" s="5"/>
      <c r="T56" s="5"/>
      <c r="U56" s="5"/>
      <c r="V56" s="5"/>
      <c r="W56" s="5">
        <v>379276.96</v>
      </c>
      <c r="X56" s="5">
        <v>1</v>
      </c>
      <c r="Y56" s="5">
        <v>379276.96</v>
      </c>
      <c r="Z56" s="5"/>
      <c r="AA56" s="5"/>
      <c r="AB56" s="5"/>
    </row>
    <row r="57" spans="1:206" x14ac:dyDescent="0.2">
      <c r="A57" s="5">
        <v>50</v>
      </c>
      <c r="B57" s="5">
        <v>0</v>
      </c>
      <c r="C57" s="5">
        <v>0</v>
      </c>
      <c r="D57" s="5">
        <v>1</v>
      </c>
      <c r="E57" s="5">
        <v>227</v>
      </c>
      <c r="F57" s="5">
        <f>ROUND(Source!AX50,O57)</f>
        <v>0</v>
      </c>
      <c r="G57" s="5" t="s">
        <v>139</v>
      </c>
      <c r="H57" s="5" t="s">
        <v>140</v>
      </c>
      <c r="I57" s="5"/>
      <c r="J57" s="5"/>
      <c r="K57" s="5">
        <v>227</v>
      </c>
      <c r="L57" s="5">
        <v>6</v>
      </c>
      <c r="M57" s="5">
        <v>3</v>
      </c>
      <c r="N57" s="5" t="s">
        <v>3</v>
      </c>
      <c r="O57" s="5">
        <v>2</v>
      </c>
      <c r="P57" s="5"/>
      <c r="Q57" s="5"/>
      <c r="R57" s="5"/>
      <c r="S57" s="5"/>
      <c r="T57" s="5"/>
      <c r="U57" s="5"/>
      <c r="V57" s="5"/>
      <c r="W57" s="5">
        <v>0</v>
      </c>
      <c r="X57" s="5">
        <v>1</v>
      </c>
      <c r="Y57" s="5">
        <v>0</v>
      </c>
      <c r="Z57" s="5"/>
      <c r="AA57" s="5"/>
      <c r="AB57" s="5"/>
    </row>
    <row r="58" spans="1:206" x14ac:dyDescent="0.2">
      <c r="A58" s="5">
        <v>50</v>
      </c>
      <c r="B58" s="5">
        <v>0</v>
      </c>
      <c r="C58" s="5">
        <v>0</v>
      </c>
      <c r="D58" s="5">
        <v>1</v>
      </c>
      <c r="E58" s="5">
        <v>228</v>
      </c>
      <c r="F58" s="5">
        <f>ROUND(Source!AY50,O58)</f>
        <v>379276.96</v>
      </c>
      <c r="G58" s="5" t="s">
        <v>141</v>
      </c>
      <c r="H58" s="5" t="s">
        <v>142</v>
      </c>
      <c r="I58" s="5"/>
      <c r="J58" s="5"/>
      <c r="K58" s="5">
        <v>228</v>
      </c>
      <c r="L58" s="5">
        <v>7</v>
      </c>
      <c r="M58" s="5">
        <v>3</v>
      </c>
      <c r="N58" s="5" t="s">
        <v>3</v>
      </c>
      <c r="O58" s="5">
        <v>2</v>
      </c>
      <c r="P58" s="5"/>
      <c r="Q58" s="5"/>
      <c r="R58" s="5"/>
      <c r="S58" s="5"/>
      <c r="T58" s="5"/>
      <c r="U58" s="5"/>
      <c r="V58" s="5"/>
      <c r="W58" s="5">
        <v>379276.96</v>
      </c>
      <c r="X58" s="5">
        <v>1</v>
      </c>
      <c r="Y58" s="5">
        <v>379276.96</v>
      </c>
      <c r="Z58" s="5"/>
      <c r="AA58" s="5"/>
      <c r="AB58" s="5"/>
    </row>
    <row r="59" spans="1:206" x14ac:dyDescent="0.2">
      <c r="A59" s="5">
        <v>50</v>
      </c>
      <c r="B59" s="5">
        <v>0</v>
      </c>
      <c r="C59" s="5">
        <v>0</v>
      </c>
      <c r="D59" s="5">
        <v>1</v>
      </c>
      <c r="E59" s="5">
        <v>216</v>
      </c>
      <c r="F59" s="5">
        <f>ROUND(Source!AP50,O59)</f>
        <v>0</v>
      </c>
      <c r="G59" s="5" t="s">
        <v>143</v>
      </c>
      <c r="H59" s="5" t="s">
        <v>144</v>
      </c>
      <c r="I59" s="5"/>
      <c r="J59" s="5"/>
      <c r="K59" s="5">
        <v>216</v>
      </c>
      <c r="L59" s="5">
        <v>8</v>
      </c>
      <c r="M59" s="5">
        <v>3</v>
      </c>
      <c r="N59" s="5" t="s">
        <v>3</v>
      </c>
      <c r="O59" s="5">
        <v>2</v>
      </c>
      <c r="P59" s="5"/>
      <c r="Q59" s="5"/>
      <c r="R59" s="5"/>
      <c r="S59" s="5"/>
      <c r="T59" s="5"/>
      <c r="U59" s="5"/>
      <c r="V59" s="5"/>
      <c r="W59" s="5">
        <v>0</v>
      </c>
      <c r="X59" s="5">
        <v>1</v>
      </c>
      <c r="Y59" s="5">
        <v>0</v>
      </c>
      <c r="Z59" s="5"/>
      <c r="AA59" s="5"/>
      <c r="AB59" s="5"/>
    </row>
    <row r="60" spans="1:206" x14ac:dyDescent="0.2">
      <c r="A60" s="5">
        <v>50</v>
      </c>
      <c r="B60" s="5">
        <v>0</v>
      </c>
      <c r="C60" s="5">
        <v>0</v>
      </c>
      <c r="D60" s="5">
        <v>1</v>
      </c>
      <c r="E60" s="5">
        <v>223</v>
      </c>
      <c r="F60" s="5">
        <f>ROUND(Source!AQ50,O60)</f>
        <v>0</v>
      </c>
      <c r="G60" s="5" t="s">
        <v>145</v>
      </c>
      <c r="H60" s="5" t="s">
        <v>146</v>
      </c>
      <c r="I60" s="5"/>
      <c r="J60" s="5"/>
      <c r="K60" s="5">
        <v>223</v>
      </c>
      <c r="L60" s="5">
        <v>9</v>
      </c>
      <c r="M60" s="5">
        <v>3</v>
      </c>
      <c r="N60" s="5" t="s">
        <v>3</v>
      </c>
      <c r="O60" s="5">
        <v>2</v>
      </c>
      <c r="P60" s="5"/>
      <c r="Q60" s="5"/>
      <c r="R60" s="5"/>
      <c r="S60" s="5"/>
      <c r="T60" s="5"/>
      <c r="U60" s="5"/>
      <c r="V60" s="5"/>
      <c r="W60" s="5">
        <v>0</v>
      </c>
      <c r="X60" s="5">
        <v>1</v>
      </c>
      <c r="Y60" s="5">
        <v>0</v>
      </c>
      <c r="Z60" s="5"/>
      <c r="AA60" s="5"/>
      <c r="AB60" s="5"/>
    </row>
    <row r="61" spans="1:206" x14ac:dyDescent="0.2">
      <c r="A61" s="5">
        <v>50</v>
      </c>
      <c r="B61" s="5">
        <v>0</v>
      </c>
      <c r="C61" s="5">
        <v>0</v>
      </c>
      <c r="D61" s="5">
        <v>1</v>
      </c>
      <c r="E61" s="5">
        <v>229</v>
      </c>
      <c r="F61" s="5">
        <f>ROUND(Source!AZ50,O61)</f>
        <v>0</v>
      </c>
      <c r="G61" s="5" t="s">
        <v>147</v>
      </c>
      <c r="H61" s="5" t="s">
        <v>148</v>
      </c>
      <c r="I61" s="5"/>
      <c r="J61" s="5"/>
      <c r="K61" s="5">
        <v>229</v>
      </c>
      <c r="L61" s="5">
        <v>10</v>
      </c>
      <c r="M61" s="5">
        <v>3</v>
      </c>
      <c r="N61" s="5" t="s">
        <v>3</v>
      </c>
      <c r="O61" s="5">
        <v>2</v>
      </c>
      <c r="P61" s="5"/>
      <c r="Q61" s="5"/>
      <c r="R61" s="5"/>
      <c r="S61" s="5"/>
      <c r="T61" s="5"/>
      <c r="U61" s="5"/>
      <c r="V61" s="5"/>
      <c r="W61" s="5">
        <v>0</v>
      </c>
      <c r="X61" s="5">
        <v>1</v>
      </c>
      <c r="Y61" s="5">
        <v>0</v>
      </c>
      <c r="Z61" s="5"/>
      <c r="AA61" s="5"/>
      <c r="AB61" s="5"/>
    </row>
    <row r="62" spans="1:206" x14ac:dyDescent="0.2">
      <c r="A62" s="5">
        <v>50</v>
      </c>
      <c r="B62" s="5">
        <v>0</v>
      </c>
      <c r="C62" s="5">
        <v>0</v>
      </c>
      <c r="D62" s="5">
        <v>1</v>
      </c>
      <c r="E62" s="5">
        <v>203</v>
      </c>
      <c r="F62" s="5">
        <f>ROUND(Source!Q50,O62)</f>
        <v>2504.5700000000002</v>
      </c>
      <c r="G62" s="5" t="s">
        <v>149</v>
      </c>
      <c r="H62" s="5" t="s">
        <v>150</v>
      </c>
      <c r="I62" s="5"/>
      <c r="J62" s="5"/>
      <c r="K62" s="5">
        <v>203</v>
      </c>
      <c r="L62" s="5">
        <v>11</v>
      </c>
      <c r="M62" s="5">
        <v>3</v>
      </c>
      <c r="N62" s="5" t="s">
        <v>3</v>
      </c>
      <c r="O62" s="5">
        <v>2</v>
      </c>
      <c r="P62" s="5"/>
      <c r="Q62" s="5"/>
      <c r="R62" s="5"/>
      <c r="S62" s="5"/>
      <c r="T62" s="5"/>
      <c r="U62" s="5"/>
      <c r="V62" s="5"/>
      <c r="W62" s="5">
        <v>2504.5700000000002</v>
      </c>
      <c r="X62" s="5">
        <v>1</v>
      </c>
      <c r="Y62" s="5">
        <v>2504.5700000000002</v>
      </c>
      <c r="Z62" s="5"/>
      <c r="AA62" s="5"/>
      <c r="AB62" s="5"/>
    </row>
    <row r="63" spans="1:206" x14ac:dyDescent="0.2">
      <c r="A63" s="5">
        <v>50</v>
      </c>
      <c r="B63" s="5">
        <v>0</v>
      </c>
      <c r="C63" s="5">
        <v>0</v>
      </c>
      <c r="D63" s="5">
        <v>1</v>
      </c>
      <c r="E63" s="5">
        <v>231</v>
      </c>
      <c r="F63" s="5">
        <f>ROUND(Source!BB50,O63)</f>
        <v>0</v>
      </c>
      <c r="G63" s="5" t="s">
        <v>151</v>
      </c>
      <c r="H63" s="5" t="s">
        <v>152</v>
      </c>
      <c r="I63" s="5"/>
      <c r="J63" s="5"/>
      <c r="K63" s="5">
        <v>231</v>
      </c>
      <c r="L63" s="5">
        <v>12</v>
      </c>
      <c r="M63" s="5">
        <v>3</v>
      </c>
      <c r="N63" s="5" t="s">
        <v>3</v>
      </c>
      <c r="O63" s="5">
        <v>2</v>
      </c>
      <c r="P63" s="5"/>
      <c r="Q63" s="5"/>
      <c r="R63" s="5"/>
      <c r="S63" s="5"/>
      <c r="T63" s="5"/>
      <c r="U63" s="5"/>
      <c r="V63" s="5"/>
      <c r="W63" s="5">
        <v>0</v>
      </c>
      <c r="X63" s="5">
        <v>1</v>
      </c>
      <c r="Y63" s="5">
        <v>0</v>
      </c>
      <c r="Z63" s="5"/>
      <c r="AA63" s="5"/>
      <c r="AB63" s="5"/>
    </row>
    <row r="64" spans="1:206" x14ac:dyDescent="0.2">
      <c r="A64" s="5">
        <v>50</v>
      </c>
      <c r="B64" s="5">
        <v>0</v>
      </c>
      <c r="C64" s="5">
        <v>0</v>
      </c>
      <c r="D64" s="5">
        <v>1</v>
      </c>
      <c r="E64" s="5">
        <v>204</v>
      </c>
      <c r="F64" s="5">
        <f>ROUND(Source!R50,O64)</f>
        <v>2896.67</v>
      </c>
      <c r="G64" s="5" t="s">
        <v>153</v>
      </c>
      <c r="H64" s="5" t="s">
        <v>154</v>
      </c>
      <c r="I64" s="5"/>
      <c r="J64" s="5"/>
      <c r="K64" s="5">
        <v>204</v>
      </c>
      <c r="L64" s="5">
        <v>13</v>
      </c>
      <c r="M64" s="5">
        <v>3</v>
      </c>
      <c r="N64" s="5" t="s">
        <v>3</v>
      </c>
      <c r="O64" s="5">
        <v>2</v>
      </c>
      <c r="P64" s="5"/>
      <c r="Q64" s="5"/>
      <c r="R64" s="5"/>
      <c r="S64" s="5"/>
      <c r="T64" s="5"/>
      <c r="U64" s="5"/>
      <c r="V64" s="5"/>
      <c r="W64" s="5">
        <v>2896.6700000000005</v>
      </c>
      <c r="X64" s="5">
        <v>1</v>
      </c>
      <c r="Y64" s="5">
        <v>2896.6700000000005</v>
      </c>
      <c r="Z64" s="5"/>
      <c r="AA64" s="5"/>
      <c r="AB64" s="5"/>
    </row>
    <row r="65" spans="1:206" x14ac:dyDescent="0.2">
      <c r="A65" s="5">
        <v>50</v>
      </c>
      <c r="B65" s="5">
        <v>0</v>
      </c>
      <c r="C65" s="5">
        <v>0</v>
      </c>
      <c r="D65" s="5">
        <v>1</v>
      </c>
      <c r="E65" s="5">
        <v>205</v>
      </c>
      <c r="F65" s="5">
        <f>ROUND(Source!S50,O65)</f>
        <v>253953.08</v>
      </c>
      <c r="G65" s="5" t="s">
        <v>155</v>
      </c>
      <c r="H65" s="5" t="s">
        <v>156</v>
      </c>
      <c r="I65" s="5"/>
      <c r="J65" s="5"/>
      <c r="K65" s="5">
        <v>205</v>
      </c>
      <c r="L65" s="5">
        <v>14</v>
      </c>
      <c r="M65" s="5">
        <v>3</v>
      </c>
      <c r="N65" s="5" t="s">
        <v>3</v>
      </c>
      <c r="O65" s="5">
        <v>2</v>
      </c>
      <c r="P65" s="5"/>
      <c r="Q65" s="5"/>
      <c r="R65" s="5"/>
      <c r="S65" s="5"/>
      <c r="T65" s="5"/>
      <c r="U65" s="5"/>
      <c r="V65" s="5"/>
      <c r="W65" s="5">
        <v>253953.08000000005</v>
      </c>
      <c r="X65" s="5">
        <v>1</v>
      </c>
      <c r="Y65" s="5">
        <v>253953.08000000005</v>
      </c>
      <c r="Z65" s="5"/>
      <c r="AA65" s="5"/>
      <c r="AB65" s="5"/>
    </row>
    <row r="66" spans="1:206" x14ac:dyDescent="0.2">
      <c r="A66" s="5">
        <v>50</v>
      </c>
      <c r="B66" s="5">
        <v>0</v>
      </c>
      <c r="C66" s="5">
        <v>0</v>
      </c>
      <c r="D66" s="5">
        <v>1</v>
      </c>
      <c r="E66" s="5">
        <v>232</v>
      </c>
      <c r="F66" s="5">
        <f>ROUND(Source!BC50,O66)</f>
        <v>0</v>
      </c>
      <c r="G66" s="5" t="s">
        <v>157</v>
      </c>
      <c r="H66" s="5" t="s">
        <v>158</v>
      </c>
      <c r="I66" s="5"/>
      <c r="J66" s="5"/>
      <c r="K66" s="5">
        <v>232</v>
      </c>
      <c r="L66" s="5">
        <v>15</v>
      </c>
      <c r="M66" s="5">
        <v>3</v>
      </c>
      <c r="N66" s="5" t="s">
        <v>3</v>
      </c>
      <c r="O66" s="5">
        <v>2</v>
      </c>
      <c r="P66" s="5"/>
      <c r="Q66" s="5"/>
      <c r="R66" s="5"/>
      <c r="S66" s="5"/>
      <c r="T66" s="5"/>
      <c r="U66" s="5"/>
      <c r="V66" s="5"/>
      <c r="W66" s="5">
        <v>0</v>
      </c>
      <c r="X66" s="5">
        <v>1</v>
      </c>
      <c r="Y66" s="5">
        <v>0</v>
      </c>
      <c r="Z66" s="5"/>
      <c r="AA66" s="5"/>
      <c r="AB66" s="5"/>
    </row>
    <row r="67" spans="1:206" x14ac:dyDescent="0.2">
      <c r="A67" s="5">
        <v>50</v>
      </c>
      <c r="B67" s="5">
        <v>0</v>
      </c>
      <c r="C67" s="5">
        <v>0</v>
      </c>
      <c r="D67" s="5">
        <v>1</v>
      </c>
      <c r="E67" s="5">
        <v>214</v>
      </c>
      <c r="F67" s="5">
        <f>ROUND(Source!AS50,O67)</f>
        <v>994779.44</v>
      </c>
      <c r="G67" s="5" t="s">
        <v>159</v>
      </c>
      <c r="H67" s="5" t="s">
        <v>160</v>
      </c>
      <c r="I67" s="5"/>
      <c r="J67" s="5"/>
      <c r="K67" s="5">
        <v>214</v>
      </c>
      <c r="L67" s="5">
        <v>16</v>
      </c>
      <c r="M67" s="5">
        <v>3</v>
      </c>
      <c r="N67" s="5" t="s">
        <v>3</v>
      </c>
      <c r="O67" s="5">
        <v>2</v>
      </c>
      <c r="P67" s="5"/>
      <c r="Q67" s="5"/>
      <c r="R67" s="5"/>
      <c r="S67" s="5"/>
      <c r="T67" s="5"/>
      <c r="U67" s="5"/>
      <c r="V67" s="5"/>
      <c r="W67" s="5">
        <v>994779.44</v>
      </c>
      <c r="X67" s="5">
        <v>1</v>
      </c>
      <c r="Y67" s="5">
        <v>994779.44</v>
      </c>
      <c r="Z67" s="5"/>
      <c r="AA67" s="5"/>
      <c r="AB67" s="5"/>
    </row>
    <row r="68" spans="1:206" x14ac:dyDescent="0.2">
      <c r="A68" s="5">
        <v>50</v>
      </c>
      <c r="B68" s="5">
        <v>0</v>
      </c>
      <c r="C68" s="5">
        <v>0</v>
      </c>
      <c r="D68" s="5">
        <v>1</v>
      </c>
      <c r="E68" s="5">
        <v>215</v>
      </c>
      <c r="F68" s="5">
        <f>ROUND(Source!AT50,O68)</f>
        <v>0</v>
      </c>
      <c r="G68" s="5" t="s">
        <v>161</v>
      </c>
      <c r="H68" s="5" t="s">
        <v>162</v>
      </c>
      <c r="I68" s="5"/>
      <c r="J68" s="5"/>
      <c r="K68" s="5">
        <v>215</v>
      </c>
      <c r="L68" s="5">
        <v>17</v>
      </c>
      <c r="M68" s="5">
        <v>3</v>
      </c>
      <c r="N68" s="5" t="s">
        <v>3</v>
      </c>
      <c r="O68" s="5">
        <v>2</v>
      </c>
      <c r="P68" s="5"/>
      <c r="Q68" s="5"/>
      <c r="R68" s="5"/>
      <c r="S68" s="5"/>
      <c r="T68" s="5"/>
      <c r="U68" s="5"/>
      <c r="V68" s="5"/>
      <c r="W68" s="5">
        <v>0</v>
      </c>
      <c r="X68" s="5">
        <v>1</v>
      </c>
      <c r="Y68" s="5">
        <v>0</v>
      </c>
      <c r="Z68" s="5"/>
      <c r="AA68" s="5"/>
      <c r="AB68" s="5"/>
    </row>
    <row r="69" spans="1:206" x14ac:dyDescent="0.2">
      <c r="A69" s="5">
        <v>50</v>
      </c>
      <c r="B69" s="5">
        <v>0</v>
      </c>
      <c r="C69" s="5">
        <v>0</v>
      </c>
      <c r="D69" s="5">
        <v>1</v>
      </c>
      <c r="E69" s="5">
        <v>217</v>
      </c>
      <c r="F69" s="5">
        <f>ROUND(Source!AU50,O69)</f>
        <v>0</v>
      </c>
      <c r="G69" s="5" t="s">
        <v>163</v>
      </c>
      <c r="H69" s="5" t="s">
        <v>164</v>
      </c>
      <c r="I69" s="5"/>
      <c r="J69" s="5"/>
      <c r="K69" s="5">
        <v>217</v>
      </c>
      <c r="L69" s="5">
        <v>18</v>
      </c>
      <c r="M69" s="5">
        <v>3</v>
      </c>
      <c r="N69" s="5" t="s">
        <v>3</v>
      </c>
      <c r="O69" s="5">
        <v>2</v>
      </c>
      <c r="P69" s="5"/>
      <c r="Q69" s="5"/>
      <c r="R69" s="5"/>
      <c r="S69" s="5"/>
      <c r="T69" s="5"/>
      <c r="U69" s="5"/>
      <c r="V69" s="5"/>
      <c r="W69" s="5">
        <v>0</v>
      </c>
      <c r="X69" s="5">
        <v>1</v>
      </c>
      <c r="Y69" s="5">
        <v>0</v>
      </c>
      <c r="Z69" s="5"/>
      <c r="AA69" s="5"/>
      <c r="AB69" s="5"/>
    </row>
    <row r="70" spans="1:206" x14ac:dyDescent="0.2">
      <c r="A70" s="5">
        <v>50</v>
      </c>
      <c r="B70" s="5">
        <v>0</v>
      </c>
      <c r="C70" s="5">
        <v>0</v>
      </c>
      <c r="D70" s="5">
        <v>1</v>
      </c>
      <c r="E70" s="5">
        <v>230</v>
      </c>
      <c r="F70" s="5">
        <f>ROUND(Source!BA50,O70)</f>
        <v>0</v>
      </c>
      <c r="G70" s="5" t="s">
        <v>165</v>
      </c>
      <c r="H70" s="5" t="s">
        <v>166</v>
      </c>
      <c r="I70" s="5"/>
      <c r="J70" s="5"/>
      <c r="K70" s="5">
        <v>230</v>
      </c>
      <c r="L70" s="5">
        <v>19</v>
      </c>
      <c r="M70" s="5">
        <v>3</v>
      </c>
      <c r="N70" s="5" t="s">
        <v>3</v>
      </c>
      <c r="O70" s="5">
        <v>2</v>
      </c>
      <c r="P70" s="5"/>
      <c r="Q70" s="5"/>
      <c r="R70" s="5"/>
      <c r="S70" s="5"/>
      <c r="T70" s="5"/>
      <c r="U70" s="5"/>
      <c r="V70" s="5"/>
      <c r="W70" s="5">
        <v>0</v>
      </c>
      <c r="X70" s="5">
        <v>1</v>
      </c>
      <c r="Y70" s="5">
        <v>0</v>
      </c>
      <c r="Z70" s="5"/>
      <c r="AA70" s="5"/>
      <c r="AB70" s="5"/>
    </row>
    <row r="71" spans="1:206" x14ac:dyDescent="0.2">
      <c r="A71" s="5">
        <v>50</v>
      </c>
      <c r="B71" s="5">
        <v>0</v>
      </c>
      <c r="C71" s="5">
        <v>0</v>
      </c>
      <c r="D71" s="5">
        <v>1</v>
      </c>
      <c r="E71" s="5">
        <v>206</v>
      </c>
      <c r="F71" s="5">
        <f>ROUND(Source!T50,O71)</f>
        <v>0</v>
      </c>
      <c r="G71" s="5" t="s">
        <v>167</v>
      </c>
      <c r="H71" s="5" t="s">
        <v>168</v>
      </c>
      <c r="I71" s="5"/>
      <c r="J71" s="5"/>
      <c r="K71" s="5">
        <v>206</v>
      </c>
      <c r="L71" s="5">
        <v>20</v>
      </c>
      <c r="M71" s="5">
        <v>3</v>
      </c>
      <c r="N71" s="5" t="s">
        <v>3</v>
      </c>
      <c r="O71" s="5">
        <v>2</v>
      </c>
      <c r="P71" s="5"/>
      <c r="Q71" s="5"/>
      <c r="R71" s="5"/>
      <c r="S71" s="5"/>
      <c r="T71" s="5"/>
      <c r="U71" s="5"/>
      <c r="V71" s="5"/>
      <c r="W71" s="5">
        <v>0</v>
      </c>
      <c r="X71" s="5">
        <v>1</v>
      </c>
      <c r="Y71" s="5">
        <v>0</v>
      </c>
      <c r="Z71" s="5"/>
      <c r="AA71" s="5"/>
      <c r="AB71" s="5"/>
    </row>
    <row r="72" spans="1:206" x14ac:dyDescent="0.2">
      <c r="A72" s="5">
        <v>50</v>
      </c>
      <c r="B72" s="5">
        <v>0</v>
      </c>
      <c r="C72" s="5">
        <v>0</v>
      </c>
      <c r="D72" s="5">
        <v>1</v>
      </c>
      <c r="E72" s="5">
        <v>207</v>
      </c>
      <c r="F72" s="5">
        <f>ROUND(Source!U50,O72)</f>
        <v>371.39463000000001</v>
      </c>
      <c r="G72" s="5" t="s">
        <v>169</v>
      </c>
      <c r="H72" s="5" t="s">
        <v>170</v>
      </c>
      <c r="I72" s="5"/>
      <c r="J72" s="5"/>
      <c r="K72" s="5">
        <v>207</v>
      </c>
      <c r="L72" s="5">
        <v>21</v>
      </c>
      <c r="M72" s="5">
        <v>3</v>
      </c>
      <c r="N72" s="5" t="s">
        <v>3</v>
      </c>
      <c r="O72" s="5">
        <v>7</v>
      </c>
      <c r="P72" s="5"/>
      <c r="Q72" s="5"/>
      <c r="R72" s="5"/>
      <c r="S72" s="5"/>
      <c r="T72" s="5"/>
      <c r="U72" s="5"/>
      <c r="V72" s="5"/>
      <c r="W72" s="5">
        <v>371.39463000000001</v>
      </c>
      <c r="X72" s="5">
        <v>1</v>
      </c>
      <c r="Y72" s="5">
        <v>371.39463000000001</v>
      </c>
      <c r="Z72" s="5"/>
      <c r="AA72" s="5"/>
      <c r="AB72" s="5"/>
    </row>
    <row r="73" spans="1:206" x14ac:dyDescent="0.2">
      <c r="A73" s="5">
        <v>50</v>
      </c>
      <c r="B73" s="5">
        <v>0</v>
      </c>
      <c r="C73" s="5">
        <v>0</v>
      </c>
      <c r="D73" s="5">
        <v>1</v>
      </c>
      <c r="E73" s="5">
        <v>208</v>
      </c>
      <c r="F73" s="5">
        <f>ROUND(Source!V50,O73)</f>
        <v>4.0033200000000004</v>
      </c>
      <c r="G73" s="5" t="s">
        <v>171</v>
      </c>
      <c r="H73" s="5" t="s">
        <v>172</v>
      </c>
      <c r="I73" s="5"/>
      <c r="J73" s="5"/>
      <c r="K73" s="5">
        <v>208</v>
      </c>
      <c r="L73" s="5">
        <v>22</v>
      </c>
      <c r="M73" s="5">
        <v>3</v>
      </c>
      <c r="N73" s="5" t="s">
        <v>3</v>
      </c>
      <c r="O73" s="5">
        <v>7</v>
      </c>
      <c r="P73" s="5"/>
      <c r="Q73" s="5"/>
      <c r="R73" s="5"/>
      <c r="S73" s="5"/>
      <c r="T73" s="5"/>
      <c r="U73" s="5"/>
      <c r="V73" s="5"/>
      <c r="W73" s="5">
        <v>4.0033200000000004</v>
      </c>
      <c r="X73" s="5">
        <v>1</v>
      </c>
      <c r="Y73" s="5">
        <v>4.0033200000000004</v>
      </c>
      <c r="Z73" s="5"/>
      <c r="AA73" s="5"/>
      <c r="AB73" s="5"/>
    </row>
    <row r="74" spans="1:206" x14ac:dyDescent="0.2">
      <c r="A74" s="5">
        <v>50</v>
      </c>
      <c r="B74" s="5">
        <v>0</v>
      </c>
      <c r="C74" s="5">
        <v>0</v>
      </c>
      <c r="D74" s="5">
        <v>1</v>
      </c>
      <c r="E74" s="5">
        <v>209</v>
      </c>
      <c r="F74" s="5">
        <f>ROUND(Source!W50,O74)</f>
        <v>0</v>
      </c>
      <c r="G74" s="5" t="s">
        <v>173</v>
      </c>
      <c r="H74" s="5" t="s">
        <v>174</v>
      </c>
      <c r="I74" s="5"/>
      <c r="J74" s="5"/>
      <c r="K74" s="5">
        <v>209</v>
      </c>
      <c r="L74" s="5">
        <v>23</v>
      </c>
      <c r="M74" s="5">
        <v>3</v>
      </c>
      <c r="N74" s="5" t="s">
        <v>3</v>
      </c>
      <c r="O74" s="5">
        <v>2</v>
      </c>
      <c r="P74" s="5"/>
      <c r="Q74" s="5"/>
      <c r="R74" s="5"/>
      <c r="S74" s="5"/>
      <c r="T74" s="5"/>
      <c r="U74" s="5"/>
      <c r="V74" s="5"/>
      <c r="W74" s="5">
        <v>0</v>
      </c>
      <c r="X74" s="5">
        <v>1</v>
      </c>
      <c r="Y74" s="5">
        <v>0</v>
      </c>
      <c r="Z74" s="5"/>
      <c r="AA74" s="5"/>
      <c r="AB74" s="5"/>
    </row>
    <row r="75" spans="1:206" x14ac:dyDescent="0.2">
      <c r="A75" s="5">
        <v>50</v>
      </c>
      <c r="B75" s="5">
        <v>0</v>
      </c>
      <c r="C75" s="5">
        <v>0</v>
      </c>
      <c r="D75" s="5">
        <v>1</v>
      </c>
      <c r="E75" s="5">
        <v>233</v>
      </c>
      <c r="F75" s="5">
        <f>ROUND(Source!BD50,O75)</f>
        <v>15074.33</v>
      </c>
      <c r="G75" s="5" t="s">
        <v>175</v>
      </c>
      <c r="H75" s="5" t="s">
        <v>176</v>
      </c>
      <c r="I75" s="5"/>
      <c r="J75" s="5"/>
      <c r="K75" s="5">
        <v>233</v>
      </c>
      <c r="L75" s="5">
        <v>24</v>
      </c>
      <c r="M75" s="5">
        <v>3</v>
      </c>
      <c r="N75" s="5" t="s">
        <v>3</v>
      </c>
      <c r="O75" s="5">
        <v>2</v>
      </c>
      <c r="P75" s="5"/>
      <c r="Q75" s="5"/>
      <c r="R75" s="5"/>
      <c r="S75" s="5"/>
      <c r="T75" s="5"/>
      <c r="U75" s="5"/>
      <c r="V75" s="5"/>
      <c r="W75" s="5">
        <v>15074.33</v>
      </c>
      <c r="X75" s="5">
        <v>1</v>
      </c>
      <c r="Y75" s="5">
        <v>15074.33</v>
      </c>
      <c r="Z75" s="5"/>
      <c r="AA75" s="5"/>
      <c r="AB75" s="5"/>
    </row>
    <row r="76" spans="1:206" x14ac:dyDescent="0.2">
      <c r="A76" s="5">
        <v>50</v>
      </c>
      <c r="B76" s="5">
        <v>0</v>
      </c>
      <c r="C76" s="5">
        <v>0</v>
      </c>
      <c r="D76" s="5">
        <v>1</v>
      </c>
      <c r="E76" s="5">
        <v>210</v>
      </c>
      <c r="F76" s="5">
        <f>ROUND(Source!X50,O76)</f>
        <v>229695.22</v>
      </c>
      <c r="G76" s="5" t="s">
        <v>177</v>
      </c>
      <c r="H76" s="5" t="s">
        <v>178</v>
      </c>
      <c r="I76" s="5"/>
      <c r="J76" s="5"/>
      <c r="K76" s="5">
        <v>210</v>
      </c>
      <c r="L76" s="5">
        <v>25</v>
      </c>
      <c r="M76" s="5">
        <v>3</v>
      </c>
      <c r="N76" s="5" t="s">
        <v>3</v>
      </c>
      <c r="O76" s="5">
        <v>2</v>
      </c>
      <c r="P76" s="5"/>
      <c r="Q76" s="5"/>
      <c r="R76" s="5"/>
      <c r="S76" s="5"/>
      <c r="T76" s="5"/>
      <c r="U76" s="5"/>
      <c r="V76" s="5"/>
      <c r="W76" s="5">
        <v>229695.22</v>
      </c>
      <c r="X76" s="5">
        <v>1</v>
      </c>
      <c r="Y76" s="5">
        <v>229695.22</v>
      </c>
      <c r="Z76" s="5"/>
      <c r="AA76" s="5"/>
      <c r="AB76" s="5"/>
    </row>
    <row r="77" spans="1:206" x14ac:dyDescent="0.2">
      <c r="A77" s="5">
        <v>50</v>
      </c>
      <c r="B77" s="5">
        <v>0</v>
      </c>
      <c r="C77" s="5">
        <v>0</v>
      </c>
      <c r="D77" s="5">
        <v>1</v>
      </c>
      <c r="E77" s="5">
        <v>211</v>
      </c>
      <c r="F77" s="5">
        <f>ROUND(Source!Y50,O77)</f>
        <v>111378.61</v>
      </c>
      <c r="G77" s="5" t="s">
        <v>179</v>
      </c>
      <c r="H77" s="5" t="s">
        <v>180</v>
      </c>
      <c r="I77" s="5"/>
      <c r="J77" s="5"/>
      <c r="K77" s="5">
        <v>211</v>
      </c>
      <c r="L77" s="5">
        <v>26</v>
      </c>
      <c r="M77" s="5">
        <v>3</v>
      </c>
      <c r="N77" s="5" t="s">
        <v>3</v>
      </c>
      <c r="O77" s="5">
        <v>2</v>
      </c>
      <c r="P77" s="5"/>
      <c r="Q77" s="5"/>
      <c r="R77" s="5"/>
      <c r="S77" s="5"/>
      <c r="T77" s="5"/>
      <c r="U77" s="5"/>
      <c r="V77" s="5"/>
      <c r="W77" s="5">
        <v>111378.61</v>
      </c>
      <c r="X77" s="5">
        <v>1</v>
      </c>
      <c r="Y77" s="5">
        <v>111378.61</v>
      </c>
      <c r="Z77" s="5"/>
      <c r="AA77" s="5"/>
      <c r="AB77" s="5"/>
    </row>
    <row r="78" spans="1:206" x14ac:dyDescent="0.2">
      <c r="A78" s="5">
        <v>50</v>
      </c>
      <c r="B78" s="5">
        <v>0</v>
      </c>
      <c r="C78" s="5">
        <v>0</v>
      </c>
      <c r="D78" s="5">
        <v>1</v>
      </c>
      <c r="E78" s="5">
        <v>224</v>
      </c>
      <c r="F78" s="5">
        <f>ROUND(Source!AR50,O78)</f>
        <v>994779.44</v>
      </c>
      <c r="G78" s="5" t="s">
        <v>181</v>
      </c>
      <c r="H78" s="5" t="s">
        <v>182</v>
      </c>
      <c r="I78" s="5"/>
      <c r="J78" s="5"/>
      <c r="K78" s="5">
        <v>224</v>
      </c>
      <c r="L78" s="5">
        <v>27</v>
      </c>
      <c r="M78" s="5">
        <v>3</v>
      </c>
      <c r="N78" s="5" t="s">
        <v>3</v>
      </c>
      <c r="O78" s="5">
        <v>2</v>
      </c>
      <c r="P78" s="5"/>
      <c r="Q78" s="5"/>
      <c r="R78" s="5"/>
      <c r="S78" s="5"/>
      <c r="T78" s="5"/>
      <c r="U78" s="5"/>
      <c r="V78" s="5"/>
      <c r="W78" s="5">
        <v>994779.44</v>
      </c>
      <c r="X78" s="5">
        <v>1</v>
      </c>
      <c r="Y78" s="5">
        <v>994779.44</v>
      </c>
      <c r="Z78" s="5"/>
      <c r="AA78" s="5"/>
      <c r="AB78" s="5"/>
    </row>
    <row r="80" spans="1:206" x14ac:dyDescent="0.2">
      <c r="A80" s="3">
        <v>51</v>
      </c>
      <c r="B80" s="3">
        <f>B20</f>
        <v>1</v>
      </c>
      <c r="C80" s="3">
        <f>A20</f>
        <v>3</v>
      </c>
      <c r="D80" s="3">
        <f>ROW(A20)</f>
        <v>20</v>
      </c>
      <c r="E80" s="3"/>
      <c r="F80" s="3" t="str">
        <f>IF(F20&lt;&gt;"",F20,"")</f>
        <v>Новая локальная смета</v>
      </c>
      <c r="G80" s="3" t="str">
        <f>IF(G20&lt;&gt;"",G20,"")</f>
        <v>Новая локальная смета</v>
      </c>
      <c r="H80" s="3">
        <v>0</v>
      </c>
      <c r="I80" s="3"/>
      <c r="J80" s="3"/>
      <c r="K80" s="3"/>
      <c r="L80" s="3"/>
      <c r="M80" s="3"/>
      <c r="N80" s="3"/>
      <c r="O80" s="3">
        <f t="shared" ref="O80:T80" si="50">ROUND(O50+AB80,2)</f>
        <v>638631.28</v>
      </c>
      <c r="P80" s="3">
        <f t="shared" si="50"/>
        <v>379276.96</v>
      </c>
      <c r="Q80" s="3">
        <f t="shared" si="50"/>
        <v>2504.5700000000002</v>
      </c>
      <c r="R80" s="3">
        <f t="shared" si="50"/>
        <v>2896.67</v>
      </c>
      <c r="S80" s="3">
        <f t="shared" si="50"/>
        <v>253953.08</v>
      </c>
      <c r="T80" s="3">
        <f t="shared" si="50"/>
        <v>0</v>
      </c>
      <c r="U80" s="3">
        <f>U50+AH80</f>
        <v>371.39463000000001</v>
      </c>
      <c r="V80" s="3">
        <f>V50+AI80</f>
        <v>4.0033199999999995</v>
      </c>
      <c r="W80" s="3">
        <f>ROUND(W50+AJ80,2)</f>
        <v>0</v>
      </c>
      <c r="X80" s="3">
        <f>ROUND(X50+AK80,2)</f>
        <v>229695.22</v>
      </c>
      <c r="Y80" s="3">
        <f>ROUND(Y50+AL80,2)</f>
        <v>111378.61</v>
      </c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>
        <f t="shared" ref="AO80:BD80" si="51">ROUND(AO50+BX80,2)</f>
        <v>0</v>
      </c>
      <c r="AP80" s="3">
        <f t="shared" si="51"/>
        <v>0</v>
      </c>
      <c r="AQ80" s="3">
        <f t="shared" si="51"/>
        <v>0</v>
      </c>
      <c r="AR80" s="3">
        <f t="shared" si="51"/>
        <v>994779.44</v>
      </c>
      <c r="AS80" s="3">
        <f t="shared" si="51"/>
        <v>994779.44</v>
      </c>
      <c r="AT80" s="3">
        <f t="shared" si="51"/>
        <v>0</v>
      </c>
      <c r="AU80" s="3">
        <f t="shared" si="51"/>
        <v>0</v>
      </c>
      <c r="AV80" s="3">
        <f t="shared" si="51"/>
        <v>379276.96</v>
      </c>
      <c r="AW80" s="3">
        <f t="shared" si="51"/>
        <v>379276.96</v>
      </c>
      <c r="AX80" s="3">
        <f t="shared" si="51"/>
        <v>0</v>
      </c>
      <c r="AY80" s="3">
        <f t="shared" si="51"/>
        <v>379276.96</v>
      </c>
      <c r="AZ80" s="3">
        <f t="shared" si="51"/>
        <v>0</v>
      </c>
      <c r="BA80" s="3">
        <f t="shared" si="51"/>
        <v>0</v>
      </c>
      <c r="BB80" s="3">
        <f t="shared" si="51"/>
        <v>0</v>
      </c>
      <c r="BC80" s="3">
        <f t="shared" si="51"/>
        <v>0</v>
      </c>
      <c r="BD80" s="3">
        <f t="shared" si="51"/>
        <v>15074.33</v>
      </c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>
        <v>0</v>
      </c>
    </row>
    <row r="82" spans="1:28" x14ac:dyDescent="0.2">
      <c r="A82" s="5">
        <v>50</v>
      </c>
      <c r="B82" s="5">
        <v>0</v>
      </c>
      <c r="C82" s="5">
        <v>0</v>
      </c>
      <c r="D82" s="5">
        <v>1</v>
      </c>
      <c r="E82" s="5">
        <v>201</v>
      </c>
      <c r="F82" s="5">
        <f>ROUND(Source!O80,O82)</f>
        <v>638631.28</v>
      </c>
      <c r="G82" s="5" t="s">
        <v>129</v>
      </c>
      <c r="H82" s="5" t="s">
        <v>130</v>
      </c>
      <c r="I82" s="5"/>
      <c r="J82" s="5"/>
      <c r="K82" s="5">
        <v>201</v>
      </c>
      <c r="L82" s="5">
        <v>1</v>
      </c>
      <c r="M82" s="5">
        <v>3</v>
      </c>
      <c r="N82" s="5" t="s">
        <v>3</v>
      </c>
      <c r="O82" s="5">
        <v>2</v>
      </c>
      <c r="P82" s="5"/>
      <c r="Q82" s="5"/>
      <c r="R82" s="5"/>
      <c r="S82" s="5"/>
      <c r="T82" s="5"/>
      <c r="U82" s="5"/>
      <c r="V82" s="5"/>
      <c r="W82" s="5">
        <v>653705.6100000001</v>
      </c>
      <c r="X82" s="5">
        <v>1</v>
      </c>
      <c r="Y82" s="5">
        <v>653705.6100000001</v>
      </c>
      <c r="Z82" s="5"/>
      <c r="AA82" s="5"/>
      <c r="AB82" s="5"/>
    </row>
    <row r="83" spans="1:28" x14ac:dyDescent="0.2">
      <c r="A83" s="5">
        <v>50</v>
      </c>
      <c r="B83" s="5">
        <v>0</v>
      </c>
      <c r="C83" s="5">
        <v>0</v>
      </c>
      <c r="D83" s="5">
        <v>1</v>
      </c>
      <c r="E83" s="5">
        <v>202</v>
      </c>
      <c r="F83" s="5">
        <f>ROUND(Source!P80,O83)</f>
        <v>379276.96</v>
      </c>
      <c r="G83" s="5" t="s">
        <v>131</v>
      </c>
      <c r="H83" s="5" t="s">
        <v>132</v>
      </c>
      <c r="I83" s="5"/>
      <c r="J83" s="5"/>
      <c r="K83" s="5">
        <v>202</v>
      </c>
      <c r="L83" s="5">
        <v>2</v>
      </c>
      <c r="M83" s="5">
        <v>3</v>
      </c>
      <c r="N83" s="5" t="s">
        <v>3</v>
      </c>
      <c r="O83" s="5">
        <v>2</v>
      </c>
      <c r="P83" s="5"/>
      <c r="Q83" s="5"/>
      <c r="R83" s="5"/>
      <c r="S83" s="5"/>
      <c r="T83" s="5"/>
      <c r="U83" s="5"/>
      <c r="V83" s="5"/>
      <c r="W83" s="5">
        <v>379276.96</v>
      </c>
      <c r="X83" s="5">
        <v>1</v>
      </c>
      <c r="Y83" s="5">
        <v>379276.96</v>
      </c>
      <c r="Z83" s="5"/>
      <c r="AA83" s="5"/>
      <c r="AB83" s="5"/>
    </row>
    <row r="84" spans="1:28" x14ac:dyDescent="0.2">
      <c r="A84" s="5">
        <v>50</v>
      </c>
      <c r="B84" s="5">
        <v>0</v>
      </c>
      <c r="C84" s="5">
        <v>0</v>
      </c>
      <c r="D84" s="5">
        <v>1</v>
      </c>
      <c r="E84" s="5">
        <v>222</v>
      </c>
      <c r="F84" s="5">
        <f>ROUND(Source!AO80,O84)</f>
        <v>0</v>
      </c>
      <c r="G84" s="5" t="s">
        <v>133</v>
      </c>
      <c r="H84" s="5" t="s">
        <v>134</v>
      </c>
      <c r="I84" s="5"/>
      <c r="J84" s="5"/>
      <c r="K84" s="5">
        <v>222</v>
      </c>
      <c r="L84" s="5">
        <v>3</v>
      </c>
      <c r="M84" s="5">
        <v>3</v>
      </c>
      <c r="N84" s="5" t="s">
        <v>3</v>
      </c>
      <c r="O84" s="5">
        <v>2</v>
      </c>
      <c r="P84" s="5"/>
      <c r="Q84" s="5"/>
      <c r="R84" s="5"/>
      <c r="S84" s="5"/>
      <c r="T84" s="5"/>
      <c r="U84" s="5"/>
      <c r="V84" s="5"/>
      <c r="W84" s="5">
        <v>0</v>
      </c>
      <c r="X84" s="5">
        <v>1</v>
      </c>
      <c r="Y84" s="5">
        <v>0</v>
      </c>
      <c r="Z84" s="5"/>
      <c r="AA84" s="5"/>
      <c r="AB84" s="5"/>
    </row>
    <row r="85" spans="1:28" x14ac:dyDescent="0.2">
      <c r="A85" s="5">
        <v>50</v>
      </c>
      <c r="B85" s="5">
        <v>0</v>
      </c>
      <c r="C85" s="5">
        <v>0</v>
      </c>
      <c r="D85" s="5">
        <v>1</v>
      </c>
      <c r="E85" s="5">
        <v>225</v>
      </c>
      <c r="F85" s="5">
        <f>ROUND(Source!AV80,O85)</f>
        <v>379276.96</v>
      </c>
      <c r="G85" s="5" t="s">
        <v>135</v>
      </c>
      <c r="H85" s="5" t="s">
        <v>136</v>
      </c>
      <c r="I85" s="5"/>
      <c r="J85" s="5"/>
      <c r="K85" s="5">
        <v>225</v>
      </c>
      <c r="L85" s="5">
        <v>4</v>
      </c>
      <c r="M85" s="5">
        <v>3</v>
      </c>
      <c r="N85" s="5" t="s">
        <v>3</v>
      </c>
      <c r="O85" s="5">
        <v>2</v>
      </c>
      <c r="P85" s="5"/>
      <c r="Q85" s="5"/>
      <c r="R85" s="5"/>
      <c r="S85" s="5"/>
      <c r="T85" s="5"/>
      <c r="U85" s="5"/>
      <c r="V85" s="5"/>
      <c r="W85" s="5">
        <v>379276.96</v>
      </c>
      <c r="X85" s="5">
        <v>1</v>
      </c>
      <c r="Y85" s="5">
        <v>379276.96</v>
      </c>
      <c r="Z85" s="5"/>
      <c r="AA85" s="5"/>
      <c r="AB85" s="5"/>
    </row>
    <row r="86" spans="1:28" x14ac:dyDescent="0.2">
      <c r="A86" s="5">
        <v>50</v>
      </c>
      <c r="B86" s="5">
        <v>0</v>
      </c>
      <c r="C86" s="5">
        <v>0</v>
      </c>
      <c r="D86" s="5">
        <v>1</v>
      </c>
      <c r="E86" s="5">
        <v>226</v>
      </c>
      <c r="F86" s="5">
        <f>ROUND(Source!AW80,O86)</f>
        <v>379276.96</v>
      </c>
      <c r="G86" s="5" t="s">
        <v>137</v>
      </c>
      <c r="H86" s="5" t="s">
        <v>138</v>
      </c>
      <c r="I86" s="5"/>
      <c r="J86" s="5"/>
      <c r="K86" s="5">
        <v>226</v>
      </c>
      <c r="L86" s="5">
        <v>5</v>
      </c>
      <c r="M86" s="5">
        <v>3</v>
      </c>
      <c r="N86" s="5" t="s">
        <v>3</v>
      </c>
      <c r="O86" s="5">
        <v>2</v>
      </c>
      <c r="P86" s="5"/>
      <c r="Q86" s="5"/>
      <c r="R86" s="5"/>
      <c r="S86" s="5"/>
      <c r="T86" s="5"/>
      <c r="U86" s="5"/>
      <c r="V86" s="5"/>
      <c r="W86" s="5">
        <v>379276.96</v>
      </c>
      <c r="X86" s="5">
        <v>1</v>
      </c>
      <c r="Y86" s="5">
        <v>379276.96</v>
      </c>
      <c r="Z86" s="5"/>
      <c r="AA86" s="5"/>
      <c r="AB86" s="5"/>
    </row>
    <row r="87" spans="1:28" x14ac:dyDescent="0.2">
      <c r="A87" s="5">
        <v>50</v>
      </c>
      <c r="B87" s="5">
        <v>0</v>
      </c>
      <c r="C87" s="5">
        <v>0</v>
      </c>
      <c r="D87" s="5">
        <v>1</v>
      </c>
      <c r="E87" s="5">
        <v>227</v>
      </c>
      <c r="F87" s="5">
        <f>ROUND(Source!AX80,O87)</f>
        <v>0</v>
      </c>
      <c r="G87" s="5" t="s">
        <v>139</v>
      </c>
      <c r="H87" s="5" t="s">
        <v>140</v>
      </c>
      <c r="I87" s="5"/>
      <c r="J87" s="5"/>
      <c r="K87" s="5">
        <v>227</v>
      </c>
      <c r="L87" s="5">
        <v>6</v>
      </c>
      <c r="M87" s="5">
        <v>3</v>
      </c>
      <c r="N87" s="5" t="s">
        <v>3</v>
      </c>
      <c r="O87" s="5">
        <v>2</v>
      </c>
      <c r="P87" s="5"/>
      <c r="Q87" s="5"/>
      <c r="R87" s="5"/>
      <c r="S87" s="5"/>
      <c r="T87" s="5"/>
      <c r="U87" s="5"/>
      <c r="V87" s="5"/>
      <c r="W87" s="5">
        <v>0</v>
      </c>
      <c r="X87" s="5">
        <v>1</v>
      </c>
      <c r="Y87" s="5">
        <v>0</v>
      </c>
      <c r="Z87" s="5"/>
      <c r="AA87" s="5"/>
      <c r="AB87" s="5"/>
    </row>
    <row r="88" spans="1:28" x14ac:dyDescent="0.2">
      <c r="A88" s="5">
        <v>50</v>
      </c>
      <c r="B88" s="5">
        <v>0</v>
      </c>
      <c r="C88" s="5">
        <v>0</v>
      </c>
      <c r="D88" s="5">
        <v>1</v>
      </c>
      <c r="E88" s="5">
        <v>228</v>
      </c>
      <c r="F88" s="5">
        <f>ROUND(Source!AY80,O88)</f>
        <v>379276.96</v>
      </c>
      <c r="G88" s="5" t="s">
        <v>141</v>
      </c>
      <c r="H88" s="5" t="s">
        <v>142</v>
      </c>
      <c r="I88" s="5"/>
      <c r="J88" s="5"/>
      <c r="K88" s="5">
        <v>228</v>
      </c>
      <c r="L88" s="5">
        <v>7</v>
      </c>
      <c r="M88" s="5">
        <v>3</v>
      </c>
      <c r="N88" s="5" t="s">
        <v>3</v>
      </c>
      <c r="O88" s="5">
        <v>2</v>
      </c>
      <c r="P88" s="5"/>
      <c r="Q88" s="5"/>
      <c r="R88" s="5"/>
      <c r="S88" s="5"/>
      <c r="T88" s="5"/>
      <c r="U88" s="5"/>
      <c r="V88" s="5"/>
      <c r="W88" s="5">
        <v>379276.96</v>
      </c>
      <c r="X88" s="5">
        <v>1</v>
      </c>
      <c r="Y88" s="5">
        <v>379276.96</v>
      </c>
      <c r="Z88" s="5"/>
      <c r="AA88" s="5"/>
      <c r="AB88" s="5"/>
    </row>
    <row r="89" spans="1:28" x14ac:dyDescent="0.2">
      <c r="A89" s="5">
        <v>50</v>
      </c>
      <c r="B89" s="5">
        <v>0</v>
      </c>
      <c r="C89" s="5">
        <v>0</v>
      </c>
      <c r="D89" s="5">
        <v>1</v>
      </c>
      <c r="E89" s="5">
        <v>216</v>
      </c>
      <c r="F89" s="5">
        <f>ROUND(Source!AP80,O89)</f>
        <v>0</v>
      </c>
      <c r="G89" s="5" t="s">
        <v>143</v>
      </c>
      <c r="H89" s="5" t="s">
        <v>144</v>
      </c>
      <c r="I89" s="5"/>
      <c r="J89" s="5"/>
      <c r="K89" s="5">
        <v>216</v>
      </c>
      <c r="L89" s="5">
        <v>8</v>
      </c>
      <c r="M89" s="5">
        <v>3</v>
      </c>
      <c r="N89" s="5" t="s">
        <v>3</v>
      </c>
      <c r="O89" s="5">
        <v>2</v>
      </c>
      <c r="P89" s="5"/>
      <c r="Q89" s="5"/>
      <c r="R89" s="5"/>
      <c r="S89" s="5"/>
      <c r="T89" s="5"/>
      <c r="U89" s="5"/>
      <c r="V89" s="5"/>
      <c r="W89" s="5">
        <v>0</v>
      </c>
      <c r="X89" s="5">
        <v>1</v>
      </c>
      <c r="Y89" s="5">
        <v>0</v>
      </c>
      <c r="Z89" s="5"/>
      <c r="AA89" s="5"/>
      <c r="AB89" s="5"/>
    </row>
    <row r="90" spans="1:28" x14ac:dyDescent="0.2">
      <c r="A90" s="5">
        <v>50</v>
      </c>
      <c r="B90" s="5">
        <v>0</v>
      </c>
      <c r="C90" s="5">
        <v>0</v>
      </c>
      <c r="D90" s="5">
        <v>1</v>
      </c>
      <c r="E90" s="5">
        <v>223</v>
      </c>
      <c r="F90" s="5">
        <f>ROUND(Source!AQ80,O90)</f>
        <v>0</v>
      </c>
      <c r="G90" s="5" t="s">
        <v>145</v>
      </c>
      <c r="H90" s="5" t="s">
        <v>146</v>
      </c>
      <c r="I90" s="5"/>
      <c r="J90" s="5"/>
      <c r="K90" s="5">
        <v>223</v>
      </c>
      <c r="L90" s="5">
        <v>9</v>
      </c>
      <c r="M90" s="5">
        <v>3</v>
      </c>
      <c r="N90" s="5" t="s">
        <v>3</v>
      </c>
      <c r="O90" s="5">
        <v>2</v>
      </c>
      <c r="P90" s="5"/>
      <c r="Q90" s="5"/>
      <c r="R90" s="5"/>
      <c r="S90" s="5"/>
      <c r="T90" s="5"/>
      <c r="U90" s="5"/>
      <c r="V90" s="5"/>
      <c r="W90" s="5">
        <v>0</v>
      </c>
      <c r="X90" s="5">
        <v>1</v>
      </c>
      <c r="Y90" s="5">
        <v>0</v>
      </c>
      <c r="Z90" s="5"/>
      <c r="AA90" s="5"/>
      <c r="AB90" s="5"/>
    </row>
    <row r="91" spans="1:28" x14ac:dyDescent="0.2">
      <c r="A91" s="5">
        <v>50</v>
      </c>
      <c r="B91" s="5">
        <v>0</v>
      </c>
      <c r="C91" s="5">
        <v>0</v>
      </c>
      <c r="D91" s="5">
        <v>1</v>
      </c>
      <c r="E91" s="5">
        <v>229</v>
      </c>
      <c r="F91" s="5">
        <f>ROUND(Source!AZ80,O91)</f>
        <v>0</v>
      </c>
      <c r="G91" s="5" t="s">
        <v>147</v>
      </c>
      <c r="H91" s="5" t="s">
        <v>148</v>
      </c>
      <c r="I91" s="5"/>
      <c r="J91" s="5"/>
      <c r="K91" s="5">
        <v>229</v>
      </c>
      <c r="L91" s="5">
        <v>10</v>
      </c>
      <c r="M91" s="5">
        <v>3</v>
      </c>
      <c r="N91" s="5" t="s">
        <v>3</v>
      </c>
      <c r="O91" s="5">
        <v>2</v>
      </c>
      <c r="P91" s="5"/>
      <c r="Q91" s="5"/>
      <c r="R91" s="5"/>
      <c r="S91" s="5"/>
      <c r="T91" s="5"/>
      <c r="U91" s="5"/>
      <c r="V91" s="5"/>
      <c r="W91" s="5">
        <v>0</v>
      </c>
      <c r="X91" s="5">
        <v>1</v>
      </c>
      <c r="Y91" s="5">
        <v>0</v>
      </c>
      <c r="Z91" s="5"/>
      <c r="AA91" s="5"/>
      <c r="AB91" s="5"/>
    </row>
    <row r="92" spans="1:28" x14ac:dyDescent="0.2">
      <c r="A92" s="5">
        <v>50</v>
      </c>
      <c r="B92" s="5">
        <v>0</v>
      </c>
      <c r="C92" s="5">
        <v>0</v>
      </c>
      <c r="D92" s="5">
        <v>1</v>
      </c>
      <c r="E92" s="5">
        <v>203</v>
      </c>
      <c r="F92" s="5">
        <f>ROUND(Source!Q80,O92)</f>
        <v>2504.5700000000002</v>
      </c>
      <c r="G92" s="5" t="s">
        <v>149</v>
      </c>
      <c r="H92" s="5" t="s">
        <v>150</v>
      </c>
      <c r="I92" s="5"/>
      <c r="J92" s="5"/>
      <c r="K92" s="5">
        <v>203</v>
      </c>
      <c r="L92" s="5">
        <v>11</v>
      </c>
      <c r="M92" s="5">
        <v>3</v>
      </c>
      <c r="N92" s="5" t="s">
        <v>3</v>
      </c>
      <c r="O92" s="5">
        <v>2</v>
      </c>
      <c r="P92" s="5"/>
      <c r="Q92" s="5"/>
      <c r="R92" s="5"/>
      <c r="S92" s="5"/>
      <c r="T92" s="5"/>
      <c r="U92" s="5"/>
      <c r="V92" s="5"/>
      <c r="W92" s="5">
        <v>2504.5700000000002</v>
      </c>
      <c r="X92" s="5">
        <v>1</v>
      </c>
      <c r="Y92" s="5">
        <v>2504.5700000000002</v>
      </c>
      <c r="Z92" s="5"/>
      <c r="AA92" s="5"/>
      <c r="AB92" s="5"/>
    </row>
    <row r="93" spans="1:28" x14ac:dyDescent="0.2">
      <c r="A93" s="5">
        <v>50</v>
      </c>
      <c r="B93" s="5">
        <v>0</v>
      </c>
      <c r="C93" s="5">
        <v>0</v>
      </c>
      <c r="D93" s="5">
        <v>1</v>
      </c>
      <c r="E93" s="5">
        <v>231</v>
      </c>
      <c r="F93" s="5">
        <f>ROUND(Source!BB80,O93)</f>
        <v>0</v>
      </c>
      <c r="G93" s="5" t="s">
        <v>151</v>
      </c>
      <c r="H93" s="5" t="s">
        <v>152</v>
      </c>
      <c r="I93" s="5"/>
      <c r="J93" s="5"/>
      <c r="K93" s="5">
        <v>231</v>
      </c>
      <c r="L93" s="5">
        <v>12</v>
      </c>
      <c r="M93" s="5">
        <v>3</v>
      </c>
      <c r="N93" s="5" t="s">
        <v>3</v>
      </c>
      <c r="O93" s="5">
        <v>2</v>
      </c>
      <c r="P93" s="5"/>
      <c r="Q93" s="5"/>
      <c r="R93" s="5"/>
      <c r="S93" s="5"/>
      <c r="T93" s="5"/>
      <c r="U93" s="5"/>
      <c r="V93" s="5"/>
      <c r="W93" s="5">
        <v>0</v>
      </c>
      <c r="X93" s="5">
        <v>1</v>
      </c>
      <c r="Y93" s="5">
        <v>0</v>
      </c>
      <c r="Z93" s="5"/>
      <c r="AA93" s="5"/>
      <c r="AB93" s="5"/>
    </row>
    <row r="94" spans="1:28" x14ac:dyDescent="0.2">
      <c r="A94" s="5">
        <v>50</v>
      </c>
      <c r="B94" s="5">
        <v>0</v>
      </c>
      <c r="C94" s="5">
        <v>0</v>
      </c>
      <c r="D94" s="5">
        <v>1</v>
      </c>
      <c r="E94" s="5">
        <v>204</v>
      </c>
      <c r="F94" s="5">
        <f>ROUND(Source!R80,O94)</f>
        <v>2896.67</v>
      </c>
      <c r="G94" s="5" t="s">
        <v>153</v>
      </c>
      <c r="H94" s="5" t="s">
        <v>154</v>
      </c>
      <c r="I94" s="5"/>
      <c r="J94" s="5"/>
      <c r="K94" s="5">
        <v>204</v>
      </c>
      <c r="L94" s="5">
        <v>13</v>
      </c>
      <c r="M94" s="5">
        <v>3</v>
      </c>
      <c r="N94" s="5" t="s">
        <v>3</v>
      </c>
      <c r="O94" s="5">
        <v>2</v>
      </c>
      <c r="P94" s="5"/>
      <c r="Q94" s="5"/>
      <c r="R94" s="5"/>
      <c r="S94" s="5"/>
      <c r="T94" s="5"/>
      <c r="U94" s="5"/>
      <c r="V94" s="5"/>
      <c r="W94" s="5">
        <v>2896.6700000000005</v>
      </c>
      <c r="X94" s="5">
        <v>1</v>
      </c>
      <c r="Y94" s="5">
        <v>2896.6700000000005</v>
      </c>
      <c r="Z94" s="5"/>
      <c r="AA94" s="5"/>
      <c r="AB94" s="5"/>
    </row>
    <row r="95" spans="1:28" x14ac:dyDescent="0.2">
      <c r="A95" s="5">
        <v>50</v>
      </c>
      <c r="B95" s="5">
        <v>0</v>
      </c>
      <c r="C95" s="5">
        <v>0</v>
      </c>
      <c r="D95" s="5">
        <v>1</v>
      </c>
      <c r="E95" s="5">
        <v>205</v>
      </c>
      <c r="F95" s="5">
        <f>ROUND(Source!S80,O95)</f>
        <v>253953.08</v>
      </c>
      <c r="G95" s="5" t="s">
        <v>155</v>
      </c>
      <c r="H95" s="5" t="s">
        <v>156</v>
      </c>
      <c r="I95" s="5"/>
      <c r="J95" s="5"/>
      <c r="K95" s="5">
        <v>205</v>
      </c>
      <c r="L95" s="5">
        <v>14</v>
      </c>
      <c r="M95" s="5">
        <v>3</v>
      </c>
      <c r="N95" s="5" t="s">
        <v>3</v>
      </c>
      <c r="O95" s="5">
        <v>2</v>
      </c>
      <c r="P95" s="5"/>
      <c r="Q95" s="5"/>
      <c r="R95" s="5"/>
      <c r="S95" s="5"/>
      <c r="T95" s="5"/>
      <c r="U95" s="5"/>
      <c r="V95" s="5"/>
      <c r="W95" s="5">
        <v>253953.08000000005</v>
      </c>
      <c r="X95" s="5">
        <v>1</v>
      </c>
      <c r="Y95" s="5">
        <v>253953.08000000005</v>
      </c>
      <c r="Z95" s="5"/>
      <c r="AA95" s="5"/>
      <c r="AB95" s="5"/>
    </row>
    <row r="96" spans="1:28" x14ac:dyDescent="0.2">
      <c r="A96" s="5">
        <v>50</v>
      </c>
      <c r="B96" s="5">
        <v>0</v>
      </c>
      <c r="C96" s="5">
        <v>0</v>
      </c>
      <c r="D96" s="5">
        <v>1</v>
      </c>
      <c r="E96" s="5">
        <v>232</v>
      </c>
      <c r="F96" s="5">
        <f>ROUND(Source!BC80,O96)</f>
        <v>0</v>
      </c>
      <c r="G96" s="5" t="s">
        <v>157</v>
      </c>
      <c r="H96" s="5" t="s">
        <v>158</v>
      </c>
      <c r="I96" s="5"/>
      <c r="J96" s="5"/>
      <c r="K96" s="5">
        <v>232</v>
      </c>
      <c r="L96" s="5">
        <v>15</v>
      </c>
      <c r="M96" s="5">
        <v>3</v>
      </c>
      <c r="N96" s="5" t="s">
        <v>3</v>
      </c>
      <c r="O96" s="5">
        <v>2</v>
      </c>
      <c r="P96" s="5"/>
      <c r="Q96" s="5"/>
      <c r="R96" s="5"/>
      <c r="S96" s="5"/>
      <c r="T96" s="5"/>
      <c r="U96" s="5"/>
      <c r="V96" s="5"/>
      <c r="W96" s="5">
        <v>0</v>
      </c>
      <c r="X96" s="5">
        <v>1</v>
      </c>
      <c r="Y96" s="5">
        <v>0</v>
      </c>
      <c r="Z96" s="5"/>
      <c r="AA96" s="5"/>
      <c r="AB96" s="5"/>
    </row>
    <row r="97" spans="1:206" x14ac:dyDescent="0.2">
      <c r="A97" s="5">
        <v>50</v>
      </c>
      <c r="B97" s="5">
        <v>0</v>
      </c>
      <c r="C97" s="5">
        <v>0</v>
      </c>
      <c r="D97" s="5">
        <v>1</v>
      </c>
      <c r="E97" s="5">
        <v>214</v>
      </c>
      <c r="F97" s="5">
        <f>ROUND(Source!AS80,O97)</f>
        <v>994779.44</v>
      </c>
      <c r="G97" s="5" t="s">
        <v>159</v>
      </c>
      <c r="H97" s="5" t="s">
        <v>160</v>
      </c>
      <c r="I97" s="5"/>
      <c r="J97" s="5"/>
      <c r="K97" s="5">
        <v>214</v>
      </c>
      <c r="L97" s="5">
        <v>16</v>
      </c>
      <c r="M97" s="5">
        <v>3</v>
      </c>
      <c r="N97" s="5" t="s">
        <v>3</v>
      </c>
      <c r="O97" s="5">
        <v>2</v>
      </c>
      <c r="P97" s="5"/>
      <c r="Q97" s="5"/>
      <c r="R97" s="5"/>
      <c r="S97" s="5"/>
      <c r="T97" s="5"/>
      <c r="U97" s="5"/>
      <c r="V97" s="5"/>
      <c r="W97" s="5">
        <v>994779.44</v>
      </c>
      <c r="X97" s="5">
        <v>1</v>
      </c>
      <c r="Y97" s="5">
        <v>994779.44</v>
      </c>
      <c r="Z97" s="5"/>
      <c r="AA97" s="5"/>
      <c r="AB97" s="5"/>
    </row>
    <row r="98" spans="1:206" x14ac:dyDescent="0.2">
      <c r="A98" s="5">
        <v>50</v>
      </c>
      <c r="B98" s="5">
        <v>0</v>
      </c>
      <c r="C98" s="5">
        <v>0</v>
      </c>
      <c r="D98" s="5">
        <v>1</v>
      </c>
      <c r="E98" s="5">
        <v>215</v>
      </c>
      <c r="F98" s="5">
        <f>ROUND(Source!AT80,O98)</f>
        <v>0</v>
      </c>
      <c r="G98" s="5" t="s">
        <v>161</v>
      </c>
      <c r="H98" s="5" t="s">
        <v>162</v>
      </c>
      <c r="I98" s="5"/>
      <c r="J98" s="5"/>
      <c r="K98" s="5">
        <v>215</v>
      </c>
      <c r="L98" s="5">
        <v>17</v>
      </c>
      <c r="M98" s="5">
        <v>3</v>
      </c>
      <c r="N98" s="5" t="s">
        <v>3</v>
      </c>
      <c r="O98" s="5">
        <v>2</v>
      </c>
      <c r="P98" s="5"/>
      <c r="Q98" s="5"/>
      <c r="R98" s="5"/>
      <c r="S98" s="5"/>
      <c r="T98" s="5"/>
      <c r="U98" s="5"/>
      <c r="V98" s="5"/>
      <c r="W98" s="5">
        <v>0</v>
      </c>
      <c r="X98" s="5">
        <v>1</v>
      </c>
      <c r="Y98" s="5">
        <v>0</v>
      </c>
      <c r="Z98" s="5"/>
      <c r="AA98" s="5"/>
      <c r="AB98" s="5"/>
    </row>
    <row r="99" spans="1:206" x14ac:dyDescent="0.2">
      <c r="A99" s="5">
        <v>50</v>
      </c>
      <c r="B99" s="5">
        <v>0</v>
      </c>
      <c r="C99" s="5">
        <v>0</v>
      </c>
      <c r="D99" s="5">
        <v>1</v>
      </c>
      <c r="E99" s="5">
        <v>217</v>
      </c>
      <c r="F99" s="5">
        <f>ROUND(Source!AU80,O99)</f>
        <v>0</v>
      </c>
      <c r="G99" s="5" t="s">
        <v>163</v>
      </c>
      <c r="H99" s="5" t="s">
        <v>164</v>
      </c>
      <c r="I99" s="5"/>
      <c r="J99" s="5"/>
      <c r="K99" s="5">
        <v>217</v>
      </c>
      <c r="L99" s="5">
        <v>18</v>
      </c>
      <c r="M99" s="5">
        <v>3</v>
      </c>
      <c r="N99" s="5" t="s">
        <v>3</v>
      </c>
      <c r="O99" s="5">
        <v>2</v>
      </c>
      <c r="P99" s="5"/>
      <c r="Q99" s="5"/>
      <c r="R99" s="5"/>
      <c r="S99" s="5"/>
      <c r="T99" s="5"/>
      <c r="U99" s="5"/>
      <c r="V99" s="5"/>
      <c r="W99" s="5">
        <v>0</v>
      </c>
      <c r="X99" s="5">
        <v>1</v>
      </c>
      <c r="Y99" s="5">
        <v>0</v>
      </c>
      <c r="Z99" s="5"/>
      <c r="AA99" s="5"/>
      <c r="AB99" s="5"/>
    </row>
    <row r="100" spans="1:206" x14ac:dyDescent="0.2">
      <c r="A100" s="5">
        <v>50</v>
      </c>
      <c r="B100" s="5">
        <v>0</v>
      </c>
      <c r="C100" s="5">
        <v>0</v>
      </c>
      <c r="D100" s="5">
        <v>1</v>
      </c>
      <c r="E100" s="5">
        <v>230</v>
      </c>
      <c r="F100" s="5">
        <f>ROUND(Source!BA80,O100)</f>
        <v>0</v>
      </c>
      <c r="G100" s="5" t="s">
        <v>165</v>
      </c>
      <c r="H100" s="5" t="s">
        <v>166</v>
      </c>
      <c r="I100" s="5"/>
      <c r="J100" s="5"/>
      <c r="K100" s="5">
        <v>230</v>
      </c>
      <c r="L100" s="5">
        <v>19</v>
      </c>
      <c r="M100" s="5">
        <v>3</v>
      </c>
      <c r="N100" s="5" t="s">
        <v>3</v>
      </c>
      <c r="O100" s="5">
        <v>2</v>
      </c>
      <c r="P100" s="5"/>
      <c r="Q100" s="5"/>
      <c r="R100" s="5"/>
      <c r="S100" s="5"/>
      <c r="T100" s="5"/>
      <c r="U100" s="5"/>
      <c r="V100" s="5"/>
      <c r="W100" s="5">
        <v>0</v>
      </c>
      <c r="X100" s="5">
        <v>1</v>
      </c>
      <c r="Y100" s="5">
        <v>0</v>
      </c>
      <c r="Z100" s="5"/>
      <c r="AA100" s="5"/>
      <c r="AB100" s="5"/>
    </row>
    <row r="101" spans="1:206" x14ac:dyDescent="0.2">
      <c r="A101" s="5">
        <v>50</v>
      </c>
      <c r="B101" s="5">
        <v>0</v>
      </c>
      <c r="C101" s="5">
        <v>0</v>
      </c>
      <c r="D101" s="5">
        <v>1</v>
      </c>
      <c r="E101" s="5">
        <v>206</v>
      </c>
      <c r="F101" s="5">
        <f>ROUND(Source!T80,O101)</f>
        <v>0</v>
      </c>
      <c r="G101" s="5" t="s">
        <v>167</v>
      </c>
      <c r="H101" s="5" t="s">
        <v>168</v>
      </c>
      <c r="I101" s="5"/>
      <c r="J101" s="5"/>
      <c r="K101" s="5">
        <v>206</v>
      </c>
      <c r="L101" s="5">
        <v>20</v>
      </c>
      <c r="M101" s="5">
        <v>3</v>
      </c>
      <c r="N101" s="5" t="s">
        <v>3</v>
      </c>
      <c r="O101" s="5">
        <v>2</v>
      </c>
      <c r="P101" s="5"/>
      <c r="Q101" s="5"/>
      <c r="R101" s="5"/>
      <c r="S101" s="5"/>
      <c r="T101" s="5"/>
      <c r="U101" s="5"/>
      <c r="V101" s="5"/>
      <c r="W101" s="5">
        <v>0</v>
      </c>
      <c r="X101" s="5">
        <v>1</v>
      </c>
      <c r="Y101" s="5">
        <v>0</v>
      </c>
      <c r="Z101" s="5"/>
      <c r="AA101" s="5"/>
      <c r="AB101" s="5"/>
    </row>
    <row r="102" spans="1:206" x14ac:dyDescent="0.2">
      <c r="A102" s="5">
        <v>50</v>
      </c>
      <c r="B102" s="5">
        <v>0</v>
      </c>
      <c r="C102" s="5">
        <v>0</v>
      </c>
      <c r="D102" s="5">
        <v>1</v>
      </c>
      <c r="E102" s="5">
        <v>207</v>
      </c>
      <c r="F102" s="5">
        <f>ROUND(Source!U80,O102)</f>
        <v>371.39463000000001</v>
      </c>
      <c r="G102" s="5" t="s">
        <v>169</v>
      </c>
      <c r="H102" s="5" t="s">
        <v>170</v>
      </c>
      <c r="I102" s="5"/>
      <c r="J102" s="5"/>
      <c r="K102" s="5">
        <v>207</v>
      </c>
      <c r="L102" s="5">
        <v>21</v>
      </c>
      <c r="M102" s="5">
        <v>3</v>
      </c>
      <c r="N102" s="5" t="s">
        <v>3</v>
      </c>
      <c r="O102" s="5">
        <v>7</v>
      </c>
      <c r="P102" s="5"/>
      <c r="Q102" s="5"/>
      <c r="R102" s="5"/>
      <c r="S102" s="5"/>
      <c r="T102" s="5"/>
      <c r="U102" s="5"/>
      <c r="V102" s="5"/>
      <c r="W102" s="5">
        <v>371.39463000000001</v>
      </c>
      <c r="X102" s="5">
        <v>1</v>
      </c>
      <c r="Y102" s="5">
        <v>371.39463000000001</v>
      </c>
      <c r="Z102" s="5"/>
      <c r="AA102" s="5"/>
      <c r="AB102" s="5"/>
    </row>
    <row r="103" spans="1:206" x14ac:dyDescent="0.2">
      <c r="A103" s="5">
        <v>50</v>
      </c>
      <c r="B103" s="5">
        <v>0</v>
      </c>
      <c r="C103" s="5">
        <v>0</v>
      </c>
      <c r="D103" s="5">
        <v>1</v>
      </c>
      <c r="E103" s="5">
        <v>208</v>
      </c>
      <c r="F103" s="5">
        <f>ROUND(Source!V80,O103)</f>
        <v>4.0033200000000004</v>
      </c>
      <c r="G103" s="5" t="s">
        <v>171</v>
      </c>
      <c r="H103" s="5" t="s">
        <v>172</v>
      </c>
      <c r="I103" s="5"/>
      <c r="J103" s="5"/>
      <c r="K103" s="5">
        <v>208</v>
      </c>
      <c r="L103" s="5">
        <v>22</v>
      </c>
      <c r="M103" s="5">
        <v>3</v>
      </c>
      <c r="N103" s="5" t="s">
        <v>3</v>
      </c>
      <c r="O103" s="5">
        <v>7</v>
      </c>
      <c r="P103" s="5"/>
      <c r="Q103" s="5"/>
      <c r="R103" s="5"/>
      <c r="S103" s="5"/>
      <c r="T103" s="5"/>
      <c r="U103" s="5"/>
      <c r="V103" s="5"/>
      <c r="W103" s="5">
        <v>4.0033200000000004</v>
      </c>
      <c r="X103" s="5">
        <v>1</v>
      </c>
      <c r="Y103" s="5">
        <v>4.0033200000000004</v>
      </c>
      <c r="Z103" s="5"/>
      <c r="AA103" s="5"/>
      <c r="AB103" s="5"/>
    </row>
    <row r="104" spans="1:206" x14ac:dyDescent="0.2">
      <c r="A104" s="5">
        <v>50</v>
      </c>
      <c r="B104" s="5">
        <v>0</v>
      </c>
      <c r="C104" s="5">
        <v>0</v>
      </c>
      <c r="D104" s="5">
        <v>1</v>
      </c>
      <c r="E104" s="5">
        <v>209</v>
      </c>
      <c r="F104" s="5">
        <f>ROUND(Source!W80,O104)</f>
        <v>0</v>
      </c>
      <c r="G104" s="5" t="s">
        <v>173</v>
      </c>
      <c r="H104" s="5" t="s">
        <v>174</v>
      </c>
      <c r="I104" s="5"/>
      <c r="J104" s="5"/>
      <c r="K104" s="5">
        <v>209</v>
      </c>
      <c r="L104" s="5">
        <v>23</v>
      </c>
      <c r="M104" s="5">
        <v>3</v>
      </c>
      <c r="N104" s="5" t="s">
        <v>3</v>
      </c>
      <c r="O104" s="5">
        <v>2</v>
      </c>
      <c r="P104" s="5"/>
      <c r="Q104" s="5"/>
      <c r="R104" s="5"/>
      <c r="S104" s="5"/>
      <c r="T104" s="5"/>
      <c r="U104" s="5"/>
      <c r="V104" s="5"/>
      <c r="W104" s="5">
        <v>0</v>
      </c>
      <c r="X104" s="5">
        <v>1</v>
      </c>
      <c r="Y104" s="5">
        <v>0</v>
      </c>
      <c r="Z104" s="5"/>
      <c r="AA104" s="5"/>
      <c r="AB104" s="5"/>
    </row>
    <row r="105" spans="1:206" x14ac:dyDescent="0.2">
      <c r="A105" s="5">
        <v>50</v>
      </c>
      <c r="B105" s="5">
        <v>0</v>
      </c>
      <c r="C105" s="5">
        <v>0</v>
      </c>
      <c r="D105" s="5">
        <v>1</v>
      </c>
      <c r="E105" s="5">
        <v>233</v>
      </c>
      <c r="F105" s="5">
        <f>ROUND(Source!BD80,O105)</f>
        <v>15074.33</v>
      </c>
      <c r="G105" s="5" t="s">
        <v>175</v>
      </c>
      <c r="H105" s="5" t="s">
        <v>176</v>
      </c>
      <c r="I105" s="5"/>
      <c r="J105" s="5"/>
      <c r="K105" s="5">
        <v>233</v>
      </c>
      <c r="L105" s="5">
        <v>24</v>
      </c>
      <c r="M105" s="5">
        <v>3</v>
      </c>
      <c r="N105" s="5" t="s">
        <v>3</v>
      </c>
      <c r="O105" s="5">
        <v>2</v>
      </c>
      <c r="P105" s="5"/>
      <c r="Q105" s="5"/>
      <c r="R105" s="5"/>
      <c r="S105" s="5"/>
      <c r="T105" s="5"/>
      <c r="U105" s="5"/>
      <c r="V105" s="5"/>
      <c r="W105" s="5">
        <v>15074.33</v>
      </c>
      <c r="X105" s="5">
        <v>1</v>
      </c>
      <c r="Y105" s="5">
        <v>15074.33</v>
      </c>
      <c r="Z105" s="5"/>
      <c r="AA105" s="5"/>
      <c r="AB105" s="5"/>
    </row>
    <row r="106" spans="1:206" x14ac:dyDescent="0.2">
      <c r="A106" s="5">
        <v>50</v>
      </c>
      <c r="B106" s="5">
        <v>0</v>
      </c>
      <c r="C106" s="5">
        <v>0</v>
      </c>
      <c r="D106" s="5">
        <v>1</v>
      </c>
      <c r="E106" s="5">
        <v>210</v>
      </c>
      <c r="F106" s="5">
        <f>ROUND(Source!X80,O106)</f>
        <v>229695.22</v>
      </c>
      <c r="G106" s="5" t="s">
        <v>177</v>
      </c>
      <c r="H106" s="5" t="s">
        <v>178</v>
      </c>
      <c r="I106" s="5"/>
      <c r="J106" s="5"/>
      <c r="K106" s="5">
        <v>210</v>
      </c>
      <c r="L106" s="5">
        <v>25</v>
      </c>
      <c r="M106" s="5">
        <v>3</v>
      </c>
      <c r="N106" s="5" t="s">
        <v>3</v>
      </c>
      <c r="O106" s="5">
        <v>2</v>
      </c>
      <c r="P106" s="5"/>
      <c r="Q106" s="5"/>
      <c r="R106" s="5"/>
      <c r="S106" s="5"/>
      <c r="T106" s="5"/>
      <c r="U106" s="5"/>
      <c r="V106" s="5"/>
      <c r="W106" s="5">
        <v>229695.22</v>
      </c>
      <c r="X106" s="5">
        <v>1</v>
      </c>
      <c r="Y106" s="5">
        <v>229695.22</v>
      </c>
      <c r="Z106" s="5"/>
      <c r="AA106" s="5"/>
      <c r="AB106" s="5"/>
    </row>
    <row r="107" spans="1:206" x14ac:dyDescent="0.2">
      <c r="A107" s="5">
        <v>50</v>
      </c>
      <c r="B107" s="5">
        <v>0</v>
      </c>
      <c r="C107" s="5">
        <v>0</v>
      </c>
      <c r="D107" s="5">
        <v>1</v>
      </c>
      <c r="E107" s="5">
        <v>211</v>
      </c>
      <c r="F107" s="5">
        <f>ROUND(Source!Y80,O107)</f>
        <v>111378.61</v>
      </c>
      <c r="G107" s="5" t="s">
        <v>179</v>
      </c>
      <c r="H107" s="5" t="s">
        <v>180</v>
      </c>
      <c r="I107" s="5"/>
      <c r="J107" s="5"/>
      <c r="K107" s="5">
        <v>211</v>
      </c>
      <c r="L107" s="5">
        <v>26</v>
      </c>
      <c r="M107" s="5">
        <v>3</v>
      </c>
      <c r="N107" s="5" t="s">
        <v>3</v>
      </c>
      <c r="O107" s="5">
        <v>2</v>
      </c>
      <c r="P107" s="5"/>
      <c r="Q107" s="5"/>
      <c r="R107" s="5"/>
      <c r="S107" s="5"/>
      <c r="T107" s="5"/>
      <c r="U107" s="5"/>
      <c r="V107" s="5"/>
      <c r="W107" s="5">
        <v>111378.61</v>
      </c>
      <c r="X107" s="5">
        <v>1</v>
      </c>
      <c r="Y107" s="5">
        <v>111378.61</v>
      </c>
      <c r="Z107" s="5"/>
      <c r="AA107" s="5"/>
      <c r="AB107" s="5"/>
    </row>
    <row r="108" spans="1:206" x14ac:dyDescent="0.2">
      <c r="A108" s="5">
        <v>50</v>
      </c>
      <c r="B108" s="5">
        <v>0</v>
      </c>
      <c r="C108" s="5">
        <v>0</v>
      </c>
      <c r="D108" s="5">
        <v>1</v>
      </c>
      <c r="E108" s="5">
        <v>224</v>
      </c>
      <c r="F108" s="5">
        <f>ROUND(Source!AR80,O108)</f>
        <v>994779.44</v>
      </c>
      <c r="G108" s="5" t="s">
        <v>181</v>
      </c>
      <c r="H108" s="5" t="s">
        <v>182</v>
      </c>
      <c r="I108" s="5"/>
      <c r="J108" s="5"/>
      <c r="K108" s="5">
        <v>224</v>
      </c>
      <c r="L108" s="5">
        <v>27</v>
      </c>
      <c r="M108" s="5">
        <v>3</v>
      </c>
      <c r="N108" s="5" t="s">
        <v>3</v>
      </c>
      <c r="O108" s="5">
        <v>2</v>
      </c>
      <c r="P108" s="5"/>
      <c r="Q108" s="5"/>
      <c r="R108" s="5"/>
      <c r="S108" s="5"/>
      <c r="T108" s="5"/>
      <c r="U108" s="5"/>
      <c r="V108" s="5"/>
      <c r="W108" s="5">
        <v>994779.44</v>
      </c>
      <c r="X108" s="5">
        <v>1</v>
      </c>
      <c r="Y108" s="5">
        <v>994779.44</v>
      </c>
      <c r="Z108" s="5"/>
      <c r="AA108" s="5"/>
      <c r="AB108" s="5"/>
    </row>
    <row r="109" spans="1:206" x14ac:dyDescent="0.2">
      <c r="A109" s="5">
        <v>50</v>
      </c>
      <c r="B109" s="5">
        <v>1</v>
      </c>
      <c r="C109" s="5">
        <v>0</v>
      </c>
      <c r="D109" s="5">
        <v>2</v>
      </c>
      <c r="E109" s="5">
        <v>0</v>
      </c>
      <c r="F109" s="5">
        <f>ROUND(F108,O109)</f>
        <v>994779.44</v>
      </c>
      <c r="G109" s="5" t="s">
        <v>183</v>
      </c>
      <c r="H109" s="5" t="s">
        <v>183</v>
      </c>
      <c r="I109" s="5"/>
      <c r="J109" s="5"/>
      <c r="K109" s="5">
        <v>212</v>
      </c>
      <c r="L109" s="5">
        <v>28</v>
      </c>
      <c r="M109" s="5">
        <v>0</v>
      </c>
      <c r="N109" s="5" t="s">
        <v>3</v>
      </c>
      <c r="O109" s="5">
        <v>2</v>
      </c>
      <c r="P109" s="5"/>
      <c r="Q109" s="5"/>
      <c r="R109" s="5"/>
      <c r="S109" s="5"/>
      <c r="T109" s="5"/>
      <c r="U109" s="5"/>
      <c r="V109" s="5"/>
      <c r="W109" s="5">
        <v>994779.44</v>
      </c>
      <c r="X109" s="5">
        <v>1</v>
      </c>
      <c r="Y109" s="5">
        <v>994779.44</v>
      </c>
      <c r="Z109" s="5"/>
      <c r="AA109" s="5"/>
      <c r="AB109" s="5"/>
    </row>
    <row r="111" spans="1:206" x14ac:dyDescent="0.2">
      <c r="A111" s="3">
        <v>51</v>
      </c>
      <c r="B111" s="3">
        <f>B12</f>
        <v>171</v>
      </c>
      <c r="C111" s="3">
        <f>A12</f>
        <v>1</v>
      </c>
      <c r="D111" s="3">
        <f>ROW(A12)</f>
        <v>12</v>
      </c>
      <c r="E111" s="3"/>
      <c r="F111" s="3" t="str">
        <f>IF(F12&lt;&gt;"",F12,"")</f>
        <v>Новый объект</v>
      </c>
      <c r="G111" s="3" t="str">
        <f>IF(G12&lt;&gt;"",G12,"")</f>
        <v>Ремонт   фасада 1 этаж</v>
      </c>
      <c r="H111" s="3">
        <v>0</v>
      </c>
      <c r="I111" s="3"/>
      <c r="J111" s="3"/>
      <c r="K111" s="3"/>
      <c r="L111" s="3"/>
      <c r="M111" s="3"/>
      <c r="N111" s="3"/>
      <c r="O111" s="3">
        <f t="shared" ref="O111:T111" si="52">ROUND(O80,2)</f>
        <v>638631.28</v>
      </c>
      <c r="P111" s="3">
        <f t="shared" si="52"/>
        <v>379276.96</v>
      </c>
      <c r="Q111" s="3">
        <f t="shared" si="52"/>
        <v>2504.5700000000002</v>
      </c>
      <c r="R111" s="3">
        <f t="shared" si="52"/>
        <v>2896.67</v>
      </c>
      <c r="S111" s="3">
        <f t="shared" si="52"/>
        <v>253953.08</v>
      </c>
      <c r="T111" s="3">
        <f t="shared" si="52"/>
        <v>0</v>
      </c>
      <c r="U111" s="3">
        <f>U80</f>
        <v>371.39463000000001</v>
      </c>
      <c r="V111" s="3">
        <f>V80</f>
        <v>4.0033199999999995</v>
      </c>
      <c r="W111" s="3">
        <f>ROUND(W80,2)</f>
        <v>0</v>
      </c>
      <c r="X111" s="3">
        <f>ROUND(X80,2)</f>
        <v>229695.22</v>
      </c>
      <c r="Y111" s="3">
        <f>ROUND(Y80,2)</f>
        <v>111378.61</v>
      </c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>
        <f t="shared" ref="AO111:BD111" si="53">ROUND(AO80,2)</f>
        <v>0</v>
      </c>
      <c r="AP111" s="3">
        <f t="shared" si="53"/>
        <v>0</v>
      </c>
      <c r="AQ111" s="3">
        <f t="shared" si="53"/>
        <v>0</v>
      </c>
      <c r="AR111" s="3">
        <f t="shared" si="53"/>
        <v>994779.44</v>
      </c>
      <c r="AS111" s="3">
        <f t="shared" si="53"/>
        <v>994779.44</v>
      </c>
      <c r="AT111" s="3">
        <f t="shared" si="53"/>
        <v>0</v>
      </c>
      <c r="AU111" s="3">
        <f t="shared" si="53"/>
        <v>0</v>
      </c>
      <c r="AV111" s="3">
        <f t="shared" si="53"/>
        <v>379276.96</v>
      </c>
      <c r="AW111" s="3">
        <f t="shared" si="53"/>
        <v>379276.96</v>
      </c>
      <c r="AX111" s="3">
        <f t="shared" si="53"/>
        <v>0</v>
      </c>
      <c r="AY111" s="3">
        <f t="shared" si="53"/>
        <v>379276.96</v>
      </c>
      <c r="AZ111" s="3">
        <f t="shared" si="53"/>
        <v>0</v>
      </c>
      <c r="BA111" s="3">
        <f t="shared" si="53"/>
        <v>0</v>
      </c>
      <c r="BB111" s="3">
        <f t="shared" si="53"/>
        <v>0</v>
      </c>
      <c r="BC111" s="3">
        <f t="shared" si="53"/>
        <v>0</v>
      </c>
      <c r="BD111" s="3">
        <f t="shared" si="53"/>
        <v>15074.33</v>
      </c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>
        <v>0</v>
      </c>
    </row>
    <row r="113" spans="1:28" x14ac:dyDescent="0.2">
      <c r="A113" s="5">
        <v>50</v>
      </c>
      <c r="B113" s="5">
        <v>0</v>
      </c>
      <c r="C113" s="5">
        <v>0</v>
      </c>
      <c r="D113" s="5">
        <v>1</v>
      </c>
      <c r="E113" s="5">
        <v>201</v>
      </c>
      <c r="F113" s="5">
        <f>ROUND(Source!O111,O113)</f>
        <v>638631.28</v>
      </c>
      <c r="G113" s="5" t="s">
        <v>129</v>
      </c>
      <c r="H113" s="5" t="s">
        <v>130</v>
      </c>
      <c r="I113" s="5"/>
      <c r="J113" s="5"/>
      <c r="K113" s="5">
        <v>201</v>
      </c>
      <c r="L113" s="5">
        <v>1</v>
      </c>
      <c r="M113" s="5">
        <v>3</v>
      </c>
      <c r="N113" s="5" t="s">
        <v>3</v>
      </c>
      <c r="O113" s="5">
        <v>2</v>
      </c>
      <c r="P113" s="5"/>
      <c r="Q113" s="5"/>
      <c r="R113" s="5"/>
      <c r="S113" s="5"/>
      <c r="T113" s="5"/>
      <c r="U113" s="5"/>
      <c r="V113" s="5"/>
      <c r="W113" s="5">
        <v>653705.6100000001</v>
      </c>
      <c r="X113" s="5">
        <v>1</v>
      </c>
      <c r="Y113" s="5">
        <v>653705.6100000001</v>
      </c>
      <c r="Z113" s="5"/>
      <c r="AA113" s="5"/>
      <c r="AB113" s="5"/>
    </row>
    <row r="114" spans="1:28" x14ac:dyDescent="0.2">
      <c r="A114" s="5">
        <v>50</v>
      </c>
      <c r="B114" s="5">
        <v>0</v>
      </c>
      <c r="C114" s="5">
        <v>0</v>
      </c>
      <c r="D114" s="5">
        <v>1</v>
      </c>
      <c r="E114" s="5">
        <v>202</v>
      </c>
      <c r="F114" s="5">
        <f>ROUND(Source!P111,O114)</f>
        <v>379276.96</v>
      </c>
      <c r="G114" s="5" t="s">
        <v>131</v>
      </c>
      <c r="H114" s="5" t="s">
        <v>132</v>
      </c>
      <c r="I114" s="5"/>
      <c r="J114" s="5"/>
      <c r="K114" s="5">
        <v>202</v>
      </c>
      <c r="L114" s="5">
        <v>2</v>
      </c>
      <c r="M114" s="5">
        <v>3</v>
      </c>
      <c r="N114" s="5" t="s">
        <v>3</v>
      </c>
      <c r="O114" s="5">
        <v>2</v>
      </c>
      <c r="P114" s="5"/>
      <c r="Q114" s="5"/>
      <c r="R114" s="5"/>
      <c r="S114" s="5"/>
      <c r="T114" s="5"/>
      <c r="U114" s="5"/>
      <c r="V114" s="5"/>
      <c r="W114" s="5">
        <v>379276.96</v>
      </c>
      <c r="X114" s="5">
        <v>1</v>
      </c>
      <c r="Y114" s="5">
        <v>379276.96</v>
      </c>
      <c r="Z114" s="5"/>
      <c r="AA114" s="5"/>
      <c r="AB114" s="5"/>
    </row>
    <row r="115" spans="1:28" x14ac:dyDescent="0.2">
      <c r="A115" s="5">
        <v>50</v>
      </c>
      <c r="B115" s="5">
        <v>0</v>
      </c>
      <c r="C115" s="5">
        <v>0</v>
      </c>
      <c r="D115" s="5">
        <v>1</v>
      </c>
      <c r="E115" s="5">
        <v>222</v>
      </c>
      <c r="F115" s="5">
        <f>ROUND(Source!AO111,O115)</f>
        <v>0</v>
      </c>
      <c r="G115" s="5" t="s">
        <v>133</v>
      </c>
      <c r="H115" s="5" t="s">
        <v>134</v>
      </c>
      <c r="I115" s="5"/>
      <c r="J115" s="5"/>
      <c r="K115" s="5">
        <v>222</v>
      </c>
      <c r="L115" s="5">
        <v>3</v>
      </c>
      <c r="M115" s="5">
        <v>3</v>
      </c>
      <c r="N115" s="5" t="s">
        <v>3</v>
      </c>
      <c r="O115" s="5">
        <v>2</v>
      </c>
      <c r="P115" s="5"/>
      <c r="Q115" s="5"/>
      <c r="R115" s="5"/>
      <c r="S115" s="5"/>
      <c r="T115" s="5"/>
      <c r="U115" s="5"/>
      <c r="V115" s="5"/>
      <c r="W115" s="5">
        <v>0</v>
      </c>
      <c r="X115" s="5">
        <v>1</v>
      </c>
      <c r="Y115" s="5">
        <v>0</v>
      </c>
      <c r="Z115" s="5"/>
      <c r="AA115" s="5"/>
      <c r="AB115" s="5"/>
    </row>
    <row r="116" spans="1:28" x14ac:dyDescent="0.2">
      <c r="A116" s="5">
        <v>50</v>
      </c>
      <c r="B116" s="5">
        <v>0</v>
      </c>
      <c r="C116" s="5">
        <v>0</v>
      </c>
      <c r="D116" s="5">
        <v>1</v>
      </c>
      <c r="E116" s="5">
        <v>225</v>
      </c>
      <c r="F116" s="5">
        <f>ROUND(Source!AV111,O116)</f>
        <v>379276.96</v>
      </c>
      <c r="G116" s="5" t="s">
        <v>135</v>
      </c>
      <c r="H116" s="5" t="s">
        <v>136</v>
      </c>
      <c r="I116" s="5"/>
      <c r="J116" s="5"/>
      <c r="K116" s="5">
        <v>225</v>
      </c>
      <c r="L116" s="5">
        <v>4</v>
      </c>
      <c r="M116" s="5">
        <v>3</v>
      </c>
      <c r="N116" s="5" t="s">
        <v>3</v>
      </c>
      <c r="O116" s="5">
        <v>2</v>
      </c>
      <c r="P116" s="5"/>
      <c r="Q116" s="5"/>
      <c r="R116" s="5"/>
      <c r="S116" s="5"/>
      <c r="T116" s="5"/>
      <c r="U116" s="5"/>
      <c r="V116" s="5"/>
      <c r="W116" s="5">
        <v>379276.96</v>
      </c>
      <c r="X116" s="5">
        <v>1</v>
      </c>
      <c r="Y116" s="5">
        <v>379276.96</v>
      </c>
      <c r="Z116" s="5"/>
      <c r="AA116" s="5"/>
      <c r="AB116" s="5"/>
    </row>
    <row r="117" spans="1:28" x14ac:dyDescent="0.2">
      <c r="A117" s="5">
        <v>50</v>
      </c>
      <c r="B117" s="5">
        <v>0</v>
      </c>
      <c r="C117" s="5">
        <v>0</v>
      </c>
      <c r="D117" s="5">
        <v>1</v>
      </c>
      <c r="E117" s="5">
        <v>226</v>
      </c>
      <c r="F117" s="5">
        <f>ROUND(Source!AW111,O117)</f>
        <v>379276.96</v>
      </c>
      <c r="G117" s="5" t="s">
        <v>137</v>
      </c>
      <c r="H117" s="5" t="s">
        <v>138</v>
      </c>
      <c r="I117" s="5"/>
      <c r="J117" s="5"/>
      <c r="K117" s="5">
        <v>226</v>
      </c>
      <c r="L117" s="5">
        <v>5</v>
      </c>
      <c r="M117" s="5">
        <v>3</v>
      </c>
      <c r="N117" s="5" t="s">
        <v>3</v>
      </c>
      <c r="O117" s="5">
        <v>2</v>
      </c>
      <c r="P117" s="5"/>
      <c r="Q117" s="5"/>
      <c r="R117" s="5"/>
      <c r="S117" s="5"/>
      <c r="T117" s="5"/>
      <c r="U117" s="5"/>
      <c r="V117" s="5"/>
      <c r="W117" s="5">
        <v>379276.96</v>
      </c>
      <c r="X117" s="5">
        <v>1</v>
      </c>
      <c r="Y117" s="5">
        <v>379276.96</v>
      </c>
      <c r="Z117" s="5"/>
      <c r="AA117" s="5"/>
      <c r="AB117" s="5"/>
    </row>
    <row r="118" spans="1:28" x14ac:dyDescent="0.2">
      <c r="A118" s="5">
        <v>50</v>
      </c>
      <c r="B118" s="5">
        <v>0</v>
      </c>
      <c r="C118" s="5">
        <v>0</v>
      </c>
      <c r="D118" s="5">
        <v>1</v>
      </c>
      <c r="E118" s="5">
        <v>227</v>
      </c>
      <c r="F118" s="5">
        <f>ROUND(Source!AX111,O118)</f>
        <v>0</v>
      </c>
      <c r="G118" s="5" t="s">
        <v>139</v>
      </c>
      <c r="H118" s="5" t="s">
        <v>140</v>
      </c>
      <c r="I118" s="5"/>
      <c r="J118" s="5"/>
      <c r="K118" s="5">
        <v>227</v>
      </c>
      <c r="L118" s="5">
        <v>6</v>
      </c>
      <c r="M118" s="5">
        <v>3</v>
      </c>
      <c r="N118" s="5" t="s">
        <v>3</v>
      </c>
      <c r="O118" s="5">
        <v>2</v>
      </c>
      <c r="P118" s="5"/>
      <c r="Q118" s="5"/>
      <c r="R118" s="5"/>
      <c r="S118" s="5"/>
      <c r="T118" s="5"/>
      <c r="U118" s="5"/>
      <c r="V118" s="5"/>
      <c r="W118" s="5">
        <v>0</v>
      </c>
      <c r="X118" s="5">
        <v>1</v>
      </c>
      <c r="Y118" s="5">
        <v>0</v>
      </c>
      <c r="Z118" s="5"/>
      <c r="AA118" s="5"/>
      <c r="AB118" s="5"/>
    </row>
    <row r="119" spans="1:28" x14ac:dyDescent="0.2">
      <c r="A119" s="5">
        <v>50</v>
      </c>
      <c r="B119" s="5">
        <v>0</v>
      </c>
      <c r="C119" s="5">
        <v>0</v>
      </c>
      <c r="D119" s="5">
        <v>1</v>
      </c>
      <c r="E119" s="5">
        <v>228</v>
      </c>
      <c r="F119" s="5">
        <f>ROUND(Source!AY111,O119)</f>
        <v>379276.96</v>
      </c>
      <c r="G119" s="5" t="s">
        <v>141</v>
      </c>
      <c r="H119" s="5" t="s">
        <v>142</v>
      </c>
      <c r="I119" s="5"/>
      <c r="J119" s="5"/>
      <c r="K119" s="5">
        <v>228</v>
      </c>
      <c r="L119" s="5">
        <v>7</v>
      </c>
      <c r="M119" s="5">
        <v>3</v>
      </c>
      <c r="N119" s="5" t="s">
        <v>3</v>
      </c>
      <c r="O119" s="5">
        <v>2</v>
      </c>
      <c r="P119" s="5"/>
      <c r="Q119" s="5"/>
      <c r="R119" s="5"/>
      <c r="S119" s="5"/>
      <c r="T119" s="5"/>
      <c r="U119" s="5"/>
      <c r="V119" s="5"/>
      <c r="W119" s="5">
        <v>379276.96</v>
      </c>
      <c r="X119" s="5">
        <v>1</v>
      </c>
      <c r="Y119" s="5">
        <v>379276.96</v>
      </c>
      <c r="Z119" s="5"/>
      <c r="AA119" s="5"/>
      <c r="AB119" s="5"/>
    </row>
    <row r="120" spans="1:28" x14ac:dyDescent="0.2">
      <c r="A120" s="5">
        <v>50</v>
      </c>
      <c r="B120" s="5">
        <v>0</v>
      </c>
      <c r="C120" s="5">
        <v>0</v>
      </c>
      <c r="D120" s="5">
        <v>1</v>
      </c>
      <c r="E120" s="5">
        <v>216</v>
      </c>
      <c r="F120" s="5">
        <f>ROUND(Source!AP111,O120)</f>
        <v>0</v>
      </c>
      <c r="G120" s="5" t="s">
        <v>143</v>
      </c>
      <c r="H120" s="5" t="s">
        <v>144</v>
      </c>
      <c r="I120" s="5"/>
      <c r="J120" s="5"/>
      <c r="K120" s="5">
        <v>216</v>
      </c>
      <c r="L120" s="5">
        <v>8</v>
      </c>
      <c r="M120" s="5">
        <v>3</v>
      </c>
      <c r="N120" s="5" t="s">
        <v>3</v>
      </c>
      <c r="O120" s="5">
        <v>2</v>
      </c>
      <c r="P120" s="5"/>
      <c r="Q120" s="5"/>
      <c r="R120" s="5"/>
      <c r="S120" s="5"/>
      <c r="T120" s="5"/>
      <c r="U120" s="5"/>
      <c r="V120" s="5"/>
      <c r="W120" s="5">
        <v>0</v>
      </c>
      <c r="X120" s="5">
        <v>1</v>
      </c>
      <c r="Y120" s="5">
        <v>0</v>
      </c>
      <c r="Z120" s="5"/>
      <c r="AA120" s="5"/>
      <c r="AB120" s="5"/>
    </row>
    <row r="121" spans="1:28" x14ac:dyDescent="0.2">
      <c r="A121" s="5">
        <v>50</v>
      </c>
      <c r="B121" s="5">
        <v>0</v>
      </c>
      <c r="C121" s="5">
        <v>0</v>
      </c>
      <c r="D121" s="5">
        <v>1</v>
      </c>
      <c r="E121" s="5">
        <v>223</v>
      </c>
      <c r="F121" s="5">
        <f>ROUND(Source!AQ111,O121)</f>
        <v>0</v>
      </c>
      <c r="G121" s="5" t="s">
        <v>145</v>
      </c>
      <c r="H121" s="5" t="s">
        <v>146</v>
      </c>
      <c r="I121" s="5"/>
      <c r="J121" s="5"/>
      <c r="K121" s="5">
        <v>223</v>
      </c>
      <c r="L121" s="5">
        <v>9</v>
      </c>
      <c r="M121" s="5">
        <v>3</v>
      </c>
      <c r="N121" s="5" t="s">
        <v>3</v>
      </c>
      <c r="O121" s="5">
        <v>2</v>
      </c>
      <c r="P121" s="5"/>
      <c r="Q121" s="5"/>
      <c r="R121" s="5"/>
      <c r="S121" s="5"/>
      <c r="T121" s="5"/>
      <c r="U121" s="5"/>
      <c r="V121" s="5"/>
      <c r="W121" s="5">
        <v>0</v>
      </c>
      <c r="X121" s="5">
        <v>1</v>
      </c>
      <c r="Y121" s="5">
        <v>0</v>
      </c>
      <c r="Z121" s="5"/>
      <c r="AA121" s="5"/>
      <c r="AB121" s="5"/>
    </row>
    <row r="122" spans="1:28" x14ac:dyDescent="0.2">
      <c r="A122" s="5">
        <v>50</v>
      </c>
      <c r="B122" s="5">
        <v>0</v>
      </c>
      <c r="C122" s="5">
        <v>0</v>
      </c>
      <c r="D122" s="5">
        <v>1</v>
      </c>
      <c r="E122" s="5">
        <v>229</v>
      </c>
      <c r="F122" s="5">
        <f>ROUND(Source!AZ111,O122)</f>
        <v>0</v>
      </c>
      <c r="G122" s="5" t="s">
        <v>147</v>
      </c>
      <c r="H122" s="5" t="s">
        <v>148</v>
      </c>
      <c r="I122" s="5"/>
      <c r="J122" s="5"/>
      <c r="K122" s="5">
        <v>229</v>
      </c>
      <c r="L122" s="5">
        <v>10</v>
      </c>
      <c r="M122" s="5">
        <v>3</v>
      </c>
      <c r="N122" s="5" t="s">
        <v>3</v>
      </c>
      <c r="O122" s="5">
        <v>2</v>
      </c>
      <c r="P122" s="5"/>
      <c r="Q122" s="5"/>
      <c r="R122" s="5"/>
      <c r="S122" s="5"/>
      <c r="T122" s="5"/>
      <c r="U122" s="5"/>
      <c r="V122" s="5"/>
      <c r="W122" s="5">
        <v>0</v>
      </c>
      <c r="X122" s="5">
        <v>1</v>
      </c>
      <c r="Y122" s="5">
        <v>0</v>
      </c>
      <c r="Z122" s="5"/>
      <c r="AA122" s="5"/>
      <c r="AB122" s="5"/>
    </row>
    <row r="123" spans="1:28" x14ac:dyDescent="0.2">
      <c r="A123" s="5">
        <v>50</v>
      </c>
      <c r="B123" s="5">
        <v>0</v>
      </c>
      <c r="C123" s="5">
        <v>0</v>
      </c>
      <c r="D123" s="5">
        <v>1</v>
      </c>
      <c r="E123" s="5">
        <v>203</v>
      </c>
      <c r="F123" s="5">
        <f>ROUND(Source!Q111,O123)</f>
        <v>2504.5700000000002</v>
      </c>
      <c r="G123" s="5" t="s">
        <v>149</v>
      </c>
      <c r="H123" s="5" t="s">
        <v>150</v>
      </c>
      <c r="I123" s="5"/>
      <c r="J123" s="5"/>
      <c r="K123" s="5">
        <v>203</v>
      </c>
      <c r="L123" s="5">
        <v>11</v>
      </c>
      <c r="M123" s="5">
        <v>3</v>
      </c>
      <c r="N123" s="5" t="s">
        <v>3</v>
      </c>
      <c r="O123" s="5">
        <v>2</v>
      </c>
      <c r="P123" s="5"/>
      <c r="Q123" s="5"/>
      <c r="R123" s="5"/>
      <c r="S123" s="5"/>
      <c r="T123" s="5"/>
      <c r="U123" s="5"/>
      <c r="V123" s="5"/>
      <c r="W123" s="5">
        <v>2504.5700000000002</v>
      </c>
      <c r="X123" s="5">
        <v>1</v>
      </c>
      <c r="Y123" s="5">
        <v>2504.5700000000002</v>
      </c>
      <c r="Z123" s="5"/>
      <c r="AA123" s="5"/>
      <c r="AB123" s="5"/>
    </row>
    <row r="124" spans="1:28" x14ac:dyDescent="0.2">
      <c r="A124" s="5">
        <v>50</v>
      </c>
      <c r="B124" s="5">
        <v>0</v>
      </c>
      <c r="C124" s="5">
        <v>0</v>
      </c>
      <c r="D124" s="5">
        <v>1</v>
      </c>
      <c r="E124" s="5">
        <v>231</v>
      </c>
      <c r="F124" s="5">
        <f>ROUND(Source!BB111,O124)</f>
        <v>0</v>
      </c>
      <c r="G124" s="5" t="s">
        <v>151</v>
      </c>
      <c r="H124" s="5" t="s">
        <v>152</v>
      </c>
      <c r="I124" s="5"/>
      <c r="J124" s="5"/>
      <c r="K124" s="5">
        <v>231</v>
      </c>
      <c r="L124" s="5">
        <v>12</v>
      </c>
      <c r="M124" s="5">
        <v>3</v>
      </c>
      <c r="N124" s="5" t="s">
        <v>3</v>
      </c>
      <c r="O124" s="5">
        <v>2</v>
      </c>
      <c r="P124" s="5"/>
      <c r="Q124" s="5"/>
      <c r="R124" s="5"/>
      <c r="S124" s="5"/>
      <c r="T124" s="5"/>
      <c r="U124" s="5"/>
      <c r="V124" s="5"/>
      <c r="W124" s="5">
        <v>0</v>
      </c>
      <c r="X124" s="5">
        <v>1</v>
      </c>
      <c r="Y124" s="5">
        <v>0</v>
      </c>
      <c r="Z124" s="5"/>
      <c r="AA124" s="5"/>
      <c r="AB124" s="5"/>
    </row>
    <row r="125" spans="1:28" x14ac:dyDescent="0.2">
      <c r="A125" s="5">
        <v>50</v>
      </c>
      <c r="B125" s="5">
        <v>0</v>
      </c>
      <c r="C125" s="5">
        <v>0</v>
      </c>
      <c r="D125" s="5">
        <v>1</v>
      </c>
      <c r="E125" s="5">
        <v>204</v>
      </c>
      <c r="F125" s="5">
        <f>ROUND(Source!R111,O125)</f>
        <v>2896.67</v>
      </c>
      <c r="G125" s="5" t="s">
        <v>153</v>
      </c>
      <c r="H125" s="5" t="s">
        <v>154</v>
      </c>
      <c r="I125" s="5"/>
      <c r="J125" s="5"/>
      <c r="K125" s="5">
        <v>204</v>
      </c>
      <c r="L125" s="5">
        <v>13</v>
      </c>
      <c r="M125" s="5">
        <v>3</v>
      </c>
      <c r="N125" s="5" t="s">
        <v>3</v>
      </c>
      <c r="O125" s="5">
        <v>2</v>
      </c>
      <c r="P125" s="5"/>
      <c r="Q125" s="5"/>
      <c r="R125" s="5"/>
      <c r="S125" s="5"/>
      <c r="T125" s="5"/>
      <c r="U125" s="5"/>
      <c r="V125" s="5"/>
      <c r="W125" s="5">
        <v>2896.6700000000005</v>
      </c>
      <c r="X125" s="5">
        <v>1</v>
      </c>
      <c r="Y125" s="5">
        <v>2896.6700000000005</v>
      </c>
      <c r="Z125" s="5"/>
      <c r="AA125" s="5"/>
      <c r="AB125" s="5"/>
    </row>
    <row r="126" spans="1:28" x14ac:dyDescent="0.2">
      <c r="A126" s="5">
        <v>50</v>
      </c>
      <c r="B126" s="5">
        <v>0</v>
      </c>
      <c r="C126" s="5">
        <v>0</v>
      </c>
      <c r="D126" s="5">
        <v>1</v>
      </c>
      <c r="E126" s="5">
        <v>205</v>
      </c>
      <c r="F126" s="5">
        <f>ROUND(Source!S111,O126)</f>
        <v>253953.08</v>
      </c>
      <c r="G126" s="5" t="s">
        <v>155</v>
      </c>
      <c r="H126" s="5" t="s">
        <v>156</v>
      </c>
      <c r="I126" s="5"/>
      <c r="J126" s="5"/>
      <c r="K126" s="5">
        <v>205</v>
      </c>
      <c r="L126" s="5">
        <v>14</v>
      </c>
      <c r="M126" s="5">
        <v>3</v>
      </c>
      <c r="N126" s="5" t="s">
        <v>3</v>
      </c>
      <c r="O126" s="5">
        <v>2</v>
      </c>
      <c r="P126" s="5"/>
      <c r="Q126" s="5"/>
      <c r="R126" s="5"/>
      <c r="S126" s="5"/>
      <c r="T126" s="5"/>
      <c r="U126" s="5"/>
      <c r="V126" s="5"/>
      <c r="W126" s="5">
        <v>253953.08000000005</v>
      </c>
      <c r="X126" s="5">
        <v>1</v>
      </c>
      <c r="Y126" s="5">
        <v>253953.08000000005</v>
      </c>
      <c r="Z126" s="5"/>
      <c r="AA126" s="5"/>
      <c r="AB126" s="5"/>
    </row>
    <row r="127" spans="1:28" x14ac:dyDescent="0.2">
      <c r="A127" s="5">
        <v>50</v>
      </c>
      <c r="B127" s="5">
        <v>0</v>
      </c>
      <c r="C127" s="5">
        <v>0</v>
      </c>
      <c r="D127" s="5">
        <v>1</v>
      </c>
      <c r="E127" s="5">
        <v>232</v>
      </c>
      <c r="F127" s="5">
        <f>ROUND(Source!BC111,O127)</f>
        <v>0</v>
      </c>
      <c r="G127" s="5" t="s">
        <v>157</v>
      </c>
      <c r="H127" s="5" t="s">
        <v>158</v>
      </c>
      <c r="I127" s="5"/>
      <c r="J127" s="5"/>
      <c r="K127" s="5">
        <v>232</v>
      </c>
      <c r="L127" s="5">
        <v>15</v>
      </c>
      <c r="M127" s="5">
        <v>3</v>
      </c>
      <c r="N127" s="5" t="s">
        <v>3</v>
      </c>
      <c r="O127" s="5">
        <v>2</v>
      </c>
      <c r="P127" s="5"/>
      <c r="Q127" s="5"/>
      <c r="R127" s="5"/>
      <c r="S127" s="5"/>
      <c r="T127" s="5"/>
      <c r="U127" s="5"/>
      <c r="V127" s="5"/>
      <c r="W127" s="5">
        <v>0</v>
      </c>
      <c r="X127" s="5">
        <v>1</v>
      </c>
      <c r="Y127" s="5">
        <v>0</v>
      </c>
      <c r="Z127" s="5"/>
      <c r="AA127" s="5"/>
      <c r="AB127" s="5"/>
    </row>
    <row r="128" spans="1:28" x14ac:dyDescent="0.2">
      <c r="A128" s="5">
        <v>50</v>
      </c>
      <c r="B128" s="5">
        <v>0</v>
      </c>
      <c r="C128" s="5">
        <v>0</v>
      </c>
      <c r="D128" s="5">
        <v>1</v>
      </c>
      <c r="E128" s="5">
        <v>214</v>
      </c>
      <c r="F128" s="5">
        <f>ROUND(Source!AS111,O128)</f>
        <v>994779.44</v>
      </c>
      <c r="G128" s="5" t="s">
        <v>159</v>
      </c>
      <c r="H128" s="5" t="s">
        <v>160</v>
      </c>
      <c r="I128" s="5"/>
      <c r="J128" s="5"/>
      <c r="K128" s="5">
        <v>214</v>
      </c>
      <c r="L128" s="5">
        <v>16</v>
      </c>
      <c r="M128" s="5">
        <v>3</v>
      </c>
      <c r="N128" s="5" t="s">
        <v>3</v>
      </c>
      <c r="O128" s="5">
        <v>2</v>
      </c>
      <c r="P128" s="5"/>
      <c r="Q128" s="5"/>
      <c r="R128" s="5"/>
      <c r="S128" s="5"/>
      <c r="T128" s="5"/>
      <c r="U128" s="5"/>
      <c r="V128" s="5"/>
      <c r="W128" s="5">
        <v>994779.44</v>
      </c>
      <c r="X128" s="5">
        <v>1</v>
      </c>
      <c r="Y128" s="5">
        <v>994779.44</v>
      </c>
      <c r="Z128" s="5"/>
      <c r="AA128" s="5"/>
      <c r="AB128" s="5"/>
    </row>
    <row r="129" spans="1:28" x14ac:dyDescent="0.2">
      <c r="A129" s="5">
        <v>50</v>
      </c>
      <c r="B129" s="5">
        <v>0</v>
      </c>
      <c r="C129" s="5">
        <v>0</v>
      </c>
      <c r="D129" s="5">
        <v>1</v>
      </c>
      <c r="E129" s="5">
        <v>215</v>
      </c>
      <c r="F129" s="5">
        <f>ROUND(Source!AT111,O129)</f>
        <v>0</v>
      </c>
      <c r="G129" s="5" t="s">
        <v>161</v>
      </c>
      <c r="H129" s="5" t="s">
        <v>162</v>
      </c>
      <c r="I129" s="5"/>
      <c r="J129" s="5"/>
      <c r="K129" s="5">
        <v>215</v>
      </c>
      <c r="L129" s="5">
        <v>17</v>
      </c>
      <c r="M129" s="5">
        <v>3</v>
      </c>
      <c r="N129" s="5" t="s">
        <v>3</v>
      </c>
      <c r="O129" s="5">
        <v>2</v>
      </c>
      <c r="P129" s="5"/>
      <c r="Q129" s="5"/>
      <c r="R129" s="5"/>
      <c r="S129" s="5"/>
      <c r="T129" s="5"/>
      <c r="U129" s="5"/>
      <c r="V129" s="5"/>
      <c r="W129" s="5">
        <v>0</v>
      </c>
      <c r="X129" s="5">
        <v>1</v>
      </c>
      <c r="Y129" s="5">
        <v>0</v>
      </c>
      <c r="Z129" s="5"/>
      <c r="AA129" s="5"/>
      <c r="AB129" s="5"/>
    </row>
    <row r="130" spans="1:28" x14ac:dyDescent="0.2">
      <c r="A130" s="5">
        <v>50</v>
      </c>
      <c r="B130" s="5">
        <v>0</v>
      </c>
      <c r="C130" s="5">
        <v>0</v>
      </c>
      <c r="D130" s="5">
        <v>1</v>
      </c>
      <c r="E130" s="5">
        <v>217</v>
      </c>
      <c r="F130" s="5">
        <f>ROUND(Source!AU111,O130)</f>
        <v>0</v>
      </c>
      <c r="G130" s="5" t="s">
        <v>163</v>
      </c>
      <c r="H130" s="5" t="s">
        <v>164</v>
      </c>
      <c r="I130" s="5"/>
      <c r="J130" s="5"/>
      <c r="K130" s="5">
        <v>217</v>
      </c>
      <c r="L130" s="5">
        <v>18</v>
      </c>
      <c r="M130" s="5">
        <v>3</v>
      </c>
      <c r="N130" s="5" t="s">
        <v>3</v>
      </c>
      <c r="O130" s="5">
        <v>2</v>
      </c>
      <c r="P130" s="5"/>
      <c r="Q130" s="5"/>
      <c r="R130" s="5"/>
      <c r="S130" s="5"/>
      <c r="T130" s="5"/>
      <c r="U130" s="5"/>
      <c r="V130" s="5"/>
      <c r="W130" s="5">
        <v>0</v>
      </c>
      <c r="X130" s="5">
        <v>1</v>
      </c>
      <c r="Y130" s="5">
        <v>0</v>
      </c>
      <c r="Z130" s="5"/>
      <c r="AA130" s="5"/>
      <c r="AB130" s="5"/>
    </row>
    <row r="131" spans="1:28" x14ac:dyDescent="0.2">
      <c r="A131" s="5">
        <v>50</v>
      </c>
      <c r="B131" s="5">
        <v>0</v>
      </c>
      <c r="C131" s="5">
        <v>0</v>
      </c>
      <c r="D131" s="5">
        <v>1</v>
      </c>
      <c r="E131" s="5">
        <v>230</v>
      </c>
      <c r="F131" s="5">
        <f>ROUND(Source!BA111,O131)</f>
        <v>0</v>
      </c>
      <c r="G131" s="5" t="s">
        <v>165</v>
      </c>
      <c r="H131" s="5" t="s">
        <v>166</v>
      </c>
      <c r="I131" s="5"/>
      <c r="J131" s="5"/>
      <c r="K131" s="5">
        <v>230</v>
      </c>
      <c r="L131" s="5">
        <v>19</v>
      </c>
      <c r="M131" s="5">
        <v>3</v>
      </c>
      <c r="N131" s="5" t="s">
        <v>3</v>
      </c>
      <c r="O131" s="5">
        <v>2</v>
      </c>
      <c r="P131" s="5"/>
      <c r="Q131" s="5"/>
      <c r="R131" s="5"/>
      <c r="S131" s="5"/>
      <c r="T131" s="5"/>
      <c r="U131" s="5"/>
      <c r="V131" s="5"/>
      <c r="W131" s="5">
        <v>0</v>
      </c>
      <c r="X131" s="5">
        <v>1</v>
      </c>
      <c r="Y131" s="5">
        <v>0</v>
      </c>
      <c r="Z131" s="5"/>
      <c r="AA131" s="5"/>
      <c r="AB131" s="5"/>
    </row>
    <row r="132" spans="1:28" x14ac:dyDescent="0.2">
      <c r="A132" s="5">
        <v>50</v>
      </c>
      <c r="B132" s="5">
        <v>0</v>
      </c>
      <c r="C132" s="5">
        <v>0</v>
      </c>
      <c r="D132" s="5">
        <v>1</v>
      </c>
      <c r="E132" s="5">
        <v>206</v>
      </c>
      <c r="F132" s="5">
        <f>ROUND(Source!T111,O132)</f>
        <v>0</v>
      </c>
      <c r="G132" s="5" t="s">
        <v>167</v>
      </c>
      <c r="H132" s="5" t="s">
        <v>168</v>
      </c>
      <c r="I132" s="5"/>
      <c r="J132" s="5"/>
      <c r="K132" s="5">
        <v>206</v>
      </c>
      <c r="L132" s="5">
        <v>20</v>
      </c>
      <c r="M132" s="5">
        <v>3</v>
      </c>
      <c r="N132" s="5" t="s">
        <v>3</v>
      </c>
      <c r="O132" s="5">
        <v>2</v>
      </c>
      <c r="P132" s="5"/>
      <c r="Q132" s="5"/>
      <c r="R132" s="5"/>
      <c r="S132" s="5"/>
      <c r="T132" s="5"/>
      <c r="U132" s="5"/>
      <c r="V132" s="5"/>
      <c r="W132" s="5">
        <v>0</v>
      </c>
      <c r="X132" s="5">
        <v>1</v>
      </c>
      <c r="Y132" s="5">
        <v>0</v>
      </c>
      <c r="Z132" s="5"/>
      <c r="AA132" s="5"/>
      <c r="AB132" s="5"/>
    </row>
    <row r="133" spans="1:28" x14ac:dyDescent="0.2">
      <c r="A133" s="5">
        <v>50</v>
      </c>
      <c r="B133" s="5">
        <v>0</v>
      </c>
      <c r="C133" s="5">
        <v>0</v>
      </c>
      <c r="D133" s="5">
        <v>1</v>
      </c>
      <c r="E133" s="5">
        <v>207</v>
      </c>
      <c r="F133" s="5">
        <f>ROUND(Source!U111,O133)</f>
        <v>371.39463000000001</v>
      </c>
      <c r="G133" s="5" t="s">
        <v>169</v>
      </c>
      <c r="H133" s="5" t="s">
        <v>170</v>
      </c>
      <c r="I133" s="5"/>
      <c r="J133" s="5"/>
      <c r="K133" s="5">
        <v>207</v>
      </c>
      <c r="L133" s="5">
        <v>21</v>
      </c>
      <c r="M133" s="5">
        <v>3</v>
      </c>
      <c r="N133" s="5" t="s">
        <v>3</v>
      </c>
      <c r="O133" s="5">
        <v>7</v>
      </c>
      <c r="P133" s="5"/>
      <c r="Q133" s="5"/>
      <c r="R133" s="5"/>
      <c r="S133" s="5"/>
      <c r="T133" s="5"/>
      <c r="U133" s="5"/>
      <c r="V133" s="5"/>
      <c r="W133" s="5">
        <v>371.39463000000001</v>
      </c>
      <c r="X133" s="5">
        <v>1</v>
      </c>
      <c r="Y133" s="5">
        <v>371.39463000000001</v>
      </c>
      <c r="Z133" s="5"/>
      <c r="AA133" s="5"/>
      <c r="AB133" s="5"/>
    </row>
    <row r="134" spans="1:28" x14ac:dyDescent="0.2">
      <c r="A134" s="5">
        <v>50</v>
      </c>
      <c r="B134" s="5">
        <v>0</v>
      </c>
      <c r="C134" s="5">
        <v>0</v>
      </c>
      <c r="D134" s="5">
        <v>1</v>
      </c>
      <c r="E134" s="5">
        <v>208</v>
      </c>
      <c r="F134" s="5">
        <f>ROUND(Source!V111,O134)</f>
        <v>4.0033200000000004</v>
      </c>
      <c r="G134" s="5" t="s">
        <v>171</v>
      </c>
      <c r="H134" s="5" t="s">
        <v>172</v>
      </c>
      <c r="I134" s="5"/>
      <c r="J134" s="5"/>
      <c r="K134" s="5">
        <v>208</v>
      </c>
      <c r="L134" s="5">
        <v>22</v>
      </c>
      <c r="M134" s="5">
        <v>3</v>
      </c>
      <c r="N134" s="5" t="s">
        <v>3</v>
      </c>
      <c r="O134" s="5">
        <v>7</v>
      </c>
      <c r="P134" s="5"/>
      <c r="Q134" s="5"/>
      <c r="R134" s="5"/>
      <c r="S134" s="5"/>
      <c r="T134" s="5"/>
      <c r="U134" s="5"/>
      <c r="V134" s="5"/>
      <c r="W134" s="5">
        <v>4.0033200000000004</v>
      </c>
      <c r="X134" s="5">
        <v>1</v>
      </c>
      <c r="Y134" s="5">
        <v>4.0033200000000004</v>
      </c>
      <c r="Z134" s="5"/>
      <c r="AA134" s="5"/>
      <c r="AB134" s="5"/>
    </row>
    <row r="135" spans="1:28" x14ac:dyDescent="0.2">
      <c r="A135" s="5">
        <v>50</v>
      </c>
      <c r="B135" s="5">
        <v>0</v>
      </c>
      <c r="C135" s="5">
        <v>0</v>
      </c>
      <c r="D135" s="5">
        <v>1</v>
      </c>
      <c r="E135" s="5">
        <v>209</v>
      </c>
      <c r="F135" s="5">
        <f>ROUND(Source!W111,O135)</f>
        <v>0</v>
      </c>
      <c r="G135" s="5" t="s">
        <v>173</v>
      </c>
      <c r="H135" s="5" t="s">
        <v>174</v>
      </c>
      <c r="I135" s="5"/>
      <c r="J135" s="5"/>
      <c r="K135" s="5">
        <v>209</v>
      </c>
      <c r="L135" s="5">
        <v>23</v>
      </c>
      <c r="M135" s="5">
        <v>3</v>
      </c>
      <c r="N135" s="5" t="s">
        <v>3</v>
      </c>
      <c r="O135" s="5">
        <v>2</v>
      </c>
      <c r="P135" s="5"/>
      <c r="Q135" s="5"/>
      <c r="R135" s="5"/>
      <c r="S135" s="5"/>
      <c r="T135" s="5"/>
      <c r="U135" s="5"/>
      <c r="V135" s="5"/>
      <c r="W135" s="5">
        <v>0</v>
      </c>
      <c r="X135" s="5">
        <v>1</v>
      </c>
      <c r="Y135" s="5">
        <v>0</v>
      </c>
      <c r="Z135" s="5"/>
      <c r="AA135" s="5"/>
      <c r="AB135" s="5"/>
    </row>
    <row r="136" spans="1:28" x14ac:dyDescent="0.2">
      <c r="A136" s="5">
        <v>50</v>
      </c>
      <c r="B136" s="5">
        <v>0</v>
      </c>
      <c r="C136" s="5">
        <v>0</v>
      </c>
      <c r="D136" s="5">
        <v>1</v>
      </c>
      <c r="E136" s="5">
        <v>233</v>
      </c>
      <c r="F136" s="5">
        <f>ROUND(Source!BD111,O136)</f>
        <v>15074.33</v>
      </c>
      <c r="G136" s="5" t="s">
        <v>175</v>
      </c>
      <c r="H136" s="5" t="s">
        <v>176</v>
      </c>
      <c r="I136" s="5"/>
      <c r="J136" s="5"/>
      <c r="K136" s="5">
        <v>233</v>
      </c>
      <c r="L136" s="5">
        <v>24</v>
      </c>
      <c r="M136" s="5">
        <v>3</v>
      </c>
      <c r="N136" s="5" t="s">
        <v>3</v>
      </c>
      <c r="O136" s="5">
        <v>2</v>
      </c>
      <c r="P136" s="5"/>
      <c r="Q136" s="5"/>
      <c r="R136" s="5"/>
      <c r="S136" s="5"/>
      <c r="T136" s="5"/>
      <c r="U136" s="5"/>
      <c r="V136" s="5"/>
      <c r="W136" s="5">
        <v>15074.33</v>
      </c>
      <c r="X136" s="5">
        <v>1</v>
      </c>
      <c r="Y136" s="5">
        <v>15074.33</v>
      </c>
      <c r="Z136" s="5"/>
      <c r="AA136" s="5"/>
      <c r="AB136" s="5"/>
    </row>
    <row r="137" spans="1:28" x14ac:dyDescent="0.2">
      <c r="A137" s="5">
        <v>50</v>
      </c>
      <c r="B137" s="5">
        <v>0</v>
      </c>
      <c r="C137" s="5">
        <v>0</v>
      </c>
      <c r="D137" s="5">
        <v>1</v>
      </c>
      <c r="E137" s="5">
        <v>210</v>
      </c>
      <c r="F137" s="5">
        <f>ROUND(Source!X111,O137)</f>
        <v>229695.22</v>
      </c>
      <c r="G137" s="5" t="s">
        <v>177</v>
      </c>
      <c r="H137" s="5" t="s">
        <v>178</v>
      </c>
      <c r="I137" s="5"/>
      <c r="J137" s="5"/>
      <c r="K137" s="5">
        <v>210</v>
      </c>
      <c r="L137" s="5">
        <v>25</v>
      </c>
      <c r="M137" s="5">
        <v>3</v>
      </c>
      <c r="N137" s="5" t="s">
        <v>3</v>
      </c>
      <c r="O137" s="5">
        <v>2</v>
      </c>
      <c r="P137" s="5"/>
      <c r="Q137" s="5"/>
      <c r="R137" s="5"/>
      <c r="S137" s="5"/>
      <c r="T137" s="5"/>
      <c r="U137" s="5"/>
      <c r="V137" s="5"/>
      <c r="W137" s="5">
        <v>229695.22</v>
      </c>
      <c r="X137" s="5">
        <v>1</v>
      </c>
      <c r="Y137" s="5">
        <v>229695.22</v>
      </c>
      <c r="Z137" s="5"/>
      <c r="AA137" s="5"/>
      <c r="AB137" s="5"/>
    </row>
    <row r="138" spans="1:28" x14ac:dyDescent="0.2">
      <c r="A138" s="5">
        <v>50</v>
      </c>
      <c r="B138" s="5">
        <v>0</v>
      </c>
      <c r="C138" s="5">
        <v>0</v>
      </c>
      <c r="D138" s="5">
        <v>1</v>
      </c>
      <c r="E138" s="5">
        <v>211</v>
      </c>
      <c r="F138" s="5">
        <f>ROUND(Source!Y111,O138)</f>
        <v>111378.61</v>
      </c>
      <c r="G138" s="5" t="s">
        <v>179</v>
      </c>
      <c r="H138" s="5" t="s">
        <v>180</v>
      </c>
      <c r="I138" s="5"/>
      <c r="J138" s="5"/>
      <c r="K138" s="5">
        <v>211</v>
      </c>
      <c r="L138" s="5">
        <v>26</v>
      </c>
      <c r="M138" s="5">
        <v>3</v>
      </c>
      <c r="N138" s="5" t="s">
        <v>3</v>
      </c>
      <c r="O138" s="5">
        <v>2</v>
      </c>
      <c r="P138" s="5"/>
      <c r="Q138" s="5"/>
      <c r="R138" s="5"/>
      <c r="S138" s="5"/>
      <c r="T138" s="5"/>
      <c r="U138" s="5"/>
      <c r="V138" s="5"/>
      <c r="W138" s="5">
        <v>111378.61</v>
      </c>
      <c r="X138" s="5">
        <v>1</v>
      </c>
      <c r="Y138" s="5">
        <v>111378.61</v>
      </c>
      <c r="Z138" s="5"/>
      <c r="AA138" s="5"/>
      <c r="AB138" s="5"/>
    </row>
    <row r="139" spans="1:28" x14ac:dyDescent="0.2">
      <c r="A139" s="5">
        <v>50</v>
      </c>
      <c r="B139" s="5">
        <v>0</v>
      </c>
      <c r="C139" s="5">
        <v>0</v>
      </c>
      <c r="D139" s="5">
        <v>1</v>
      </c>
      <c r="E139" s="5">
        <v>224</v>
      </c>
      <c r="F139" s="5">
        <f>ROUND(Source!AR111,O139)</f>
        <v>994779.44</v>
      </c>
      <c r="G139" s="5" t="s">
        <v>181</v>
      </c>
      <c r="H139" s="5" t="s">
        <v>182</v>
      </c>
      <c r="I139" s="5"/>
      <c r="J139" s="5"/>
      <c r="K139" s="5">
        <v>224</v>
      </c>
      <c r="L139" s="5">
        <v>27</v>
      </c>
      <c r="M139" s="5">
        <v>3</v>
      </c>
      <c r="N139" s="5" t="s">
        <v>3</v>
      </c>
      <c r="O139" s="5">
        <v>2</v>
      </c>
      <c r="P139" s="5"/>
      <c r="Q139" s="5"/>
      <c r="R139" s="5"/>
      <c r="S139" s="5"/>
      <c r="T139" s="5"/>
      <c r="U139" s="5"/>
      <c r="V139" s="5"/>
      <c r="W139" s="5">
        <v>994779.44</v>
      </c>
      <c r="X139" s="5">
        <v>1</v>
      </c>
      <c r="Y139" s="5">
        <v>994779.44</v>
      </c>
      <c r="Z139" s="5"/>
      <c r="AA139" s="5"/>
      <c r="AB139" s="5"/>
    </row>
    <row r="140" spans="1:28" x14ac:dyDescent="0.2">
      <c r="A140" s="5">
        <v>50</v>
      </c>
      <c r="B140" s="5">
        <v>1</v>
      </c>
      <c r="C140" s="5">
        <v>0</v>
      </c>
      <c r="D140" s="5">
        <v>2</v>
      </c>
      <c r="E140" s="5">
        <v>0</v>
      </c>
      <c r="F140" s="5">
        <f>ROUND(F139,O140)</f>
        <v>994779.44</v>
      </c>
      <c r="G140" s="5" t="s">
        <v>183</v>
      </c>
      <c r="H140" s="5" t="s">
        <v>183</v>
      </c>
      <c r="I140" s="5"/>
      <c r="J140" s="5"/>
      <c r="K140" s="5">
        <v>212</v>
      </c>
      <c r="L140" s="5">
        <v>28</v>
      </c>
      <c r="M140" s="5">
        <v>0</v>
      </c>
      <c r="N140" s="5" t="s">
        <v>3</v>
      </c>
      <c r="O140" s="5">
        <v>2</v>
      </c>
      <c r="P140" s="5"/>
      <c r="Q140" s="5"/>
      <c r="R140" s="5"/>
      <c r="S140" s="5"/>
      <c r="T140" s="5"/>
      <c r="U140" s="5"/>
      <c r="V140" s="5"/>
      <c r="W140" s="5">
        <v>994779.44</v>
      </c>
      <c r="X140" s="5">
        <v>1</v>
      </c>
      <c r="Y140" s="5">
        <v>994779.44</v>
      </c>
      <c r="Z140" s="5"/>
      <c r="AA140" s="5"/>
      <c r="AB140" s="5"/>
    </row>
    <row r="141" spans="1:28" x14ac:dyDescent="0.2">
      <c r="A141" s="5">
        <v>50</v>
      </c>
      <c r="B141" s="5">
        <v>1</v>
      </c>
      <c r="C141" s="5">
        <v>0</v>
      </c>
      <c r="D141" s="5">
        <v>2</v>
      </c>
      <c r="E141" s="5">
        <v>0</v>
      </c>
      <c r="F141" s="5">
        <f>ROUND(F140*0.22,O141)</f>
        <v>218851.48</v>
      </c>
      <c r="G141" s="5" t="s">
        <v>184</v>
      </c>
      <c r="H141" s="5" t="s">
        <v>185</v>
      </c>
      <c r="I141" s="5"/>
      <c r="J141" s="5"/>
      <c r="K141" s="5">
        <v>212</v>
      </c>
      <c r="L141" s="5">
        <v>29</v>
      </c>
      <c r="M141" s="5">
        <v>0</v>
      </c>
      <c r="N141" s="5" t="s">
        <v>3</v>
      </c>
      <c r="O141" s="5">
        <v>2</v>
      </c>
      <c r="P141" s="5"/>
      <c r="Q141" s="5"/>
      <c r="R141" s="5"/>
      <c r="S141" s="5"/>
      <c r="T141" s="5"/>
      <c r="U141" s="5"/>
      <c r="V141" s="5"/>
      <c r="W141" s="5">
        <v>218851.48</v>
      </c>
      <c r="X141" s="5">
        <v>1</v>
      </c>
      <c r="Y141" s="5">
        <v>218851.48</v>
      </c>
      <c r="Z141" s="5"/>
      <c r="AA141" s="5"/>
      <c r="AB141" s="5"/>
    </row>
    <row r="142" spans="1:28" x14ac:dyDescent="0.2">
      <c r="A142" s="5">
        <v>50</v>
      </c>
      <c r="B142" s="5">
        <v>1</v>
      </c>
      <c r="C142" s="5">
        <v>0</v>
      </c>
      <c r="D142" s="5">
        <v>2</v>
      </c>
      <c r="E142" s="5">
        <v>213</v>
      </c>
      <c r="F142" s="5">
        <f>ROUND(F140+F141,O142)</f>
        <v>1213630.92</v>
      </c>
      <c r="G142" s="5" t="s">
        <v>186</v>
      </c>
      <c r="H142" s="5" t="s">
        <v>187</v>
      </c>
      <c r="I142" s="5"/>
      <c r="J142" s="5"/>
      <c r="K142" s="5">
        <v>212</v>
      </c>
      <c r="L142" s="5">
        <v>30</v>
      </c>
      <c r="M142" s="5">
        <v>0</v>
      </c>
      <c r="N142" s="5" t="s">
        <v>3</v>
      </c>
      <c r="O142" s="5">
        <v>2</v>
      </c>
      <c r="P142" s="5"/>
      <c r="Q142" s="5"/>
      <c r="R142" s="5"/>
      <c r="S142" s="5"/>
      <c r="T142" s="5"/>
      <c r="U142" s="5"/>
      <c r="V142" s="5"/>
      <c r="W142" s="5">
        <v>1213630.92</v>
      </c>
      <c r="X142" s="5">
        <v>1</v>
      </c>
      <c r="Y142" s="5">
        <v>1213630.92</v>
      </c>
      <c r="Z142" s="5"/>
      <c r="AA142" s="5"/>
      <c r="AB142" s="5"/>
    </row>
    <row r="145" spans="1:16" x14ac:dyDescent="0.2">
      <c r="A145">
        <v>70</v>
      </c>
      <c r="B145">
        <v>1</v>
      </c>
      <c r="D145">
        <v>1</v>
      </c>
      <c r="E145" t="s">
        <v>188</v>
      </c>
      <c r="F145" t="s">
        <v>189</v>
      </c>
      <c r="G145">
        <v>0</v>
      </c>
      <c r="H145">
        <v>0</v>
      </c>
      <c r="I145" t="s">
        <v>3</v>
      </c>
      <c r="J145">
        <v>1</v>
      </c>
      <c r="K145">
        <v>0</v>
      </c>
      <c r="L145" t="s">
        <v>3</v>
      </c>
      <c r="M145" t="s">
        <v>3</v>
      </c>
      <c r="N145">
        <v>0</v>
      </c>
      <c r="P145" t="s">
        <v>190</v>
      </c>
    </row>
    <row r="146" spans="1:16" x14ac:dyDescent="0.2">
      <c r="A146">
        <v>70</v>
      </c>
      <c r="B146">
        <v>1</v>
      </c>
      <c r="D146">
        <v>2</v>
      </c>
      <c r="E146" t="s">
        <v>191</v>
      </c>
      <c r="F146" t="s">
        <v>192</v>
      </c>
      <c r="G146">
        <v>1</v>
      </c>
      <c r="H146">
        <v>0</v>
      </c>
      <c r="I146" t="s">
        <v>3</v>
      </c>
      <c r="J146">
        <v>1</v>
      </c>
      <c r="K146">
        <v>0</v>
      </c>
      <c r="L146" t="s">
        <v>3</v>
      </c>
      <c r="M146" t="s">
        <v>3</v>
      </c>
      <c r="N146">
        <v>0</v>
      </c>
      <c r="P146" t="s">
        <v>193</v>
      </c>
    </row>
    <row r="147" spans="1:16" x14ac:dyDescent="0.2">
      <c r="A147">
        <v>70</v>
      </c>
      <c r="B147">
        <v>1</v>
      </c>
      <c r="D147">
        <v>3</v>
      </c>
      <c r="E147" t="s">
        <v>194</v>
      </c>
      <c r="F147" t="s">
        <v>195</v>
      </c>
      <c r="G147">
        <v>0</v>
      </c>
      <c r="H147">
        <v>0</v>
      </c>
      <c r="I147" t="s">
        <v>3</v>
      </c>
      <c r="J147">
        <v>1</v>
      </c>
      <c r="K147">
        <v>0</v>
      </c>
      <c r="L147" t="s">
        <v>3</v>
      </c>
      <c r="M147" t="s">
        <v>3</v>
      </c>
      <c r="N147">
        <v>0</v>
      </c>
      <c r="P147" t="s">
        <v>196</v>
      </c>
    </row>
    <row r="148" spans="1:16" x14ac:dyDescent="0.2">
      <c r="A148">
        <v>70</v>
      </c>
      <c r="B148">
        <v>1</v>
      </c>
      <c r="D148">
        <v>4</v>
      </c>
      <c r="E148" t="s">
        <v>197</v>
      </c>
      <c r="F148" t="s">
        <v>198</v>
      </c>
      <c r="G148">
        <v>1</v>
      </c>
      <c r="H148">
        <v>0</v>
      </c>
      <c r="I148" t="s">
        <v>3</v>
      </c>
      <c r="J148">
        <v>2</v>
      </c>
      <c r="K148">
        <v>0</v>
      </c>
      <c r="L148" t="s">
        <v>3</v>
      </c>
      <c r="M148" t="s">
        <v>3</v>
      </c>
      <c r="N148">
        <v>0</v>
      </c>
      <c r="P148" t="s">
        <v>3</v>
      </c>
    </row>
    <row r="149" spans="1:16" x14ac:dyDescent="0.2">
      <c r="A149">
        <v>70</v>
      </c>
      <c r="B149">
        <v>1</v>
      </c>
      <c r="D149">
        <v>5</v>
      </c>
      <c r="E149" t="s">
        <v>199</v>
      </c>
      <c r="F149" t="s">
        <v>200</v>
      </c>
      <c r="G149">
        <v>0</v>
      </c>
      <c r="H149">
        <v>0</v>
      </c>
      <c r="I149" t="s">
        <v>3</v>
      </c>
      <c r="J149">
        <v>2</v>
      </c>
      <c r="K149">
        <v>0</v>
      </c>
      <c r="L149" t="s">
        <v>3</v>
      </c>
      <c r="M149" t="s">
        <v>3</v>
      </c>
      <c r="N149">
        <v>0</v>
      </c>
      <c r="P149" t="s">
        <v>3</v>
      </c>
    </row>
    <row r="150" spans="1:16" x14ac:dyDescent="0.2">
      <c r="A150">
        <v>70</v>
      </c>
      <c r="B150">
        <v>1</v>
      </c>
      <c r="D150">
        <v>6</v>
      </c>
      <c r="E150" t="s">
        <v>201</v>
      </c>
      <c r="F150" t="s">
        <v>202</v>
      </c>
      <c r="G150">
        <v>0</v>
      </c>
      <c r="H150">
        <v>0</v>
      </c>
      <c r="I150" t="s">
        <v>3</v>
      </c>
      <c r="J150">
        <v>2</v>
      </c>
      <c r="K150">
        <v>0</v>
      </c>
      <c r="L150" t="s">
        <v>3</v>
      </c>
      <c r="M150" t="s">
        <v>3</v>
      </c>
      <c r="N150">
        <v>0</v>
      </c>
      <c r="P150" t="s">
        <v>3</v>
      </c>
    </row>
    <row r="151" spans="1:16" x14ac:dyDescent="0.2">
      <c r="A151">
        <v>70</v>
      </c>
      <c r="B151">
        <v>1</v>
      </c>
      <c r="D151">
        <v>7</v>
      </c>
      <c r="E151" t="s">
        <v>203</v>
      </c>
      <c r="F151" t="s">
        <v>204</v>
      </c>
      <c r="G151">
        <v>0</v>
      </c>
      <c r="H151">
        <v>0</v>
      </c>
      <c r="I151" t="s">
        <v>205</v>
      </c>
      <c r="J151">
        <v>0</v>
      </c>
      <c r="K151">
        <v>0</v>
      </c>
      <c r="L151" t="s">
        <v>3</v>
      </c>
      <c r="M151" t="s">
        <v>3</v>
      </c>
      <c r="N151">
        <v>0</v>
      </c>
      <c r="P151" t="s">
        <v>206</v>
      </c>
    </row>
    <row r="152" spans="1:16" x14ac:dyDescent="0.2">
      <c r="A152">
        <v>70</v>
      </c>
      <c r="B152">
        <v>1</v>
      </c>
      <c r="D152">
        <v>8</v>
      </c>
      <c r="E152" t="s">
        <v>207</v>
      </c>
      <c r="F152" t="s">
        <v>208</v>
      </c>
      <c r="G152">
        <v>1</v>
      </c>
      <c r="H152">
        <v>0</v>
      </c>
      <c r="I152" t="s">
        <v>3</v>
      </c>
      <c r="J152">
        <v>5</v>
      </c>
      <c r="K152">
        <v>0</v>
      </c>
      <c r="L152" t="s">
        <v>3</v>
      </c>
      <c r="M152" t="s">
        <v>3</v>
      </c>
      <c r="N152">
        <v>0</v>
      </c>
      <c r="P152" t="s">
        <v>3</v>
      </c>
    </row>
    <row r="153" spans="1:16" x14ac:dyDescent="0.2">
      <c r="A153">
        <v>70</v>
      </c>
      <c r="B153">
        <v>1</v>
      </c>
      <c r="D153">
        <v>9</v>
      </c>
      <c r="E153" t="s">
        <v>209</v>
      </c>
      <c r="F153" t="s">
        <v>210</v>
      </c>
      <c r="G153">
        <v>0</v>
      </c>
      <c r="H153">
        <v>0</v>
      </c>
      <c r="I153" t="s">
        <v>3</v>
      </c>
      <c r="J153">
        <v>5</v>
      </c>
      <c r="K153">
        <v>0</v>
      </c>
      <c r="L153" t="s">
        <v>3</v>
      </c>
      <c r="M153" t="s">
        <v>3</v>
      </c>
      <c r="N153">
        <v>0</v>
      </c>
      <c r="P153" t="s">
        <v>211</v>
      </c>
    </row>
    <row r="154" spans="1:16" x14ac:dyDescent="0.2">
      <c r="A154">
        <v>70</v>
      </c>
      <c r="B154">
        <v>1</v>
      </c>
      <c r="D154">
        <v>10</v>
      </c>
      <c r="E154" t="s">
        <v>212</v>
      </c>
      <c r="F154" t="s">
        <v>213</v>
      </c>
      <c r="G154">
        <v>0</v>
      </c>
      <c r="H154">
        <v>0</v>
      </c>
      <c r="I154" t="s">
        <v>214</v>
      </c>
      <c r="J154">
        <v>5</v>
      </c>
      <c r="K154">
        <v>0</v>
      </c>
      <c r="L154" t="s">
        <v>3</v>
      </c>
      <c r="M154" t="s">
        <v>3</v>
      </c>
      <c r="N154">
        <v>0</v>
      </c>
      <c r="P154" t="s">
        <v>215</v>
      </c>
    </row>
    <row r="155" spans="1:16" x14ac:dyDescent="0.2">
      <c r="A155">
        <v>70</v>
      </c>
      <c r="B155">
        <v>1</v>
      </c>
      <c r="D155">
        <v>11</v>
      </c>
      <c r="E155" t="s">
        <v>216</v>
      </c>
      <c r="F155" t="s">
        <v>217</v>
      </c>
      <c r="G155">
        <v>0</v>
      </c>
      <c r="H155">
        <v>0</v>
      </c>
      <c r="I155" t="s">
        <v>218</v>
      </c>
      <c r="J155">
        <v>0</v>
      </c>
      <c r="K155">
        <v>0</v>
      </c>
      <c r="L155" t="s">
        <v>3</v>
      </c>
      <c r="M155" t="s">
        <v>3</v>
      </c>
      <c r="N155">
        <v>0</v>
      </c>
      <c r="P155" t="s">
        <v>219</v>
      </c>
    </row>
    <row r="156" spans="1:16" x14ac:dyDescent="0.2">
      <c r="A156">
        <v>70</v>
      </c>
      <c r="B156">
        <v>1</v>
      </c>
      <c r="D156">
        <v>12</v>
      </c>
      <c r="E156" t="s">
        <v>220</v>
      </c>
      <c r="F156" t="s">
        <v>221</v>
      </c>
      <c r="G156">
        <v>0</v>
      </c>
      <c r="H156">
        <v>0</v>
      </c>
      <c r="I156" t="s">
        <v>222</v>
      </c>
      <c r="J156">
        <v>0</v>
      </c>
      <c r="K156">
        <v>0</v>
      </c>
      <c r="L156" t="s">
        <v>3</v>
      </c>
      <c r="M156" t="s">
        <v>3</v>
      </c>
      <c r="N156">
        <v>0</v>
      </c>
      <c r="P156" t="s">
        <v>223</v>
      </c>
    </row>
    <row r="157" spans="1:16" x14ac:dyDescent="0.2">
      <c r="A157">
        <v>70</v>
      </c>
      <c r="B157">
        <v>1</v>
      </c>
      <c r="D157">
        <v>13</v>
      </c>
      <c r="E157" t="s">
        <v>224</v>
      </c>
      <c r="F157" t="s">
        <v>225</v>
      </c>
      <c r="G157">
        <v>0</v>
      </c>
      <c r="H157">
        <v>0</v>
      </c>
      <c r="I157" t="s">
        <v>226</v>
      </c>
      <c r="J157">
        <v>0</v>
      </c>
      <c r="K157">
        <v>0</v>
      </c>
      <c r="L157" t="s">
        <v>3</v>
      </c>
      <c r="M157" t="s">
        <v>3</v>
      </c>
      <c r="N157">
        <v>0</v>
      </c>
      <c r="P157" t="s">
        <v>227</v>
      </c>
    </row>
    <row r="158" spans="1:16" x14ac:dyDescent="0.2">
      <c r="A158">
        <v>70</v>
      </c>
      <c r="B158">
        <v>1</v>
      </c>
      <c r="D158">
        <v>14</v>
      </c>
      <c r="E158" t="s">
        <v>228</v>
      </c>
      <c r="F158" t="s">
        <v>229</v>
      </c>
      <c r="G158">
        <v>0</v>
      </c>
      <c r="H158">
        <v>0</v>
      </c>
      <c r="I158" t="s">
        <v>3</v>
      </c>
      <c r="J158">
        <v>0</v>
      </c>
      <c r="K158">
        <v>0</v>
      </c>
      <c r="L158" t="s">
        <v>3</v>
      </c>
      <c r="M158" t="s">
        <v>3</v>
      </c>
      <c r="N158">
        <v>0</v>
      </c>
      <c r="P158" t="s">
        <v>3</v>
      </c>
    </row>
    <row r="159" spans="1:16" x14ac:dyDescent="0.2">
      <c r="A159">
        <v>70</v>
      </c>
      <c r="B159">
        <v>1</v>
      </c>
      <c r="D159">
        <v>15</v>
      </c>
      <c r="E159" t="s">
        <v>230</v>
      </c>
      <c r="F159" t="s">
        <v>231</v>
      </c>
      <c r="G159">
        <v>0</v>
      </c>
      <c r="H159">
        <v>0</v>
      </c>
      <c r="I159" t="s">
        <v>3</v>
      </c>
      <c r="J159">
        <v>0</v>
      </c>
      <c r="K159">
        <v>0</v>
      </c>
      <c r="L159" t="s">
        <v>3</v>
      </c>
      <c r="M159" t="s">
        <v>3</v>
      </c>
      <c r="N159">
        <v>0</v>
      </c>
      <c r="P159" t="s">
        <v>232</v>
      </c>
    </row>
    <row r="160" spans="1:16" x14ac:dyDescent="0.2">
      <c r="A160">
        <v>70</v>
      </c>
      <c r="B160">
        <v>1</v>
      </c>
      <c r="D160">
        <v>16</v>
      </c>
      <c r="E160" t="s">
        <v>233</v>
      </c>
      <c r="F160" t="s">
        <v>234</v>
      </c>
      <c r="G160">
        <v>0</v>
      </c>
      <c r="H160">
        <v>0</v>
      </c>
      <c r="I160" t="s">
        <v>3</v>
      </c>
      <c r="J160">
        <v>3</v>
      </c>
      <c r="K160">
        <v>0</v>
      </c>
      <c r="L160" t="s">
        <v>3</v>
      </c>
      <c r="M160" t="s">
        <v>3</v>
      </c>
      <c r="N160">
        <v>0</v>
      </c>
      <c r="P160" t="s">
        <v>3</v>
      </c>
    </row>
    <row r="161" spans="1:50" x14ac:dyDescent="0.2">
      <c r="A161">
        <v>70</v>
      </c>
      <c r="B161">
        <v>1</v>
      </c>
      <c r="D161">
        <v>17</v>
      </c>
      <c r="E161" t="s">
        <v>235</v>
      </c>
      <c r="F161" t="s">
        <v>236</v>
      </c>
      <c r="G161">
        <v>1</v>
      </c>
      <c r="H161">
        <v>0</v>
      </c>
      <c r="I161" t="s">
        <v>3</v>
      </c>
      <c r="J161">
        <v>3</v>
      </c>
      <c r="K161">
        <v>0</v>
      </c>
      <c r="L161" t="s">
        <v>3</v>
      </c>
      <c r="M161" t="s">
        <v>3</v>
      </c>
      <c r="N161">
        <v>0</v>
      </c>
      <c r="P161" t="s">
        <v>3</v>
      </c>
    </row>
    <row r="162" spans="1:50" x14ac:dyDescent="0.2">
      <c r="A162">
        <v>70</v>
      </c>
      <c r="B162">
        <v>1</v>
      </c>
      <c r="D162">
        <v>1</v>
      </c>
      <c r="E162" t="s">
        <v>237</v>
      </c>
      <c r="F162" t="s">
        <v>238</v>
      </c>
      <c r="G162">
        <v>0.9</v>
      </c>
      <c r="H162">
        <v>1</v>
      </c>
      <c r="I162" t="s">
        <v>239</v>
      </c>
      <c r="J162">
        <v>0</v>
      </c>
      <c r="K162">
        <v>0</v>
      </c>
      <c r="L162" t="s">
        <v>3</v>
      </c>
      <c r="M162" t="s">
        <v>3</v>
      </c>
      <c r="N162">
        <v>0</v>
      </c>
      <c r="P162" t="s">
        <v>240</v>
      </c>
    </row>
    <row r="163" spans="1:50" x14ac:dyDescent="0.2">
      <c r="A163">
        <v>70</v>
      </c>
      <c r="B163">
        <v>1</v>
      </c>
      <c r="D163">
        <v>2</v>
      </c>
      <c r="E163" t="s">
        <v>241</v>
      </c>
      <c r="F163" t="s">
        <v>242</v>
      </c>
      <c r="G163">
        <v>0.85</v>
      </c>
      <c r="H163">
        <v>1</v>
      </c>
      <c r="I163" t="s">
        <v>243</v>
      </c>
      <c r="J163">
        <v>0</v>
      </c>
      <c r="K163">
        <v>0</v>
      </c>
      <c r="L163" t="s">
        <v>3</v>
      </c>
      <c r="M163" t="s">
        <v>3</v>
      </c>
      <c r="N163">
        <v>0</v>
      </c>
      <c r="P163" t="s">
        <v>244</v>
      </c>
    </row>
    <row r="164" spans="1:50" x14ac:dyDescent="0.2">
      <c r="A164">
        <v>70</v>
      </c>
      <c r="B164">
        <v>1</v>
      </c>
      <c r="D164">
        <v>3</v>
      </c>
      <c r="E164" t="s">
        <v>245</v>
      </c>
      <c r="F164" t="s">
        <v>246</v>
      </c>
      <c r="G164">
        <v>1.03</v>
      </c>
      <c r="H164">
        <v>0</v>
      </c>
      <c r="I164" t="s">
        <v>3</v>
      </c>
      <c r="J164">
        <v>0</v>
      </c>
      <c r="K164">
        <v>0</v>
      </c>
      <c r="L164" t="s">
        <v>3</v>
      </c>
      <c r="M164" t="s">
        <v>3</v>
      </c>
      <c r="N164">
        <v>0</v>
      </c>
      <c r="P164" t="s">
        <v>247</v>
      </c>
    </row>
    <row r="165" spans="1:50" x14ac:dyDescent="0.2">
      <c r="A165">
        <v>70</v>
      </c>
      <c r="B165">
        <v>1</v>
      </c>
      <c r="D165">
        <v>4</v>
      </c>
      <c r="E165" t="s">
        <v>248</v>
      </c>
      <c r="F165" t="s">
        <v>249</v>
      </c>
      <c r="G165">
        <v>1.1499999999999999</v>
      </c>
      <c r="H165">
        <v>0</v>
      </c>
      <c r="I165" t="s">
        <v>3</v>
      </c>
      <c r="J165">
        <v>0</v>
      </c>
      <c r="K165">
        <v>0</v>
      </c>
      <c r="L165" t="s">
        <v>3</v>
      </c>
      <c r="M165" t="s">
        <v>3</v>
      </c>
      <c r="N165">
        <v>0</v>
      </c>
      <c r="P165" t="s">
        <v>250</v>
      </c>
    </row>
    <row r="166" spans="1:50" x14ac:dyDescent="0.2">
      <c r="A166">
        <v>70</v>
      </c>
      <c r="B166">
        <v>1</v>
      </c>
      <c r="D166">
        <v>5</v>
      </c>
      <c r="E166" t="s">
        <v>251</v>
      </c>
      <c r="F166" t="s">
        <v>252</v>
      </c>
      <c r="G166">
        <v>7</v>
      </c>
      <c r="H166">
        <v>0</v>
      </c>
      <c r="I166" t="s">
        <v>3</v>
      </c>
      <c r="J166">
        <v>0</v>
      </c>
      <c r="K166">
        <v>0</v>
      </c>
      <c r="L166" t="s">
        <v>3</v>
      </c>
      <c r="M166" t="s">
        <v>3</v>
      </c>
      <c r="N166">
        <v>0</v>
      </c>
      <c r="P166" t="s">
        <v>3</v>
      </c>
    </row>
    <row r="167" spans="1:50" x14ac:dyDescent="0.2">
      <c r="A167">
        <v>70</v>
      </c>
      <c r="B167">
        <v>1</v>
      </c>
      <c r="D167">
        <v>6</v>
      </c>
      <c r="E167" t="s">
        <v>253</v>
      </c>
      <c r="F167" t="s">
        <v>3</v>
      </c>
      <c r="G167">
        <v>2</v>
      </c>
      <c r="H167">
        <v>0</v>
      </c>
      <c r="I167" t="s">
        <v>3</v>
      </c>
      <c r="J167">
        <v>0</v>
      </c>
      <c r="K167">
        <v>0</v>
      </c>
      <c r="L167" t="s">
        <v>3</v>
      </c>
      <c r="M167" t="s">
        <v>3</v>
      </c>
      <c r="N167">
        <v>0</v>
      </c>
      <c r="P167" t="s">
        <v>3</v>
      </c>
    </row>
    <row r="169" spans="1:50" x14ac:dyDescent="0.2">
      <c r="A169">
        <v>-1</v>
      </c>
    </row>
    <row r="171" spans="1:50" x14ac:dyDescent="0.2">
      <c r="A171" s="4">
        <v>75</v>
      </c>
      <c r="B171" s="4" t="s">
        <v>254</v>
      </c>
      <c r="C171" s="4">
        <v>2026</v>
      </c>
      <c r="D171" s="4">
        <v>2</v>
      </c>
      <c r="E171" s="4">
        <v>0</v>
      </c>
      <c r="F171" s="4">
        <v>1</v>
      </c>
      <c r="G171" s="4">
        <v>0</v>
      </c>
      <c r="H171" s="4">
        <v>1</v>
      </c>
      <c r="I171" s="4">
        <v>0</v>
      </c>
      <c r="J171" s="4">
        <v>1</v>
      </c>
      <c r="K171" s="4">
        <v>0</v>
      </c>
      <c r="L171" s="4">
        <v>0</v>
      </c>
      <c r="M171" s="4">
        <v>0</v>
      </c>
      <c r="N171" s="4">
        <v>94298235</v>
      </c>
      <c r="O171" s="4">
        <v>1</v>
      </c>
    </row>
    <row r="172" spans="1:50" x14ac:dyDescent="0.2">
      <c r="A172" s="6">
        <v>2</v>
      </c>
      <c r="B172" s="6" t="s">
        <v>255</v>
      </c>
      <c r="C172" s="6" t="s">
        <v>256</v>
      </c>
      <c r="D172" s="6">
        <v>0</v>
      </c>
      <c r="E172" s="6">
        <v>0</v>
      </c>
      <c r="F172" s="6">
        <v>0</v>
      </c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>
        <v>94298236</v>
      </c>
    </row>
    <row r="173" spans="1:50" x14ac:dyDescent="0.2">
      <c r="A173" s="6">
        <v>1</v>
      </c>
      <c r="B173" s="6" t="s">
        <v>257</v>
      </c>
      <c r="C173" s="6" t="s">
        <v>258</v>
      </c>
      <c r="D173" s="6">
        <v>2026</v>
      </c>
      <c r="E173" s="6">
        <v>6</v>
      </c>
      <c r="F173" s="6">
        <v>1</v>
      </c>
      <c r="G173" s="6">
        <v>1</v>
      </c>
      <c r="H173" s="6">
        <v>0</v>
      </c>
      <c r="I173" s="6">
        <v>2</v>
      </c>
      <c r="J173" s="6">
        <v>1</v>
      </c>
      <c r="K173" s="6">
        <v>1</v>
      </c>
      <c r="L173" s="6">
        <v>1</v>
      </c>
      <c r="M173" s="6">
        <v>1</v>
      </c>
      <c r="N173" s="6">
        <v>1</v>
      </c>
      <c r="O173" s="6">
        <v>1</v>
      </c>
      <c r="P173" s="6">
        <v>1</v>
      </c>
      <c r="Q173" s="6">
        <v>1</v>
      </c>
      <c r="R173" s="6" t="s">
        <v>3</v>
      </c>
      <c r="S173" s="6" t="s">
        <v>3</v>
      </c>
      <c r="T173" s="6" t="s">
        <v>3</v>
      </c>
      <c r="U173" s="6" t="s">
        <v>3</v>
      </c>
      <c r="V173" s="6" t="s">
        <v>3</v>
      </c>
      <c r="W173" s="6" t="s">
        <v>3</v>
      </c>
      <c r="X173" s="6" t="s">
        <v>3</v>
      </c>
      <c r="Y173" s="6" t="s">
        <v>3</v>
      </c>
      <c r="Z173" s="6" t="s">
        <v>3</v>
      </c>
      <c r="AA173" s="6" t="s">
        <v>3</v>
      </c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>
        <v>94298237</v>
      </c>
      <c r="AO173" s="6" t="s">
        <v>259</v>
      </c>
      <c r="AP173" s="6" t="s">
        <v>260</v>
      </c>
      <c r="AQ173" s="6">
        <v>46164</v>
      </c>
      <c r="AR173" s="6">
        <v>417</v>
      </c>
      <c r="AS173" s="6" t="s">
        <v>261</v>
      </c>
      <c r="AT173" s="6" t="s">
        <v>3</v>
      </c>
      <c r="AU173" s="6" t="s">
        <v>260</v>
      </c>
      <c r="AV173" s="6">
        <v>45957</v>
      </c>
      <c r="AW173" s="6">
        <v>23615</v>
      </c>
      <c r="AX173" s="6" t="s">
        <v>262</v>
      </c>
    </row>
    <row r="177" spans="1:5" x14ac:dyDescent="0.2">
      <c r="A177">
        <v>65</v>
      </c>
      <c r="C177">
        <v>1</v>
      </c>
      <c r="D177">
        <v>0</v>
      </c>
      <c r="E177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6"/>
  <sheetViews>
    <sheetView workbookViewId="0"/>
  </sheetViews>
  <sheetFormatPr defaultColWidth="9.140625" defaultRowHeight="12.75" x14ac:dyDescent="0.2"/>
  <cols>
    <col min="1" max="256" width="9.140625" style="2" customWidth="1"/>
    <col min="257" max="16384" width="9.140625" style="2"/>
  </cols>
  <sheetData>
    <row r="1" spans="1:133" x14ac:dyDescent="0.2">
      <c r="A1" s="2">
        <v>0</v>
      </c>
      <c r="B1" s="2" t="s">
        <v>0</v>
      </c>
      <c r="D1" s="2" t="s">
        <v>263</v>
      </c>
      <c r="F1" s="2">
        <v>0</v>
      </c>
      <c r="G1" s="2">
        <v>0</v>
      </c>
      <c r="H1" s="2">
        <v>0</v>
      </c>
      <c r="I1" s="2" t="s">
        <v>2</v>
      </c>
      <c r="J1" s="2" t="s">
        <v>3</v>
      </c>
      <c r="K1" s="2">
        <v>1</v>
      </c>
      <c r="L1" s="2">
        <v>21931</v>
      </c>
      <c r="M1" s="2">
        <v>10</v>
      </c>
      <c r="N1" s="2">
        <v>12</v>
      </c>
      <c r="O1" s="2">
        <v>1</v>
      </c>
      <c r="P1" s="2">
        <v>0</v>
      </c>
      <c r="Q1" s="2">
        <v>4</v>
      </c>
    </row>
    <row r="12" spans="1:133" x14ac:dyDescent="0.2">
      <c r="A12" s="8">
        <v>1</v>
      </c>
      <c r="B12" s="8">
        <v>54</v>
      </c>
      <c r="C12" s="8">
        <v>0</v>
      </c>
      <c r="D12" s="8"/>
      <c r="E12" s="8">
        <v>0</v>
      </c>
      <c r="F12" s="8" t="s">
        <v>4</v>
      </c>
      <c r="G12" s="8" t="s">
        <v>5</v>
      </c>
      <c r="H12" s="8" t="s">
        <v>3</v>
      </c>
      <c r="I12" s="8">
        <v>0</v>
      </c>
      <c r="J12" s="8" t="s">
        <v>3</v>
      </c>
      <c r="K12" s="8">
        <v>0</v>
      </c>
      <c r="L12" s="8">
        <v>0</v>
      </c>
      <c r="M12" s="8">
        <v>523</v>
      </c>
      <c r="N12" s="8"/>
      <c r="O12" s="8">
        <v>0</v>
      </c>
      <c r="P12" s="8">
        <v>0</v>
      </c>
      <c r="Q12" s="8">
        <v>7</v>
      </c>
      <c r="R12" s="8">
        <v>0</v>
      </c>
      <c r="S12" s="8"/>
      <c r="T12" s="8">
        <v>4</v>
      </c>
      <c r="U12" s="8" t="s">
        <v>3</v>
      </c>
      <c r="V12" s="8">
        <v>0</v>
      </c>
      <c r="W12" s="8" t="s">
        <v>3</v>
      </c>
      <c r="X12" s="8" t="s">
        <v>3</v>
      </c>
      <c r="Y12" s="8" t="s">
        <v>3</v>
      </c>
      <c r="Z12" s="8" t="s">
        <v>3</v>
      </c>
      <c r="AA12" s="8" t="s">
        <v>3</v>
      </c>
      <c r="AB12" s="8" t="s">
        <v>3</v>
      </c>
      <c r="AC12" s="8" t="s">
        <v>3</v>
      </c>
      <c r="AD12" s="8" t="s">
        <v>3</v>
      </c>
      <c r="AE12" s="8" t="s">
        <v>3</v>
      </c>
      <c r="AF12" s="8" t="s">
        <v>3</v>
      </c>
      <c r="AG12" s="8" t="s">
        <v>3</v>
      </c>
      <c r="AH12" s="8" t="s">
        <v>3</v>
      </c>
      <c r="AI12" s="8" t="s">
        <v>3</v>
      </c>
      <c r="AJ12" s="8" t="s">
        <v>3</v>
      </c>
      <c r="AK12" s="8"/>
      <c r="AL12" s="8" t="s">
        <v>3</v>
      </c>
      <c r="AM12" s="8" t="s">
        <v>3</v>
      </c>
      <c r="AN12" s="8" t="s">
        <v>3</v>
      </c>
      <c r="AO12" s="8"/>
      <c r="AP12" s="8" t="s">
        <v>3</v>
      </c>
      <c r="AQ12" s="8" t="s">
        <v>3</v>
      </c>
      <c r="AR12" s="8" t="s">
        <v>3</v>
      </c>
      <c r="AS12" s="8"/>
      <c r="AT12" s="8"/>
      <c r="AU12" s="8"/>
      <c r="AV12" s="8"/>
      <c r="AW12" s="8"/>
      <c r="AX12" s="8" t="s">
        <v>3</v>
      </c>
      <c r="AY12" s="8" t="s">
        <v>3</v>
      </c>
      <c r="AZ12" s="8" t="s">
        <v>3</v>
      </c>
      <c r="BA12" s="8"/>
      <c r="BB12" s="8">
        <v>0</v>
      </c>
      <c r="BC12" s="8"/>
      <c r="BD12" s="8"/>
      <c r="BE12" s="8"/>
      <c r="BF12" s="8"/>
      <c r="BG12" s="8"/>
      <c r="BH12" s="8" t="s">
        <v>6</v>
      </c>
      <c r="BI12" s="8" t="s">
        <v>7</v>
      </c>
      <c r="BJ12" s="8">
        <v>1</v>
      </c>
      <c r="BK12" s="8">
        <v>1</v>
      </c>
      <c r="BL12" s="8">
        <v>0</v>
      </c>
      <c r="BM12" s="8">
        <v>0</v>
      </c>
      <c r="BN12" s="8">
        <v>1</v>
      </c>
      <c r="BO12" s="8">
        <v>0</v>
      </c>
      <c r="BP12" s="8">
        <v>6</v>
      </c>
      <c r="BQ12" s="8">
        <v>2</v>
      </c>
      <c r="BR12" s="8">
        <v>1</v>
      </c>
      <c r="BS12" s="8">
        <v>1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 t="s">
        <v>8</v>
      </c>
      <c r="BZ12" s="8" t="s">
        <v>9</v>
      </c>
      <c r="CA12" s="8" t="s">
        <v>10</v>
      </c>
      <c r="CB12" s="8" t="s">
        <v>10</v>
      </c>
      <c r="CC12" s="8" t="s">
        <v>10</v>
      </c>
      <c r="CD12" s="8" t="s">
        <v>10</v>
      </c>
      <c r="CE12" s="8" t="s">
        <v>11</v>
      </c>
      <c r="CF12" s="8">
        <v>0</v>
      </c>
      <c r="CG12" s="8">
        <v>0</v>
      </c>
      <c r="CH12" s="8">
        <v>487096328</v>
      </c>
      <c r="CI12" s="8" t="s">
        <v>3</v>
      </c>
      <c r="CJ12" s="8" t="s">
        <v>3</v>
      </c>
      <c r="CK12" s="8">
        <v>18</v>
      </c>
      <c r="CL12" s="8"/>
      <c r="CM12" s="8"/>
      <c r="CN12" s="8"/>
      <c r="CO12" s="8"/>
      <c r="CP12" s="8"/>
      <c r="CQ12" s="8" t="s">
        <v>12</v>
      </c>
      <c r="CR12" s="8" t="s">
        <v>13</v>
      </c>
      <c r="CS12" s="8">
        <v>46161</v>
      </c>
      <c r="CT12" s="8">
        <v>567</v>
      </c>
      <c r="CU12" s="8">
        <v>18</v>
      </c>
      <c r="CV12" s="8" t="s">
        <v>356</v>
      </c>
      <c r="CW12" s="8"/>
      <c r="CX12" s="8"/>
      <c r="CY12" s="8">
        <v>0</v>
      </c>
      <c r="CZ12" s="8" t="s">
        <v>3</v>
      </c>
      <c r="DA12" s="8" t="s">
        <v>3</v>
      </c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>
        <v>0</v>
      </c>
    </row>
    <row r="14" spans="1:133" x14ac:dyDescent="0.2">
      <c r="A14" s="8">
        <v>22</v>
      </c>
      <c r="B14" s="8">
        <v>1</v>
      </c>
      <c r="C14" s="8">
        <v>0</v>
      </c>
      <c r="D14" s="8">
        <v>94298235</v>
      </c>
      <c r="E14" s="8">
        <v>0</v>
      </c>
      <c r="F14" s="8">
        <v>2</v>
      </c>
      <c r="G14" s="8">
        <v>1</v>
      </c>
      <c r="H14" s="8"/>
      <c r="I14" s="8"/>
      <c r="J14" s="8"/>
      <c r="K14" s="8"/>
      <c r="L14" s="8"/>
      <c r="M14" s="8"/>
      <c r="N14" s="8"/>
      <c r="O14" s="8"/>
    </row>
    <row r="16" spans="1:133" x14ac:dyDescent="0.2">
      <c r="A16" s="9">
        <v>3</v>
      </c>
      <c r="B16" s="9">
        <v>1</v>
      </c>
      <c r="C16" s="9" t="s">
        <v>14</v>
      </c>
      <c r="D16" s="9" t="s">
        <v>14</v>
      </c>
      <c r="E16" s="10">
        <f>ROUND((Source!F97)/1000,2)</f>
        <v>994.78</v>
      </c>
      <c r="F16" s="10">
        <f>ROUND((Source!F98)/1000,2)</f>
        <v>0</v>
      </c>
      <c r="G16" s="10">
        <f>ROUND((Source!F89)/1000,2)</f>
        <v>0</v>
      </c>
      <c r="H16" s="10">
        <f>ROUND((Source!F99)/1000+(Source!F100)/1000,2)</f>
        <v>0</v>
      </c>
      <c r="I16" s="10">
        <f>E16+F16+G16+H16</f>
        <v>994.78</v>
      </c>
      <c r="J16" s="10">
        <f>ROUND((Source!F95+Source!F94)/1000,2)</f>
        <v>256.85000000000002</v>
      </c>
      <c r="K16" s="10">
        <v>1017.91</v>
      </c>
      <c r="L16" s="10">
        <v>0</v>
      </c>
      <c r="M16" s="10">
        <v>0</v>
      </c>
      <c r="N16" s="10">
        <f>I16+L16+M16</f>
        <v>994.78</v>
      </c>
      <c r="AI16" s="9">
        <v>0</v>
      </c>
      <c r="AJ16" s="9">
        <v>0</v>
      </c>
      <c r="AK16" s="9" t="s">
        <v>3</v>
      </c>
      <c r="AL16" s="9" t="s">
        <v>3</v>
      </c>
      <c r="AM16" s="9" t="s">
        <v>3</v>
      </c>
      <c r="AN16" s="9">
        <v>0</v>
      </c>
      <c r="AO16" s="9" t="s">
        <v>3</v>
      </c>
      <c r="AP16" s="9" t="s">
        <v>3</v>
      </c>
      <c r="AT16" s="10">
        <v>653705.6100000001</v>
      </c>
      <c r="AU16" s="10">
        <v>379276.96</v>
      </c>
      <c r="AV16" s="10">
        <v>0</v>
      </c>
      <c r="AW16" s="10">
        <v>0</v>
      </c>
      <c r="AX16" s="10">
        <v>0</v>
      </c>
      <c r="AY16" s="10">
        <v>2504.5700000000002</v>
      </c>
      <c r="AZ16" s="10">
        <v>2896.6700000000005</v>
      </c>
      <c r="BA16" s="10">
        <v>253953.08000000005</v>
      </c>
      <c r="BB16" s="10">
        <v>994779.44</v>
      </c>
      <c r="BC16" s="10">
        <v>0</v>
      </c>
      <c r="BD16" s="10">
        <v>0</v>
      </c>
      <c r="BE16" s="10">
        <v>0</v>
      </c>
      <c r="BF16" s="10">
        <v>371.39463000000001</v>
      </c>
      <c r="BG16" s="10">
        <v>4.0033200000000004</v>
      </c>
      <c r="BH16" s="10">
        <v>0</v>
      </c>
      <c r="BI16" s="10">
        <v>229695.22</v>
      </c>
      <c r="BJ16" s="10">
        <v>111378.61</v>
      </c>
      <c r="BK16" s="10">
        <v>994779.44</v>
      </c>
    </row>
    <row r="18" spans="1:16" x14ac:dyDescent="0.2">
      <c r="A18" s="2">
        <v>51</v>
      </c>
      <c r="E18" s="2">
        <v>994.78</v>
      </c>
      <c r="F18" s="2">
        <v>0</v>
      </c>
      <c r="G18" s="2">
        <v>0</v>
      </c>
      <c r="H18" s="2">
        <v>0</v>
      </c>
      <c r="I18" s="2">
        <v>994.78</v>
      </c>
      <c r="J18" s="2">
        <v>256.85000000000002</v>
      </c>
      <c r="K18" s="2">
        <v>1017.91</v>
      </c>
      <c r="L18" s="2">
        <v>0</v>
      </c>
      <c r="M18" s="2">
        <v>0</v>
      </c>
      <c r="N18" s="2">
        <v>994.78</v>
      </c>
    </row>
    <row r="20" spans="1:16" x14ac:dyDescent="0.2">
      <c r="A20" s="11">
        <v>50</v>
      </c>
      <c r="B20" s="11">
        <v>0</v>
      </c>
      <c r="C20" s="11">
        <v>0</v>
      </c>
      <c r="D20" s="11">
        <v>1</v>
      </c>
      <c r="E20" s="11">
        <v>201</v>
      </c>
      <c r="F20" s="11">
        <v>653705.6100000001</v>
      </c>
      <c r="G20" s="11" t="s">
        <v>129</v>
      </c>
      <c r="H20" s="11" t="s">
        <v>130</v>
      </c>
      <c r="I20" s="11"/>
      <c r="J20" s="11"/>
      <c r="K20" s="11">
        <v>201</v>
      </c>
      <c r="L20" s="11">
        <v>1</v>
      </c>
      <c r="M20" s="11">
        <v>3</v>
      </c>
      <c r="N20" s="11" t="s">
        <v>3</v>
      </c>
      <c r="O20" s="11">
        <v>2</v>
      </c>
      <c r="P20" s="11"/>
    </row>
    <row r="21" spans="1:16" x14ac:dyDescent="0.2">
      <c r="A21" s="11">
        <v>50</v>
      </c>
      <c r="B21" s="11">
        <v>0</v>
      </c>
      <c r="C21" s="11">
        <v>0</v>
      </c>
      <c r="D21" s="11">
        <v>1</v>
      </c>
      <c r="E21" s="11">
        <v>202</v>
      </c>
      <c r="F21" s="11">
        <v>379276.96</v>
      </c>
      <c r="G21" s="11" t="s">
        <v>131</v>
      </c>
      <c r="H21" s="11" t="s">
        <v>132</v>
      </c>
      <c r="I21" s="11"/>
      <c r="J21" s="11"/>
      <c r="K21" s="11">
        <v>202</v>
      </c>
      <c r="L21" s="11">
        <v>2</v>
      </c>
      <c r="M21" s="11">
        <v>3</v>
      </c>
      <c r="N21" s="11" t="s">
        <v>3</v>
      </c>
      <c r="O21" s="11">
        <v>2</v>
      </c>
      <c r="P21" s="11"/>
    </row>
    <row r="22" spans="1:16" x14ac:dyDescent="0.2">
      <c r="A22" s="11">
        <v>50</v>
      </c>
      <c r="B22" s="11">
        <v>0</v>
      </c>
      <c r="C22" s="11">
        <v>0</v>
      </c>
      <c r="D22" s="11">
        <v>1</v>
      </c>
      <c r="E22" s="11">
        <v>222</v>
      </c>
      <c r="F22" s="11">
        <v>0</v>
      </c>
      <c r="G22" s="11" t="s">
        <v>133</v>
      </c>
      <c r="H22" s="11" t="s">
        <v>134</v>
      </c>
      <c r="I22" s="11"/>
      <c r="J22" s="11"/>
      <c r="K22" s="11">
        <v>222</v>
      </c>
      <c r="L22" s="11">
        <v>3</v>
      </c>
      <c r="M22" s="11">
        <v>3</v>
      </c>
      <c r="N22" s="11" t="s">
        <v>3</v>
      </c>
      <c r="O22" s="11">
        <v>2</v>
      </c>
      <c r="P22" s="11"/>
    </row>
    <row r="23" spans="1:16" x14ac:dyDescent="0.2">
      <c r="A23" s="11">
        <v>50</v>
      </c>
      <c r="B23" s="11">
        <v>0</v>
      </c>
      <c r="C23" s="11">
        <v>0</v>
      </c>
      <c r="D23" s="11">
        <v>1</v>
      </c>
      <c r="E23" s="11">
        <v>225</v>
      </c>
      <c r="F23" s="11">
        <v>379276.96</v>
      </c>
      <c r="G23" s="11" t="s">
        <v>135</v>
      </c>
      <c r="H23" s="11" t="s">
        <v>136</v>
      </c>
      <c r="I23" s="11"/>
      <c r="J23" s="11"/>
      <c r="K23" s="11">
        <v>225</v>
      </c>
      <c r="L23" s="11">
        <v>4</v>
      </c>
      <c r="M23" s="11">
        <v>3</v>
      </c>
      <c r="N23" s="11" t="s">
        <v>3</v>
      </c>
      <c r="O23" s="11">
        <v>2</v>
      </c>
      <c r="P23" s="11"/>
    </row>
    <row r="24" spans="1:16" x14ac:dyDescent="0.2">
      <c r="A24" s="11">
        <v>50</v>
      </c>
      <c r="B24" s="11">
        <v>0</v>
      </c>
      <c r="C24" s="11">
        <v>0</v>
      </c>
      <c r="D24" s="11">
        <v>1</v>
      </c>
      <c r="E24" s="11">
        <v>226</v>
      </c>
      <c r="F24" s="11">
        <v>379276.96</v>
      </c>
      <c r="G24" s="11" t="s">
        <v>137</v>
      </c>
      <c r="H24" s="11" t="s">
        <v>138</v>
      </c>
      <c r="I24" s="11"/>
      <c r="J24" s="11"/>
      <c r="K24" s="11">
        <v>226</v>
      </c>
      <c r="L24" s="11">
        <v>5</v>
      </c>
      <c r="M24" s="11">
        <v>3</v>
      </c>
      <c r="N24" s="11" t="s">
        <v>3</v>
      </c>
      <c r="O24" s="11">
        <v>2</v>
      </c>
      <c r="P24" s="11"/>
    </row>
    <row r="25" spans="1:16" x14ac:dyDescent="0.2">
      <c r="A25" s="11">
        <v>50</v>
      </c>
      <c r="B25" s="11">
        <v>0</v>
      </c>
      <c r="C25" s="11">
        <v>0</v>
      </c>
      <c r="D25" s="11">
        <v>1</v>
      </c>
      <c r="E25" s="11">
        <v>227</v>
      </c>
      <c r="F25" s="11">
        <v>0</v>
      </c>
      <c r="G25" s="11" t="s">
        <v>139</v>
      </c>
      <c r="H25" s="11" t="s">
        <v>140</v>
      </c>
      <c r="I25" s="11"/>
      <c r="J25" s="11"/>
      <c r="K25" s="11">
        <v>227</v>
      </c>
      <c r="L25" s="11">
        <v>6</v>
      </c>
      <c r="M25" s="11">
        <v>3</v>
      </c>
      <c r="N25" s="11" t="s">
        <v>3</v>
      </c>
      <c r="O25" s="11">
        <v>2</v>
      </c>
      <c r="P25" s="11"/>
    </row>
    <row r="26" spans="1:16" x14ac:dyDescent="0.2">
      <c r="A26" s="11">
        <v>50</v>
      </c>
      <c r="B26" s="11">
        <v>0</v>
      </c>
      <c r="C26" s="11">
        <v>0</v>
      </c>
      <c r="D26" s="11">
        <v>1</v>
      </c>
      <c r="E26" s="11">
        <v>228</v>
      </c>
      <c r="F26" s="11">
        <v>379276.96</v>
      </c>
      <c r="G26" s="11" t="s">
        <v>141</v>
      </c>
      <c r="H26" s="11" t="s">
        <v>142</v>
      </c>
      <c r="I26" s="11"/>
      <c r="J26" s="11"/>
      <c r="K26" s="11">
        <v>228</v>
      </c>
      <c r="L26" s="11">
        <v>7</v>
      </c>
      <c r="M26" s="11">
        <v>3</v>
      </c>
      <c r="N26" s="11" t="s">
        <v>3</v>
      </c>
      <c r="O26" s="11">
        <v>2</v>
      </c>
      <c r="P26" s="11"/>
    </row>
    <row r="27" spans="1:16" x14ac:dyDescent="0.2">
      <c r="A27" s="11">
        <v>50</v>
      </c>
      <c r="B27" s="11">
        <v>0</v>
      </c>
      <c r="C27" s="11">
        <v>0</v>
      </c>
      <c r="D27" s="11">
        <v>1</v>
      </c>
      <c r="E27" s="11">
        <v>216</v>
      </c>
      <c r="F27" s="11">
        <v>0</v>
      </c>
      <c r="G27" s="11" t="s">
        <v>143</v>
      </c>
      <c r="H27" s="11" t="s">
        <v>144</v>
      </c>
      <c r="I27" s="11"/>
      <c r="J27" s="11"/>
      <c r="K27" s="11">
        <v>216</v>
      </c>
      <c r="L27" s="11">
        <v>8</v>
      </c>
      <c r="M27" s="11">
        <v>3</v>
      </c>
      <c r="N27" s="11" t="s">
        <v>3</v>
      </c>
      <c r="O27" s="11">
        <v>2</v>
      </c>
      <c r="P27" s="11"/>
    </row>
    <row r="28" spans="1:16" x14ac:dyDescent="0.2">
      <c r="A28" s="11">
        <v>50</v>
      </c>
      <c r="B28" s="11">
        <v>0</v>
      </c>
      <c r="C28" s="11">
        <v>0</v>
      </c>
      <c r="D28" s="11">
        <v>1</v>
      </c>
      <c r="E28" s="11">
        <v>223</v>
      </c>
      <c r="F28" s="11">
        <v>0</v>
      </c>
      <c r="G28" s="11" t="s">
        <v>145</v>
      </c>
      <c r="H28" s="11" t="s">
        <v>146</v>
      </c>
      <c r="I28" s="11"/>
      <c r="J28" s="11"/>
      <c r="K28" s="11">
        <v>223</v>
      </c>
      <c r="L28" s="11">
        <v>9</v>
      </c>
      <c r="M28" s="11">
        <v>3</v>
      </c>
      <c r="N28" s="11" t="s">
        <v>3</v>
      </c>
      <c r="O28" s="11">
        <v>2</v>
      </c>
      <c r="P28" s="11"/>
    </row>
    <row r="29" spans="1:16" x14ac:dyDescent="0.2">
      <c r="A29" s="11">
        <v>50</v>
      </c>
      <c r="B29" s="11">
        <v>0</v>
      </c>
      <c r="C29" s="11">
        <v>0</v>
      </c>
      <c r="D29" s="11">
        <v>1</v>
      </c>
      <c r="E29" s="11">
        <v>229</v>
      </c>
      <c r="F29" s="11">
        <v>0</v>
      </c>
      <c r="G29" s="11" t="s">
        <v>147</v>
      </c>
      <c r="H29" s="11" t="s">
        <v>148</v>
      </c>
      <c r="I29" s="11"/>
      <c r="J29" s="11"/>
      <c r="K29" s="11">
        <v>229</v>
      </c>
      <c r="L29" s="11">
        <v>10</v>
      </c>
      <c r="M29" s="11">
        <v>3</v>
      </c>
      <c r="N29" s="11" t="s">
        <v>3</v>
      </c>
      <c r="O29" s="11">
        <v>2</v>
      </c>
      <c r="P29" s="11"/>
    </row>
    <row r="30" spans="1:16" x14ac:dyDescent="0.2">
      <c r="A30" s="11">
        <v>50</v>
      </c>
      <c r="B30" s="11">
        <v>0</v>
      </c>
      <c r="C30" s="11">
        <v>0</v>
      </c>
      <c r="D30" s="11">
        <v>1</v>
      </c>
      <c r="E30" s="11">
        <v>203</v>
      </c>
      <c r="F30" s="11">
        <v>2504.5700000000002</v>
      </c>
      <c r="G30" s="11" t="s">
        <v>149</v>
      </c>
      <c r="H30" s="11" t="s">
        <v>150</v>
      </c>
      <c r="I30" s="11"/>
      <c r="J30" s="11"/>
      <c r="K30" s="11">
        <v>203</v>
      </c>
      <c r="L30" s="11">
        <v>11</v>
      </c>
      <c r="M30" s="11">
        <v>3</v>
      </c>
      <c r="N30" s="11" t="s">
        <v>3</v>
      </c>
      <c r="O30" s="11">
        <v>2</v>
      </c>
      <c r="P30" s="11"/>
    </row>
    <row r="31" spans="1:16" x14ac:dyDescent="0.2">
      <c r="A31" s="11">
        <v>50</v>
      </c>
      <c r="B31" s="11">
        <v>0</v>
      </c>
      <c r="C31" s="11">
        <v>0</v>
      </c>
      <c r="D31" s="11">
        <v>1</v>
      </c>
      <c r="E31" s="11">
        <v>231</v>
      </c>
      <c r="F31" s="11">
        <v>0</v>
      </c>
      <c r="G31" s="11" t="s">
        <v>151</v>
      </c>
      <c r="H31" s="11" t="s">
        <v>152</v>
      </c>
      <c r="I31" s="11"/>
      <c r="J31" s="11"/>
      <c r="K31" s="11">
        <v>231</v>
      </c>
      <c r="L31" s="11">
        <v>12</v>
      </c>
      <c r="M31" s="11">
        <v>3</v>
      </c>
      <c r="N31" s="11" t="s">
        <v>3</v>
      </c>
      <c r="O31" s="11">
        <v>2</v>
      </c>
      <c r="P31" s="11"/>
    </row>
    <row r="32" spans="1:16" x14ac:dyDescent="0.2">
      <c r="A32" s="11">
        <v>50</v>
      </c>
      <c r="B32" s="11">
        <v>0</v>
      </c>
      <c r="C32" s="11">
        <v>0</v>
      </c>
      <c r="D32" s="11">
        <v>1</v>
      </c>
      <c r="E32" s="11">
        <v>204</v>
      </c>
      <c r="F32" s="11">
        <v>2896.6700000000005</v>
      </c>
      <c r="G32" s="11" t="s">
        <v>153</v>
      </c>
      <c r="H32" s="11" t="s">
        <v>154</v>
      </c>
      <c r="I32" s="11"/>
      <c r="J32" s="11"/>
      <c r="K32" s="11">
        <v>204</v>
      </c>
      <c r="L32" s="11">
        <v>13</v>
      </c>
      <c r="M32" s="11">
        <v>3</v>
      </c>
      <c r="N32" s="11" t="s">
        <v>3</v>
      </c>
      <c r="O32" s="11">
        <v>2</v>
      </c>
      <c r="P32" s="11"/>
    </row>
    <row r="33" spans="1:16" x14ac:dyDescent="0.2">
      <c r="A33" s="11">
        <v>50</v>
      </c>
      <c r="B33" s="11">
        <v>0</v>
      </c>
      <c r="C33" s="11">
        <v>0</v>
      </c>
      <c r="D33" s="11">
        <v>1</v>
      </c>
      <c r="E33" s="11">
        <v>205</v>
      </c>
      <c r="F33" s="11">
        <v>253953.08000000005</v>
      </c>
      <c r="G33" s="11" t="s">
        <v>155</v>
      </c>
      <c r="H33" s="11" t="s">
        <v>156</v>
      </c>
      <c r="I33" s="11"/>
      <c r="J33" s="11"/>
      <c r="K33" s="11">
        <v>205</v>
      </c>
      <c r="L33" s="11">
        <v>14</v>
      </c>
      <c r="M33" s="11">
        <v>3</v>
      </c>
      <c r="N33" s="11" t="s">
        <v>3</v>
      </c>
      <c r="O33" s="11">
        <v>2</v>
      </c>
      <c r="P33" s="11"/>
    </row>
    <row r="34" spans="1:16" x14ac:dyDescent="0.2">
      <c r="A34" s="11">
        <v>50</v>
      </c>
      <c r="B34" s="11">
        <v>0</v>
      </c>
      <c r="C34" s="11">
        <v>0</v>
      </c>
      <c r="D34" s="11">
        <v>1</v>
      </c>
      <c r="E34" s="11">
        <v>232</v>
      </c>
      <c r="F34" s="11">
        <v>0</v>
      </c>
      <c r="G34" s="11" t="s">
        <v>157</v>
      </c>
      <c r="H34" s="11" t="s">
        <v>158</v>
      </c>
      <c r="I34" s="11"/>
      <c r="J34" s="11"/>
      <c r="K34" s="11">
        <v>232</v>
      </c>
      <c r="L34" s="11">
        <v>15</v>
      </c>
      <c r="M34" s="11">
        <v>3</v>
      </c>
      <c r="N34" s="11" t="s">
        <v>3</v>
      </c>
      <c r="O34" s="11">
        <v>2</v>
      </c>
      <c r="P34" s="11"/>
    </row>
    <row r="35" spans="1:16" x14ac:dyDescent="0.2">
      <c r="A35" s="11">
        <v>50</v>
      </c>
      <c r="B35" s="11">
        <v>0</v>
      </c>
      <c r="C35" s="11">
        <v>0</v>
      </c>
      <c r="D35" s="11">
        <v>1</v>
      </c>
      <c r="E35" s="11">
        <v>214</v>
      </c>
      <c r="F35" s="11">
        <v>994779.44</v>
      </c>
      <c r="G35" s="11" t="s">
        <v>159</v>
      </c>
      <c r="H35" s="11" t="s">
        <v>160</v>
      </c>
      <c r="I35" s="11"/>
      <c r="J35" s="11"/>
      <c r="K35" s="11">
        <v>214</v>
      </c>
      <c r="L35" s="11">
        <v>16</v>
      </c>
      <c r="M35" s="11">
        <v>3</v>
      </c>
      <c r="N35" s="11" t="s">
        <v>3</v>
      </c>
      <c r="O35" s="11">
        <v>2</v>
      </c>
      <c r="P35" s="11"/>
    </row>
    <row r="36" spans="1:16" x14ac:dyDescent="0.2">
      <c r="A36" s="11">
        <v>50</v>
      </c>
      <c r="B36" s="11">
        <v>0</v>
      </c>
      <c r="C36" s="11">
        <v>0</v>
      </c>
      <c r="D36" s="11">
        <v>1</v>
      </c>
      <c r="E36" s="11">
        <v>215</v>
      </c>
      <c r="F36" s="11">
        <v>0</v>
      </c>
      <c r="G36" s="11" t="s">
        <v>161</v>
      </c>
      <c r="H36" s="11" t="s">
        <v>162</v>
      </c>
      <c r="I36" s="11"/>
      <c r="J36" s="11"/>
      <c r="K36" s="11">
        <v>215</v>
      </c>
      <c r="L36" s="11">
        <v>17</v>
      </c>
      <c r="M36" s="11">
        <v>3</v>
      </c>
      <c r="N36" s="11" t="s">
        <v>3</v>
      </c>
      <c r="O36" s="11">
        <v>2</v>
      </c>
      <c r="P36" s="11"/>
    </row>
    <row r="37" spans="1:16" x14ac:dyDescent="0.2">
      <c r="A37" s="11">
        <v>50</v>
      </c>
      <c r="B37" s="11">
        <v>0</v>
      </c>
      <c r="C37" s="11">
        <v>0</v>
      </c>
      <c r="D37" s="11">
        <v>1</v>
      </c>
      <c r="E37" s="11">
        <v>217</v>
      </c>
      <c r="F37" s="11">
        <v>0</v>
      </c>
      <c r="G37" s="11" t="s">
        <v>163</v>
      </c>
      <c r="H37" s="11" t="s">
        <v>164</v>
      </c>
      <c r="I37" s="11"/>
      <c r="J37" s="11"/>
      <c r="K37" s="11">
        <v>217</v>
      </c>
      <c r="L37" s="11">
        <v>18</v>
      </c>
      <c r="M37" s="11">
        <v>3</v>
      </c>
      <c r="N37" s="11" t="s">
        <v>3</v>
      </c>
      <c r="O37" s="11">
        <v>2</v>
      </c>
      <c r="P37" s="11"/>
    </row>
    <row r="38" spans="1:16" x14ac:dyDescent="0.2">
      <c r="A38" s="11">
        <v>50</v>
      </c>
      <c r="B38" s="11">
        <v>0</v>
      </c>
      <c r="C38" s="11">
        <v>0</v>
      </c>
      <c r="D38" s="11">
        <v>1</v>
      </c>
      <c r="E38" s="11">
        <v>230</v>
      </c>
      <c r="F38" s="11">
        <v>0</v>
      </c>
      <c r="G38" s="11" t="s">
        <v>165</v>
      </c>
      <c r="H38" s="11" t="s">
        <v>166</v>
      </c>
      <c r="I38" s="11"/>
      <c r="J38" s="11"/>
      <c r="K38" s="11">
        <v>230</v>
      </c>
      <c r="L38" s="11">
        <v>19</v>
      </c>
      <c r="M38" s="11">
        <v>3</v>
      </c>
      <c r="N38" s="11" t="s">
        <v>3</v>
      </c>
      <c r="O38" s="11">
        <v>2</v>
      </c>
      <c r="P38" s="11"/>
    </row>
    <row r="39" spans="1:16" x14ac:dyDescent="0.2">
      <c r="A39" s="11">
        <v>50</v>
      </c>
      <c r="B39" s="11">
        <v>0</v>
      </c>
      <c r="C39" s="11">
        <v>0</v>
      </c>
      <c r="D39" s="11">
        <v>1</v>
      </c>
      <c r="E39" s="11">
        <v>206</v>
      </c>
      <c r="F39" s="11">
        <v>0</v>
      </c>
      <c r="G39" s="11" t="s">
        <v>167</v>
      </c>
      <c r="H39" s="11" t="s">
        <v>168</v>
      </c>
      <c r="I39" s="11"/>
      <c r="J39" s="11"/>
      <c r="K39" s="11">
        <v>206</v>
      </c>
      <c r="L39" s="11">
        <v>20</v>
      </c>
      <c r="M39" s="11">
        <v>3</v>
      </c>
      <c r="N39" s="11" t="s">
        <v>3</v>
      </c>
      <c r="O39" s="11">
        <v>2</v>
      </c>
      <c r="P39" s="11"/>
    </row>
    <row r="40" spans="1:16" x14ac:dyDescent="0.2">
      <c r="A40" s="11">
        <v>50</v>
      </c>
      <c r="B40" s="11">
        <v>0</v>
      </c>
      <c r="C40" s="11">
        <v>0</v>
      </c>
      <c r="D40" s="11">
        <v>1</v>
      </c>
      <c r="E40" s="11">
        <v>207</v>
      </c>
      <c r="F40" s="11">
        <v>371.39463000000001</v>
      </c>
      <c r="G40" s="11" t="s">
        <v>169</v>
      </c>
      <c r="H40" s="11" t="s">
        <v>170</v>
      </c>
      <c r="I40" s="11"/>
      <c r="J40" s="11"/>
      <c r="K40" s="11">
        <v>207</v>
      </c>
      <c r="L40" s="11">
        <v>21</v>
      </c>
      <c r="M40" s="11">
        <v>3</v>
      </c>
      <c r="N40" s="11" t="s">
        <v>3</v>
      </c>
      <c r="O40" s="11">
        <v>-1</v>
      </c>
      <c r="P40" s="11"/>
    </row>
    <row r="41" spans="1:16" x14ac:dyDescent="0.2">
      <c r="A41" s="11">
        <v>50</v>
      </c>
      <c r="B41" s="11">
        <v>0</v>
      </c>
      <c r="C41" s="11">
        <v>0</v>
      </c>
      <c r="D41" s="11">
        <v>1</v>
      </c>
      <c r="E41" s="11">
        <v>208</v>
      </c>
      <c r="F41" s="11">
        <v>4.0033200000000004</v>
      </c>
      <c r="G41" s="11" t="s">
        <v>171</v>
      </c>
      <c r="H41" s="11" t="s">
        <v>172</v>
      </c>
      <c r="I41" s="11"/>
      <c r="J41" s="11"/>
      <c r="K41" s="11">
        <v>208</v>
      </c>
      <c r="L41" s="11">
        <v>22</v>
      </c>
      <c r="M41" s="11">
        <v>3</v>
      </c>
      <c r="N41" s="11" t="s">
        <v>3</v>
      </c>
      <c r="O41" s="11">
        <v>-1</v>
      </c>
      <c r="P41" s="11"/>
    </row>
    <row r="42" spans="1:16" x14ac:dyDescent="0.2">
      <c r="A42" s="11">
        <v>50</v>
      </c>
      <c r="B42" s="11">
        <v>0</v>
      </c>
      <c r="C42" s="11">
        <v>0</v>
      </c>
      <c r="D42" s="11">
        <v>1</v>
      </c>
      <c r="E42" s="11">
        <v>209</v>
      </c>
      <c r="F42" s="11">
        <v>0</v>
      </c>
      <c r="G42" s="11" t="s">
        <v>173</v>
      </c>
      <c r="H42" s="11" t="s">
        <v>174</v>
      </c>
      <c r="I42" s="11"/>
      <c r="J42" s="11"/>
      <c r="K42" s="11">
        <v>209</v>
      </c>
      <c r="L42" s="11">
        <v>23</v>
      </c>
      <c r="M42" s="11">
        <v>3</v>
      </c>
      <c r="N42" s="11" t="s">
        <v>3</v>
      </c>
      <c r="O42" s="11">
        <v>2</v>
      </c>
      <c r="P42" s="11"/>
    </row>
    <row r="43" spans="1:16" x14ac:dyDescent="0.2">
      <c r="A43" s="11">
        <v>50</v>
      </c>
      <c r="B43" s="11">
        <v>0</v>
      </c>
      <c r="C43" s="11">
        <v>0</v>
      </c>
      <c r="D43" s="11">
        <v>1</v>
      </c>
      <c r="E43" s="11">
        <v>233</v>
      </c>
      <c r="F43" s="11">
        <v>15074.33</v>
      </c>
      <c r="G43" s="11" t="s">
        <v>175</v>
      </c>
      <c r="H43" s="11" t="s">
        <v>176</v>
      </c>
      <c r="I43" s="11"/>
      <c r="J43" s="11"/>
      <c r="K43" s="11">
        <v>233</v>
      </c>
      <c r="L43" s="11">
        <v>24</v>
      </c>
      <c r="M43" s="11">
        <v>3</v>
      </c>
      <c r="N43" s="11" t="s">
        <v>3</v>
      </c>
      <c r="O43" s="11">
        <v>2</v>
      </c>
      <c r="P43" s="11"/>
    </row>
    <row r="44" spans="1:16" x14ac:dyDescent="0.2">
      <c r="A44" s="11">
        <v>50</v>
      </c>
      <c r="B44" s="11">
        <v>0</v>
      </c>
      <c r="C44" s="11">
        <v>0</v>
      </c>
      <c r="D44" s="11">
        <v>1</v>
      </c>
      <c r="E44" s="11">
        <v>210</v>
      </c>
      <c r="F44" s="11">
        <v>229695.22</v>
      </c>
      <c r="G44" s="11" t="s">
        <v>177</v>
      </c>
      <c r="H44" s="11" t="s">
        <v>178</v>
      </c>
      <c r="I44" s="11"/>
      <c r="J44" s="11"/>
      <c r="K44" s="11">
        <v>210</v>
      </c>
      <c r="L44" s="11">
        <v>25</v>
      </c>
      <c r="M44" s="11">
        <v>3</v>
      </c>
      <c r="N44" s="11" t="s">
        <v>3</v>
      </c>
      <c r="O44" s="11">
        <v>2</v>
      </c>
      <c r="P44" s="11"/>
    </row>
    <row r="45" spans="1:16" x14ac:dyDescent="0.2">
      <c r="A45" s="11">
        <v>50</v>
      </c>
      <c r="B45" s="11">
        <v>0</v>
      </c>
      <c r="C45" s="11">
        <v>0</v>
      </c>
      <c r="D45" s="11">
        <v>1</v>
      </c>
      <c r="E45" s="11">
        <v>211</v>
      </c>
      <c r="F45" s="11">
        <v>111378.61</v>
      </c>
      <c r="G45" s="11" t="s">
        <v>179</v>
      </c>
      <c r="H45" s="11" t="s">
        <v>180</v>
      </c>
      <c r="I45" s="11"/>
      <c r="J45" s="11"/>
      <c r="K45" s="11">
        <v>211</v>
      </c>
      <c r="L45" s="11">
        <v>26</v>
      </c>
      <c r="M45" s="11">
        <v>3</v>
      </c>
      <c r="N45" s="11" t="s">
        <v>3</v>
      </c>
      <c r="O45" s="11">
        <v>2</v>
      </c>
      <c r="P45" s="11"/>
    </row>
    <row r="46" spans="1:16" x14ac:dyDescent="0.2">
      <c r="A46" s="11">
        <v>50</v>
      </c>
      <c r="B46" s="11">
        <v>0</v>
      </c>
      <c r="C46" s="11">
        <v>0</v>
      </c>
      <c r="D46" s="11">
        <v>1</v>
      </c>
      <c r="E46" s="11">
        <v>224</v>
      </c>
      <c r="F46" s="11">
        <v>994779.44</v>
      </c>
      <c r="G46" s="11" t="s">
        <v>181</v>
      </c>
      <c r="H46" s="11" t="s">
        <v>182</v>
      </c>
      <c r="I46" s="11"/>
      <c r="J46" s="11"/>
      <c r="K46" s="11">
        <v>224</v>
      </c>
      <c r="L46" s="11">
        <v>27</v>
      </c>
      <c r="M46" s="11">
        <v>3</v>
      </c>
      <c r="N46" s="11" t="s">
        <v>3</v>
      </c>
      <c r="O46" s="11">
        <v>2</v>
      </c>
      <c r="P46" s="11"/>
    </row>
    <row r="47" spans="1:16" x14ac:dyDescent="0.2">
      <c r="A47" s="11">
        <v>50</v>
      </c>
      <c r="B47" s="11">
        <v>1</v>
      </c>
      <c r="C47" s="11">
        <v>0</v>
      </c>
      <c r="D47" s="11">
        <v>2</v>
      </c>
      <c r="E47" s="11">
        <v>0</v>
      </c>
      <c r="F47" s="11">
        <v>994779.44</v>
      </c>
      <c r="G47" s="11" t="s">
        <v>183</v>
      </c>
      <c r="H47" s="11" t="s">
        <v>183</v>
      </c>
      <c r="I47" s="11"/>
      <c r="J47" s="11"/>
      <c r="K47" s="11">
        <v>212</v>
      </c>
      <c r="L47" s="11">
        <v>28</v>
      </c>
      <c r="M47" s="11">
        <v>0</v>
      </c>
      <c r="N47" s="11" t="s">
        <v>3</v>
      </c>
      <c r="O47" s="11">
        <v>2</v>
      </c>
      <c r="P47" s="11"/>
    </row>
    <row r="48" spans="1:16" x14ac:dyDescent="0.2">
      <c r="A48" s="11">
        <v>50</v>
      </c>
      <c r="B48" s="11">
        <v>1</v>
      </c>
      <c r="C48" s="11">
        <v>0</v>
      </c>
      <c r="D48" s="11">
        <v>2</v>
      </c>
      <c r="E48" s="11">
        <v>0</v>
      </c>
      <c r="F48" s="11">
        <v>218851.48</v>
      </c>
      <c r="G48" s="11" t="s">
        <v>184</v>
      </c>
      <c r="H48" s="11" t="s">
        <v>185</v>
      </c>
      <c r="I48" s="11"/>
      <c r="J48" s="11"/>
      <c r="K48" s="11">
        <v>212</v>
      </c>
      <c r="L48" s="11">
        <v>29</v>
      </c>
      <c r="M48" s="11">
        <v>0</v>
      </c>
      <c r="N48" s="11" t="s">
        <v>3</v>
      </c>
      <c r="O48" s="11">
        <v>2</v>
      </c>
      <c r="P48" s="11"/>
    </row>
    <row r="49" spans="1:50" x14ac:dyDescent="0.2">
      <c r="A49" s="11">
        <v>50</v>
      </c>
      <c r="B49" s="11">
        <v>1</v>
      </c>
      <c r="C49" s="11">
        <v>0</v>
      </c>
      <c r="D49" s="11">
        <v>2</v>
      </c>
      <c r="E49" s="11">
        <v>213</v>
      </c>
      <c r="F49" s="11">
        <v>1213630.92</v>
      </c>
      <c r="G49" s="11" t="s">
        <v>186</v>
      </c>
      <c r="H49" s="11" t="s">
        <v>187</v>
      </c>
      <c r="I49" s="11"/>
      <c r="J49" s="11"/>
      <c r="K49" s="11">
        <v>212</v>
      </c>
      <c r="L49" s="11">
        <v>30</v>
      </c>
      <c r="M49" s="11">
        <v>0</v>
      </c>
      <c r="N49" s="11" t="s">
        <v>3</v>
      </c>
      <c r="O49" s="11">
        <v>2</v>
      </c>
      <c r="P49" s="11"/>
    </row>
    <row r="51" spans="1:50" x14ac:dyDescent="0.2">
      <c r="A51" s="2">
        <v>-1</v>
      </c>
    </row>
    <row r="54" spans="1:50" x14ac:dyDescent="0.2">
      <c r="A54" s="12">
        <v>75</v>
      </c>
      <c r="B54" s="12" t="s">
        <v>254</v>
      </c>
      <c r="C54" s="12">
        <v>2026</v>
      </c>
      <c r="D54" s="12">
        <v>2</v>
      </c>
      <c r="E54" s="12">
        <v>0</v>
      </c>
      <c r="F54" s="12">
        <v>1</v>
      </c>
      <c r="G54" s="12">
        <v>0</v>
      </c>
      <c r="H54" s="12">
        <v>1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2">
        <v>94298235</v>
      </c>
      <c r="O54" s="12">
        <v>1</v>
      </c>
    </row>
    <row r="55" spans="1:50" x14ac:dyDescent="0.2">
      <c r="A55" s="13">
        <v>2</v>
      </c>
      <c r="B55" s="13" t="s">
        <v>255</v>
      </c>
      <c r="C55" s="13" t="s">
        <v>256</v>
      </c>
      <c r="D55" s="13">
        <v>0</v>
      </c>
      <c r="E55" s="13">
        <v>0</v>
      </c>
      <c r="F55" s="13">
        <v>0</v>
      </c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>
        <v>94298236</v>
      </c>
    </row>
    <row r="56" spans="1:50" x14ac:dyDescent="0.2">
      <c r="A56" s="13">
        <v>1</v>
      </c>
      <c r="B56" s="13" t="s">
        <v>257</v>
      </c>
      <c r="C56" s="13" t="s">
        <v>258</v>
      </c>
      <c r="D56" s="13">
        <v>2026</v>
      </c>
      <c r="E56" s="13">
        <v>6</v>
      </c>
      <c r="F56" s="13">
        <v>1</v>
      </c>
      <c r="G56" s="13">
        <v>1</v>
      </c>
      <c r="H56" s="13">
        <v>0</v>
      </c>
      <c r="I56" s="13">
        <v>2</v>
      </c>
      <c r="J56" s="13">
        <v>1</v>
      </c>
      <c r="K56" s="13">
        <v>1</v>
      </c>
      <c r="L56" s="13">
        <v>1</v>
      </c>
      <c r="M56" s="13">
        <v>1</v>
      </c>
      <c r="N56" s="13">
        <v>1</v>
      </c>
      <c r="O56" s="13">
        <v>1</v>
      </c>
      <c r="P56" s="13">
        <v>1</v>
      </c>
      <c r="Q56" s="13">
        <v>1</v>
      </c>
      <c r="R56" s="13" t="s">
        <v>3</v>
      </c>
      <c r="S56" s="13" t="s">
        <v>3</v>
      </c>
      <c r="T56" s="13" t="s">
        <v>3</v>
      </c>
      <c r="U56" s="13" t="s">
        <v>3</v>
      </c>
      <c r="V56" s="13" t="s">
        <v>3</v>
      </c>
      <c r="W56" s="13" t="s">
        <v>3</v>
      </c>
      <c r="X56" s="13" t="s">
        <v>3</v>
      </c>
      <c r="Y56" s="13" t="s">
        <v>3</v>
      </c>
      <c r="Z56" s="13" t="s">
        <v>3</v>
      </c>
      <c r="AA56" s="13" t="s">
        <v>3</v>
      </c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>
        <v>94298237</v>
      </c>
      <c r="AO56" s="13" t="s">
        <v>259</v>
      </c>
      <c r="AP56" s="13" t="s">
        <v>260</v>
      </c>
      <c r="AQ56" s="13">
        <v>46164</v>
      </c>
      <c r="AR56" s="13">
        <v>417</v>
      </c>
      <c r="AS56" s="13" t="s">
        <v>261</v>
      </c>
      <c r="AT56" s="13" t="s">
        <v>3</v>
      </c>
      <c r="AU56" s="13" t="s">
        <v>260</v>
      </c>
      <c r="AV56" s="13">
        <v>45957</v>
      </c>
      <c r="AW56" s="13">
        <v>23615</v>
      </c>
      <c r="AX56" s="13" t="s">
        <v>262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0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ROW(Source!A28)</f>
        <v>28</v>
      </c>
      <c r="B1">
        <v>94298235</v>
      </c>
      <c r="C1">
        <v>94299372</v>
      </c>
      <c r="D1">
        <v>87229759</v>
      </c>
      <c r="E1">
        <v>117</v>
      </c>
      <c r="F1">
        <v>1</v>
      </c>
      <c r="G1">
        <v>1</v>
      </c>
      <c r="H1">
        <v>1</v>
      </c>
      <c r="I1" t="s">
        <v>264</v>
      </c>
      <c r="J1" t="s">
        <v>3</v>
      </c>
      <c r="K1" t="s">
        <v>265</v>
      </c>
      <c r="L1">
        <v>1191</v>
      </c>
      <c r="N1">
        <v>1013</v>
      </c>
      <c r="O1" t="s">
        <v>266</v>
      </c>
      <c r="P1" t="s">
        <v>266</v>
      </c>
      <c r="Q1">
        <v>1</v>
      </c>
      <c r="W1">
        <v>0</v>
      </c>
      <c r="X1">
        <v>1958912953</v>
      </c>
      <c r="Y1">
        <f t="shared" ref="Y1:Y7" si="0">AT1</f>
        <v>171.2</v>
      </c>
      <c r="AA1">
        <v>0</v>
      </c>
      <c r="AB1">
        <v>0</v>
      </c>
      <c r="AC1">
        <v>0</v>
      </c>
      <c r="AD1">
        <v>657.38</v>
      </c>
      <c r="AE1">
        <v>0</v>
      </c>
      <c r="AF1">
        <v>0</v>
      </c>
      <c r="AG1">
        <v>0</v>
      </c>
      <c r="AH1">
        <v>657.38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0</v>
      </c>
      <c r="AQ1">
        <v>1</v>
      </c>
      <c r="AR1">
        <v>0</v>
      </c>
      <c r="AS1" t="s">
        <v>3</v>
      </c>
      <c r="AT1">
        <v>171.2</v>
      </c>
      <c r="AU1" t="s">
        <v>3</v>
      </c>
      <c r="AV1">
        <v>1</v>
      </c>
      <c r="AW1">
        <v>2</v>
      </c>
      <c r="AX1">
        <v>94299380</v>
      </c>
      <c r="AY1">
        <v>1</v>
      </c>
      <c r="AZ1">
        <v>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112543.45599999999</v>
      </c>
      <c r="BN1">
        <v>171.2</v>
      </c>
      <c r="BO1">
        <v>0</v>
      </c>
      <c r="BP1">
        <v>1</v>
      </c>
      <c r="BQ1">
        <v>0</v>
      </c>
      <c r="BR1">
        <v>0</v>
      </c>
      <c r="BS1">
        <v>0</v>
      </c>
      <c r="BT1">
        <v>112543.45599999999</v>
      </c>
      <c r="BU1">
        <v>171.2</v>
      </c>
      <c r="BV1">
        <v>0</v>
      </c>
      <c r="BW1">
        <v>1</v>
      </c>
      <c r="CU1">
        <f>ROUND(AT1*Source!I28*AH1*AL1,2)</f>
        <v>92285.63</v>
      </c>
      <c r="CV1">
        <f>ROUND(Y1*Source!I28,7)</f>
        <v>140.38399999999999</v>
      </c>
      <c r="CW1">
        <v>0</v>
      </c>
      <c r="CX1">
        <f>ROUND(Y1*Source!I28,7)</f>
        <v>140.38399999999999</v>
      </c>
      <c r="CY1">
        <f>AD1</f>
        <v>657.38</v>
      </c>
      <c r="CZ1">
        <f>AH1</f>
        <v>657.38</v>
      </c>
      <c r="DA1">
        <f>AL1</f>
        <v>1</v>
      </c>
      <c r="DB1">
        <f t="shared" ref="DB1:DB7" si="1">ROUND(ROUND(AT1*CZ1,2),6)</f>
        <v>112543.46</v>
      </c>
      <c r="DC1">
        <f t="shared" ref="DC1:DC7" si="2">ROUND(ROUND(AT1*AG1,2),6)</f>
        <v>0</v>
      </c>
      <c r="DD1" t="s">
        <v>3</v>
      </c>
      <c r="DE1" t="s">
        <v>3</v>
      </c>
      <c r="DF1">
        <f>ROUND(ROUND(AE1,2)*CX1,2)</f>
        <v>0</v>
      </c>
      <c r="DG1">
        <f>ROUND(ROUND(AF1,2)*CX1,2)</f>
        <v>0</v>
      </c>
      <c r="DH1">
        <f t="shared" ref="DH1:DH32" si="3">ROUND(ROUND(AG1,2)*CX1,2)</f>
        <v>0</v>
      </c>
      <c r="DI1">
        <f t="shared" ref="DI1:DI32" si="4">ROUND(ROUND(AH1,2)*CX1,2)</f>
        <v>92285.63</v>
      </c>
      <c r="DJ1">
        <f>DI1</f>
        <v>92285.63</v>
      </c>
      <c r="DK1">
        <v>0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ROW(Source!A28)</f>
        <v>28</v>
      </c>
      <c r="B2">
        <v>94298235</v>
      </c>
      <c r="C2">
        <v>94299372</v>
      </c>
      <c r="D2">
        <v>87229949</v>
      </c>
      <c r="E2">
        <v>117</v>
      </c>
      <c r="F2">
        <v>1</v>
      </c>
      <c r="G2">
        <v>1</v>
      </c>
      <c r="H2">
        <v>1</v>
      </c>
      <c r="I2" t="s">
        <v>267</v>
      </c>
      <c r="J2" t="s">
        <v>3</v>
      </c>
      <c r="K2" t="s">
        <v>268</v>
      </c>
      <c r="L2">
        <v>1191</v>
      </c>
      <c r="N2">
        <v>1013</v>
      </c>
      <c r="O2" t="s">
        <v>266</v>
      </c>
      <c r="P2" t="s">
        <v>266</v>
      </c>
      <c r="Q2">
        <v>1</v>
      </c>
      <c r="W2">
        <v>0</v>
      </c>
      <c r="X2">
        <v>-1417349443</v>
      </c>
      <c r="Y2">
        <f t="shared" si="0"/>
        <v>1.32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0</v>
      </c>
      <c r="AP2">
        <v>0</v>
      </c>
      <c r="AQ2">
        <v>1</v>
      </c>
      <c r="AR2">
        <v>0</v>
      </c>
      <c r="AS2" t="s">
        <v>3</v>
      </c>
      <c r="AT2">
        <v>1.32</v>
      </c>
      <c r="AU2" t="s">
        <v>3</v>
      </c>
      <c r="AV2">
        <v>2</v>
      </c>
      <c r="AW2">
        <v>2</v>
      </c>
      <c r="AX2">
        <v>94299381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ROUND(Y2*Source!I28,7)</f>
        <v>1.0824</v>
      </c>
      <c r="CY2">
        <f>AD2</f>
        <v>0</v>
      </c>
      <c r="CZ2">
        <f>AH2</f>
        <v>0</v>
      </c>
      <c r="DA2">
        <f>AL2</f>
        <v>1</v>
      </c>
      <c r="DB2">
        <f t="shared" si="1"/>
        <v>0</v>
      </c>
      <c r="DC2">
        <f t="shared" si="2"/>
        <v>0</v>
      </c>
      <c r="DD2" t="s">
        <v>3</v>
      </c>
      <c r="DE2" t="s">
        <v>3</v>
      </c>
      <c r="DF2">
        <f>ROUND(ROUND(AE2,2)*CX2,2)</f>
        <v>0</v>
      </c>
      <c r="DG2">
        <f>ROUND(ROUND(AF2,2)*CX2,2)</f>
        <v>0</v>
      </c>
      <c r="DH2">
        <f t="shared" si="3"/>
        <v>0</v>
      </c>
      <c r="DI2">
        <f t="shared" si="4"/>
        <v>0</v>
      </c>
      <c r="DJ2">
        <f>DI2</f>
        <v>0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ROW(Source!A28)</f>
        <v>28</v>
      </c>
      <c r="B3">
        <v>94298235</v>
      </c>
      <c r="C3">
        <v>94299372</v>
      </c>
      <c r="D3">
        <v>87236577</v>
      </c>
      <c r="E3">
        <v>1</v>
      </c>
      <c r="F3">
        <v>1</v>
      </c>
      <c r="G3">
        <v>1</v>
      </c>
      <c r="H3">
        <v>2</v>
      </c>
      <c r="I3" t="s">
        <v>269</v>
      </c>
      <c r="J3" t="s">
        <v>270</v>
      </c>
      <c r="K3" t="s">
        <v>271</v>
      </c>
      <c r="L3">
        <v>1368</v>
      </c>
      <c r="N3">
        <v>1011</v>
      </c>
      <c r="O3" t="s">
        <v>272</v>
      </c>
      <c r="P3" t="s">
        <v>272</v>
      </c>
      <c r="Q3">
        <v>1</v>
      </c>
      <c r="W3">
        <v>0</v>
      </c>
      <c r="X3">
        <v>453228636</v>
      </c>
      <c r="Y3">
        <f t="shared" si="0"/>
        <v>0.71</v>
      </c>
      <c r="AA3">
        <v>0</v>
      </c>
      <c r="AB3">
        <v>9.93</v>
      </c>
      <c r="AC3">
        <v>0</v>
      </c>
      <c r="AD3">
        <v>0</v>
      </c>
      <c r="AE3">
        <v>0</v>
      </c>
      <c r="AF3">
        <v>6.62</v>
      </c>
      <c r="AG3">
        <v>0</v>
      </c>
      <c r="AH3">
        <v>0</v>
      </c>
      <c r="AI3">
        <v>1</v>
      </c>
      <c r="AJ3">
        <v>1.5</v>
      </c>
      <c r="AK3">
        <v>1</v>
      </c>
      <c r="AL3">
        <v>1</v>
      </c>
      <c r="AM3">
        <v>2</v>
      </c>
      <c r="AN3">
        <v>0</v>
      </c>
      <c r="AO3">
        <v>0</v>
      </c>
      <c r="AP3">
        <v>0</v>
      </c>
      <c r="AQ3">
        <v>1</v>
      </c>
      <c r="AR3">
        <v>0</v>
      </c>
      <c r="AS3" t="s">
        <v>3</v>
      </c>
      <c r="AT3">
        <v>0.71</v>
      </c>
      <c r="AU3" t="s">
        <v>3</v>
      </c>
      <c r="AV3">
        <v>1</v>
      </c>
      <c r="AW3">
        <v>2</v>
      </c>
      <c r="AX3">
        <v>94299382</v>
      </c>
      <c r="AY3">
        <v>1</v>
      </c>
      <c r="AZ3">
        <v>0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4.7001999999999997</v>
      </c>
      <c r="BL3">
        <v>0</v>
      </c>
      <c r="BM3">
        <v>0</v>
      </c>
      <c r="BN3">
        <v>0</v>
      </c>
      <c r="BO3">
        <v>0</v>
      </c>
      <c r="BP3">
        <v>1</v>
      </c>
      <c r="BQ3">
        <v>0</v>
      </c>
      <c r="BR3">
        <v>4.7001999999999997</v>
      </c>
      <c r="BS3">
        <v>0</v>
      </c>
      <c r="BT3">
        <v>0</v>
      </c>
      <c r="BU3">
        <v>0</v>
      </c>
      <c r="BV3">
        <v>0</v>
      </c>
      <c r="BW3">
        <v>1</v>
      </c>
      <c r="CV3">
        <v>0</v>
      </c>
      <c r="CW3">
        <f>ROUND(Y3*Source!I28*DO3,7)</f>
        <v>0</v>
      </c>
      <c r="CX3">
        <f>ROUND(Y3*Source!I28,7)</f>
        <v>0.58220000000000005</v>
      </c>
      <c r="CY3">
        <f>AB3</f>
        <v>9.93</v>
      </c>
      <c r="CZ3">
        <f>AF3</f>
        <v>6.62</v>
      </c>
      <c r="DA3">
        <f>AJ3</f>
        <v>1.5</v>
      </c>
      <c r="DB3">
        <f t="shared" si="1"/>
        <v>4.7</v>
      </c>
      <c r="DC3">
        <f t="shared" si="2"/>
        <v>0</v>
      </c>
      <c r="DD3" t="s">
        <v>3</v>
      </c>
      <c r="DE3" t="s">
        <v>3</v>
      </c>
      <c r="DF3">
        <f>ROUND(ROUND(AE3,2)*CX3,2)</f>
        <v>0</v>
      </c>
      <c r="DG3">
        <f>ROUND(ROUND(AF3*AJ3,2)*CX3,2)</f>
        <v>5.78</v>
      </c>
      <c r="DH3">
        <f t="shared" si="3"/>
        <v>0</v>
      </c>
      <c r="DI3">
        <f t="shared" si="4"/>
        <v>0</v>
      </c>
      <c r="DJ3">
        <f>DG3+DH3</f>
        <v>5.78</v>
      </c>
      <c r="DK3">
        <v>0</v>
      </c>
      <c r="DL3" t="s">
        <v>3</v>
      </c>
      <c r="DM3">
        <v>0</v>
      </c>
      <c r="DN3" t="s">
        <v>3</v>
      </c>
      <c r="DO3">
        <v>0</v>
      </c>
    </row>
    <row r="4" spans="1:119" x14ac:dyDescent="0.2">
      <c r="A4">
        <f>ROW(Source!A28)</f>
        <v>28</v>
      </c>
      <c r="B4">
        <v>94298235</v>
      </c>
      <c r="C4">
        <v>94299372</v>
      </c>
      <c r="D4">
        <v>87236608</v>
      </c>
      <c r="E4">
        <v>1</v>
      </c>
      <c r="F4">
        <v>1</v>
      </c>
      <c r="G4">
        <v>1</v>
      </c>
      <c r="H4">
        <v>2</v>
      </c>
      <c r="I4" t="s">
        <v>273</v>
      </c>
      <c r="J4" t="s">
        <v>274</v>
      </c>
      <c r="K4" t="s">
        <v>275</v>
      </c>
      <c r="L4">
        <v>1368</v>
      </c>
      <c r="N4">
        <v>1011</v>
      </c>
      <c r="O4" t="s">
        <v>272</v>
      </c>
      <c r="P4" t="s">
        <v>272</v>
      </c>
      <c r="Q4">
        <v>1</v>
      </c>
      <c r="W4">
        <v>0</v>
      </c>
      <c r="X4">
        <v>-996617845</v>
      </c>
      <c r="Y4">
        <f t="shared" si="0"/>
        <v>1.32</v>
      </c>
      <c r="AA4">
        <v>0</v>
      </c>
      <c r="AB4">
        <v>603.94000000000005</v>
      </c>
      <c r="AC4">
        <v>731.08</v>
      </c>
      <c r="AD4">
        <v>0</v>
      </c>
      <c r="AE4">
        <v>0</v>
      </c>
      <c r="AF4">
        <v>603.94000000000005</v>
      </c>
      <c r="AG4">
        <v>731.08</v>
      </c>
      <c r="AH4">
        <v>0</v>
      </c>
      <c r="AI4">
        <v>1</v>
      </c>
      <c r="AJ4">
        <v>1</v>
      </c>
      <c r="AK4">
        <v>1</v>
      </c>
      <c r="AL4">
        <v>1</v>
      </c>
      <c r="AM4">
        <v>-2</v>
      </c>
      <c r="AN4">
        <v>0</v>
      </c>
      <c r="AO4">
        <v>0</v>
      </c>
      <c r="AP4">
        <v>0</v>
      </c>
      <c r="AQ4">
        <v>1</v>
      </c>
      <c r="AR4">
        <v>0</v>
      </c>
      <c r="AS4" t="s">
        <v>3</v>
      </c>
      <c r="AT4">
        <v>1.32</v>
      </c>
      <c r="AU4" t="s">
        <v>3</v>
      </c>
      <c r="AV4">
        <v>1</v>
      </c>
      <c r="AW4">
        <v>2</v>
      </c>
      <c r="AX4">
        <v>94299383</v>
      </c>
      <c r="AY4">
        <v>2</v>
      </c>
      <c r="AZ4">
        <v>98304</v>
      </c>
      <c r="BA4">
        <v>4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797.20080000000007</v>
      </c>
      <c r="BL4">
        <v>965.02560000000005</v>
      </c>
      <c r="BM4">
        <v>0</v>
      </c>
      <c r="BN4">
        <v>0</v>
      </c>
      <c r="BO4">
        <v>1.32</v>
      </c>
      <c r="BP4">
        <v>1</v>
      </c>
      <c r="BQ4">
        <v>0</v>
      </c>
      <c r="BR4">
        <v>797.20080000000007</v>
      </c>
      <c r="BS4">
        <v>965.02560000000005</v>
      </c>
      <c r="BT4">
        <v>0</v>
      </c>
      <c r="BU4">
        <v>0</v>
      </c>
      <c r="BV4">
        <v>1.32</v>
      </c>
      <c r="BW4">
        <v>1</v>
      </c>
      <c r="CV4">
        <v>0</v>
      </c>
      <c r="CW4">
        <f>ROUND(Y4*Source!I28*DO4,7)</f>
        <v>1.0824</v>
      </c>
      <c r="CX4">
        <f>ROUND(Y4*Source!I28,7)</f>
        <v>1.0824</v>
      </c>
      <c r="CY4">
        <f>AB4</f>
        <v>603.94000000000005</v>
      </c>
      <c r="CZ4">
        <f>AF4</f>
        <v>603.94000000000005</v>
      </c>
      <c r="DA4">
        <f>AJ4</f>
        <v>1</v>
      </c>
      <c r="DB4">
        <f t="shared" si="1"/>
        <v>797.2</v>
      </c>
      <c r="DC4">
        <f t="shared" si="2"/>
        <v>965.03</v>
      </c>
      <c r="DD4" t="s">
        <v>3</v>
      </c>
      <c r="DE4" t="s">
        <v>3</v>
      </c>
      <c r="DF4">
        <f>ROUND(ROUND(AE4,2)*CX4,2)</f>
        <v>0</v>
      </c>
      <c r="DG4">
        <f t="shared" ref="DG4:DG9" si="5">ROUND(ROUND(AF4,2)*CX4,2)</f>
        <v>653.70000000000005</v>
      </c>
      <c r="DH4">
        <f t="shared" si="3"/>
        <v>791.32</v>
      </c>
      <c r="DI4">
        <f t="shared" si="4"/>
        <v>0</v>
      </c>
      <c r="DJ4">
        <f>DG4+DH4</f>
        <v>1445.02</v>
      </c>
      <c r="DK4">
        <v>1</v>
      </c>
      <c r="DL4" t="s">
        <v>276</v>
      </c>
      <c r="DM4">
        <v>4</v>
      </c>
      <c r="DN4" t="s">
        <v>266</v>
      </c>
      <c r="DO4">
        <v>1</v>
      </c>
    </row>
    <row r="5" spans="1:119" x14ac:dyDescent="0.2">
      <c r="A5">
        <f>ROW(Source!A28)</f>
        <v>28</v>
      </c>
      <c r="B5">
        <v>94298235</v>
      </c>
      <c r="C5">
        <v>94299372</v>
      </c>
      <c r="D5">
        <v>87304091</v>
      </c>
      <c r="E5">
        <v>1</v>
      </c>
      <c r="F5">
        <v>1</v>
      </c>
      <c r="G5">
        <v>1</v>
      </c>
      <c r="H5">
        <v>3</v>
      </c>
      <c r="I5" t="s">
        <v>277</v>
      </c>
      <c r="J5" t="s">
        <v>278</v>
      </c>
      <c r="K5" t="s">
        <v>279</v>
      </c>
      <c r="L5">
        <v>1339</v>
      </c>
      <c r="N5">
        <v>1007</v>
      </c>
      <c r="O5" t="s">
        <v>280</v>
      </c>
      <c r="P5" t="s">
        <v>280</v>
      </c>
      <c r="Q5">
        <v>1</v>
      </c>
      <c r="W5">
        <v>0</v>
      </c>
      <c r="X5">
        <v>1964556667</v>
      </c>
      <c r="Y5">
        <f t="shared" si="0"/>
        <v>0.35</v>
      </c>
      <c r="AA5">
        <v>54.64</v>
      </c>
      <c r="AB5">
        <v>0</v>
      </c>
      <c r="AC5">
        <v>0</v>
      </c>
      <c r="AD5">
        <v>0</v>
      </c>
      <c r="AE5">
        <v>35.71</v>
      </c>
      <c r="AF5">
        <v>0</v>
      </c>
      <c r="AG5">
        <v>0</v>
      </c>
      <c r="AH5">
        <v>0</v>
      </c>
      <c r="AI5">
        <v>1.53</v>
      </c>
      <c r="AJ5">
        <v>1</v>
      </c>
      <c r="AK5">
        <v>1</v>
      </c>
      <c r="AL5">
        <v>1</v>
      </c>
      <c r="AM5">
        <v>2</v>
      </c>
      <c r="AN5">
        <v>0</v>
      </c>
      <c r="AO5">
        <v>0</v>
      </c>
      <c r="AP5">
        <v>0</v>
      </c>
      <c r="AQ5">
        <v>1</v>
      </c>
      <c r="AR5">
        <v>0</v>
      </c>
      <c r="AS5" t="s">
        <v>3</v>
      </c>
      <c r="AT5">
        <v>0.35</v>
      </c>
      <c r="AU5" t="s">
        <v>3</v>
      </c>
      <c r="AV5">
        <v>0</v>
      </c>
      <c r="AW5">
        <v>2</v>
      </c>
      <c r="AX5">
        <v>94299384</v>
      </c>
      <c r="AY5">
        <v>1</v>
      </c>
      <c r="AZ5">
        <v>0</v>
      </c>
      <c r="BA5">
        <v>5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12.4985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12.4985</v>
      </c>
      <c r="BR5">
        <v>0</v>
      </c>
      <c r="BS5">
        <v>0</v>
      </c>
      <c r="BT5">
        <v>0</v>
      </c>
      <c r="BU5">
        <v>0</v>
      </c>
      <c r="BV5">
        <v>0</v>
      </c>
      <c r="BW5">
        <v>1</v>
      </c>
      <c r="CV5">
        <v>0</v>
      </c>
      <c r="CW5">
        <v>0</v>
      </c>
      <c r="CX5">
        <f>ROUND(Y5*Source!I28,7)</f>
        <v>0.28699999999999998</v>
      </c>
      <c r="CY5">
        <f>AA5</f>
        <v>54.64</v>
      </c>
      <c r="CZ5">
        <f>AE5</f>
        <v>35.71</v>
      </c>
      <c r="DA5">
        <f>AI5</f>
        <v>1.53</v>
      </c>
      <c r="DB5">
        <f t="shared" si="1"/>
        <v>12.5</v>
      </c>
      <c r="DC5">
        <f t="shared" si="2"/>
        <v>0</v>
      </c>
      <c r="DD5" t="s">
        <v>3</v>
      </c>
      <c r="DE5" t="s">
        <v>3</v>
      </c>
      <c r="DF5">
        <f>ROUND(ROUND(AE5*AI5,2)*CX5,2)</f>
        <v>15.68</v>
      </c>
      <c r="DG5">
        <f t="shared" si="5"/>
        <v>0</v>
      </c>
      <c r="DH5">
        <f t="shared" si="3"/>
        <v>0</v>
      </c>
      <c r="DI5">
        <f t="shared" si="4"/>
        <v>0</v>
      </c>
      <c r="DJ5">
        <f>DF5</f>
        <v>15.68</v>
      </c>
      <c r="DK5">
        <v>0</v>
      </c>
      <c r="DL5" t="s">
        <v>3</v>
      </c>
      <c r="DM5">
        <v>0</v>
      </c>
      <c r="DN5" t="s">
        <v>3</v>
      </c>
      <c r="DO5">
        <v>0</v>
      </c>
    </row>
    <row r="6" spans="1:119" x14ac:dyDescent="0.2">
      <c r="A6">
        <f>ROW(Source!A28)</f>
        <v>28</v>
      </c>
      <c r="B6">
        <v>94298235</v>
      </c>
      <c r="C6">
        <v>94299372</v>
      </c>
      <c r="D6">
        <v>87308053</v>
      </c>
      <c r="E6">
        <v>1</v>
      </c>
      <c r="F6">
        <v>1</v>
      </c>
      <c r="G6">
        <v>1</v>
      </c>
      <c r="H6">
        <v>3</v>
      </c>
      <c r="I6" t="s">
        <v>281</v>
      </c>
      <c r="J6" t="s">
        <v>282</v>
      </c>
      <c r="K6" t="s">
        <v>283</v>
      </c>
      <c r="L6">
        <v>1339</v>
      </c>
      <c r="N6">
        <v>1007</v>
      </c>
      <c r="O6" t="s">
        <v>280</v>
      </c>
      <c r="P6" t="s">
        <v>280</v>
      </c>
      <c r="Q6">
        <v>1</v>
      </c>
      <c r="W6">
        <v>0</v>
      </c>
      <c r="X6">
        <v>-155823422</v>
      </c>
      <c r="Y6">
        <f t="shared" si="0"/>
        <v>2.2000000000000002</v>
      </c>
      <c r="AA6">
        <v>4749.3</v>
      </c>
      <c r="AB6">
        <v>0</v>
      </c>
      <c r="AC6">
        <v>0</v>
      </c>
      <c r="AD6">
        <v>0</v>
      </c>
      <c r="AE6">
        <v>3392.36</v>
      </c>
      <c r="AF6">
        <v>0</v>
      </c>
      <c r="AG6">
        <v>0</v>
      </c>
      <c r="AH6">
        <v>0</v>
      </c>
      <c r="AI6">
        <v>1.4</v>
      </c>
      <c r="AJ6">
        <v>1</v>
      </c>
      <c r="AK6">
        <v>1</v>
      </c>
      <c r="AL6">
        <v>1</v>
      </c>
      <c r="AM6">
        <v>2</v>
      </c>
      <c r="AN6">
        <v>0</v>
      </c>
      <c r="AO6">
        <v>0</v>
      </c>
      <c r="AP6">
        <v>0</v>
      </c>
      <c r="AQ6">
        <v>1</v>
      </c>
      <c r="AR6">
        <v>0</v>
      </c>
      <c r="AS6" t="s">
        <v>3</v>
      </c>
      <c r="AT6">
        <v>2.2000000000000002</v>
      </c>
      <c r="AU6" t="s">
        <v>3</v>
      </c>
      <c r="AV6">
        <v>0</v>
      </c>
      <c r="AW6">
        <v>2</v>
      </c>
      <c r="AX6">
        <v>94299385</v>
      </c>
      <c r="AY6">
        <v>1</v>
      </c>
      <c r="AZ6">
        <v>0</v>
      </c>
      <c r="BA6">
        <v>6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7463.1920000000009</v>
      </c>
      <c r="BK6">
        <v>0</v>
      </c>
      <c r="BL6">
        <v>0</v>
      </c>
      <c r="BM6">
        <v>0</v>
      </c>
      <c r="BN6">
        <v>0</v>
      </c>
      <c r="BO6">
        <v>0</v>
      </c>
      <c r="BP6">
        <v>1</v>
      </c>
      <c r="BQ6">
        <v>7463.1920000000009</v>
      </c>
      <c r="BR6">
        <v>0</v>
      </c>
      <c r="BS6">
        <v>0</v>
      </c>
      <c r="BT6">
        <v>0</v>
      </c>
      <c r="BU6">
        <v>0</v>
      </c>
      <c r="BV6">
        <v>0</v>
      </c>
      <c r="BW6">
        <v>1</v>
      </c>
      <c r="CV6">
        <v>0</v>
      </c>
      <c r="CW6">
        <v>0</v>
      </c>
      <c r="CX6">
        <f>ROUND(Y6*Source!I28,7)</f>
        <v>1.804</v>
      </c>
      <c r="CY6">
        <f>AA6</f>
        <v>4749.3</v>
      </c>
      <c r="CZ6">
        <f>AE6</f>
        <v>3392.36</v>
      </c>
      <c r="DA6">
        <f>AI6</f>
        <v>1.4</v>
      </c>
      <c r="DB6">
        <f t="shared" si="1"/>
        <v>7463.19</v>
      </c>
      <c r="DC6">
        <f t="shared" si="2"/>
        <v>0</v>
      </c>
      <c r="DD6" t="s">
        <v>3</v>
      </c>
      <c r="DE6" t="s">
        <v>3</v>
      </c>
      <c r="DF6">
        <f>ROUND(ROUND(AE6*AI6,2)*CX6,2)</f>
        <v>8567.74</v>
      </c>
      <c r="DG6">
        <f t="shared" si="5"/>
        <v>0</v>
      </c>
      <c r="DH6">
        <f t="shared" si="3"/>
        <v>0</v>
      </c>
      <c r="DI6">
        <f t="shared" si="4"/>
        <v>0</v>
      </c>
      <c r="DJ6">
        <f>DF6</f>
        <v>8567.74</v>
      </c>
      <c r="DK6">
        <v>0</v>
      </c>
      <c r="DL6" t="s">
        <v>3</v>
      </c>
      <c r="DM6">
        <v>0</v>
      </c>
      <c r="DN6" t="s">
        <v>3</v>
      </c>
      <c r="DO6">
        <v>0</v>
      </c>
    </row>
    <row r="7" spans="1:119" x14ac:dyDescent="0.2">
      <c r="A7">
        <f>ROW(Source!A28)</f>
        <v>28</v>
      </c>
      <c r="B7">
        <v>94298235</v>
      </c>
      <c r="C7">
        <v>94299372</v>
      </c>
      <c r="D7">
        <v>87235788</v>
      </c>
      <c r="E7">
        <v>117</v>
      </c>
      <c r="F7">
        <v>1</v>
      </c>
      <c r="G7">
        <v>1</v>
      </c>
      <c r="H7">
        <v>3</v>
      </c>
      <c r="I7" t="s">
        <v>28</v>
      </c>
      <c r="J7" t="s">
        <v>3</v>
      </c>
      <c r="K7" t="s">
        <v>29</v>
      </c>
      <c r="L7">
        <v>1348</v>
      </c>
      <c r="N7">
        <v>1009</v>
      </c>
      <c r="O7" t="s">
        <v>30</v>
      </c>
      <c r="P7" t="s">
        <v>30</v>
      </c>
      <c r="Q7">
        <v>1000</v>
      </c>
      <c r="W7">
        <v>0</v>
      </c>
      <c r="X7">
        <v>2102561428</v>
      </c>
      <c r="Y7">
        <f t="shared" si="0"/>
        <v>4.84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1</v>
      </c>
      <c r="AJ7">
        <v>1</v>
      </c>
      <c r="AK7">
        <v>1</v>
      </c>
      <c r="AL7">
        <v>1</v>
      </c>
      <c r="AM7">
        <v>-2</v>
      </c>
      <c r="AN7">
        <v>0</v>
      </c>
      <c r="AO7">
        <v>0</v>
      </c>
      <c r="AP7">
        <v>0</v>
      </c>
      <c r="AQ7">
        <v>0</v>
      </c>
      <c r="AR7">
        <v>0</v>
      </c>
      <c r="AS7" t="s">
        <v>3</v>
      </c>
      <c r="AT7">
        <v>4.84</v>
      </c>
      <c r="AU7" t="s">
        <v>3</v>
      </c>
      <c r="AV7">
        <v>0</v>
      </c>
      <c r="AW7">
        <v>2</v>
      </c>
      <c r="AX7">
        <v>94299386</v>
      </c>
      <c r="AY7">
        <v>1</v>
      </c>
      <c r="AZ7">
        <v>0</v>
      </c>
      <c r="BA7">
        <v>7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V7">
        <v>0</v>
      </c>
      <c r="CW7">
        <v>0</v>
      </c>
      <c r="CX7">
        <f>ROUND(Y7*Source!I28,7)</f>
        <v>3.9687999999999999</v>
      </c>
      <c r="CY7">
        <f>AA7</f>
        <v>0</v>
      </c>
      <c r="CZ7">
        <f>AE7</f>
        <v>0</v>
      </c>
      <c r="DA7">
        <f>AI7</f>
        <v>1</v>
      </c>
      <c r="DB7">
        <f t="shared" si="1"/>
        <v>0</v>
      </c>
      <c r="DC7">
        <f t="shared" si="2"/>
        <v>0</v>
      </c>
      <c r="DD7" t="s">
        <v>3</v>
      </c>
      <c r="DE7" t="s">
        <v>3</v>
      </c>
      <c r="DF7">
        <f>ROUND(ROUND(AE7,2)*CX7,2)</f>
        <v>0</v>
      </c>
      <c r="DG7">
        <f t="shared" si="5"/>
        <v>0</v>
      </c>
      <c r="DH7">
        <f t="shared" si="3"/>
        <v>0</v>
      </c>
      <c r="DI7">
        <f t="shared" si="4"/>
        <v>0</v>
      </c>
      <c r="DJ7">
        <f>DF7</f>
        <v>0</v>
      </c>
      <c r="DK7">
        <v>0</v>
      </c>
      <c r="DL7" t="s">
        <v>3</v>
      </c>
      <c r="DM7">
        <v>0</v>
      </c>
      <c r="DN7" t="s">
        <v>3</v>
      </c>
      <c r="DO7">
        <v>0</v>
      </c>
    </row>
    <row r="8" spans="1:119" x14ac:dyDescent="0.2">
      <c r="A8">
        <f>ROW(Source!A30)</f>
        <v>30</v>
      </c>
      <c r="B8">
        <v>94298235</v>
      </c>
      <c r="C8">
        <v>94299388</v>
      </c>
      <c r="D8">
        <v>87229759</v>
      </c>
      <c r="E8">
        <v>117</v>
      </c>
      <c r="F8">
        <v>1</v>
      </c>
      <c r="G8">
        <v>1</v>
      </c>
      <c r="H8">
        <v>1</v>
      </c>
      <c r="I8" t="s">
        <v>264</v>
      </c>
      <c r="J8" t="s">
        <v>3</v>
      </c>
      <c r="K8" t="s">
        <v>265</v>
      </c>
      <c r="L8">
        <v>1191</v>
      </c>
      <c r="N8">
        <v>1013</v>
      </c>
      <c r="O8" t="s">
        <v>266</v>
      </c>
      <c r="P8" t="s">
        <v>266</v>
      </c>
      <c r="Q8">
        <v>1</v>
      </c>
      <c r="W8">
        <v>0</v>
      </c>
      <c r="X8">
        <v>1958912953</v>
      </c>
      <c r="Y8">
        <f t="shared" ref="Y8:Y13" si="6">(AT8*ROUND(3,7))</f>
        <v>96.539999999999992</v>
      </c>
      <c r="AA8">
        <v>0</v>
      </c>
      <c r="AB8">
        <v>0</v>
      </c>
      <c r="AC8">
        <v>0</v>
      </c>
      <c r="AD8">
        <v>665.61</v>
      </c>
      <c r="AE8">
        <v>0</v>
      </c>
      <c r="AF8">
        <v>0</v>
      </c>
      <c r="AG8">
        <v>0</v>
      </c>
      <c r="AH8">
        <v>665.61</v>
      </c>
      <c r="AI8">
        <v>1</v>
      </c>
      <c r="AJ8">
        <v>1</v>
      </c>
      <c r="AK8">
        <v>1</v>
      </c>
      <c r="AL8">
        <v>1</v>
      </c>
      <c r="AM8">
        <v>-2</v>
      </c>
      <c r="AN8">
        <v>0</v>
      </c>
      <c r="AO8">
        <v>0</v>
      </c>
      <c r="AP8">
        <v>1</v>
      </c>
      <c r="AQ8">
        <v>1</v>
      </c>
      <c r="AR8">
        <v>0</v>
      </c>
      <c r="AS8" t="s">
        <v>3</v>
      </c>
      <c r="AT8">
        <v>32.18</v>
      </c>
      <c r="AU8" t="s">
        <v>35</v>
      </c>
      <c r="AV8">
        <v>1</v>
      </c>
      <c r="AW8">
        <v>2</v>
      </c>
      <c r="AX8">
        <v>94299395</v>
      </c>
      <c r="AY8">
        <v>1</v>
      </c>
      <c r="AZ8">
        <v>0</v>
      </c>
      <c r="BA8">
        <v>8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21419.3298</v>
      </c>
      <c r="BN8">
        <v>32.18</v>
      </c>
      <c r="BO8">
        <v>0</v>
      </c>
      <c r="BP8">
        <v>1</v>
      </c>
      <c r="BQ8">
        <v>0</v>
      </c>
      <c r="BR8">
        <v>0</v>
      </c>
      <c r="BS8">
        <v>0</v>
      </c>
      <c r="BT8">
        <v>64257.989399999999</v>
      </c>
      <c r="BU8">
        <v>96.539999999999992</v>
      </c>
      <c r="BV8">
        <v>0</v>
      </c>
      <c r="BW8">
        <v>1</v>
      </c>
      <c r="CU8">
        <f>ROUND(AT8*Source!I30*AH8*AL8,2)</f>
        <v>17563.849999999999</v>
      </c>
      <c r="CV8">
        <f>ROUND(Y8*Source!I30,7)</f>
        <v>79.162800000000004</v>
      </c>
      <c r="CW8">
        <v>0</v>
      </c>
      <c r="CX8">
        <f>ROUND(Y8*Source!I30,7)</f>
        <v>79.162800000000004</v>
      </c>
      <c r="CY8">
        <f>AD8</f>
        <v>665.61</v>
      </c>
      <c r="CZ8">
        <f>AH8</f>
        <v>665.61</v>
      </c>
      <c r="DA8">
        <f>AL8</f>
        <v>1</v>
      </c>
      <c r="DB8">
        <f t="shared" ref="DB8:DB13" si="7">ROUND((ROUND(AT8*CZ8,2)*ROUND(3,7)),6)</f>
        <v>64257.99</v>
      </c>
      <c r="DC8">
        <f t="shared" ref="DC8:DC13" si="8">ROUND((ROUND(AT8*AG8,2)*ROUND(3,7)),6)</f>
        <v>0</v>
      </c>
      <c r="DD8" t="s">
        <v>3</v>
      </c>
      <c r="DE8" t="s">
        <v>3</v>
      </c>
      <c r="DF8">
        <f>ROUND(ROUND(AE8,2)*CX8,2)</f>
        <v>0</v>
      </c>
      <c r="DG8">
        <f t="shared" si="5"/>
        <v>0</v>
      </c>
      <c r="DH8">
        <f t="shared" si="3"/>
        <v>0</v>
      </c>
      <c r="DI8">
        <f t="shared" si="4"/>
        <v>52691.55</v>
      </c>
      <c r="DJ8">
        <f>DI8</f>
        <v>52691.55</v>
      </c>
      <c r="DK8">
        <v>1</v>
      </c>
      <c r="DL8" t="s">
        <v>3</v>
      </c>
      <c r="DM8">
        <v>0</v>
      </c>
      <c r="DN8" t="s">
        <v>3</v>
      </c>
      <c r="DO8">
        <v>0</v>
      </c>
    </row>
    <row r="9" spans="1:119" x14ac:dyDescent="0.2">
      <c r="A9">
        <f>ROW(Source!A30)</f>
        <v>30</v>
      </c>
      <c r="B9">
        <v>94298235</v>
      </c>
      <c r="C9">
        <v>94299388</v>
      </c>
      <c r="D9">
        <v>87229949</v>
      </c>
      <c r="E9">
        <v>117</v>
      </c>
      <c r="F9">
        <v>1</v>
      </c>
      <c r="G9">
        <v>1</v>
      </c>
      <c r="H9">
        <v>1</v>
      </c>
      <c r="I9" t="s">
        <v>267</v>
      </c>
      <c r="J9" t="s">
        <v>3</v>
      </c>
      <c r="K9" t="s">
        <v>268</v>
      </c>
      <c r="L9">
        <v>1191</v>
      </c>
      <c r="N9">
        <v>1013</v>
      </c>
      <c r="O9" t="s">
        <v>266</v>
      </c>
      <c r="P9" t="s">
        <v>266</v>
      </c>
      <c r="Q9">
        <v>1</v>
      </c>
      <c r="W9">
        <v>0</v>
      </c>
      <c r="X9">
        <v>-1417349443</v>
      </c>
      <c r="Y9">
        <f t="shared" si="6"/>
        <v>1.98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1</v>
      </c>
      <c r="AK9">
        <v>1</v>
      </c>
      <c r="AL9">
        <v>1</v>
      </c>
      <c r="AM9">
        <v>-2</v>
      </c>
      <c r="AN9">
        <v>0</v>
      </c>
      <c r="AO9">
        <v>0</v>
      </c>
      <c r="AP9">
        <v>1</v>
      </c>
      <c r="AQ9">
        <v>1</v>
      </c>
      <c r="AR9">
        <v>0</v>
      </c>
      <c r="AS9" t="s">
        <v>3</v>
      </c>
      <c r="AT9">
        <v>0.66</v>
      </c>
      <c r="AU9" t="s">
        <v>35</v>
      </c>
      <c r="AV9">
        <v>2</v>
      </c>
      <c r="AW9">
        <v>2</v>
      </c>
      <c r="AX9">
        <v>94299396</v>
      </c>
      <c r="AY9">
        <v>1</v>
      </c>
      <c r="AZ9">
        <v>0</v>
      </c>
      <c r="BA9">
        <v>9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CV9">
        <v>0</v>
      </c>
      <c r="CW9">
        <v>0</v>
      </c>
      <c r="CX9">
        <f>ROUND(Y9*Source!I30,7)</f>
        <v>1.6235999999999999</v>
      </c>
      <c r="CY9">
        <f>AD9</f>
        <v>0</v>
      </c>
      <c r="CZ9">
        <f>AH9</f>
        <v>0</v>
      </c>
      <c r="DA9">
        <f>AL9</f>
        <v>1</v>
      </c>
      <c r="DB9">
        <f t="shared" si="7"/>
        <v>0</v>
      </c>
      <c r="DC9">
        <f t="shared" si="8"/>
        <v>0</v>
      </c>
      <c r="DD9" t="s">
        <v>3</v>
      </c>
      <c r="DE9" t="s">
        <v>3</v>
      </c>
      <c r="DF9">
        <f>ROUND(ROUND(AE9,2)*CX9,2)</f>
        <v>0</v>
      </c>
      <c r="DG9">
        <f t="shared" si="5"/>
        <v>0</v>
      </c>
      <c r="DH9">
        <f t="shared" si="3"/>
        <v>0</v>
      </c>
      <c r="DI9">
        <f t="shared" si="4"/>
        <v>0</v>
      </c>
      <c r="DJ9">
        <f>DI9</f>
        <v>0</v>
      </c>
      <c r="DK9">
        <v>0</v>
      </c>
      <c r="DL9" t="s">
        <v>3</v>
      </c>
      <c r="DM9">
        <v>0</v>
      </c>
      <c r="DN9" t="s">
        <v>3</v>
      </c>
      <c r="DO9">
        <v>0</v>
      </c>
    </row>
    <row r="10" spans="1:119" x14ac:dyDescent="0.2">
      <c r="A10">
        <f>ROW(Source!A30)</f>
        <v>30</v>
      </c>
      <c r="B10">
        <v>94298235</v>
      </c>
      <c r="C10">
        <v>94299388</v>
      </c>
      <c r="D10">
        <v>87236577</v>
      </c>
      <c r="E10">
        <v>1</v>
      </c>
      <c r="F10">
        <v>1</v>
      </c>
      <c r="G10">
        <v>1</v>
      </c>
      <c r="H10">
        <v>2</v>
      </c>
      <c r="I10" t="s">
        <v>269</v>
      </c>
      <c r="J10" t="s">
        <v>270</v>
      </c>
      <c r="K10" t="s">
        <v>271</v>
      </c>
      <c r="L10">
        <v>1368</v>
      </c>
      <c r="N10">
        <v>1011</v>
      </c>
      <c r="O10" t="s">
        <v>272</v>
      </c>
      <c r="P10" t="s">
        <v>272</v>
      </c>
      <c r="Q10">
        <v>1</v>
      </c>
      <c r="W10">
        <v>0</v>
      </c>
      <c r="X10">
        <v>453228636</v>
      </c>
      <c r="Y10">
        <f t="shared" si="6"/>
        <v>1.08</v>
      </c>
      <c r="AA10">
        <v>0</v>
      </c>
      <c r="AB10">
        <v>9.93</v>
      </c>
      <c r="AC10">
        <v>0</v>
      </c>
      <c r="AD10">
        <v>0</v>
      </c>
      <c r="AE10">
        <v>0</v>
      </c>
      <c r="AF10">
        <v>6.62</v>
      </c>
      <c r="AG10">
        <v>0</v>
      </c>
      <c r="AH10">
        <v>0</v>
      </c>
      <c r="AI10">
        <v>1</v>
      </c>
      <c r="AJ10">
        <v>1.5</v>
      </c>
      <c r="AK10">
        <v>1</v>
      </c>
      <c r="AL10">
        <v>1</v>
      </c>
      <c r="AM10">
        <v>2</v>
      </c>
      <c r="AN10">
        <v>0</v>
      </c>
      <c r="AO10">
        <v>0</v>
      </c>
      <c r="AP10">
        <v>1</v>
      </c>
      <c r="AQ10">
        <v>1</v>
      </c>
      <c r="AR10">
        <v>0</v>
      </c>
      <c r="AS10" t="s">
        <v>3</v>
      </c>
      <c r="AT10">
        <v>0.36</v>
      </c>
      <c r="AU10" t="s">
        <v>35</v>
      </c>
      <c r="AV10">
        <v>1</v>
      </c>
      <c r="AW10">
        <v>2</v>
      </c>
      <c r="AX10">
        <v>94299397</v>
      </c>
      <c r="AY10">
        <v>1</v>
      </c>
      <c r="AZ10">
        <v>0</v>
      </c>
      <c r="BA10">
        <v>10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2.3832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0</v>
      </c>
      <c r="BR10">
        <v>7.1496000000000004</v>
      </c>
      <c r="BS10">
        <v>0</v>
      </c>
      <c r="BT10">
        <v>0</v>
      </c>
      <c r="BU10">
        <v>0</v>
      </c>
      <c r="BV10">
        <v>0</v>
      </c>
      <c r="BW10">
        <v>1</v>
      </c>
      <c r="CV10">
        <v>0</v>
      </c>
      <c r="CW10">
        <f>ROUND(Y10*Source!I30*DO10,7)</f>
        <v>0</v>
      </c>
      <c r="CX10">
        <f>ROUND(Y10*Source!I30,7)</f>
        <v>0.88560000000000005</v>
      </c>
      <c r="CY10">
        <f>AB10</f>
        <v>9.93</v>
      </c>
      <c r="CZ10">
        <f>AF10</f>
        <v>6.62</v>
      </c>
      <c r="DA10">
        <f>AJ10</f>
        <v>1.5</v>
      </c>
      <c r="DB10">
        <f t="shared" si="7"/>
        <v>7.14</v>
      </c>
      <c r="DC10">
        <f t="shared" si="8"/>
        <v>0</v>
      </c>
      <c r="DD10" t="s">
        <v>3</v>
      </c>
      <c r="DE10" t="s">
        <v>3</v>
      </c>
      <c r="DF10">
        <f>ROUND(ROUND(AE10,2)*CX10,2)</f>
        <v>0</v>
      </c>
      <c r="DG10">
        <f>ROUND(ROUND(AF10*AJ10,2)*CX10,2)</f>
        <v>8.7899999999999991</v>
      </c>
      <c r="DH10">
        <f t="shared" si="3"/>
        <v>0</v>
      </c>
      <c r="DI10">
        <f t="shared" si="4"/>
        <v>0</v>
      </c>
      <c r="DJ10">
        <f>DG10+DH10</f>
        <v>8.7899999999999991</v>
      </c>
      <c r="DK10">
        <v>0</v>
      </c>
      <c r="DL10" t="s">
        <v>3</v>
      </c>
      <c r="DM10">
        <v>0</v>
      </c>
      <c r="DN10" t="s">
        <v>3</v>
      </c>
      <c r="DO10">
        <v>0</v>
      </c>
    </row>
    <row r="11" spans="1:119" x14ac:dyDescent="0.2">
      <c r="A11">
        <f>ROW(Source!A30)</f>
        <v>30</v>
      </c>
      <c r="B11">
        <v>94298235</v>
      </c>
      <c r="C11">
        <v>94299388</v>
      </c>
      <c r="D11">
        <v>87236608</v>
      </c>
      <c r="E11">
        <v>1</v>
      </c>
      <c r="F11">
        <v>1</v>
      </c>
      <c r="G11">
        <v>1</v>
      </c>
      <c r="H11">
        <v>2</v>
      </c>
      <c r="I11" t="s">
        <v>273</v>
      </c>
      <c r="J11" t="s">
        <v>274</v>
      </c>
      <c r="K11" t="s">
        <v>275</v>
      </c>
      <c r="L11">
        <v>1368</v>
      </c>
      <c r="N11">
        <v>1011</v>
      </c>
      <c r="O11" t="s">
        <v>272</v>
      </c>
      <c r="P11" t="s">
        <v>272</v>
      </c>
      <c r="Q11">
        <v>1</v>
      </c>
      <c r="W11">
        <v>0</v>
      </c>
      <c r="X11">
        <v>-996617845</v>
      </c>
      <c r="Y11">
        <f t="shared" si="6"/>
        <v>1.98</v>
      </c>
      <c r="AA11">
        <v>0</v>
      </c>
      <c r="AB11">
        <v>603.94000000000005</v>
      </c>
      <c r="AC11">
        <v>731.08</v>
      </c>
      <c r="AD11">
        <v>0</v>
      </c>
      <c r="AE11">
        <v>0</v>
      </c>
      <c r="AF11">
        <v>603.94000000000005</v>
      </c>
      <c r="AG11">
        <v>731.08</v>
      </c>
      <c r="AH11">
        <v>0</v>
      </c>
      <c r="AI11">
        <v>1</v>
      </c>
      <c r="AJ11">
        <v>1</v>
      </c>
      <c r="AK11">
        <v>1</v>
      </c>
      <c r="AL11">
        <v>1</v>
      </c>
      <c r="AM11">
        <v>-2</v>
      </c>
      <c r="AN11">
        <v>0</v>
      </c>
      <c r="AO11">
        <v>0</v>
      </c>
      <c r="AP11">
        <v>1</v>
      </c>
      <c r="AQ11">
        <v>1</v>
      </c>
      <c r="AR11">
        <v>0</v>
      </c>
      <c r="AS11" t="s">
        <v>3</v>
      </c>
      <c r="AT11">
        <v>0.66</v>
      </c>
      <c r="AU11" t="s">
        <v>35</v>
      </c>
      <c r="AV11">
        <v>1</v>
      </c>
      <c r="AW11">
        <v>2</v>
      </c>
      <c r="AX11">
        <v>94299398</v>
      </c>
      <c r="AY11">
        <v>1</v>
      </c>
      <c r="AZ11">
        <v>0</v>
      </c>
      <c r="BA11">
        <v>11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398.60040000000004</v>
      </c>
      <c r="BL11">
        <v>482.51280000000003</v>
      </c>
      <c r="BM11">
        <v>0</v>
      </c>
      <c r="BN11">
        <v>0</v>
      </c>
      <c r="BO11">
        <v>0.66</v>
      </c>
      <c r="BP11">
        <v>1</v>
      </c>
      <c r="BQ11">
        <v>0</v>
      </c>
      <c r="BR11">
        <v>1195.8012000000001</v>
      </c>
      <c r="BS11">
        <v>1447.5384000000001</v>
      </c>
      <c r="BT11">
        <v>0</v>
      </c>
      <c r="BU11">
        <v>0</v>
      </c>
      <c r="BV11">
        <v>1.98</v>
      </c>
      <c r="BW11">
        <v>1</v>
      </c>
      <c r="CV11">
        <v>0</v>
      </c>
      <c r="CW11">
        <f>ROUND(Y11*Source!I30*DO11,7)</f>
        <v>1.6235999999999999</v>
      </c>
      <c r="CX11">
        <f>ROUND(Y11*Source!I30,7)</f>
        <v>1.6235999999999999</v>
      </c>
      <c r="CY11">
        <f>AB11</f>
        <v>603.94000000000005</v>
      </c>
      <c r="CZ11">
        <f>AF11</f>
        <v>603.94000000000005</v>
      </c>
      <c r="DA11">
        <f>AJ11</f>
        <v>1</v>
      </c>
      <c r="DB11">
        <f t="shared" si="7"/>
        <v>1195.8</v>
      </c>
      <c r="DC11">
        <f t="shared" si="8"/>
        <v>1447.53</v>
      </c>
      <c r="DD11" t="s">
        <v>3</v>
      </c>
      <c r="DE11" t="s">
        <v>3</v>
      </c>
      <c r="DF11">
        <f>ROUND(ROUND(AE11,2)*CX11,2)</f>
        <v>0</v>
      </c>
      <c r="DG11">
        <f>ROUND(ROUND(AF11,2)*CX11,2)</f>
        <v>980.56</v>
      </c>
      <c r="DH11">
        <f t="shared" si="3"/>
        <v>1186.98</v>
      </c>
      <c r="DI11">
        <f t="shared" si="4"/>
        <v>0</v>
      </c>
      <c r="DJ11">
        <f>DG11+DH11</f>
        <v>2167.54</v>
      </c>
      <c r="DK11">
        <v>1</v>
      </c>
      <c r="DL11" t="s">
        <v>276</v>
      </c>
      <c r="DM11">
        <v>4</v>
      </c>
      <c r="DN11" t="s">
        <v>266</v>
      </c>
      <c r="DO11">
        <v>1</v>
      </c>
    </row>
    <row r="12" spans="1:119" x14ac:dyDescent="0.2">
      <c r="A12">
        <f>ROW(Source!A30)</f>
        <v>30</v>
      </c>
      <c r="B12">
        <v>94298235</v>
      </c>
      <c r="C12">
        <v>94299388</v>
      </c>
      <c r="D12">
        <v>87308053</v>
      </c>
      <c r="E12">
        <v>1</v>
      </c>
      <c r="F12">
        <v>1</v>
      </c>
      <c r="G12">
        <v>1</v>
      </c>
      <c r="H12">
        <v>3</v>
      </c>
      <c r="I12" t="s">
        <v>281</v>
      </c>
      <c r="J12" t="s">
        <v>282</v>
      </c>
      <c r="K12" t="s">
        <v>283</v>
      </c>
      <c r="L12">
        <v>1339</v>
      </c>
      <c r="N12">
        <v>1007</v>
      </c>
      <c r="O12" t="s">
        <v>280</v>
      </c>
      <c r="P12" t="s">
        <v>280</v>
      </c>
      <c r="Q12">
        <v>1</v>
      </c>
      <c r="W12">
        <v>0</v>
      </c>
      <c r="X12">
        <v>-155823422</v>
      </c>
      <c r="Y12">
        <f t="shared" si="6"/>
        <v>3.3000000000000003</v>
      </c>
      <c r="AA12">
        <v>4749.3</v>
      </c>
      <c r="AB12">
        <v>0</v>
      </c>
      <c r="AC12">
        <v>0</v>
      </c>
      <c r="AD12">
        <v>0</v>
      </c>
      <c r="AE12">
        <v>3392.36</v>
      </c>
      <c r="AF12">
        <v>0</v>
      </c>
      <c r="AG12">
        <v>0</v>
      </c>
      <c r="AH12">
        <v>0</v>
      </c>
      <c r="AI12">
        <v>1.4</v>
      </c>
      <c r="AJ12">
        <v>1</v>
      </c>
      <c r="AK12">
        <v>1</v>
      </c>
      <c r="AL12">
        <v>1</v>
      </c>
      <c r="AM12">
        <v>2</v>
      </c>
      <c r="AN12">
        <v>0</v>
      </c>
      <c r="AO12">
        <v>0</v>
      </c>
      <c r="AP12">
        <v>1</v>
      </c>
      <c r="AQ12">
        <v>1</v>
      </c>
      <c r="AR12">
        <v>0</v>
      </c>
      <c r="AS12" t="s">
        <v>3</v>
      </c>
      <c r="AT12">
        <v>1.1000000000000001</v>
      </c>
      <c r="AU12" t="s">
        <v>35</v>
      </c>
      <c r="AV12">
        <v>0</v>
      </c>
      <c r="AW12">
        <v>2</v>
      </c>
      <c r="AX12">
        <v>94299399</v>
      </c>
      <c r="AY12">
        <v>1</v>
      </c>
      <c r="AZ12">
        <v>0</v>
      </c>
      <c r="BA12">
        <v>12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3731.5960000000005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11194.788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1</v>
      </c>
      <c r="CV12">
        <v>0</v>
      </c>
      <c r="CW12">
        <v>0</v>
      </c>
      <c r="CX12">
        <f>ROUND(Y12*Source!I30,7)</f>
        <v>2.706</v>
      </c>
      <c r="CY12">
        <f>AA12</f>
        <v>4749.3</v>
      </c>
      <c r="CZ12">
        <f>AE12</f>
        <v>3392.36</v>
      </c>
      <c r="DA12">
        <f>AI12</f>
        <v>1.4</v>
      </c>
      <c r="DB12">
        <f t="shared" si="7"/>
        <v>11194.8</v>
      </c>
      <c r="DC12">
        <f t="shared" si="8"/>
        <v>0</v>
      </c>
      <c r="DD12" t="s">
        <v>3</v>
      </c>
      <c r="DE12" t="s">
        <v>3</v>
      </c>
      <c r="DF12">
        <f>ROUND(ROUND(AE12*AI12,2)*CX12,2)</f>
        <v>12851.61</v>
      </c>
      <c r="DG12">
        <f>ROUND(ROUND(AF12,2)*CX12,2)</f>
        <v>0</v>
      </c>
      <c r="DH12">
        <f t="shared" si="3"/>
        <v>0</v>
      </c>
      <c r="DI12">
        <f t="shared" si="4"/>
        <v>0</v>
      </c>
      <c r="DJ12">
        <f>DF12</f>
        <v>12851.61</v>
      </c>
      <c r="DK12">
        <v>0</v>
      </c>
      <c r="DL12" t="s">
        <v>3</v>
      </c>
      <c r="DM12">
        <v>0</v>
      </c>
      <c r="DN12" t="s">
        <v>3</v>
      </c>
      <c r="DO12">
        <v>0</v>
      </c>
    </row>
    <row r="13" spans="1:119" x14ac:dyDescent="0.2">
      <c r="A13">
        <f>ROW(Source!A30)</f>
        <v>30</v>
      </c>
      <c r="B13">
        <v>94298235</v>
      </c>
      <c r="C13">
        <v>94299388</v>
      </c>
      <c r="D13">
        <v>87235788</v>
      </c>
      <c r="E13">
        <v>117</v>
      </c>
      <c r="F13">
        <v>1</v>
      </c>
      <c r="G13">
        <v>1</v>
      </c>
      <c r="H13">
        <v>3</v>
      </c>
      <c r="I13" t="s">
        <v>28</v>
      </c>
      <c r="J13" t="s">
        <v>3</v>
      </c>
      <c r="K13" t="s">
        <v>29</v>
      </c>
      <c r="L13">
        <v>1348</v>
      </c>
      <c r="N13">
        <v>1009</v>
      </c>
      <c r="O13" t="s">
        <v>30</v>
      </c>
      <c r="P13" t="s">
        <v>30</v>
      </c>
      <c r="Q13">
        <v>1000</v>
      </c>
      <c r="W13">
        <v>0</v>
      </c>
      <c r="X13">
        <v>2102561428</v>
      </c>
      <c r="Y13">
        <f t="shared" si="6"/>
        <v>7.26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1</v>
      </c>
      <c r="AK13">
        <v>1</v>
      </c>
      <c r="AL13">
        <v>1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0</v>
      </c>
      <c r="AS13" t="s">
        <v>3</v>
      </c>
      <c r="AT13">
        <v>2.42</v>
      </c>
      <c r="AU13" t="s">
        <v>35</v>
      </c>
      <c r="AV13">
        <v>0</v>
      </c>
      <c r="AW13">
        <v>2</v>
      </c>
      <c r="AX13">
        <v>94299400</v>
      </c>
      <c r="AY13">
        <v>1</v>
      </c>
      <c r="AZ13">
        <v>0</v>
      </c>
      <c r="BA13">
        <v>13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CV13">
        <v>0</v>
      </c>
      <c r="CW13">
        <v>0</v>
      </c>
      <c r="CX13">
        <f>ROUND(Y13*Source!I30,7)</f>
        <v>5.9531999999999998</v>
      </c>
      <c r="CY13">
        <f>AA13</f>
        <v>0</v>
      </c>
      <c r="CZ13">
        <f>AE13</f>
        <v>0</v>
      </c>
      <c r="DA13">
        <f>AI13</f>
        <v>1</v>
      </c>
      <c r="DB13">
        <f t="shared" si="7"/>
        <v>0</v>
      </c>
      <c r="DC13">
        <f t="shared" si="8"/>
        <v>0</v>
      </c>
      <c r="DD13" t="s">
        <v>3</v>
      </c>
      <c r="DE13" t="s">
        <v>3</v>
      </c>
      <c r="DF13">
        <f>ROUND(ROUND(AE13,2)*CX13,2)</f>
        <v>0</v>
      </c>
      <c r="DG13">
        <f>ROUND(ROUND(AF13,2)*CX13,2)</f>
        <v>0</v>
      </c>
      <c r="DH13">
        <f t="shared" si="3"/>
        <v>0</v>
      </c>
      <c r="DI13">
        <f t="shared" si="4"/>
        <v>0</v>
      </c>
      <c r="DJ13">
        <f>DF13</f>
        <v>0</v>
      </c>
      <c r="DK13">
        <v>0</v>
      </c>
      <c r="DL13" t="s">
        <v>3</v>
      </c>
      <c r="DM13">
        <v>0</v>
      </c>
      <c r="DN13" t="s">
        <v>3</v>
      </c>
      <c r="DO13">
        <v>0</v>
      </c>
    </row>
    <row r="14" spans="1:119" x14ac:dyDescent="0.2">
      <c r="A14">
        <f>ROW(Source!A32)</f>
        <v>32</v>
      </c>
      <c r="B14">
        <v>94298235</v>
      </c>
      <c r="C14">
        <v>94300573</v>
      </c>
      <c r="D14">
        <v>90155098</v>
      </c>
      <c r="E14">
        <v>118</v>
      </c>
      <c r="F14">
        <v>1</v>
      </c>
      <c r="G14">
        <v>1</v>
      </c>
      <c r="H14">
        <v>1</v>
      </c>
      <c r="I14" t="s">
        <v>284</v>
      </c>
      <c r="J14" t="s">
        <v>3</v>
      </c>
      <c r="K14" t="s">
        <v>285</v>
      </c>
      <c r="L14">
        <v>1191</v>
      </c>
      <c r="N14">
        <v>1013</v>
      </c>
      <c r="O14" t="s">
        <v>266</v>
      </c>
      <c r="P14" t="s">
        <v>266</v>
      </c>
      <c r="Q14">
        <v>1</v>
      </c>
      <c r="W14">
        <v>0</v>
      </c>
      <c r="X14">
        <v>-1492398958</v>
      </c>
      <c r="Y14">
        <f>(AT14*ROUND(1.15,7))</f>
        <v>74.761499999999998</v>
      </c>
      <c r="AA14">
        <v>0</v>
      </c>
      <c r="AB14">
        <v>0</v>
      </c>
      <c r="AC14">
        <v>0</v>
      </c>
      <c r="AD14">
        <v>796.55</v>
      </c>
      <c r="AE14">
        <v>0</v>
      </c>
      <c r="AF14">
        <v>0</v>
      </c>
      <c r="AG14">
        <v>0</v>
      </c>
      <c r="AH14">
        <v>796.55</v>
      </c>
      <c r="AI14">
        <v>1</v>
      </c>
      <c r="AJ14">
        <v>1</v>
      </c>
      <c r="AK14">
        <v>1</v>
      </c>
      <c r="AL14">
        <v>1</v>
      </c>
      <c r="AM14">
        <v>-2</v>
      </c>
      <c r="AN14">
        <v>0</v>
      </c>
      <c r="AO14">
        <v>0</v>
      </c>
      <c r="AP14">
        <v>1</v>
      </c>
      <c r="AQ14">
        <v>1</v>
      </c>
      <c r="AR14">
        <v>0</v>
      </c>
      <c r="AS14" t="s">
        <v>3</v>
      </c>
      <c r="AT14">
        <v>65.010000000000005</v>
      </c>
      <c r="AU14" t="s">
        <v>42</v>
      </c>
      <c r="AV14">
        <v>1</v>
      </c>
      <c r="AW14">
        <v>2</v>
      </c>
      <c r="AX14">
        <v>94300574</v>
      </c>
      <c r="AY14">
        <v>1</v>
      </c>
      <c r="AZ14">
        <v>0</v>
      </c>
      <c r="BA14">
        <v>14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51783.715499999998</v>
      </c>
      <c r="BN14">
        <v>65.010000000000005</v>
      </c>
      <c r="BO14">
        <v>0</v>
      </c>
      <c r="BP14">
        <v>1</v>
      </c>
      <c r="BQ14">
        <v>0</v>
      </c>
      <c r="BR14">
        <v>0</v>
      </c>
      <c r="BS14">
        <v>0</v>
      </c>
      <c r="BT14">
        <v>59551.272824999993</v>
      </c>
      <c r="BU14">
        <v>74.761499999999998</v>
      </c>
      <c r="BV14">
        <v>0</v>
      </c>
      <c r="BW14">
        <v>1</v>
      </c>
      <c r="CU14">
        <f>ROUND(AT14*Source!I32*AH14*AL14,2)</f>
        <v>42462.65</v>
      </c>
      <c r="CV14">
        <f>ROUND(Y14*Source!I32,7)</f>
        <v>61.304430000000004</v>
      </c>
      <c r="CW14">
        <v>0</v>
      </c>
      <c r="CX14">
        <f>ROUND(Y14*Source!I32,7)</f>
        <v>61.304430000000004</v>
      </c>
      <c r="CY14">
        <f>AD14</f>
        <v>796.55</v>
      </c>
      <c r="CZ14">
        <f>AH14</f>
        <v>796.55</v>
      </c>
      <c r="DA14">
        <f>AL14</f>
        <v>1</v>
      </c>
      <c r="DB14">
        <f>ROUND((ROUND(AT14*CZ14,2)*ROUND(1.15,7)),6)</f>
        <v>59551.277999999998</v>
      </c>
      <c r="DC14">
        <f>ROUND((ROUND(AT14*AG14,2)*ROUND(1.15,7)),6)</f>
        <v>0</v>
      </c>
      <c r="DD14" t="s">
        <v>3</v>
      </c>
      <c r="DE14" t="s">
        <v>3</v>
      </c>
      <c r="DF14">
        <f>ROUND(ROUND(AE14,2)*CX14,2)</f>
        <v>0</v>
      </c>
      <c r="DG14">
        <f>ROUND(ROUND(AF14,2)*CX14,2)</f>
        <v>0</v>
      </c>
      <c r="DH14">
        <f t="shared" si="3"/>
        <v>0</v>
      </c>
      <c r="DI14">
        <f t="shared" si="4"/>
        <v>48832.04</v>
      </c>
      <c r="DJ14">
        <f>DI14</f>
        <v>48832.04</v>
      </c>
      <c r="DK14">
        <v>1</v>
      </c>
      <c r="DL14" t="s">
        <v>3</v>
      </c>
      <c r="DM14">
        <v>0</v>
      </c>
      <c r="DN14" t="s">
        <v>3</v>
      </c>
      <c r="DO14">
        <v>0</v>
      </c>
    </row>
    <row r="15" spans="1:119" x14ac:dyDescent="0.2">
      <c r="A15">
        <f>ROW(Source!A32)</f>
        <v>32</v>
      </c>
      <c r="B15">
        <v>94298235</v>
      </c>
      <c r="C15">
        <v>94300573</v>
      </c>
      <c r="D15">
        <v>90155259</v>
      </c>
      <c r="E15">
        <v>118</v>
      </c>
      <c r="F15">
        <v>1</v>
      </c>
      <c r="G15">
        <v>1</v>
      </c>
      <c r="H15">
        <v>1</v>
      </c>
      <c r="I15" t="s">
        <v>267</v>
      </c>
      <c r="J15" t="s">
        <v>3</v>
      </c>
      <c r="K15" t="s">
        <v>268</v>
      </c>
      <c r="L15">
        <v>1191</v>
      </c>
      <c r="N15">
        <v>1013</v>
      </c>
      <c r="O15" t="s">
        <v>266</v>
      </c>
      <c r="P15" t="s">
        <v>266</v>
      </c>
      <c r="Q15">
        <v>1</v>
      </c>
      <c r="W15">
        <v>0</v>
      </c>
      <c r="X15">
        <v>-1417349443</v>
      </c>
      <c r="Y15">
        <f>(AT15*ROUND(1.25,7))</f>
        <v>0.65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-2</v>
      </c>
      <c r="AN15">
        <v>0</v>
      </c>
      <c r="AO15">
        <v>0</v>
      </c>
      <c r="AP15">
        <v>1</v>
      </c>
      <c r="AQ15">
        <v>1</v>
      </c>
      <c r="AR15">
        <v>0</v>
      </c>
      <c r="AS15" t="s">
        <v>3</v>
      </c>
      <c r="AT15">
        <v>0.52</v>
      </c>
      <c r="AU15" t="s">
        <v>41</v>
      </c>
      <c r="AV15">
        <v>2</v>
      </c>
      <c r="AW15">
        <v>2</v>
      </c>
      <c r="AX15">
        <v>94300575</v>
      </c>
      <c r="AY15">
        <v>1</v>
      </c>
      <c r="AZ15">
        <v>0</v>
      </c>
      <c r="BA15">
        <v>15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CV15">
        <v>0</v>
      </c>
      <c r="CW15">
        <v>0</v>
      </c>
      <c r="CX15">
        <f>ROUND(Y15*Source!I32,7)</f>
        <v>0.53300000000000003</v>
      </c>
      <c r="CY15">
        <f>AD15</f>
        <v>0</v>
      </c>
      <c r="CZ15">
        <f>AH15</f>
        <v>0</v>
      </c>
      <c r="DA15">
        <f>AL15</f>
        <v>1</v>
      </c>
      <c r="DB15">
        <f>ROUND((ROUND(AT15*CZ15,2)*ROUND(1.25,7)),6)</f>
        <v>0</v>
      </c>
      <c r="DC15">
        <f>ROUND((ROUND(AT15*AG15,2)*ROUND(1.25,7)),6)</f>
        <v>0</v>
      </c>
      <c r="DD15" t="s">
        <v>3</v>
      </c>
      <c r="DE15" t="s">
        <v>3</v>
      </c>
      <c r="DF15">
        <f>ROUND(ROUND(AE15,2)*CX15,2)</f>
        <v>0</v>
      </c>
      <c r="DG15">
        <f>ROUND(ROUND(AF15,2)*CX15,2)</f>
        <v>0</v>
      </c>
      <c r="DH15">
        <f t="shared" si="3"/>
        <v>0</v>
      </c>
      <c r="DI15">
        <f t="shared" si="4"/>
        <v>0</v>
      </c>
      <c r="DJ15">
        <f>DI15</f>
        <v>0</v>
      </c>
      <c r="DK15">
        <v>0</v>
      </c>
      <c r="DL15" t="s">
        <v>3</v>
      </c>
      <c r="DM15">
        <v>0</v>
      </c>
      <c r="DN15" t="s">
        <v>3</v>
      </c>
      <c r="DO15">
        <v>0</v>
      </c>
    </row>
    <row r="16" spans="1:119" x14ac:dyDescent="0.2">
      <c r="A16">
        <f>ROW(Source!A32)</f>
        <v>32</v>
      </c>
      <c r="B16">
        <v>94298235</v>
      </c>
      <c r="C16">
        <v>94300573</v>
      </c>
      <c r="D16">
        <v>90281855</v>
      </c>
      <c r="E16">
        <v>1</v>
      </c>
      <c r="F16">
        <v>1</v>
      </c>
      <c r="G16">
        <v>1</v>
      </c>
      <c r="H16">
        <v>2</v>
      </c>
      <c r="I16" t="s">
        <v>269</v>
      </c>
      <c r="J16" t="s">
        <v>270</v>
      </c>
      <c r="K16" t="s">
        <v>271</v>
      </c>
      <c r="L16">
        <v>1368</v>
      </c>
      <c r="N16">
        <v>1011</v>
      </c>
      <c r="O16" t="s">
        <v>272</v>
      </c>
      <c r="P16" t="s">
        <v>272</v>
      </c>
      <c r="Q16">
        <v>1</v>
      </c>
      <c r="W16">
        <v>0</v>
      </c>
      <c r="X16">
        <v>-43419242</v>
      </c>
      <c r="Y16">
        <f>(AT16*ROUND(1.25,7))</f>
        <v>0.76249999999999996</v>
      </c>
      <c r="AA16">
        <v>0</v>
      </c>
      <c r="AB16">
        <v>9.93</v>
      </c>
      <c r="AC16">
        <v>0</v>
      </c>
      <c r="AD16">
        <v>0</v>
      </c>
      <c r="AE16">
        <v>0</v>
      </c>
      <c r="AF16">
        <v>6.62</v>
      </c>
      <c r="AG16">
        <v>0</v>
      </c>
      <c r="AH16">
        <v>0</v>
      </c>
      <c r="AI16">
        <v>1</v>
      </c>
      <c r="AJ16">
        <v>1.5</v>
      </c>
      <c r="AK16">
        <v>1</v>
      </c>
      <c r="AL16">
        <v>1</v>
      </c>
      <c r="AM16">
        <v>2</v>
      </c>
      <c r="AN16">
        <v>0</v>
      </c>
      <c r="AO16">
        <v>0</v>
      </c>
      <c r="AP16">
        <v>1</v>
      </c>
      <c r="AQ16">
        <v>1</v>
      </c>
      <c r="AR16">
        <v>0</v>
      </c>
      <c r="AS16" t="s">
        <v>3</v>
      </c>
      <c r="AT16">
        <v>0.61</v>
      </c>
      <c r="AU16" t="s">
        <v>41</v>
      </c>
      <c r="AV16">
        <v>1</v>
      </c>
      <c r="AW16">
        <v>2</v>
      </c>
      <c r="AX16">
        <v>94300576</v>
      </c>
      <c r="AY16">
        <v>1</v>
      </c>
      <c r="AZ16">
        <v>0</v>
      </c>
      <c r="BA16">
        <v>16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4.0381999999999998</v>
      </c>
      <c r="BL16">
        <v>0</v>
      </c>
      <c r="BM16">
        <v>0</v>
      </c>
      <c r="BN16">
        <v>0</v>
      </c>
      <c r="BO16">
        <v>0</v>
      </c>
      <c r="BP16">
        <v>1</v>
      </c>
      <c r="BQ16">
        <v>0</v>
      </c>
      <c r="BR16">
        <v>5.0477499999999997</v>
      </c>
      <c r="BS16">
        <v>0</v>
      </c>
      <c r="BT16">
        <v>0</v>
      </c>
      <c r="BU16">
        <v>0</v>
      </c>
      <c r="BV16">
        <v>0</v>
      </c>
      <c r="BW16">
        <v>1</v>
      </c>
      <c r="CV16">
        <v>0</v>
      </c>
      <c r="CW16">
        <f>ROUND(Y16*Source!I32*DO16,7)</f>
        <v>0</v>
      </c>
      <c r="CX16">
        <f>ROUND(Y16*Source!I32,7)</f>
        <v>0.62524999999999997</v>
      </c>
      <c r="CY16">
        <f>AB16</f>
        <v>9.93</v>
      </c>
      <c r="CZ16">
        <f>AF16</f>
        <v>6.62</v>
      </c>
      <c r="DA16">
        <f>AJ16</f>
        <v>1.5</v>
      </c>
      <c r="DB16">
        <f>ROUND((ROUND(AT16*CZ16,2)*ROUND(1.25,7)),6)</f>
        <v>5.05</v>
      </c>
      <c r="DC16">
        <f>ROUND((ROUND(AT16*AG16,2)*ROUND(1.25,7)),6)</f>
        <v>0</v>
      </c>
      <c r="DD16" t="s">
        <v>3</v>
      </c>
      <c r="DE16" t="s">
        <v>3</v>
      </c>
      <c r="DF16">
        <f>ROUND(ROUND(AE16,2)*CX16,2)</f>
        <v>0</v>
      </c>
      <c r="DG16">
        <f>ROUND(ROUND(AF16*AJ16,2)*CX16,2)</f>
        <v>6.21</v>
      </c>
      <c r="DH16">
        <f t="shared" si="3"/>
        <v>0</v>
      </c>
      <c r="DI16">
        <f t="shared" si="4"/>
        <v>0</v>
      </c>
      <c r="DJ16">
        <f>DG16+DH16</f>
        <v>6.21</v>
      </c>
      <c r="DK16">
        <v>0</v>
      </c>
      <c r="DL16" t="s">
        <v>3</v>
      </c>
      <c r="DM16">
        <v>0</v>
      </c>
      <c r="DN16" t="s">
        <v>3</v>
      </c>
      <c r="DO16">
        <v>0</v>
      </c>
    </row>
    <row r="17" spans="1:119" x14ac:dyDescent="0.2">
      <c r="A17">
        <f>ROW(Source!A32)</f>
        <v>32</v>
      </c>
      <c r="B17">
        <v>94298235</v>
      </c>
      <c r="C17">
        <v>94300573</v>
      </c>
      <c r="D17">
        <v>90282618</v>
      </c>
      <c r="E17">
        <v>1</v>
      </c>
      <c r="F17">
        <v>1</v>
      </c>
      <c r="G17">
        <v>1</v>
      </c>
      <c r="H17">
        <v>2</v>
      </c>
      <c r="I17" t="s">
        <v>286</v>
      </c>
      <c r="J17" t="s">
        <v>287</v>
      </c>
      <c r="K17" t="s">
        <v>288</v>
      </c>
      <c r="L17">
        <v>1368</v>
      </c>
      <c r="N17">
        <v>1011</v>
      </c>
      <c r="O17" t="s">
        <v>272</v>
      </c>
      <c r="P17" t="s">
        <v>272</v>
      </c>
      <c r="Q17">
        <v>1</v>
      </c>
      <c r="W17">
        <v>0</v>
      </c>
      <c r="X17">
        <v>-312038840</v>
      </c>
      <c r="Y17">
        <f>(AT17*ROUND(1.25,7))</f>
        <v>0.65</v>
      </c>
      <c r="AA17">
        <v>0</v>
      </c>
      <c r="AB17">
        <v>544.91999999999996</v>
      </c>
      <c r="AC17">
        <v>731.08</v>
      </c>
      <c r="AD17">
        <v>0</v>
      </c>
      <c r="AE17">
        <v>0</v>
      </c>
      <c r="AF17">
        <v>544.91999999999996</v>
      </c>
      <c r="AG17">
        <v>731.08</v>
      </c>
      <c r="AH17">
        <v>0</v>
      </c>
      <c r="AI17">
        <v>1</v>
      </c>
      <c r="AJ17">
        <v>1</v>
      </c>
      <c r="AK17">
        <v>1</v>
      </c>
      <c r="AL17">
        <v>1</v>
      </c>
      <c r="AM17">
        <v>-2</v>
      </c>
      <c r="AN17">
        <v>0</v>
      </c>
      <c r="AO17">
        <v>0</v>
      </c>
      <c r="AP17">
        <v>1</v>
      </c>
      <c r="AQ17">
        <v>1</v>
      </c>
      <c r="AR17">
        <v>0</v>
      </c>
      <c r="AS17" t="s">
        <v>3</v>
      </c>
      <c r="AT17">
        <v>0.52</v>
      </c>
      <c r="AU17" t="s">
        <v>41</v>
      </c>
      <c r="AV17">
        <v>1</v>
      </c>
      <c r="AW17">
        <v>2</v>
      </c>
      <c r="AX17">
        <v>94300577</v>
      </c>
      <c r="AY17">
        <v>1</v>
      </c>
      <c r="AZ17">
        <v>0</v>
      </c>
      <c r="BA17">
        <v>17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283.35839999999996</v>
      </c>
      <c r="BL17">
        <v>380.16160000000002</v>
      </c>
      <c r="BM17">
        <v>0</v>
      </c>
      <c r="BN17">
        <v>0</v>
      </c>
      <c r="BO17">
        <v>0.52</v>
      </c>
      <c r="BP17">
        <v>1</v>
      </c>
      <c r="BQ17">
        <v>0</v>
      </c>
      <c r="BR17">
        <v>354.19799999999998</v>
      </c>
      <c r="BS17">
        <v>475.20200000000006</v>
      </c>
      <c r="BT17">
        <v>0</v>
      </c>
      <c r="BU17">
        <v>0</v>
      </c>
      <c r="BV17">
        <v>0.65</v>
      </c>
      <c r="BW17">
        <v>1</v>
      </c>
      <c r="CV17">
        <v>0</v>
      </c>
      <c r="CW17">
        <f>ROUND(Y17*Source!I32*DO17,7)</f>
        <v>0.53300000000000003</v>
      </c>
      <c r="CX17">
        <f>ROUND(Y17*Source!I32,7)</f>
        <v>0.53300000000000003</v>
      </c>
      <c r="CY17">
        <f>AB17</f>
        <v>544.91999999999996</v>
      </c>
      <c r="CZ17">
        <f>AF17</f>
        <v>544.91999999999996</v>
      </c>
      <c r="DA17">
        <f>AJ17</f>
        <v>1</v>
      </c>
      <c r="DB17">
        <f>ROUND((ROUND(AT17*CZ17,2)*ROUND(1.25,7)),6)</f>
        <v>354.2</v>
      </c>
      <c r="DC17">
        <f>ROUND((ROUND(AT17*AG17,2)*ROUND(1.25,7)),6)</f>
        <v>475.2</v>
      </c>
      <c r="DD17" t="s">
        <v>3</v>
      </c>
      <c r="DE17" t="s">
        <v>3</v>
      </c>
      <c r="DF17">
        <f>ROUND(ROUND(AE17,2)*CX17,2)</f>
        <v>0</v>
      </c>
      <c r="DG17">
        <f t="shared" ref="DG17:DG23" si="9">ROUND(ROUND(AF17,2)*CX17,2)</f>
        <v>290.44</v>
      </c>
      <c r="DH17">
        <f t="shared" si="3"/>
        <v>389.67</v>
      </c>
      <c r="DI17">
        <f t="shared" si="4"/>
        <v>0</v>
      </c>
      <c r="DJ17">
        <f>DG17+DH17</f>
        <v>680.11</v>
      </c>
      <c r="DK17">
        <v>1</v>
      </c>
      <c r="DL17" t="s">
        <v>276</v>
      </c>
      <c r="DM17">
        <v>4</v>
      </c>
      <c r="DN17" t="s">
        <v>266</v>
      </c>
      <c r="DO17">
        <v>1</v>
      </c>
    </row>
    <row r="18" spans="1:119" x14ac:dyDescent="0.2">
      <c r="A18">
        <f>ROW(Source!A32)</f>
        <v>32</v>
      </c>
      <c r="B18">
        <v>94298235</v>
      </c>
      <c r="C18">
        <v>94300573</v>
      </c>
      <c r="D18">
        <v>90231823</v>
      </c>
      <c r="E18">
        <v>1</v>
      </c>
      <c r="F18">
        <v>1</v>
      </c>
      <c r="G18">
        <v>1</v>
      </c>
      <c r="H18">
        <v>3</v>
      </c>
      <c r="I18" t="s">
        <v>277</v>
      </c>
      <c r="J18" t="s">
        <v>278</v>
      </c>
      <c r="K18" t="s">
        <v>279</v>
      </c>
      <c r="L18">
        <v>1339</v>
      </c>
      <c r="N18">
        <v>1007</v>
      </c>
      <c r="O18" t="s">
        <v>280</v>
      </c>
      <c r="P18" t="s">
        <v>280</v>
      </c>
      <c r="Q18">
        <v>1</v>
      </c>
      <c r="W18">
        <v>0</v>
      </c>
      <c r="X18">
        <v>727623859</v>
      </c>
      <c r="Y18">
        <f t="shared" ref="Y18:Y35" si="10">AT18</f>
        <v>7.3999999999999996E-2</v>
      </c>
      <c r="AA18">
        <v>54.64</v>
      </c>
      <c r="AB18">
        <v>0</v>
      </c>
      <c r="AC18">
        <v>0</v>
      </c>
      <c r="AD18">
        <v>0</v>
      </c>
      <c r="AE18">
        <v>35.71</v>
      </c>
      <c r="AF18">
        <v>0</v>
      </c>
      <c r="AG18">
        <v>0</v>
      </c>
      <c r="AH18">
        <v>0</v>
      </c>
      <c r="AI18">
        <v>1.53</v>
      </c>
      <c r="AJ18">
        <v>1</v>
      </c>
      <c r="AK18">
        <v>1</v>
      </c>
      <c r="AL18">
        <v>1</v>
      </c>
      <c r="AM18">
        <v>2</v>
      </c>
      <c r="AN18">
        <v>0</v>
      </c>
      <c r="AO18">
        <v>0</v>
      </c>
      <c r="AP18">
        <v>0</v>
      </c>
      <c r="AQ18">
        <v>1</v>
      </c>
      <c r="AR18">
        <v>0</v>
      </c>
      <c r="AS18" t="s">
        <v>3</v>
      </c>
      <c r="AT18">
        <v>7.3999999999999996E-2</v>
      </c>
      <c r="AU18" t="s">
        <v>3</v>
      </c>
      <c r="AV18">
        <v>0</v>
      </c>
      <c r="AW18">
        <v>2</v>
      </c>
      <c r="AX18">
        <v>94300578</v>
      </c>
      <c r="AY18">
        <v>1</v>
      </c>
      <c r="AZ18">
        <v>0</v>
      </c>
      <c r="BA18">
        <v>18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2.6425399999999999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1</v>
      </c>
      <c r="BQ18">
        <v>2.6425399999999999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1</v>
      </c>
      <c r="CV18">
        <v>0</v>
      </c>
      <c r="CW18">
        <v>0</v>
      </c>
      <c r="CX18">
        <f>ROUND(Y18*Source!I32,7)</f>
        <v>6.0679999999999998E-2</v>
      </c>
      <c r="CY18">
        <f>AA18</f>
        <v>54.64</v>
      </c>
      <c r="CZ18">
        <f>AE18</f>
        <v>35.71</v>
      </c>
      <c r="DA18">
        <f>AI18</f>
        <v>1.53</v>
      </c>
      <c r="DB18">
        <f t="shared" ref="DB18:DB35" si="11">ROUND(ROUND(AT18*CZ18,2),6)</f>
        <v>2.64</v>
      </c>
      <c r="DC18">
        <f t="shared" ref="DC18:DC35" si="12">ROUND(ROUND(AT18*AG18,2),6)</f>
        <v>0</v>
      </c>
      <c r="DD18" t="s">
        <v>3</v>
      </c>
      <c r="DE18" t="s">
        <v>3</v>
      </c>
      <c r="DF18">
        <f>ROUND(ROUND(AE18*AI18,2)*CX18,2)</f>
        <v>3.32</v>
      </c>
      <c r="DG18">
        <f t="shared" si="9"/>
        <v>0</v>
      </c>
      <c r="DH18">
        <f t="shared" si="3"/>
        <v>0</v>
      </c>
      <c r="DI18">
        <f t="shared" si="4"/>
        <v>0</v>
      </c>
      <c r="DJ18">
        <f>DF18</f>
        <v>3.32</v>
      </c>
      <c r="DK18">
        <v>0</v>
      </c>
      <c r="DL18" t="s">
        <v>3</v>
      </c>
      <c r="DM18">
        <v>0</v>
      </c>
      <c r="DN18" t="s">
        <v>3</v>
      </c>
      <c r="DO18">
        <v>0</v>
      </c>
    </row>
    <row r="19" spans="1:119" x14ac:dyDescent="0.2">
      <c r="A19">
        <f>ROW(Source!A32)</f>
        <v>32</v>
      </c>
      <c r="B19">
        <v>94298235</v>
      </c>
      <c r="C19">
        <v>94300573</v>
      </c>
      <c r="D19">
        <v>90231835</v>
      </c>
      <c r="E19">
        <v>1</v>
      </c>
      <c r="F19">
        <v>1</v>
      </c>
      <c r="G19">
        <v>1</v>
      </c>
      <c r="H19">
        <v>3</v>
      </c>
      <c r="I19" t="s">
        <v>289</v>
      </c>
      <c r="J19" t="s">
        <v>290</v>
      </c>
      <c r="K19" t="s">
        <v>291</v>
      </c>
      <c r="L19">
        <v>1383</v>
      </c>
      <c r="N19">
        <v>1013</v>
      </c>
      <c r="O19" t="s">
        <v>292</v>
      </c>
      <c r="P19" t="s">
        <v>292</v>
      </c>
      <c r="Q19">
        <v>1</v>
      </c>
      <c r="W19">
        <v>0</v>
      </c>
      <c r="X19">
        <v>-182421198</v>
      </c>
      <c r="Y19">
        <f t="shared" si="10"/>
        <v>0.96199999999999997</v>
      </c>
      <c r="AA19">
        <v>6.92</v>
      </c>
      <c r="AB19">
        <v>0</v>
      </c>
      <c r="AC19">
        <v>0</v>
      </c>
      <c r="AD19">
        <v>0</v>
      </c>
      <c r="AE19">
        <v>6.92</v>
      </c>
      <c r="AF19">
        <v>0</v>
      </c>
      <c r="AG19">
        <v>0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-2</v>
      </c>
      <c r="AN19">
        <v>0</v>
      </c>
      <c r="AO19">
        <v>0</v>
      </c>
      <c r="AP19">
        <v>0</v>
      </c>
      <c r="AQ19">
        <v>1</v>
      </c>
      <c r="AR19">
        <v>0</v>
      </c>
      <c r="AS19" t="s">
        <v>3</v>
      </c>
      <c r="AT19">
        <v>0.96199999999999997</v>
      </c>
      <c r="AU19" t="s">
        <v>3</v>
      </c>
      <c r="AV19">
        <v>0</v>
      </c>
      <c r="AW19">
        <v>2</v>
      </c>
      <c r="AX19">
        <v>94300579</v>
      </c>
      <c r="AY19">
        <v>1</v>
      </c>
      <c r="AZ19">
        <v>0</v>
      </c>
      <c r="BA19">
        <v>19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6.6570399999999994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6.6570399999999994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1</v>
      </c>
      <c r="CV19">
        <v>0</v>
      </c>
      <c r="CW19">
        <v>0</v>
      </c>
      <c r="CX19">
        <f>ROUND(Y19*Source!I32,7)</f>
        <v>0.78883999999999999</v>
      </c>
      <c r="CY19">
        <f>AA19</f>
        <v>6.92</v>
      </c>
      <c r="CZ19">
        <f>AE19</f>
        <v>6.92</v>
      </c>
      <c r="DA19">
        <f>AI19</f>
        <v>1</v>
      </c>
      <c r="DB19">
        <f t="shared" si="11"/>
        <v>6.66</v>
      </c>
      <c r="DC19">
        <f t="shared" si="12"/>
        <v>0</v>
      </c>
      <c r="DD19" t="s">
        <v>3</v>
      </c>
      <c r="DE19" t="s">
        <v>3</v>
      </c>
      <c r="DF19">
        <f>ROUND(ROUND(AE19,2)*CX19,2)</f>
        <v>5.46</v>
      </c>
      <c r="DG19">
        <f t="shared" si="9"/>
        <v>0</v>
      </c>
      <c r="DH19">
        <f t="shared" si="3"/>
        <v>0</v>
      </c>
      <c r="DI19">
        <f t="shared" si="4"/>
        <v>0</v>
      </c>
      <c r="DJ19">
        <f>DF19</f>
        <v>5.46</v>
      </c>
      <c r="DK19">
        <v>1</v>
      </c>
      <c r="DL19" t="s">
        <v>3</v>
      </c>
      <c r="DM19">
        <v>0</v>
      </c>
      <c r="DN19" t="s">
        <v>3</v>
      </c>
      <c r="DO19">
        <v>0</v>
      </c>
    </row>
    <row r="20" spans="1:119" x14ac:dyDescent="0.2">
      <c r="A20">
        <f>ROW(Source!A32)</f>
        <v>32</v>
      </c>
      <c r="B20">
        <v>94298235</v>
      </c>
      <c r="C20">
        <v>94300573</v>
      </c>
      <c r="D20">
        <v>90235765</v>
      </c>
      <c r="E20">
        <v>1</v>
      </c>
      <c r="F20">
        <v>1</v>
      </c>
      <c r="G20">
        <v>1</v>
      </c>
      <c r="H20">
        <v>3</v>
      </c>
      <c r="I20" t="s">
        <v>52</v>
      </c>
      <c r="J20" t="s">
        <v>54</v>
      </c>
      <c r="K20" t="s">
        <v>53</v>
      </c>
      <c r="L20">
        <v>1348</v>
      </c>
      <c r="N20">
        <v>1009</v>
      </c>
      <c r="O20" t="s">
        <v>30</v>
      </c>
      <c r="P20" t="s">
        <v>30</v>
      </c>
      <c r="Q20">
        <v>1000</v>
      </c>
      <c r="W20">
        <v>0</v>
      </c>
      <c r="X20">
        <v>1913394429</v>
      </c>
      <c r="Y20">
        <f t="shared" si="10"/>
        <v>0.5</v>
      </c>
      <c r="AA20">
        <v>139414.91</v>
      </c>
      <c r="AB20">
        <v>0</v>
      </c>
      <c r="AC20">
        <v>0</v>
      </c>
      <c r="AD20">
        <v>0</v>
      </c>
      <c r="AE20">
        <v>89945.1</v>
      </c>
      <c r="AF20">
        <v>0</v>
      </c>
      <c r="AG20">
        <v>0</v>
      </c>
      <c r="AH20">
        <v>0</v>
      </c>
      <c r="AI20">
        <v>1.55</v>
      </c>
      <c r="AJ20">
        <v>1</v>
      </c>
      <c r="AK20">
        <v>1</v>
      </c>
      <c r="AL20">
        <v>1</v>
      </c>
      <c r="AM20">
        <v>0</v>
      </c>
      <c r="AN20">
        <v>0</v>
      </c>
      <c r="AO20">
        <v>0</v>
      </c>
      <c r="AP20">
        <v>1</v>
      </c>
      <c r="AQ20">
        <v>0</v>
      </c>
      <c r="AR20">
        <v>0</v>
      </c>
      <c r="AS20" t="s">
        <v>3</v>
      </c>
      <c r="AT20">
        <v>0.5</v>
      </c>
      <c r="AU20" t="s">
        <v>3</v>
      </c>
      <c r="AV20">
        <v>0</v>
      </c>
      <c r="AW20">
        <v>1</v>
      </c>
      <c r="AX20">
        <v>-1</v>
      </c>
      <c r="AY20">
        <v>0</v>
      </c>
      <c r="AZ20">
        <v>0</v>
      </c>
      <c r="BA20" t="s">
        <v>3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CV20">
        <v>0</v>
      </c>
      <c r="CW20">
        <v>0</v>
      </c>
      <c r="CX20">
        <f>ROUND(Y20*Source!I32,7)</f>
        <v>0.41</v>
      </c>
      <c r="CY20">
        <f>AA20</f>
        <v>139414.91</v>
      </c>
      <c r="CZ20">
        <f>AE20</f>
        <v>89945.1</v>
      </c>
      <c r="DA20">
        <f>AI20</f>
        <v>1.55</v>
      </c>
      <c r="DB20">
        <f t="shared" si="11"/>
        <v>44972.55</v>
      </c>
      <c r="DC20">
        <f t="shared" si="12"/>
        <v>0</v>
      </c>
      <c r="DD20" t="s">
        <v>3</v>
      </c>
      <c r="DE20" t="s">
        <v>3</v>
      </c>
      <c r="DF20">
        <f>ROUND(ROUND(AE20*AI20,2)*CX20,2)</f>
        <v>57160.11</v>
      </c>
      <c r="DG20">
        <f t="shared" si="9"/>
        <v>0</v>
      </c>
      <c r="DH20">
        <f t="shared" si="3"/>
        <v>0</v>
      </c>
      <c r="DI20">
        <f t="shared" si="4"/>
        <v>0</v>
      </c>
      <c r="DJ20">
        <f>DF20</f>
        <v>57160.11</v>
      </c>
      <c r="DK20">
        <v>0</v>
      </c>
      <c r="DL20" t="s">
        <v>3</v>
      </c>
      <c r="DM20">
        <v>0</v>
      </c>
      <c r="DN20" t="s">
        <v>3</v>
      </c>
      <c r="DO20">
        <v>0</v>
      </c>
    </row>
    <row r="21" spans="1:119" x14ac:dyDescent="0.2">
      <c r="A21">
        <f>ROW(Source!A32)</f>
        <v>32</v>
      </c>
      <c r="B21">
        <v>94298235</v>
      </c>
      <c r="C21">
        <v>94300573</v>
      </c>
      <c r="D21">
        <v>90250749</v>
      </c>
      <c r="E21">
        <v>1</v>
      </c>
      <c r="F21">
        <v>1</v>
      </c>
      <c r="G21">
        <v>1</v>
      </c>
      <c r="H21">
        <v>3</v>
      </c>
      <c r="I21" t="s">
        <v>56</v>
      </c>
      <c r="J21" t="s">
        <v>59</v>
      </c>
      <c r="K21" t="s">
        <v>57</v>
      </c>
      <c r="L21">
        <v>1346</v>
      </c>
      <c r="N21">
        <v>1009</v>
      </c>
      <c r="O21" t="s">
        <v>58</v>
      </c>
      <c r="P21" t="s">
        <v>58</v>
      </c>
      <c r="Q21">
        <v>1</v>
      </c>
      <c r="W21">
        <v>0</v>
      </c>
      <c r="X21">
        <v>1546742732</v>
      </c>
      <c r="Y21">
        <f t="shared" si="10"/>
        <v>18</v>
      </c>
      <c r="AA21">
        <v>105.17</v>
      </c>
      <c r="AB21">
        <v>0</v>
      </c>
      <c r="AC21">
        <v>0</v>
      </c>
      <c r="AD21">
        <v>0</v>
      </c>
      <c r="AE21">
        <v>68.290000000000006</v>
      </c>
      <c r="AF21">
        <v>0</v>
      </c>
      <c r="AG21">
        <v>0</v>
      </c>
      <c r="AH21">
        <v>0</v>
      </c>
      <c r="AI21">
        <v>1.54</v>
      </c>
      <c r="AJ21">
        <v>1</v>
      </c>
      <c r="AK21">
        <v>1</v>
      </c>
      <c r="AL21">
        <v>1</v>
      </c>
      <c r="AM21">
        <v>0</v>
      </c>
      <c r="AN21">
        <v>0</v>
      </c>
      <c r="AO21">
        <v>0</v>
      </c>
      <c r="AP21">
        <v>1</v>
      </c>
      <c r="AQ21">
        <v>0</v>
      </c>
      <c r="AR21">
        <v>0</v>
      </c>
      <c r="AS21" t="s">
        <v>3</v>
      </c>
      <c r="AT21">
        <v>18</v>
      </c>
      <c r="AU21" t="s">
        <v>3</v>
      </c>
      <c r="AV21">
        <v>0</v>
      </c>
      <c r="AW21">
        <v>1</v>
      </c>
      <c r="AX21">
        <v>-1</v>
      </c>
      <c r="AY21">
        <v>0</v>
      </c>
      <c r="AZ21">
        <v>0</v>
      </c>
      <c r="BA21" t="s">
        <v>3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CV21">
        <v>0</v>
      </c>
      <c r="CW21">
        <v>0</v>
      </c>
      <c r="CX21">
        <f>ROUND(Y21*Source!I32,7)</f>
        <v>14.76</v>
      </c>
      <c r="CY21">
        <f>AA21</f>
        <v>105.17</v>
      </c>
      <c r="CZ21">
        <f>AE21</f>
        <v>68.290000000000006</v>
      </c>
      <c r="DA21">
        <f>AI21</f>
        <v>1.54</v>
      </c>
      <c r="DB21">
        <f t="shared" si="11"/>
        <v>1229.22</v>
      </c>
      <c r="DC21">
        <f t="shared" si="12"/>
        <v>0</v>
      </c>
      <c r="DD21" t="s">
        <v>3</v>
      </c>
      <c r="DE21" t="s">
        <v>3</v>
      </c>
      <c r="DF21">
        <f>ROUND(ROUND(AE21*AI21,2)*CX21,2)</f>
        <v>1552.31</v>
      </c>
      <c r="DG21">
        <f t="shared" si="9"/>
        <v>0</v>
      </c>
      <c r="DH21">
        <f t="shared" si="3"/>
        <v>0</v>
      </c>
      <c r="DI21">
        <f t="shared" si="4"/>
        <v>0</v>
      </c>
      <c r="DJ21">
        <f>DF21</f>
        <v>1552.31</v>
      </c>
      <c r="DK21">
        <v>0</v>
      </c>
      <c r="DL21" t="s">
        <v>3</v>
      </c>
      <c r="DM21">
        <v>0</v>
      </c>
      <c r="DN21" t="s">
        <v>3</v>
      </c>
      <c r="DO21">
        <v>0</v>
      </c>
    </row>
    <row r="22" spans="1:119" x14ac:dyDescent="0.2">
      <c r="A22">
        <f>ROW(Source!A35)</f>
        <v>35</v>
      </c>
      <c r="B22">
        <v>94298235</v>
      </c>
      <c r="C22">
        <v>94300611</v>
      </c>
      <c r="D22">
        <v>90155066</v>
      </c>
      <c r="E22">
        <v>118</v>
      </c>
      <c r="F22">
        <v>1</v>
      </c>
      <c r="G22">
        <v>1</v>
      </c>
      <c r="H22">
        <v>1</v>
      </c>
      <c r="I22" t="s">
        <v>293</v>
      </c>
      <c r="J22" t="s">
        <v>3</v>
      </c>
      <c r="K22" t="s">
        <v>294</v>
      </c>
      <c r="L22">
        <v>1191</v>
      </c>
      <c r="N22">
        <v>1013</v>
      </c>
      <c r="O22" t="s">
        <v>266</v>
      </c>
      <c r="P22" t="s">
        <v>266</v>
      </c>
      <c r="Q22">
        <v>1</v>
      </c>
      <c r="W22">
        <v>0</v>
      </c>
      <c r="X22">
        <v>32079103</v>
      </c>
      <c r="Y22">
        <f t="shared" si="10"/>
        <v>109.77</v>
      </c>
      <c r="AA22">
        <v>0</v>
      </c>
      <c r="AB22">
        <v>0</v>
      </c>
      <c r="AC22">
        <v>0</v>
      </c>
      <c r="AD22">
        <v>673.79</v>
      </c>
      <c r="AE22">
        <v>0</v>
      </c>
      <c r="AF22">
        <v>0</v>
      </c>
      <c r="AG22">
        <v>0</v>
      </c>
      <c r="AH22">
        <v>673.79</v>
      </c>
      <c r="AI22">
        <v>1</v>
      </c>
      <c r="AJ22">
        <v>1</v>
      </c>
      <c r="AK22">
        <v>1</v>
      </c>
      <c r="AL22">
        <v>1</v>
      </c>
      <c r="AM22">
        <v>-2</v>
      </c>
      <c r="AN22">
        <v>0</v>
      </c>
      <c r="AO22">
        <v>0</v>
      </c>
      <c r="AP22">
        <v>0</v>
      </c>
      <c r="AQ22">
        <v>1</v>
      </c>
      <c r="AR22">
        <v>0</v>
      </c>
      <c r="AS22" t="s">
        <v>3</v>
      </c>
      <c r="AT22">
        <v>109.77</v>
      </c>
      <c r="AU22" t="s">
        <v>3</v>
      </c>
      <c r="AV22">
        <v>1</v>
      </c>
      <c r="AW22">
        <v>2</v>
      </c>
      <c r="AX22">
        <v>94300612</v>
      </c>
      <c r="AY22">
        <v>1</v>
      </c>
      <c r="AZ22">
        <v>0</v>
      </c>
      <c r="BA22">
        <v>22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73961.9283</v>
      </c>
      <c r="BN22">
        <v>109.77</v>
      </c>
      <c r="BO22">
        <v>0</v>
      </c>
      <c r="BP22">
        <v>1</v>
      </c>
      <c r="BQ22">
        <v>0</v>
      </c>
      <c r="BR22">
        <v>0</v>
      </c>
      <c r="BS22">
        <v>0</v>
      </c>
      <c r="BT22">
        <v>73961.9283</v>
      </c>
      <c r="BU22">
        <v>109.77</v>
      </c>
      <c r="BV22">
        <v>0</v>
      </c>
      <c r="BW22">
        <v>1</v>
      </c>
      <c r="CU22">
        <f>ROUND(AT22*Source!I35*AH22*AL22,2)</f>
        <v>5916.95</v>
      </c>
      <c r="CV22">
        <f>ROUND(Y22*Source!I35,7)</f>
        <v>8.7815999999999992</v>
      </c>
      <c r="CW22">
        <v>0</v>
      </c>
      <c r="CX22">
        <f>ROUND(Y22*Source!I35,7)</f>
        <v>8.7815999999999992</v>
      </c>
      <c r="CY22">
        <f>AD22</f>
        <v>673.79</v>
      </c>
      <c r="CZ22">
        <f>AH22</f>
        <v>673.79</v>
      </c>
      <c r="DA22">
        <f>AL22</f>
        <v>1</v>
      </c>
      <c r="DB22">
        <f t="shared" si="11"/>
        <v>73961.929999999993</v>
      </c>
      <c r="DC22">
        <f t="shared" si="12"/>
        <v>0</v>
      </c>
      <c r="DD22" t="s">
        <v>3</v>
      </c>
      <c r="DE22" t="s">
        <v>3</v>
      </c>
      <c r="DF22">
        <f>ROUND(ROUND(AE22,2)*CX22,2)</f>
        <v>0</v>
      </c>
      <c r="DG22">
        <f t="shared" si="9"/>
        <v>0</v>
      </c>
      <c r="DH22">
        <f t="shared" si="3"/>
        <v>0</v>
      </c>
      <c r="DI22">
        <f t="shared" si="4"/>
        <v>5916.95</v>
      </c>
      <c r="DJ22">
        <f>DI22</f>
        <v>5916.95</v>
      </c>
      <c r="DK22">
        <v>1</v>
      </c>
      <c r="DL22" t="s">
        <v>3</v>
      </c>
      <c r="DM22">
        <v>0</v>
      </c>
      <c r="DN22" t="s">
        <v>3</v>
      </c>
      <c r="DO22">
        <v>0</v>
      </c>
    </row>
    <row r="23" spans="1:119" x14ac:dyDescent="0.2">
      <c r="A23">
        <f>ROW(Source!A35)</f>
        <v>35</v>
      </c>
      <c r="B23">
        <v>94298235</v>
      </c>
      <c r="C23">
        <v>94300611</v>
      </c>
      <c r="D23">
        <v>90155259</v>
      </c>
      <c r="E23">
        <v>118</v>
      </c>
      <c r="F23">
        <v>1</v>
      </c>
      <c r="G23">
        <v>1</v>
      </c>
      <c r="H23">
        <v>1</v>
      </c>
      <c r="I23" t="s">
        <v>267</v>
      </c>
      <c r="J23" t="s">
        <v>3</v>
      </c>
      <c r="K23" t="s">
        <v>268</v>
      </c>
      <c r="L23">
        <v>1191</v>
      </c>
      <c r="N23">
        <v>1013</v>
      </c>
      <c r="O23" t="s">
        <v>266</v>
      </c>
      <c r="P23" t="s">
        <v>266</v>
      </c>
      <c r="Q23">
        <v>1</v>
      </c>
      <c r="W23">
        <v>0</v>
      </c>
      <c r="X23">
        <v>-1417349443</v>
      </c>
      <c r="Y23">
        <f t="shared" si="10"/>
        <v>2.62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1</v>
      </c>
      <c r="AJ23">
        <v>1</v>
      </c>
      <c r="AK23">
        <v>1</v>
      </c>
      <c r="AL23">
        <v>1</v>
      </c>
      <c r="AM23">
        <v>-2</v>
      </c>
      <c r="AN23">
        <v>0</v>
      </c>
      <c r="AO23">
        <v>0</v>
      </c>
      <c r="AP23">
        <v>0</v>
      </c>
      <c r="AQ23">
        <v>1</v>
      </c>
      <c r="AR23">
        <v>0</v>
      </c>
      <c r="AS23" t="s">
        <v>3</v>
      </c>
      <c r="AT23">
        <v>2.62</v>
      </c>
      <c r="AU23" t="s">
        <v>3</v>
      </c>
      <c r="AV23">
        <v>2</v>
      </c>
      <c r="AW23">
        <v>2</v>
      </c>
      <c r="AX23">
        <v>94300613</v>
      </c>
      <c r="AY23">
        <v>1</v>
      </c>
      <c r="AZ23">
        <v>0</v>
      </c>
      <c r="BA23">
        <v>23</v>
      </c>
      <c r="BB23">
        <v>1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V23">
        <v>0</v>
      </c>
      <c r="CW23">
        <v>0</v>
      </c>
      <c r="CX23">
        <f>ROUND(Y23*Source!I35,7)</f>
        <v>0.20960000000000001</v>
      </c>
      <c r="CY23">
        <f>AD23</f>
        <v>0</v>
      </c>
      <c r="CZ23">
        <f>AH23</f>
        <v>0</v>
      </c>
      <c r="DA23">
        <f>AL23</f>
        <v>1</v>
      </c>
      <c r="DB23">
        <f t="shared" si="11"/>
        <v>0</v>
      </c>
      <c r="DC23">
        <f t="shared" si="12"/>
        <v>0</v>
      </c>
      <c r="DD23" t="s">
        <v>3</v>
      </c>
      <c r="DE23" t="s">
        <v>3</v>
      </c>
      <c r="DF23">
        <f>ROUND(ROUND(AE23,2)*CX23,2)</f>
        <v>0</v>
      </c>
      <c r="DG23">
        <f t="shared" si="9"/>
        <v>0</v>
      </c>
      <c r="DH23">
        <f t="shared" si="3"/>
        <v>0</v>
      </c>
      <c r="DI23">
        <f t="shared" si="4"/>
        <v>0</v>
      </c>
      <c r="DJ23">
        <f>DI23</f>
        <v>0</v>
      </c>
      <c r="DK23">
        <v>0</v>
      </c>
      <c r="DL23" t="s">
        <v>3</v>
      </c>
      <c r="DM23">
        <v>0</v>
      </c>
      <c r="DN23" t="s">
        <v>3</v>
      </c>
      <c r="DO23">
        <v>0</v>
      </c>
    </row>
    <row r="24" spans="1:119" x14ac:dyDescent="0.2">
      <c r="A24">
        <f>ROW(Source!A35)</f>
        <v>35</v>
      </c>
      <c r="B24">
        <v>94298235</v>
      </c>
      <c r="C24">
        <v>94300611</v>
      </c>
      <c r="D24">
        <v>90281903</v>
      </c>
      <c r="E24">
        <v>1</v>
      </c>
      <c r="F24">
        <v>1</v>
      </c>
      <c r="G24">
        <v>1</v>
      </c>
      <c r="H24">
        <v>2</v>
      </c>
      <c r="I24" t="s">
        <v>295</v>
      </c>
      <c r="J24" t="s">
        <v>296</v>
      </c>
      <c r="K24" t="s">
        <v>297</v>
      </c>
      <c r="L24">
        <v>1368</v>
      </c>
      <c r="N24">
        <v>1011</v>
      </c>
      <c r="O24" t="s">
        <v>272</v>
      </c>
      <c r="P24" t="s">
        <v>272</v>
      </c>
      <c r="Q24">
        <v>1</v>
      </c>
      <c r="W24">
        <v>0</v>
      </c>
      <c r="X24">
        <v>-566469117</v>
      </c>
      <c r="Y24">
        <f t="shared" si="10"/>
        <v>2.0499999999999998</v>
      </c>
      <c r="AA24">
        <v>0</v>
      </c>
      <c r="AB24">
        <v>58.59</v>
      </c>
      <c r="AC24">
        <v>649.24</v>
      </c>
      <c r="AD24">
        <v>0</v>
      </c>
      <c r="AE24">
        <v>0</v>
      </c>
      <c r="AF24">
        <v>37.32</v>
      </c>
      <c r="AG24">
        <v>649.24</v>
      </c>
      <c r="AH24">
        <v>0</v>
      </c>
      <c r="AI24">
        <v>1</v>
      </c>
      <c r="AJ24">
        <v>1.57</v>
      </c>
      <c r="AK24">
        <v>1</v>
      </c>
      <c r="AL24">
        <v>1</v>
      </c>
      <c r="AM24">
        <v>2</v>
      </c>
      <c r="AN24">
        <v>0</v>
      </c>
      <c r="AO24">
        <v>0</v>
      </c>
      <c r="AP24">
        <v>0</v>
      </c>
      <c r="AQ24">
        <v>1</v>
      </c>
      <c r="AR24">
        <v>0</v>
      </c>
      <c r="AS24" t="s">
        <v>3</v>
      </c>
      <c r="AT24">
        <v>2.0499999999999998</v>
      </c>
      <c r="AU24" t="s">
        <v>3</v>
      </c>
      <c r="AV24">
        <v>1</v>
      </c>
      <c r="AW24">
        <v>2</v>
      </c>
      <c r="AX24">
        <v>94300614</v>
      </c>
      <c r="AY24">
        <v>1</v>
      </c>
      <c r="AZ24">
        <v>0</v>
      </c>
      <c r="BA24">
        <v>24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76.506</v>
      </c>
      <c r="BL24">
        <v>1330.942</v>
      </c>
      <c r="BM24">
        <v>0</v>
      </c>
      <c r="BN24">
        <v>0</v>
      </c>
      <c r="BO24">
        <v>2.0499999999999998</v>
      </c>
      <c r="BP24">
        <v>1</v>
      </c>
      <c r="BQ24">
        <v>0</v>
      </c>
      <c r="BR24">
        <v>76.506</v>
      </c>
      <c r="BS24">
        <v>1330.942</v>
      </c>
      <c r="BT24">
        <v>0</v>
      </c>
      <c r="BU24">
        <v>0</v>
      </c>
      <c r="BV24">
        <v>2.0499999999999998</v>
      </c>
      <c r="BW24">
        <v>1</v>
      </c>
      <c r="CV24">
        <v>0</v>
      </c>
      <c r="CW24">
        <f>ROUND(Y24*Source!I35*DO24,7)</f>
        <v>0.16400000000000001</v>
      </c>
      <c r="CX24">
        <f>ROUND(Y24*Source!I35,7)</f>
        <v>0.16400000000000001</v>
      </c>
      <c r="CY24">
        <f>AB24</f>
        <v>58.59</v>
      </c>
      <c r="CZ24">
        <f>AF24</f>
        <v>37.32</v>
      </c>
      <c r="DA24">
        <f>AJ24</f>
        <v>1.57</v>
      </c>
      <c r="DB24">
        <f t="shared" si="11"/>
        <v>76.510000000000005</v>
      </c>
      <c r="DC24">
        <f t="shared" si="12"/>
        <v>1330.94</v>
      </c>
      <c r="DD24" t="s">
        <v>3</v>
      </c>
      <c r="DE24" t="s">
        <v>3</v>
      </c>
      <c r="DF24">
        <f>ROUND(ROUND(AE24,2)*CX24,2)</f>
        <v>0</v>
      </c>
      <c r="DG24">
        <f>ROUND(ROUND(AF24*AJ24,2)*CX24,2)</f>
        <v>9.61</v>
      </c>
      <c r="DH24">
        <f t="shared" si="3"/>
        <v>106.48</v>
      </c>
      <c r="DI24">
        <f t="shared" si="4"/>
        <v>0</v>
      </c>
      <c r="DJ24">
        <f>DG24+DH24</f>
        <v>116.09</v>
      </c>
      <c r="DK24">
        <v>0</v>
      </c>
      <c r="DL24" t="s">
        <v>298</v>
      </c>
      <c r="DM24">
        <v>3</v>
      </c>
      <c r="DN24" t="s">
        <v>266</v>
      </c>
      <c r="DO24">
        <v>1</v>
      </c>
    </row>
    <row r="25" spans="1:119" x14ac:dyDescent="0.2">
      <c r="A25">
        <f>ROW(Source!A35)</f>
        <v>35</v>
      </c>
      <c r="B25">
        <v>94298235</v>
      </c>
      <c r="C25">
        <v>94300611</v>
      </c>
      <c r="D25">
        <v>90282618</v>
      </c>
      <c r="E25">
        <v>1</v>
      </c>
      <c r="F25">
        <v>1</v>
      </c>
      <c r="G25">
        <v>1</v>
      </c>
      <c r="H25">
        <v>2</v>
      </c>
      <c r="I25" t="s">
        <v>286</v>
      </c>
      <c r="J25" t="s">
        <v>287</v>
      </c>
      <c r="K25" t="s">
        <v>288</v>
      </c>
      <c r="L25">
        <v>1368</v>
      </c>
      <c r="N25">
        <v>1011</v>
      </c>
      <c r="O25" t="s">
        <v>272</v>
      </c>
      <c r="P25" t="s">
        <v>272</v>
      </c>
      <c r="Q25">
        <v>1</v>
      </c>
      <c r="W25">
        <v>0</v>
      </c>
      <c r="X25">
        <v>-312038840</v>
      </c>
      <c r="Y25">
        <f t="shared" si="10"/>
        <v>0.56999999999999995</v>
      </c>
      <c r="AA25">
        <v>0</v>
      </c>
      <c r="AB25">
        <v>544.91999999999996</v>
      </c>
      <c r="AC25">
        <v>731.08</v>
      </c>
      <c r="AD25">
        <v>0</v>
      </c>
      <c r="AE25">
        <v>0</v>
      </c>
      <c r="AF25">
        <v>544.91999999999996</v>
      </c>
      <c r="AG25">
        <v>731.08</v>
      </c>
      <c r="AH25">
        <v>0</v>
      </c>
      <c r="AI25">
        <v>1</v>
      </c>
      <c r="AJ25">
        <v>1</v>
      </c>
      <c r="AK25">
        <v>1</v>
      </c>
      <c r="AL25">
        <v>1</v>
      </c>
      <c r="AM25">
        <v>-2</v>
      </c>
      <c r="AN25">
        <v>0</v>
      </c>
      <c r="AO25">
        <v>0</v>
      </c>
      <c r="AP25">
        <v>0</v>
      </c>
      <c r="AQ25">
        <v>1</v>
      </c>
      <c r="AR25">
        <v>0</v>
      </c>
      <c r="AS25" t="s">
        <v>3</v>
      </c>
      <c r="AT25">
        <v>0.56999999999999995</v>
      </c>
      <c r="AU25" t="s">
        <v>3</v>
      </c>
      <c r="AV25">
        <v>1</v>
      </c>
      <c r="AW25">
        <v>2</v>
      </c>
      <c r="AX25">
        <v>94300615</v>
      </c>
      <c r="AY25">
        <v>1</v>
      </c>
      <c r="AZ25">
        <v>0</v>
      </c>
      <c r="BA25">
        <v>25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310.60439999999994</v>
      </c>
      <c r="BL25">
        <v>416.71559999999999</v>
      </c>
      <c r="BM25">
        <v>0</v>
      </c>
      <c r="BN25">
        <v>0</v>
      </c>
      <c r="BO25">
        <v>0.56999999999999995</v>
      </c>
      <c r="BP25">
        <v>1</v>
      </c>
      <c r="BQ25">
        <v>0</v>
      </c>
      <c r="BR25">
        <v>310.60439999999994</v>
      </c>
      <c r="BS25">
        <v>416.71559999999999</v>
      </c>
      <c r="BT25">
        <v>0</v>
      </c>
      <c r="BU25">
        <v>0</v>
      </c>
      <c r="BV25">
        <v>0.56999999999999995</v>
      </c>
      <c r="BW25">
        <v>1</v>
      </c>
      <c r="CV25">
        <v>0</v>
      </c>
      <c r="CW25">
        <f>ROUND(Y25*Source!I35*DO25,7)</f>
        <v>4.5600000000000002E-2</v>
      </c>
      <c r="CX25">
        <f>ROUND(Y25*Source!I35,7)</f>
        <v>4.5600000000000002E-2</v>
      </c>
      <c r="CY25">
        <f>AB25</f>
        <v>544.91999999999996</v>
      </c>
      <c r="CZ25">
        <f>AF25</f>
        <v>544.91999999999996</v>
      </c>
      <c r="DA25">
        <f>AJ25</f>
        <v>1</v>
      </c>
      <c r="DB25">
        <f t="shared" si="11"/>
        <v>310.60000000000002</v>
      </c>
      <c r="DC25">
        <f t="shared" si="12"/>
        <v>416.72</v>
      </c>
      <c r="DD25" t="s">
        <v>3</v>
      </c>
      <c r="DE25" t="s">
        <v>3</v>
      </c>
      <c r="DF25">
        <f>ROUND(ROUND(AE25,2)*CX25,2)</f>
        <v>0</v>
      </c>
      <c r="DG25">
        <f t="shared" ref="DG25:DG31" si="13">ROUND(ROUND(AF25,2)*CX25,2)</f>
        <v>24.85</v>
      </c>
      <c r="DH25">
        <f t="shared" si="3"/>
        <v>33.340000000000003</v>
      </c>
      <c r="DI25">
        <f t="shared" si="4"/>
        <v>0</v>
      </c>
      <c r="DJ25">
        <f>DG25+DH25</f>
        <v>58.190000000000005</v>
      </c>
      <c r="DK25">
        <v>1</v>
      </c>
      <c r="DL25" t="s">
        <v>276</v>
      </c>
      <c r="DM25">
        <v>4</v>
      </c>
      <c r="DN25" t="s">
        <v>266</v>
      </c>
      <c r="DO25">
        <v>1</v>
      </c>
    </row>
    <row r="26" spans="1:119" x14ac:dyDescent="0.2">
      <c r="A26">
        <f>ROW(Source!A35)</f>
        <v>35</v>
      </c>
      <c r="B26">
        <v>94298235</v>
      </c>
      <c r="C26">
        <v>94300611</v>
      </c>
      <c r="D26">
        <v>90233381</v>
      </c>
      <c r="E26">
        <v>1</v>
      </c>
      <c r="F26">
        <v>1</v>
      </c>
      <c r="G26">
        <v>1</v>
      </c>
      <c r="H26">
        <v>3</v>
      </c>
      <c r="I26" t="s">
        <v>299</v>
      </c>
      <c r="J26" t="s">
        <v>300</v>
      </c>
      <c r="K26" t="s">
        <v>301</v>
      </c>
      <c r="L26">
        <v>1348</v>
      </c>
      <c r="N26">
        <v>1009</v>
      </c>
      <c r="O26" t="s">
        <v>30</v>
      </c>
      <c r="P26" t="s">
        <v>30</v>
      </c>
      <c r="Q26">
        <v>1000</v>
      </c>
      <c r="W26">
        <v>0</v>
      </c>
      <c r="X26">
        <v>1479353699</v>
      </c>
      <c r="Y26">
        <f t="shared" si="10"/>
        <v>8.9999999999999998E-4</v>
      </c>
      <c r="AA26">
        <v>92088.02</v>
      </c>
      <c r="AB26">
        <v>0</v>
      </c>
      <c r="AC26">
        <v>0</v>
      </c>
      <c r="AD26">
        <v>0</v>
      </c>
      <c r="AE26">
        <v>70296.2</v>
      </c>
      <c r="AF26">
        <v>0</v>
      </c>
      <c r="AG26">
        <v>0</v>
      </c>
      <c r="AH26">
        <v>0</v>
      </c>
      <c r="AI26">
        <v>1.31</v>
      </c>
      <c r="AJ26">
        <v>1</v>
      </c>
      <c r="AK26">
        <v>1</v>
      </c>
      <c r="AL26">
        <v>1</v>
      </c>
      <c r="AM26">
        <v>2</v>
      </c>
      <c r="AN26">
        <v>0</v>
      </c>
      <c r="AO26">
        <v>0</v>
      </c>
      <c r="AP26">
        <v>0</v>
      </c>
      <c r="AQ26">
        <v>1</v>
      </c>
      <c r="AR26">
        <v>0</v>
      </c>
      <c r="AS26" t="s">
        <v>3</v>
      </c>
      <c r="AT26">
        <v>8.9999999999999998E-4</v>
      </c>
      <c r="AU26" t="s">
        <v>3</v>
      </c>
      <c r="AV26">
        <v>0</v>
      </c>
      <c r="AW26">
        <v>2</v>
      </c>
      <c r="AX26">
        <v>94300616</v>
      </c>
      <c r="AY26">
        <v>1</v>
      </c>
      <c r="AZ26">
        <v>0</v>
      </c>
      <c r="BA26">
        <v>26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63.266579999999998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1</v>
      </c>
      <c r="BQ26">
        <v>63.266579999999998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1</v>
      </c>
      <c r="CV26">
        <v>0</v>
      </c>
      <c r="CW26">
        <v>0</v>
      </c>
      <c r="CX26">
        <f>ROUND(Y26*Source!I35,7)</f>
        <v>7.2000000000000002E-5</v>
      </c>
      <c r="CY26">
        <f>AA26</f>
        <v>92088.02</v>
      </c>
      <c r="CZ26">
        <f>AE26</f>
        <v>70296.2</v>
      </c>
      <c r="DA26">
        <f>AI26</f>
        <v>1.31</v>
      </c>
      <c r="DB26">
        <f t="shared" si="11"/>
        <v>63.27</v>
      </c>
      <c r="DC26">
        <f t="shared" si="12"/>
        <v>0</v>
      </c>
      <c r="DD26" t="s">
        <v>3</v>
      </c>
      <c r="DE26" t="s">
        <v>3</v>
      </c>
      <c r="DF26">
        <f>ROUND(ROUND(AE26*AI26,2)*CX26,2)</f>
        <v>6.63</v>
      </c>
      <c r="DG26">
        <f t="shared" si="13"/>
        <v>0</v>
      </c>
      <c r="DH26">
        <f t="shared" si="3"/>
        <v>0</v>
      </c>
      <c r="DI26">
        <f t="shared" si="4"/>
        <v>0</v>
      </c>
      <c r="DJ26">
        <f>DF26</f>
        <v>6.63</v>
      </c>
      <c r="DK26">
        <v>0</v>
      </c>
      <c r="DL26" t="s">
        <v>3</v>
      </c>
      <c r="DM26">
        <v>0</v>
      </c>
      <c r="DN26" t="s">
        <v>3</v>
      </c>
      <c r="DO26">
        <v>0</v>
      </c>
    </row>
    <row r="27" spans="1:119" x14ac:dyDescent="0.2">
      <c r="A27">
        <f>ROW(Source!A35)</f>
        <v>35</v>
      </c>
      <c r="B27">
        <v>94298235</v>
      </c>
      <c r="C27">
        <v>94300611</v>
      </c>
      <c r="D27">
        <v>90239268</v>
      </c>
      <c r="E27">
        <v>1</v>
      </c>
      <c r="F27">
        <v>1</v>
      </c>
      <c r="G27">
        <v>1</v>
      </c>
      <c r="H27">
        <v>3</v>
      </c>
      <c r="I27" t="s">
        <v>302</v>
      </c>
      <c r="J27" t="s">
        <v>303</v>
      </c>
      <c r="K27" t="s">
        <v>304</v>
      </c>
      <c r="L27">
        <v>1348</v>
      </c>
      <c r="N27">
        <v>1009</v>
      </c>
      <c r="O27" t="s">
        <v>30</v>
      </c>
      <c r="P27" t="s">
        <v>30</v>
      </c>
      <c r="Q27">
        <v>1000</v>
      </c>
      <c r="W27">
        <v>0</v>
      </c>
      <c r="X27">
        <v>-1732801658</v>
      </c>
      <c r="Y27">
        <f t="shared" si="10"/>
        <v>6.5000000000000002E-2</v>
      </c>
      <c r="AA27">
        <v>71549.67</v>
      </c>
      <c r="AB27">
        <v>0</v>
      </c>
      <c r="AC27">
        <v>0</v>
      </c>
      <c r="AD27">
        <v>0</v>
      </c>
      <c r="AE27">
        <v>55898.18</v>
      </c>
      <c r="AF27">
        <v>0</v>
      </c>
      <c r="AG27">
        <v>0</v>
      </c>
      <c r="AH27">
        <v>0</v>
      </c>
      <c r="AI27">
        <v>1.28</v>
      </c>
      <c r="AJ27">
        <v>1</v>
      </c>
      <c r="AK27">
        <v>1</v>
      </c>
      <c r="AL27">
        <v>1</v>
      </c>
      <c r="AM27">
        <v>2</v>
      </c>
      <c r="AN27">
        <v>0</v>
      </c>
      <c r="AO27">
        <v>0</v>
      </c>
      <c r="AP27">
        <v>0</v>
      </c>
      <c r="AQ27">
        <v>1</v>
      </c>
      <c r="AR27">
        <v>0</v>
      </c>
      <c r="AS27" t="s">
        <v>3</v>
      </c>
      <c r="AT27">
        <v>6.5000000000000002E-2</v>
      </c>
      <c r="AU27" t="s">
        <v>3</v>
      </c>
      <c r="AV27">
        <v>0</v>
      </c>
      <c r="AW27">
        <v>2</v>
      </c>
      <c r="AX27">
        <v>94300617</v>
      </c>
      <c r="AY27">
        <v>1</v>
      </c>
      <c r="AZ27">
        <v>0</v>
      </c>
      <c r="BA27">
        <v>27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3633.3817000000004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1</v>
      </c>
      <c r="BQ27">
        <v>3633.3817000000004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1</v>
      </c>
      <c r="CV27">
        <v>0</v>
      </c>
      <c r="CW27">
        <v>0</v>
      </c>
      <c r="CX27">
        <f>ROUND(Y27*Source!I35,7)</f>
        <v>5.1999999999999998E-3</v>
      </c>
      <c r="CY27">
        <f>AA27</f>
        <v>71549.67</v>
      </c>
      <c r="CZ27">
        <f>AE27</f>
        <v>55898.18</v>
      </c>
      <c r="DA27">
        <f>AI27</f>
        <v>1.28</v>
      </c>
      <c r="DB27">
        <f t="shared" si="11"/>
        <v>3633.38</v>
      </c>
      <c r="DC27">
        <f t="shared" si="12"/>
        <v>0</v>
      </c>
      <c r="DD27" t="s">
        <v>3</v>
      </c>
      <c r="DE27" t="s">
        <v>3</v>
      </c>
      <c r="DF27">
        <f>ROUND(ROUND(AE27*AI27,2)*CX27,2)</f>
        <v>372.06</v>
      </c>
      <c r="DG27">
        <f t="shared" si="13"/>
        <v>0</v>
      </c>
      <c r="DH27">
        <f t="shared" si="3"/>
        <v>0</v>
      </c>
      <c r="DI27">
        <f t="shared" si="4"/>
        <v>0</v>
      </c>
      <c r="DJ27">
        <f>DF27</f>
        <v>372.06</v>
      </c>
      <c r="DK27">
        <v>0</v>
      </c>
      <c r="DL27" t="s">
        <v>3</v>
      </c>
      <c r="DM27">
        <v>0</v>
      </c>
      <c r="DN27" t="s">
        <v>3</v>
      </c>
      <c r="DO27">
        <v>0</v>
      </c>
    </row>
    <row r="28" spans="1:119" x14ac:dyDescent="0.2">
      <c r="A28">
        <f>ROW(Source!A35)</f>
        <v>35</v>
      </c>
      <c r="B28">
        <v>94298235</v>
      </c>
      <c r="C28">
        <v>94300611</v>
      </c>
      <c r="D28">
        <v>90240990</v>
      </c>
      <c r="E28">
        <v>1</v>
      </c>
      <c r="F28">
        <v>1</v>
      </c>
      <c r="G28">
        <v>1</v>
      </c>
      <c r="H28">
        <v>3</v>
      </c>
      <c r="I28" t="s">
        <v>70</v>
      </c>
      <c r="J28" t="s">
        <v>73</v>
      </c>
      <c r="K28" t="s">
        <v>71</v>
      </c>
      <c r="L28">
        <v>1327</v>
      </c>
      <c r="N28">
        <v>1005</v>
      </c>
      <c r="O28" t="s">
        <v>72</v>
      </c>
      <c r="P28" t="s">
        <v>72</v>
      </c>
      <c r="Q28">
        <v>1</v>
      </c>
      <c r="W28">
        <v>0</v>
      </c>
      <c r="X28">
        <v>902782656</v>
      </c>
      <c r="Y28">
        <f t="shared" si="10"/>
        <v>110</v>
      </c>
      <c r="AA28">
        <v>819.27</v>
      </c>
      <c r="AB28">
        <v>0</v>
      </c>
      <c r="AC28">
        <v>0</v>
      </c>
      <c r="AD28">
        <v>0</v>
      </c>
      <c r="AE28">
        <v>1050.3499999999999</v>
      </c>
      <c r="AF28">
        <v>0</v>
      </c>
      <c r="AG28">
        <v>0</v>
      </c>
      <c r="AH28">
        <v>0</v>
      </c>
      <c r="AI28">
        <v>0.78</v>
      </c>
      <c r="AJ28">
        <v>1</v>
      </c>
      <c r="AK28">
        <v>1</v>
      </c>
      <c r="AL28">
        <v>1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 t="s">
        <v>3</v>
      </c>
      <c r="AT28">
        <v>110</v>
      </c>
      <c r="AU28" t="s">
        <v>3</v>
      </c>
      <c r="AV28">
        <v>0</v>
      </c>
      <c r="AW28">
        <v>1</v>
      </c>
      <c r="AX28">
        <v>-1</v>
      </c>
      <c r="AY28">
        <v>0</v>
      </c>
      <c r="AZ28">
        <v>0</v>
      </c>
      <c r="BA28" t="s">
        <v>3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CV28">
        <v>0</v>
      </c>
      <c r="CW28">
        <v>0</v>
      </c>
      <c r="CX28">
        <f>ROUND(Y28*Source!I35,7)</f>
        <v>8.8000000000000007</v>
      </c>
      <c r="CY28">
        <f>AA28</f>
        <v>819.27</v>
      </c>
      <c r="CZ28">
        <f>AE28</f>
        <v>1050.3499999999999</v>
      </c>
      <c r="DA28">
        <f>AI28</f>
        <v>0.78</v>
      </c>
      <c r="DB28">
        <f t="shared" si="11"/>
        <v>115538.5</v>
      </c>
      <c r="DC28">
        <f t="shared" si="12"/>
        <v>0</v>
      </c>
      <c r="DD28" t="s">
        <v>3</v>
      </c>
      <c r="DE28" t="s">
        <v>3</v>
      </c>
      <c r="DF28">
        <f>ROUND(ROUND(AE28*AI28,2)*CX28,2)</f>
        <v>7209.58</v>
      </c>
      <c r="DG28">
        <f t="shared" si="13"/>
        <v>0</v>
      </c>
      <c r="DH28">
        <f t="shared" si="3"/>
        <v>0</v>
      </c>
      <c r="DI28">
        <f t="shared" si="4"/>
        <v>0</v>
      </c>
      <c r="DJ28">
        <f>DF28</f>
        <v>7209.58</v>
      </c>
      <c r="DK28">
        <v>0</v>
      </c>
      <c r="DL28" t="s">
        <v>3</v>
      </c>
      <c r="DM28">
        <v>0</v>
      </c>
      <c r="DN28" t="s">
        <v>3</v>
      </c>
      <c r="DO28">
        <v>0</v>
      </c>
    </row>
    <row r="29" spans="1:119" x14ac:dyDescent="0.2">
      <c r="A29">
        <f>ROW(Source!A35)</f>
        <v>35</v>
      </c>
      <c r="B29">
        <v>94298235</v>
      </c>
      <c r="C29">
        <v>94300611</v>
      </c>
      <c r="D29">
        <v>90251065</v>
      </c>
      <c r="E29">
        <v>1</v>
      </c>
      <c r="F29">
        <v>1</v>
      </c>
      <c r="G29">
        <v>1</v>
      </c>
      <c r="H29">
        <v>3</v>
      </c>
      <c r="I29" t="s">
        <v>305</v>
      </c>
      <c r="J29" t="s">
        <v>306</v>
      </c>
      <c r="K29" t="s">
        <v>307</v>
      </c>
      <c r="L29">
        <v>1346</v>
      </c>
      <c r="N29">
        <v>1009</v>
      </c>
      <c r="O29" t="s">
        <v>58</v>
      </c>
      <c r="P29" t="s">
        <v>58</v>
      </c>
      <c r="Q29">
        <v>1</v>
      </c>
      <c r="W29">
        <v>0</v>
      </c>
      <c r="X29">
        <v>-612205108</v>
      </c>
      <c r="Y29">
        <f t="shared" si="10"/>
        <v>0.9</v>
      </c>
      <c r="AA29">
        <v>81.069999999999993</v>
      </c>
      <c r="AB29">
        <v>0</v>
      </c>
      <c r="AC29">
        <v>0</v>
      </c>
      <c r="AD29">
        <v>0</v>
      </c>
      <c r="AE29">
        <v>46.06</v>
      </c>
      <c r="AF29">
        <v>0</v>
      </c>
      <c r="AG29">
        <v>0</v>
      </c>
      <c r="AH29">
        <v>0</v>
      </c>
      <c r="AI29">
        <v>1.76</v>
      </c>
      <c r="AJ29">
        <v>1</v>
      </c>
      <c r="AK29">
        <v>1</v>
      </c>
      <c r="AL29">
        <v>1</v>
      </c>
      <c r="AM29">
        <v>2</v>
      </c>
      <c r="AN29">
        <v>0</v>
      </c>
      <c r="AO29">
        <v>0</v>
      </c>
      <c r="AP29">
        <v>0</v>
      </c>
      <c r="AQ29">
        <v>1</v>
      </c>
      <c r="AR29">
        <v>0</v>
      </c>
      <c r="AS29" t="s">
        <v>3</v>
      </c>
      <c r="AT29">
        <v>0.9</v>
      </c>
      <c r="AU29" t="s">
        <v>3</v>
      </c>
      <c r="AV29">
        <v>0</v>
      </c>
      <c r="AW29">
        <v>2</v>
      </c>
      <c r="AX29">
        <v>94300619</v>
      </c>
      <c r="AY29">
        <v>1</v>
      </c>
      <c r="AZ29">
        <v>0</v>
      </c>
      <c r="BA29">
        <v>29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41.454000000000001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1</v>
      </c>
      <c r="BQ29">
        <v>41.454000000000001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1</v>
      </c>
      <c r="CV29">
        <v>0</v>
      </c>
      <c r="CW29">
        <v>0</v>
      </c>
      <c r="CX29">
        <f>ROUND(Y29*Source!I35,7)</f>
        <v>7.1999999999999995E-2</v>
      </c>
      <c r="CY29">
        <f>AA29</f>
        <v>81.069999999999993</v>
      </c>
      <c r="CZ29">
        <f>AE29</f>
        <v>46.06</v>
      </c>
      <c r="DA29">
        <f>AI29</f>
        <v>1.76</v>
      </c>
      <c r="DB29">
        <f t="shared" si="11"/>
        <v>41.45</v>
      </c>
      <c r="DC29">
        <f t="shared" si="12"/>
        <v>0</v>
      </c>
      <c r="DD29" t="s">
        <v>3</v>
      </c>
      <c r="DE29" t="s">
        <v>3</v>
      </c>
      <c r="DF29">
        <f>ROUND(ROUND(AE29*AI29,2)*CX29,2)</f>
        <v>5.84</v>
      </c>
      <c r="DG29">
        <f t="shared" si="13"/>
        <v>0</v>
      </c>
      <c r="DH29">
        <f t="shared" si="3"/>
        <v>0</v>
      </c>
      <c r="DI29">
        <f t="shared" si="4"/>
        <v>0</v>
      </c>
      <c r="DJ29">
        <f>DF29</f>
        <v>5.84</v>
      </c>
      <c r="DK29">
        <v>0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ROW(Source!A37)</f>
        <v>37</v>
      </c>
      <c r="B30">
        <v>94298235</v>
      </c>
      <c r="C30">
        <v>94300793</v>
      </c>
      <c r="D30">
        <v>37066717</v>
      </c>
      <c r="E30">
        <v>118</v>
      </c>
      <c r="F30">
        <v>1</v>
      </c>
      <c r="G30">
        <v>1</v>
      </c>
      <c r="H30">
        <v>1</v>
      </c>
      <c r="I30" t="s">
        <v>308</v>
      </c>
      <c r="J30" t="s">
        <v>3</v>
      </c>
      <c r="K30" t="s">
        <v>309</v>
      </c>
      <c r="L30">
        <v>1191</v>
      </c>
      <c r="N30">
        <v>1013</v>
      </c>
      <c r="O30" t="s">
        <v>266</v>
      </c>
      <c r="P30" t="s">
        <v>266</v>
      </c>
      <c r="Q30">
        <v>1</v>
      </c>
      <c r="W30">
        <v>0</v>
      </c>
      <c r="X30">
        <v>-1991603921</v>
      </c>
      <c r="Y30">
        <f t="shared" si="10"/>
        <v>74.010000000000005</v>
      </c>
      <c r="AA30">
        <v>0</v>
      </c>
      <c r="AB30">
        <v>0</v>
      </c>
      <c r="AC30">
        <v>0</v>
      </c>
      <c r="AD30">
        <v>621.96</v>
      </c>
      <c r="AE30">
        <v>0</v>
      </c>
      <c r="AF30">
        <v>0</v>
      </c>
      <c r="AG30">
        <v>0</v>
      </c>
      <c r="AH30">
        <v>621.96</v>
      </c>
      <c r="AI30">
        <v>1</v>
      </c>
      <c r="AJ30">
        <v>1</v>
      </c>
      <c r="AK30">
        <v>1</v>
      </c>
      <c r="AL30">
        <v>1</v>
      </c>
      <c r="AM30">
        <v>-2</v>
      </c>
      <c r="AN30">
        <v>0</v>
      </c>
      <c r="AO30">
        <v>0</v>
      </c>
      <c r="AP30">
        <v>1</v>
      </c>
      <c r="AQ30">
        <v>1</v>
      </c>
      <c r="AR30">
        <v>0</v>
      </c>
      <c r="AS30" t="s">
        <v>3</v>
      </c>
      <c r="AT30">
        <v>74.010000000000005</v>
      </c>
      <c r="AU30" t="s">
        <v>3</v>
      </c>
      <c r="AV30">
        <v>1</v>
      </c>
      <c r="AW30">
        <v>2</v>
      </c>
      <c r="AX30">
        <v>94300803</v>
      </c>
      <c r="AY30">
        <v>1</v>
      </c>
      <c r="AZ30">
        <v>0</v>
      </c>
      <c r="BA30">
        <v>30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46031.259600000005</v>
      </c>
      <c r="BN30">
        <v>74.010000000000005</v>
      </c>
      <c r="BO30">
        <v>0</v>
      </c>
      <c r="BP30">
        <v>1</v>
      </c>
      <c r="BQ30">
        <v>0</v>
      </c>
      <c r="BR30">
        <v>0</v>
      </c>
      <c r="BS30">
        <v>0</v>
      </c>
      <c r="BT30">
        <v>46031.259600000005</v>
      </c>
      <c r="BU30">
        <v>74.010000000000005</v>
      </c>
      <c r="BV30">
        <v>0</v>
      </c>
      <c r="BW30">
        <v>1</v>
      </c>
      <c r="CU30">
        <f>ROUND(AT30*Source!I37*AH30*AL30,2)</f>
        <v>0</v>
      </c>
      <c r="CV30">
        <f>ROUND(Y30*Source!I37,7)</f>
        <v>0</v>
      </c>
      <c r="CW30">
        <v>0</v>
      </c>
      <c r="CX30">
        <f>ROUND(Y30*Source!I37,7)</f>
        <v>0</v>
      </c>
      <c r="CY30">
        <f>AD30</f>
        <v>621.96</v>
      </c>
      <c r="CZ30">
        <f>AH30</f>
        <v>621.96</v>
      </c>
      <c r="DA30">
        <f>AL30</f>
        <v>1</v>
      </c>
      <c r="DB30">
        <f t="shared" si="11"/>
        <v>46031.26</v>
      </c>
      <c r="DC30">
        <f t="shared" si="12"/>
        <v>0</v>
      </c>
      <c r="DD30" t="s">
        <v>3</v>
      </c>
      <c r="DE30" t="s">
        <v>3</v>
      </c>
      <c r="DF30">
        <f>ROUND(ROUND(AE30,2)*CX30,2)</f>
        <v>0</v>
      </c>
      <c r="DG30">
        <f t="shared" si="13"/>
        <v>0</v>
      </c>
      <c r="DH30">
        <f t="shared" si="3"/>
        <v>0</v>
      </c>
      <c r="DI30">
        <f t="shared" si="4"/>
        <v>0</v>
      </c>
      <c r="DJ30">
        <f>DI30</f>
        <v>0</v>
      </c>
      <c r="DK30">
        <v>1</v>
      </c>
      <c r="DL30" t="s">
        <v>3</v>
      </c>
      <c r="DM30">
        <v>0</v>
      </c>
      <c r="DN30" t="s">
        <v>3</v>
      </c>
      <c r="DO30">
        <v>0</v>
      </c>
    </row>
    <row r="31" spans="1:119" x14ac:dyDescent="0.2">
      <c r="A31">
        <f>ROW(Source!A37)</f>
        <v>37</v>
      </c>
      <c r="B31">
        <v>94298235</v>
      </c>
      <c r="C31">
        <v>94300793</v>
      </c>
      <c r="D31">
        <v>37064876</v>
      </c>
      <c r="E31">
        <v>118</v>
      </c>
      <c r="F31">
        <v>1</v>
      </c>
      <c r="G31">
        <v>1</v>
      </c>
      <c r="H31">
        <v>1</v>
      </c>
      <c r="I31" t="s">
        <v>267</v>
      </c>
      <c r="J31" t="s">
        <v>3</v>
      </c>
      <c r="K31" t="s">
        <v>268</v>
      </c>
      <c r="L31">
        <v>1191</v>
      </c>
      <c r="N31">
        <v>1013</v>
      </c>
      <c r="O31" t="s">
        <v>266</v>
      </c>
      <c r="P31" t="s">
        <v>266</v>
      </c>
      <c r="Q31">
        <v>1</v>
      </c>
      <c r="W31">
        <v>0</v>
      </c>
      <c r="X31">
        <v>-1417349443</v>
      </c>
      <c r="Y31">
        <f t="shared" si="10"/>
        <v>0.35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1</v>
      </c>
      <c r="AJ31">
        <v>1</v>
      </c>
      <c r="AK31">
        <v>1</v>
      </c>
      <c r="AL31">
        <v>1</v>
      </c>
      <c r="AM31">
        <v>-2</v>
      </c>
      <c r="AN31">
        <v>0</v>
      </c>
      <c r="AO31">
        <v>0</v>
      </c>
      <c r="AP31">
        <v>1</v>
      </c>
      <c r="AQ31">
        <v>1</v>
      </c>
      <c r="AR31">
        <v>0</v>
      </c>
      <c r="AS31" t="s">
        <v>3</v>
      </c>
      <c r="AT31">
        <v>0.35</v>
      </c>
      <c r="AU31" t="s">
        <v>3</v>
      </c>
      <c r="AV31">
        <v>2</v>
      </c>
      <c r="AW31">
        <v>2</v>
      </c>
      <c r="AX31">
        <v>94300804</v>
      </c>
      <c r="AY31">
        <v>1</v>
      </c>
      <c r="AZ31">
        <v>0</v>
      </c>
      <c r="BA31">
        <v>31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CV31">
        <v>0</v>
      </c>
      <c r="CW31">
        <v>0</v>
      </c>
      <c r="CX31">
        <f>ROUND(Y31*Source!I37,7)</f>
        <v>0</v>
      </c>
      <c r="CY31">
        <f>AD31</f>
        <v>0</v>
      </c>
      <c r="CZ31">
        <f>AH31</f>
        <v>0</v>
      </c>
      <c r="DA31">
        <f>AL31</f>
        <v>1</v>
      </c>
      <c r="DB31">
        <f t="shared" si="11"/>
        <v>0</v>
      </c>
      <c r="DC31">
        <f t="shared" si="12"/>
        <v>0</v>
      </c>
      <c r="DD31" t="s">
        <v>3</v>
      </c>
      <c r="DE31" t="s">
        <v>3</v>
      </c>
      <c r="DF31">
        <f>ROUND(ROUND(AE31,2)*CX31,2)</f>
        <v>0</v>
      </c>
      <c r="DG31">
        <f t="shared" si="13"/>
        <v>0</v>
      </c>
      <c r="DH31">
        <f t="shared" si="3"/>
        <v>0</v>
      </c>
      <c r="DI31">
        <f t="shared" si="4"/>
        <v>0</v>
      </c>
      <c r="DJ31">
        <f>DI31</f>
        <v>0</v>
      </c>
      <c r="DK31">
        <v>0</v>
      </c>
      <c r="DL31" t="s">
        <v>3</v>
      </c>
      <c r="DM31">
        <v>0</v>
      </c>
      <c r="DN31" t="s">
        <v>3</v>
      </c>
      <c r="DO31">
        <v>0</v>
      </c>
    </row>
    <row r="32" spans="1:119" x14ac:dyDescent="0.2">
      <c r="A32">
        <f>ROW(Source!A37)</f>
        <v>37</v>
      </c>
      <c r="B32">
        <v>94298235</v>
      </c>
      <c r="C32">
        <v>94300793</v>
      </c>
      <c r="D32">
        <v>90281903</v>
      </c>
      <c r="E32">
        <v>1</v>
      </c>
      <c r="F32">
        <v>1</v>
      </c>
      <c r="G32">
        <v>1</v>
      </c>
      <c r="H32">
        <v>2</v>
      </c>
      <c r="I32" t="s">
        <v>295</v>
      </c>
      <c r="J32" t="s">
        <v>296</v>
      </c>
      <c r="K32" t="s">
        <v>297</v>
      </c>
      <c r="L32">
        <v>1368</v>
      </c>
      <c r="N32">
        <v>1011</v>
      </c>
      <c r="O32" t="s">
        <v>272</v>
      </c>
      <c r="P32" t="s">
        <v>272</v>
      </c>
      <c r="Q32">
        <v>1</v>
      </c>
      <c r="W32">
        <v>0</v>
      </c>
      <c r="X32">
        <v>-566469117</v>
      </c>
      <c r="Y32">
        <f t="shared" si="10"/>
        <v>0.25</v>
      </c>
      <c r="AA32">
        <v>0</v>
      </c>
      <c r="AB32">
        <v>58.59</v>
      </c>
      <c r="AC32">
        <v>649.24</v>
      </c>
      <c r="AD32">
        <v>0</v>
      </c>
      <c r="AE32">
        <v>0</v>
      </c>
      <c r="AF32">
        <v>37.32</v>
      </c>
      <c r="AG32">
        <v>649.24</v>
      </c>
      <c r="AH32">
        <v>0</v>
      </c>
      <c r="AI32">
        <v>1</v>
      </c>
      <c r="AJ32">
        <v>1.57</v>
      </c>
      <c r="AK32">
        <v>1</v>
      </c>
      <c r="AL32">
        <v>1</v>
      </c>
      <c r="AM32">
        <v>2</v>
      </c>
      <c r="AN32">
        <v>0</v>
      </c>
      <c r="AO32">
        <v>0</v>
      </c>
      <c r="AP32">
        <v>1</v>
      </c>
      <c r="AQ32">
        <v>1</v>
      </c>
      <c r="AR32">
        <v>0</v>
      </c>
      <c r="AS32" t="s">
        <v>3</v>
      </c>
      <c r="AT32">
        <v>0.25</v>
      </c>
      <c r="AU32" t="s">
        <v>3</v>
      </c>
      <c r="AV32">
        <v>1</v>
      </c>
      <c r="AW32">
        <v>2</v>
      </c>
      <c r="AX32">
        <v>94300805</v>
      </c>
      <c r="AY32">
        <v>1</v>
      </c>
      <c r="AZ32">
        <v>0</v>
      </c>
      <c r="BA32">
        <v>32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9.33</v>
      </c>
      <c r="BL32">
        <v>162.31</v>
      </c>
      <c r="BM32">
        <v>0</v>
      </c>
      <c r="BN32">
        <v>0</v>
      </c>
      <c r="BO32">
        <v>0.25</v>
      </c>
      <c r="BP32">
        <v>1</v>
      </c>
      <c r="BQ32">
        <v>0</v>
      </c>
      <c r="BR32">
        <v>9.33</v>
      </c>
      <c r="BS32">
        <v>162.31</v>
      </c>
      <c r="BT32">
        <v>0</v>
      </c>
      <c r="BU32">
        <v>0</v>
      </c>
      <c r="BV32">
        <v>0.25</v>
      </c>
      <c r="BW32">
        <v>1</v>
      </c>
      <c r="CV32">
        <v>0</v>
      </c>
      <c r="CW32">
        <f>ROUND(Y32*Source!I37*DO32,7)</f>
        <v>0</v>
      </c>
      <c r="CX32">
        <f>ROUND(Y32*Source!I37,7)</f>
        <v>0</v>
      </c>
      <c r="CY32">
        <f>AB32</f>
        <v>58.59</v>
      </c>
      <c r="CZ32">
        <f>AF32</f>
        <v>37.32</v>
      </c>
      <c r="DA32">
        <f>AJ32</f>
        <v>1.57</v>
      </c>
      <c r="DB32">
        <f t="shared" si="11"/>
        <v>9.33</v>
      </c>
      <c r="DC32">
        <f t="shared" si="12"/>
        <v>162.31</v>
      </c>
      <c r="DD32" t="s">
        <v>3</v>
      </c>
      <c r="DE32" t="s">
        <v>3</v>
      </c>
      <c r="DF32">
        <f>ROUND(ROUND(AE32,2)*CX32,2)</f>
        <v>0</v>
      </c>
      <c r="DG32">
        <f>ROUND(ROUND(AF32*AJ32,2)*CX32,2)</f>
        <v>0</v>
      </c>
      <c r="DH32">
        <f t="shared" si="3"/>
        <v>0</v>
      </c>
      <c r="DI32">
        <f t="shared" si="4"/>
        <v>0</v>
      </c>
      <c r="DJ32">
        <f>DG32+DH32</f>
        <v>0</v>
      </c>
      <c r="DK32">
        <v>0</v>
      </c>
      <c r="DL32" t="s">
        <v>298</v>
      </c>
      <c r="DM32">
        <v>3</v>
      </c>
      <c r="DN32" t="s">
        <v>266</v>
      </c>
      <c r="DO32">
        <v>1</v>
      </c>
    </row>
    <row r="33" spans="1:119" x14ac:dyDescent="0.2">
      <c r="A33">
        <f>ROW(Source!A37)</f>
        <v>37</v>
      </c>
      <c r="B33">
        <v>94298235</v>
      </c>
      <c r="C33">
        <v>94300793</v>
      </c>
      <c r="D33">
        <v>90282618</v>
      </c>
      <c r="E33">
        <v>1</v>
      </c>
      <c r="F33">
        <v>1</v>
      </c>
      <c r="G33">
        <v>1</v>
      </c>
      <c r="H33">
        <v>2</v>
      </c>
      <c r="I33" t="s">
        <v>286</v>
      </c>
      <c r="J33" t="s">
        <v>287</v>
      </c>
      <c r="K33" t="s">
        <v>288</v>
      </c>
      <c r="L33">
        <v>1368</v>
      </c>
      <c r="N33">
        <v>1011</v>
      </c>
      <c r="O33" t="s">
        <v>272</v>
      </c>
      <c r="P33" t="s">
        <v>272</v>
      </c>
      <c r="Q33">
        <v>1</v>
      </c>
      <c r="W33">
        <v>0</v>
      </c>
      <c r="X33">
        <v>-312038840</v>
      </c>
      <c r="Y33">
        <f t="shared" si="10"/>
        <v>0.1</v>
      </c>
      <c r="AA33">
        <v>0</v>
      </c>
      <c r="AB33">
        <v>544.91999999999996</v>
      </c>
      <c r="AC33">
        <v>731.08</v>
      </c>
      <c r="AD33">
        <v>0</v>
      </c>
      <c r="AE33">
        <v>0</v>
      </c>
      <c r="AF33">
        <v>544.91999999999996</v>
      </c>
      <c r="AG33">
        <v>731.08</v>
      </c>
      <c r="AH33">
        <v>0</v>
      </c>
      <c r="AI33">
        <v>1</v>
      </c>
      <c r="AJ33">
        <v>1</v>
      </c>
      <c r="AK33">
        <v>1</v>
      </c>
      <c r="AL33">
        <v>1</v>
      </c>
      <c r="AM33">
        <v>-2</v>
      </c>
      <c r="AN33">
        <v>0</v>
      </c>
      <c r="AO33">
        <v>0</v>
      </c>
      <c r="AP33">
        <v>1</v>
      </c>
      <c r="AQ33">
        <v>1</v>
      </c>
      <c r="AR33">
        <v>0</v>
      </c>
      <c r="AS33" t="s">
        <v>3</v>
      </c>
      <c r="AT33">
        <v>0.1</v>
      </c>
      <c r="AU33" t="s">
        <v>3</v>
      </c>
      <c r="AV33">
        <v>1</v>
      </c>
      <c r="AW33">
        <v>2</v>
      </c>
      <c r="AX33">
        <v>94300806</v>
      </c>
      <c r="AY33">
        <v>1</v>
      </c>
      <c r="AZ33">
        <v>0</v>
      </c>
      <c r="BA33">
        <v>33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54.491999999999997</v>
      </c>
      <c r="BL33">
        <v>73.108000000000004</v>
      </c>
      <c r="BM33">
        <v>0</v>
      </c>
      <c r="BN33">
        <v>0</v>
      </c>
      <c r="BO33">
        <v>0.1</v>
      </c>
      <c r="BP33">
        <v>1</v>
      </c>
      <c r="BQ33">
        <v>0</v>
      </c>
      <c r="BR33">
        <v>54.491999999999997</v>
      </c>
      <c r="BS33">
        <v>73.108000000000004</v>
      </c>
      <c r="BT33">
        <v>0</v>
      </c>
      <c r="BU33">
        <v>0</v>
      </c>
      <c r="BV33">
        <v>0.1</v>
      </c>
      <c r="BW33">
        <v>1</v>
      </c>
      <c r="CV33">
        <v>0</v>
      </c>
      <c r="CW33">
        <f>ROUND(Y33*Source!I37*DO33,7)</f>
        <v>0</v>
      </c>
      <c r="CX33">
        <f>ROUND(Y33*Source!I37,7)</f>
        <v>0</v>
      </c>
      <c r="CY33">
        <f>AB33</f>
        <v>544.91999999999996</v>
      </c>
      <c r="CZ33">
        <f>AF33</f>
        <v>544.91999999999996</v>
      </c>
      <c r="DA33">
        <f>AJ33</f>
        <v>1</v>
      </c>
      <c r="DB33">
        <f t="shared" si="11"/>
        <v>54.49</v>
      </c>
      <c r="DC33">
        <f t="shared" si="12"/>
        <v>73.11</v>
      </c>
      <c r="DD33" t="s">
        <v>3</v>
      </c>
      <c r="DE33" t="s">
        <v>3</v>
      </c>
      <c r="DF33">
        <f>ROUND(ROUND(AE33,2)*CX33,2)</f>
        <v>0</v>
      </c>
      <c r="DG33">
        <f t="shared" ref="DG33:DG42" si="14">ROUND(ROUND(AF33,2)*CX33,2)</f>
        <v>0</v>
      </c>
      <c r="DH33">
        <f t="shared" ref="DH33:DH60" si="15">ROUND(ROUND(AG33,2)*CX33,2)</f>
        <v>0</v>
      </c>
      <c r="DI33">
        <f t="shared" ref="DI33:DI60" si="16">ROUND(ROUND(AH33,2)*CX33,2)</f>
        <v>0</v>
      </c>
      <c r="DJ33">
        <f>DG33+DH33</f>
        <v>0</v>
      </c>
      <c r="DK33">
        <v>1</v>
      </c>
      <c r="DL33" t="s">
        <v>276</v>
      </c>
      <c r="DM33">
        <v>4</v>
      </c>
      <c r="DN33" t="s">
        <v>266</v>
      </c>
      <c r="DO33">
        <v>1</v>
      </c>
    </row>
    <row r="34" spans="1:119" x14ac:dyDescent="0.2">
      <c r="A34">
        <f>ROW(Source!A37)</f>
        <v>37</v>
      </c>
      <c r="B34">
        <v>94298235</v>
      </c>
      <c r="C34">
        <v>94300793</v>
      </c>
      <c r="D34">
        <v>90233381</v>
      </c>
      <c r="E34">
        <v>1</v>
      </c>
      <c r="F34">
        <v>1</v>
      </c>
      <c r="G34">
        <v>1</v>
      </c>
      <c r="H34">
        <v>3</v>
      </c>
      <c r="I34" t="s">
        <v>299</v>
      </c>
      <c r="J34" t="s">
        <v>300</v>
      </c>
      <c r="K34" t="s">
        <v>301</v>
      </c>
      <c r="L34">
        <v>1348</v>
      </c>
      <c r="N34">
        <v>1009</v>
      </c>
      <c r="O34" t="s">
        <v>30</v>
      </c>
      <c r="P34" t="s">
        <v>30</v>
      </c>
      <c r="Q34">
        <v>1000</v>
      </c>
      <c r="W34">
        <v>0</v>
      </c>
      <c r="X34">
        <v>1479353699</v>
      </c>
      <c r="Y34">
        <f t="shared" si="10"/>
        <v>1E-3</v>
      </c>
      <c r="AA34">
        <v>92088.02</v>
      </c>
      <c r="AB34">
        <v>0</v>
      </c>
      <c r="AC34">
        <v>0</v>
      </c>
      <c r="AD34">
        <v>0</v>
      </c>
      <c r="AE34">
        <v>70296.2</v>
      </c>
      <c r="AF34">
        <v>0</v>
      </c>
      <c r="AG34">
        <v>0</v>
      </c>
      <c r="AH34">
        <v>0</v>
      </c>
      <c r="AI34">
        <v>1.31</v>
      </c>
      <c r="AJ34">
        <v>1</v>
      </c>
      <c r="AK34">
        <v>1</v>
      </c>
      <c r="AL34">
        <v>1</v>
      </c>
      <c r="AM34">
        <v>2</v>
      </c>
      <c r="AN34">
        <v>0</v>
      </c>
      <c r="AO34">
        <v>0</v>
      </c>
      <c r="AP34">
        <v>1</v>
      </c>
      <c r="AQ34">
        <v>1</v>
      </c>
      <c r="AR34">
        <v>0</v>
      </c>
      <c r="AS34" t="s">
        <v>3</v>
      </c>
      <c r="AT34">
        <v>1E-3</v>
      </c>
      <c r="AU34" t="s">
        <v>3</v>
      </c>
      <c r="AV34">
        <v>0</v>
      </c>
      <c r="AW34">
        <v>2</v>
      </c>
      <c r="AX34">
        <v>94300807</v>
      </c>
      <c r="AY34">
        <v>1</v>
      </c>
      <c r="AZ34">
        <v>0</v>
      </c>
      <c r="BA34">
        <v>34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70.296199999999999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1</v>
      </c>
      <c r="BQ34">
        <v>70.296199999999999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1</v>
      </c>
      <c r="CV34">
        <v>0</v>
      </c>
      <c r="CW34">
        <v>0</v>
      </c>
      <c r="CX34">
        <f>ROUND(Y34*Source!I37,7)</f>
        <v>0</v>
      </c>
      <c r="CY34">
        <f t="shared" ref="CY34:CY39" si="17">AA34</f>
        <v>92088.02</v>
      </c>
      <c r="CZ34">
        <f t="shared" ref="CZ34:CZ39" si="18">AE34</f>
        <v>70296.2</v>
      </c>
      <c r="DA34">
        <f t="shared" ref="DA34:DA39" si="19">AI34</f>
        <v>1.31</v>
      </c>
      <c r="DB34">
        <f t="shared" si="11"/>
        <v>70.3</v>
      </c>
      <c r="DC34">
        <f t="shared" si="12"/>
        <v>0</v>
      </c>
      <c r="DD34" t="s">
        <v>3</v>
      </c>
      <c r="DE34" t="s">
        <v>3</v>
      </c>
      <c r="DF34">
        <f t="shared" ref="DF34:DF39" si="20">ROUND(ROUND(AE34*AI34,2)*CX34,2)</f>
        <v>0</v>
      </c>
      <c r="DG34">
        <f t="shared" si="14"/>
        <v>0</v>
      </c>
      <c r="DH34">
        <f t="shared" si="15"/>
        <v>0</v>
      </c>
      <c r="DI34">
        <f t="shared" si="16"/>
        <v>0</v>
      </c>
      <c r="DJ34">
        <f t="shared" ref="DJ34:DJ39" si="21">DF34</f>
        <v>0</v>
      </c>
      <c r="DK34">
        <v>0</v>
      </c>
      <c r="DL34" t="s">
        <v>3</v>
      </c>
      <c r="DM34">
        <v>0</v>
      </c>
      <c r="DN34" t="s">
        <v>3</v>
      </c>
      <c r="DO34">
        <v>0</v>
      </c>
    </row>
    <row r="35" spans="1:119" x14ac:dyDescent="0.2">
      <c r="A35">
        <f>ROW(Source!A37)</f>
        <v>37</v>
      </c>
      <c r="B35">
        <v>94298235</v>
      </c>
      <c r="C35">
        <v>94300793</v>
      </c>
      <c r="D35">
        <v>90238232</v>
      </c>
      <c r="E35">
        <v>1</v>
      </c>
      <c r="F35">
        <v>1</v>
      </c>
      <c r="G35">
        <v>1</v>
      </c>
      <c r="H35">
        <v>3</v>
      </c>
      <c r="I35" t="s">
        <v>85</v>
      </c>
      <c r="J35" t="s">
        <v>88</v>
      </c>
      <c r="K35" t="s">
        <v>86</v>
      </c>
      <c r="L35">
        <v>1301</v>
      </c>
      <c r="N35">
        <v>1003</v>
      </c>
      <c r="O35" t="s">
        <v>87</v>
      </c>
      <c r="P35" t="s">
        <v>87</v>
      </c>
      <c r="Q35">
        <v>1</v>
      </c>
      <c r="W35">
        <v>0</v>
      </c>
      <c r="X35">
        <v>1951047089</v>
      </c>
      <c r="Y35">
        <f t="shared" si="10"/>
        <v>200</v>
      </c>
      <c r="AA35">
        <v>37.54</v>
      </c>
      <c r="AB35">
        <v>0</v>
      </c>
      <c r="AC35">
        <v>0</v>
      </c>
      <c r="AD35">
        <v>0</v>
      </c>
      <c r="AE35">
        <v>44.16</v>
      </c>
      <c r="AF35">
        <v>0</v>
      </c>
      <c r="AG35">
        <v>0</v>
      </c>
      <c r="AH35">
        <v>0</v>
      </c>
      <c r="AI35">
        <v>0.85</v>
      </c>
      <c r="AJ35">
        <v>1</v>
      </c>
      <c r="AK35">
        <v>1</v>
      </c>
      <c r="AL35">
        <v>1</v>
      </c>
      <c r="AM35">
        <v>0</v>
      </c>
      <c r="AN35">
        <v>0</v>
      </c>
      <c r="AO35">
        <v>0</v>
      </c>
      <c r="AP35">
        <v>1</v>
      </c>
      <c r="AQ35">
        <v>0</v>
      </c>
      <c r="AR35">
        <v>0</v>
      </c>
      <c r="AS35" t="s">
        <v>3</v>
      </c>
      <c r="AT35">
        <v>200</v>
      </c>
      <c r="AU35" t="s">
        <v>3</v>
      </c>
      <c r="AV35">
        <v>0</v>
      </c>
      <c r="AW35">
        <v>1</v>
      </c>
      <c r="AX35">
        <v>-1</v>
      </c>
      <c r="AY35">
        <v>0</v>
      </c>
      <c r="AZ35">
        <v>0</v>
      </c>
      <c r="BA35" t="s">
        <v>3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CV35">
        <v>0</v>
      </c>
      <c r="CW35">
        <v>0</v>
      </c>
      <c r="CX35">
        <f>ROUND(Y35*Source!I37,7)</f>
        <v>0</v>
      </c>
      <c r="CY35">
        <f t="shared" si="17"/>
        <v>37.54</v>
      </c>
      <c r="CZ35">
        <f t="shared" si="18"/>
        <v>44.16</v>
      </c>
      <c r="DA35">
        <f t="shared" si="19"/>
        <v>0.85</v>
      </c>
      <c r="DB35">
        <f t="shared" si="11"/>
        <v>8832</v>
      </c>
      <c r="DC35">
        <f t="shared" si="12"/>
        <v>0</v>
      </c>
      <c r="DD35" t="s">
        <v>3</v>
      </c>
      <c r="DE35" t="s">
        <v>3</v>
      </c>
      <c r="DF35">
        <f t="shared" si="20"/>
        <v>0</v>
      </c>
      <c r="DG35">
        <f t="shared" si="14"/>
        <v>0</v>
      </c>
      <c r="DH35">
        <f t="shared" si="15"/>
        <v>0</v>
      </c>
      <c r="DI35">
        <f t="shared" si="16"/>
        <v>0</v>
      </c>
      <c r="DJ35">
        <f t="shared" si="21"/>
        <v>0</v>
      </c>
      <c r="DK35">
        <v>0</v>
      </c>
      <c r="DL35" t="s">
        <v>3</v>
      </c>
      <c r="DM35">
        <v>0</v>
      </c>
      <c r="DN35" t="s">
        <v>3</v>
      </c>
      <c r="DO35">
        <v>0</v>
      </c>
    </row>
    <row r="36" spans="1:119" x14ac:dyDescent="0.2">
      <c r="A36">
        <f>ROW(Source!A37)</f>
        <v>37</v>
      </c>
      <c r="B36">
        <v>94298235</v>
      </c>
      <c r="C36">
        <v>94300793</v>
      </c>
      <c r="D36">
        <v>90239268</v>
      </c>
      <c r="E36">
        <v>1</v>
      </c>
      <c r="F36">
        <v>1</v>
      </c>
      <c r="G36">
        <v>1</v>
      </c>
      <c r="H36">
        <v>3</v>
      </c>
      <c r="I36" t="s">
        <v>302</v>
      </c>
      <c r="J36" t="s">
        <v>303</v>
      </c>
      <c r="K36" t="s">
        <v>304</v>
      </c>
      <c r="L36">
        <v>1348</v>
      </c>
      <c r="N36">
        <v>1009</v>
      </c>
      <c r="O36" t="s">
        <v>30</v>
      </c>
      <c r="P36" t="s">
        <v>30</v>
      </c>
      <c r="Q36">
        <v>1000</v>
      </c>
      <c r="W36">
        <v>0</v>
      </c>
      <c r="X36">
        <v>-1732801658</v>
      </c>
      <c r="Y36">
        <f>(AT36*ROUND(0,7))</f>
        <v>0</v>
      </c>
      <c r="AA36">
        <v>71549.67</v>
      </c>
      <c r="AB36">
        <v>0</v>
      </c>
      <c r="AC36">
        <v>0</v>
      </c>
      <c r="AD36">
        <v>0</v>
      </c>
      <c r="AE36">
        <v>55898.18</v>
      </c>
      <c r="AF36">
        <v>0</v>
      </c>
      <c r="AG36">
        <v>0</v>
      </c>
      <c r="AH36">
        <v>0</v>
      </c>
      <c r="AI36">
        <v>1.28</v>
      </c>
      <c r="AJ36">
        <v>1</v>
      </c>
      <c r="AK36">
        <v>1</v>
      </c>
      <c r="AL36">
        <v>1</v>
      </c>
      <c r="AM36">
        <v>2</v>
      </c>
      <c r="AN36">
        <v>0</v>
      </c>
      <c r="AO36">
        <v>0</v>
      </c>
      <c r="AP36">
        <v>1</v>
      </c>
      <c r="AQ36">
        <v>1</v>
      </c>
      <c r="AR36">
        <v>0</v>
      </c>
      <c r="AS36" t="s">
        <v>3</v>
      </c>
      <c r="AT36">
        <v>0.11600000000000001</v>
      </c>
      <c r="AU36" t="s">
        <v>310</v>
      </c>
      <c r="AV36">
        <v>0</v>
      </c>
      <c r="AW36">
        <v>2</v>
      </c>
      <c r="AX36">
        <v>94300808</v>
      </c>
      <c r="AY36">
        <v>1</v>
      </c>
      <c r="AZ36">
        <v>2048</v>
      </c>
      <c r="BA36">
        <v>35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6484.1888800000006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1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CV36">
        <v>0</v>
      </c>
      <c r="CW36">
        <v>0</v>
      </c>
      <c r="CX36">
        <f>ROUND(Y36*Source!I37,7)</f>
        <v>0</v>
      </c>
      <c r="CY36">
        <f t="shared" si="17"/>
        <v>71549.67</v>
      </c>
      <c r="CZ36">
        <f t="shared" si="18"/>
        <v>55898.18</v>
      </c>
      <c r="DA36">
        <f t="shared" si="19"/>
        <v>1.28</v>
      </c>
      <c r="DB36">
        <f>ROUND((ROUND(AT36*CZ36,2)*ROUND(0,7)),6)</f>
        <v>0</v>
      </c>
      <c r="DC36">
        <f>ROUND((ROUND(AT36*AG36,2)*ROUND(0,7)),6)</f>
        <v>0</v>
      </c>
      <c r="DD36" t="s">
        <v>3</v>
      </c>
      <c r="DE36" t="s">
        <v>3</v>
      </c>
      <c r="DF36">
        <f t="shared" si="20"/>
        <v>0</v>
      </c>
      <c r="DG36">
        <f t="shared" si="14"/>
        <v>0</v>
      </c>
      <c r="DH36">
        <f t="shared" si="15"/>
        <v>0</v>
      </c>
      <c r="DI36">
        <f t="shared" si="16"/>
        <v>0</v>
      </c>
      <c r="DJ36">
        <f t="shared" si="21"/>
        <v>0</v>
      </c>
      <c r="DK36">
        <v>0</v>
      </c>
      <c r="DL36" t="s">
        <v>3</v>
      </c>
      <c r="DM36">
        <v>0</v>
      </c>
      <c r="DN36" t="s">
        <v>3</v>
      </c>
      <c r="DO36">
        <v>0</v>
      </c>
    </row>
    <row r="37" spans="1:119" x14ac:dyDescent="0.2">
      <c r="A37">
        <f>ROW(Source!A37)</f>
        <v>37</v>
      </c>
      <c r="B37">
        <v>94298235</v>
      </c>
      <c r="C37">
        <v>94300793</v>
      </c>
      <c r="D37">
        <v>90239854</v>
      </c>
      <c r="E37">
        <v>1</v>
      </c>
      <c r="F37">
        <v>1</v>
      </c>
      <c r="G37">
        <v>1</v>
      </c>
      <c r="H37">
        <v>3</v>
      </c>
      <c r="I37" t="s">
        <v>80</v>
      </c>
      <c r="J37" t="s">
        <v>83</v>
      </c>
      <c r="K37" t="s">
        <v>81</v>
      </c>
      <c r="L37">
        <v>1407</v>
      </c>
      <c r="N37">
        <v>1013</v>
      </c>
      <c r="O37" t="s">
        <v>82</v>
      </c>
      <c r="P37" t="s">
        <v>82</v>
      </c>
      <c r="Q37">
        <v>1</v>
      </c>
      <c r="W37">
        <v>0</v>
      </c>
      <c r="X37">
        <v>-541549127</v>
      </c>
      <c r="Y37">
        <f>AT37</f>
        <v>0.67307689999999998</v>
      </c>
      <c r="AA37">
        <v>21726.240000000002</v>
      </c>
      <c r="AB37">
        <v>0</v>
      </c>
      <c r="AC37">
        <v>0</v>
      </c>
      <c r="AD37">
        <v>0</v>
      </c>
      <c r="AE37">
        <v>14484.16</v>
      </c>
      <c r="AF37">
        <v>0</v>
      </c>
      <c r="AG37">
        <v>0</v>
      </c>
      <c r="AH37">
        <v>0</v>
      </c>
      <c r="AI37">
        <v>1.5</v>
      </c>
      <c r="AJ37">
        <v>1</v>
      </c>
      <c r="AK37">
        <v>1</v>
      </c>
      <c r="AL37">
        <v>1</v>
      </c>
      <c r="AM37">
        <v>0</v>
      </c>
      <c r="AN37">
        <v>0</v>
      </c>
      <c r="AO37">
        <v>0</v>
      </c>
      <c r="AP37">
        <v>1</v>
      </c>
      <c r="AQ37">
        <v>0</v>
      </c>
      <c r="AR37">
        <v>0</v>
      </c>
      <c r="AS37" t="s">
        <v>3</v>
      </c>
      <c r="AT37">
        <v>0.67307689999999998</v>
      </c>
      <c r="AU37" t="s">
        <v>3</v>
      </c>
      <c r="AV37">
        <v>0</v>
      </c>
      <c r="AW37">
        <v>1</v>
      </c>
      <c r="AX37">
        <v>-1</v>
      </c>
      <c r="AY37">
        <v>0</v>
      </c>
      <c r="AZ37">
        <v>0</v>
      </c>
      <c r="BA37" t="s">
        <v>3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V37">
        <v>0</v>
      </c>
      <c r="CW37">
        <v>0</v>
      </c>
      <c r="CX37">
        <f>ROUND(Y37*Source!I37,7)</f>
        <v>0</v>
      </c>
      <c r="CY37">
        <f t="shared" si="17"/>
        <v>21726.240000000002</v>
      </c>
      <c r="CZ37">
        <f t="shared" si="18"/>
        <v>14484.16</v>
      </c>
      <c r="DA37">
        <f t="shared" si="19"/>
        <v>1.5</v>
      </c>
      <c r="DB37">
        <f>ROUND(ROUND(AT37*CZ37,2),6)</f>
        <v>9748.9500000000007</v>
      </c>
      <c r="DC37">
        <f>ROUND(ROUND(AT37*AG37,2),6)</f>
        <v>0</v>
      </c>
      <c r="DD37" t="s">
        <v>3</v>
      </c>
      <c r="DE37" t="s">
        <v>3</v>
      </c>
      <c r="DF37">
        <f t="shared" si="20"/>
        <v>0</v>
      </c>
      <c r="DG37">
        <f t="shared" si="14"/>
        <v>0</v>
      </c>
      <c r="DH37">
        <f t="shared" si="15"/>
        <v>0</v>
      </c>
      <c r="DI37">
        <f t="shared" si="16"/>
        <v>0</v>
      </c>
      <c r="DJ37">
        <f t="shared" si="21"/>
        <v>0</v>
      </c>
      <c r="DK37">
        <v>0</v>
      </c>
      <c r="DL37" t="s">
        <v>3</v>
      </c>
      <c r="DM37">
        <v>0</v>
      </c>
      <c r="DN37" t="s">
        <v>3</v>
      </c>
      <c r="DO37">
        <v>0</v>
      </c>
    </row>
    <row r="38" spans="1:119" x14ac:dyDescent="0.2">
      <c r="A38">
        <f>ROW(Source!A37)</f>
        <v>37</v>
      </c>
      <c r="B38">
        <v>94298235</v>
      </c>
      <c r="C38">
        <v>94300793</v>
      </c>
      <c r="D38">
        <v>90240539</v>
      </c>
      <c r="E38">
        <v>1</v>
      </c>
      <c r="F38">
        <v>1</v>
      </c>
      <c r="G38">
        <v>1</v>
      </c>
      <c r="H38">
        <v>3</v>
      </c>
      <c r="I38" t="s">
        <v>311</v>
      </c>
      <c r="J38" t="s">
        <v>312</v>
      </c>
      <c r="K38" t="s">
        <v>313</v>
      </c>
      <c r="L38">
        <v>1348</v>
      </c>
      <c r="N38">
        <v>1009</v>
      </c>
      <c r="O38" t="s">
        <v>30</v>
      </c>
      <c r="P38" t="s">
        <v>30</v>
      </c>
      <c r="Q38">
        <v>1000</v>
      </c>
      <c r="W38">
        <v>0</v>
      </c>
      <c r="X38">
        <v>230195026</v>
      </c>
      <c r="Y38">
        <f>(AT38*ROUND(0,7))</f>
        <v>0</v>
      </c>
      <c r="AA38">
        <v>125941.34</v>
      </c>
      <c r="AB38">
        <v>0</v>
      </c>
      <c r="AC38">
        <v>0</v>
      </c>
      <c r="AD38">
        <v>0</v>
      </c>
      <c r="AE38">
        <v>149930.17000000001</v>
      </c>
      <c r="AF38">
        <v>0</v>
      </c>
      <c r="AG38">
        <v>0</v>
      </c>
      <c r="AH38">
        <v>0</v>
      </c>
      <c r="AI38">
        <v>0.84</v>
      </c>
      <c r="AJ38">
        <v>1</v>
      </c>
      <c r="AK38">
        <v>1</v>
      </c>
      <c r="AL38">
        <v>1</v>
      </c>
      <c r="AM38">
        <v>2</v>
      </c>
      <c r="AN38">
        <v>0</v>
      </c>
      <c r="AO38">
        <v>0</v>
      </c>
      <c r="AP38">
        <v>1</v>
      </c>
      <c r="AQ38">
        <v>1</v>
      </c>
      <c r="AR38">
        <v>0</v>
      </c>
      <c r="AS38" t="s">
        <v>3</v>
      </c>
      <c r="AT38">
        <v>6.0000000000000001E-3</v>
      </c>
      <c r="AU38" t="s">
        <v>310</v>
      </c>
      <c r="AV38">
        <v>0</v>
      </c>
      <c r="AW38">
        <v>2</v>
      </c>
      <c r="AX38">
        <v>94300809</v>
      </c>
      <c r="AY38">
        <v>1</v>
      </c>
      <c r="AZ38">
        <v>2048</v>
      </c>
      <c r="BA38">
        <v>36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899.58102000000008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1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CV38">
        <v>0</v>
      </c>
      <c r="CW38">
        <v>0</v>
      </c>
      <c r="CX38">
        <f>ROUND(Y38*Source!I37,7)</f>
        <v>0</v>
      </c>
      <c r="CY38">
        <f t="shared" si="17"/>
        <v>125941.34</v>
      </c>
      <c r="CZ38">
        <f t="shared" si="18"/>
        <v>149930.17000000001</v>
      </c>
      <c r="DA38">
        <f t="shared" si="19"/>
        <v>0.84</v>
      </c>
      <c r="DB38">
        <f>ROUND((ROUND(AT38*CZ38,2)*ROUND(0,7)),6)</f>
        <v>0</v>
      </c>
      <c r="DC38">
        <f>ROUND((ROUND(AT38*AG38,2)*ROUND(0,7)),6)</f>
        <v>0</v>
      </c>
      <c r="DD38" t="s">
        <v>3</v>
      </c>
      <c r="DE38" t="s">
        <v>3</v>
      </c>
      <c r="DF38">
        <f t="shared" si="20"/>
        <v>0</v>
      </c>
      <c r="DG38">
        <f t="shared" si="14"/>
        <v>0</v>
      </c>
      <c r="DH38">
        <f t="shared" si="15"/>
        <v>0</v>
      </c>
      <c r="DI38">
        <f t="shared" si="16"/>
        <v>0</v>
      </c>
      <c r="DJ38">
        <f t="shared" si="21"/>
        <v>0</v>
      </c>
      <c r="DK38">
        <v>0</v>
      </c>
      <c r="DL38" t="s">
        <v>3</v>
      </c>
      <c r="DM38">
        <v>0</v>
      </c>
      <c r="DN38" t="s">
        <v>3</v>
      </c>
      <c r="DO38">
        <v>0</v>
      </c>
    </row>
    <row r="39" spans="1:119" x14ac:dyDescent="0.2">
      <c r="A39">
        <f>ROW(Source!A37)</f>
        <v>37</v>
      </c>
      <c r="B39">
        <v>94298235</v>
      </c>
      <c r="C39">
        <v>94300793</v>
      </c>
      <c r="D39">
        <v>90243558</v>
      </c>
      <c r="E39">
        <v>1</v>
      </c>
      <c r="F39">
        <v>1</v>
      </c>
      <c r="G39">
        <v>1</v>
      </c>
      <c r="H39">
        <v>3</v>
      </c>
      <c r="I39" t="s">
        <v>90</v>
      </c>
      <c r="J39" t="s">
        <v>92</v>
      </c>
      <c r="K39" t="s">
        <v>91</v>
      </c>
      <c r="L39">
        <v>1301</v>
      </c>
      <c r="N39">
        <v>1003</v>
      </c>
      <c r="O39" t="s">
        <v>87</v>
      </c>
      <c r="P39" t="s">
        <v>87</v>
      </c>
      <c r="Q39">
        <v>1</v>
      </c>
      <c r="W39">
        <v>0</v>
      </c>
      <c r="X39">
        <v>1244494453</v>
      </c>
      <c r="Y39">
        <f>AT39</f>
        <v>100</v>
      </c>
      <c r="AA39">
        <v>5087.3900000000003</v>
      </c>
      <c r="AB39">
        <v>0</v>
      </c>
      <c r="AC39">
        <v>0</v>
      </c>
      <c r="AD39">
        <v>0</v>
      </c>
      <c r="AE39">
        <v>4624.8999999999996</v>
      </c>
      <c r="AF39">
        <v>0</v>
      </c>
      <c r="AG39">
        <v>0</v>
      </c>
      <c r="AH39">
        <v>0</v>
      </c>
      <c r="AI39">
        <v>1.1000000000000001</v>
      </c>
      <c r="AJ39">
        <v>1</v>
      </c>
      <c r="AK39">
        <v>1</v>
      </c>
      <c r="AL39">
        <v>1</v>
      </c>
      <c r="AM39">
        <v>0</v>
      </c>
      <c r="AN39">
        <v>0</v>
      </c>
      <c r="AO39">
        <v>0</v>
      </c>
      <c r="AP39">
        <v>1</v>
      </c>
      <c r="AQ39">
        <v>0</v>
      </c>
      <c r="AR39">
        <v>0</v>
      </c>
      <c r="AS39" t="s">
        <v>3</v>
      </c>
      <c r="AT39">
        <v>100</v>
      </c>
      <c r="AU39" t="s">
        <v>3</v>
      </c>
      <c r="AV39">
        <v>0</v>
      </c>
      <c r="AW39">
        <v>1</v>
      </c>
      <c r="AX39">
        <v>-1</v>
      </c>
      <c r="AY39">
        <v>0</v>
      </c>
      <c r="AZ39">
        <v>0</v>
      </c>
      <c r="BA39" t="s">
        <v>3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CV39">
        <v>0</v>
      </c>
      <c r="CW39">
        <v>0</v>
      </c>
      <c r="CX39">
        <f>ROUND(Y39*Source!I37,7)</f>
        <v>0</v>
      </c>
      <c r="CY39">
        <f t="shared" si="17"/>
        <v>5087.3900000000003</v>
      </c>
      <c r="CZ39">
        <f t="shared" si="18"/>
        <v>4624.8999999999996</v>
      </c>
      <c r="DA39">
        <f t="shared" si="19"/>
        <v>1.1000000000000001</v>
      </c>
      <c r="DB39">
        <f>ROUND(ROUND(AT39*CZ39,2),6)</f>
        <v>462490</v>
      </c>
      <c r="DC39">
        <f>ROUND(ROUND(AT39*AG39,2),6)</f>
        <v>0</v>
      </c>
      <c r="DD39" t="s">
        <v>3</v>
      </c>
      <c r="DE39" t="s">
        <v>3</v>
      </c>
      <c r="DF39">
        <f t="shared" si="20"/>
        <v>0</v>
      </c>
      <c r="DG39">
        <f t="shared" si="14"/>
        <v>0</v>
      </c>
      <c r="DH39">
        <f t="shared" si="15"/>
        <v>0</v>
      </c>
      <c r="DI39">
        <f t="shared" si="16"/>
        <v>0</v>
      </c>
      <c r="DJ39">
        <f t="shared" si="21"/>
        <v>0</v>
      </c>
      <c r="DK39">
        <v>0</v>
      </c>
      <c r="DL39" t="s">
        <v>3</v>
      </c>
      <c r="DM39">
        <v>0</v>
      </c>
      <c r="DN39" t="s">
        <v>3</v>
      </c>
      <c r="DO39">
        <v>0</v>
      </c>
    </row>
    <row r="40" spans="1:119" x14ac:dyDescent="0.2">
      <c r="A40">
        <f>ROW(Source!A41)</f>
        <v>41</v>
      </c>
      <c r="B40">
        <v>94298235</v>
      </c>
      <c r="C40">
        <v>94301579</v>
      </c>
      <c r="D40">
        <v>90155064</v>
      </c>
      <c r="E40">
        <v>118</v>
      </c>
      <c r="F40">
        <v>1</v>
      </c>
      <c r="G40">
        <v>1</v>
      </c>
      <c r="H40">
        <v>1</v>
      </c>
      <c r="I40" t="s">
        <v>264</v>
      </c>
      <c r="J40" t="s">
        <v>3</v>
      </c>
      <c r="K40" t="s">
        <v>265</v>
      </c>
      <c r="L40">
        <v>1191</v>
      </c>
      <c r="N40">
        <v>1013</v>
      </c>
      <c r="O40" t="s">
        <v>266</v>
      </c>
      <c r="P40" t="s">
        <v>266</v>
      </c>
      <c r="Q40">
        <v>1</v>
      </c>
      <c r="W40">
        <v>0</v>
      </c>
      <c r="X40">
        <v>1958912953</v>
      </c>
      <c r="Y40">
        <f>(AT40*ROUND(1.15,7))</f>
        <v>111.55</v>
      </c>
      <c r="AA40">
        <v>0</v>
      </c>
      <c r="AB40">
        <v>0</v>
      </c>
      <c r="AC40">
        <v>0</v>
      </c>
      <c r="AD40">
        <v>665.61</v>
      </c>
      <c r="AE40">
        <v>0</v>
      </c>
      <c r="AF40">
        <v>0</v>
      </c>
      <c r="AG40">
        <v>0</v>
      </c>
      <c r="AH40">
        <v>665.61</v>
      </c>
      <c r="AI40">
        <v>1</v>
      </c>
      <c r="AJ40">
        <v>1</v>
      </c>
      <c r="AK40">
        <v>1</v>
      </c>
      <c r="AL40">
        <v>1</v>
      </c>
      <c r="AM40">
        <v>-2</v>
      </c>
      <c r="AN40">
        <v>0</v>
      </c>
      <c r="AO40">
        <v>0</v>
      </c>
      <c r="AP40">
        <v>1</v>
      </c>
      <c r="AQ40">
        <v>1</v>
      </c>
      <c r="AR40">
        <v>0</v>
      </c>
      <c r="AS40" t="s">
        <v>3</v>
      </c>
      <c r="AT40">
        <v>97</v>
      </c>
      <c r="AU40" t="s">
        <v>42</v>
      </c>
      <c r="AV40">
        <v>1</v>
      </c>
      <c r="AW40">
        <v>2</v>
      </c>
      <c r="AX40">
        <v>94301580</v>
      </c>
      <c r="AY40">
        <v>1</v>
      </c>
      <c r="AZ40">
        <v>0</v>
      </c>
      <c r="BA40">
        <v>39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64564.17</v>
      </c>
      <c r="BN40">
        <v>97</v>
      </c>
      <c r="BO40">
        <v>0</v>
      </c>
      <c r="BP40">
        <v>1</v>
      </c>
      <c r="BQ40">
        <v>0</v>
      </c>
      <c r="BR40">
        <v>0</v>
      </c>
      <c r="BS40">
        <v>0</v>
      </c>
      <c r="BT40">
        <v>74248.795499999993</v>
      </c>
      <c r="BU40">
        <v>111.55</v>
      </c>
      <c r="BV40">
        <v>0</v>
      </c>
      <c r="BW40">
        <v>1</v>
      </c>
      <c r="CU40">
        <f>ROUND(AT40*Source!I41*AH40*AL40,2)</f>
        <v>33573.370000000003</v>
      </c>
      <c r="CV40">
        <f>ROUND(Y40*Source!I41,7)</f>
        <v>58.006</v>
      </c>
      <c r="CW40">
        <v>0</v>
      </c>
      <c r="CX40">
        <f>ROUND(Y40*Source!I41,7)</f>
        <v>58.006</v>
      </c>
      <c r="CY40">
        <f>AD40</f>
        <v>665.61</v>
      </c>
      <c r="CZ40">
        <f>AH40</f>
        <v>665.61</v>
      </c>
      <c r="DA40">
        <f>AL40</f>
        <v>1</v>
      </c>
      <c r="DB40">
        <f>ROUND((ROUND(AT40*CZ40,2)*ROUND(1.15,7)),6)</f>
        <v>74248.795499999993</v>
      </c>
      <c r="DC40">
        <f>ROUND((ROUND(AT40*AG40,2)*ROUND(1.15,7)),6)</f>
        <v>0</v>
      </c>
      <c r="DD40" t="s">
        <v>3</v>
      </c>
      <c r="DE40" t="s">
        <v>3</v>
      </c>
      <c r="DF40">
        <f>ROUND(ROUND(AE40,2)*CX40,2)</f>
        <v>0</v>
      </c>
      <c r="DG40">
        <f t="shared" si="14"/>
        <v>0</v>
      </c>
      <c r="DH40">
        <f t="shared" si="15"/>
        <v>0</v>
      </c>
      <c r="DI40">
        <f t="shared" si="16"/>
        <v>38609.370000000003</v>
      </c>
      <c r="DJ40">
        <f>DI40</f>
        <v>38609.370000000003</v>
      </c>
      <c r="DK40">
        <v>1</v>
      </c>
      <c r="DL40" t="s">
        <v>3</v>
      </c>
      <c r="DM40">
        <v>0</v>
      </c>
      <c r="DN40" t="s">
        <v>3</v>
      </c>
      <c r="DO40">
        <v>0</v>
      </c>
    </row>
    <row r="41" spans="1:119" x14ac:dyDescent="0.2">
      <c r="A41">
        <f>ROW(Source!A41)</f>
        <v>41</v>
      </c>
      <c r="B41">
        <v>94298235</v>
      </c>
      <c r="C41">
        <v>94301579</v>
      </c>
      <c r="D41">
        <v>90155259</v>
      </c>
      <c r="E41">
        <v>118</v>
      </c>
      <c r="F41">
        <v>1</v>
      </c>
      <c r="G41">
        <v>1</v>
      </c>
      <c r="H41">
        <v>1</v>
      </c>
      <c r="I41" t="s">
        <v>267</v>
      </c>
      <c r="J41" t="s">
        <v>3</v>
      </c>
      <c r="K41" t="s">
        <v>268</v>
      </c>
      <c r="L41">
        <v>1191</v>
      </c>
      <c r="N41">
        <v>1013</v>
      </c>
      <c r="O41" t="s">
        <v>266</v>
      </c>
      <c r="P41" t="s">
        <v>266</v>
      </c>
      <c r="Q41">
        <v>1</v>
      </c>
      <c r="W41">
        <v>0</v>
      </c>
      <c r="X41">
        <v>-1417349443</v>
      </c>
      <c r="Y41">
        <f>(AT41*ROUND(1.25,7))</f>
        <v>0.8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-2</v>
      </c>
      <c r="AN41">
        <v>0</v>
      </c>
      <c r="AO41">
        <v>0</v>
      </c>
      <c r="AP41">
        <v>1</v>
      </c>
      <c r="AQ41">
        <v>1</v>
      </c>
      <c r="AR41">
        <v>0</v>
      </c>
      <c r="AS41" t="s">
        <v>3</v>
      </c>
      <c r="AT41">
        <v>0.64</v>
      </c>
      <c r="AU41" t="s">
        <v>41</v>
      </c>
      <c r="AV41">
        <v>2</v>
      </c>
      <c r="AW41">
        <v>2</v>
      </c>
      <c r="AX41">
        <v>94301581</v>
      </c>
      <c r="AY41">
        <v>1</v>
      </c>
      <c r="AZ41">
        <v>0</v>
      </c>
      <c r="BA41">
        <v>40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CV41">
        <v>0</v>
      </c>
      <c r="CW41">
        <v>0</v>
      </c>
      <c r="CX41">
        <f>ROUND(Y41*Source!I41,7)</f>
        <v>0.41599999999999998</v>
      </c>
      <c r="CY41">
        <f>AD41</f>
        <v>0</v>
      </c>
      <c r="CZ41">
        <f>AH41</f>
        <v>0</v>
      </c>
      <c r="DA41">
        <f>AL41</f>
        <v>1</v>
      </c>
      <c r="DB41">
        <f>ROUND((ROUND(AT41*CZ41,2)*ROUND(1.25,7)),6)</f>
        <v>0</v>
      </c>
      <c r="DC41">
        <f>ROUND((ROUND(AT41*AG41,2)*ROUND(1.25,7)),6)</f>
        <v>0</v>
      </c>
      <c r="DD41" t="s">
        <v>3</v>
      </c>
      <c r="DE41" t="s">
        <v>3</v>
      </c>
      <c r="DF41">
        <f>ROUND(ROUND(AE41,2)*CX41,2)</f>
        <v>0</v>
      </c>
      <c r="DG41">
        <f t="shared" si="14"/>
        <v>0</v>
      </c>
      <c r="DH41">
        <f t="shared" si="15"/>
        <v>0</v>
      </c>
      <c r="DI41">
        <f t="shared" si="16"/>
        <v>0</v>
      </c>
      <c r="DJ41">
        <f>DI41</f>
        <v>0</v>
      </c>
      <c r="DK41">
        <v>0</v>
      </c>
      <c r="DL41" t="s">
        <v>3</v>
      </c>
      <c r="DM41">
        <v>0</v>
      </c>
      <c r="DN41" t="s">
        <v>3</v>
      </c>
      <c r="DO41">
        <v>0</v>
      </c>
    </row>
    <row r="42" spans="1:119" x14ac:dyDescent="0.2">
      <c r="A42">
        <f>ROW(Source!A41)</f>
        <v>41</v>
      </c>
      <c r="B42">
        <v>94298235</v>
      </c>
      <c r="C42">
        <v>94301579</v>
      </c>
      <c r="D42">
        <v>90281873</v>
      </c>
      <c r="E42">
        <v>1</v>
      </c>
      <c r="F42">
        <v>1</v>
      </c>
      <c r="G42">
        <v>1</v>
      </c>
      <c r="H42">
        <v>2</v>
      </c>
      <c r="I42" t="s">
        <v>314</v>
      </c>
      <c r="J42" t="s">
        <v>315</v>
      </c>
      <c r="K42" t="s">
        <v>316</v>
      </c>
      <c r="L42">
        <v>1368</v>
      </c>
      <c r="N42">
        <v>1011</v>
      </c>
      <c r="O42" t="s">
        <v>272</v>
      </c>
      <c r="P42" t="s">
        <v>272</v>
      </c>
      <c r="Q42">
        <v>1</v>
      </c>
      <c r="W42">
        <v>0</v>
      </c>
      <c r="X42">
        <v>-771947225</v>
      </c>
      <c r="Y42">
        <f>(AT42*ROUND(1.25,7))</f>
        <v>0.17500000000000002</v>
      </c>
      <c r="AA42">
        <v>0</v>
      </c>
      <c r="AB42">
        <v>1545.36</v>
      </c>
      <c r="AC42">
        <v>840.19</v>
      </c>
      <c r="AD42">
        <v>0</v>
      </c>
      <c r="AE42">
        <v>0</v>
      </c>
      <c r="AF42">
        <v>1545.36</v>
      </c>
      <c r="AG42">
        <v>840.19</v>
      </c>
      <c r="AH42">
        <v>0</v>
      </c>
      <c r="AI42">
        <v>1</v>
      </c>
      <c r="AJ42">
        <v>1</v>
      </c>
      <c r="AK42">
        <v>1</v>
      </c>
      <c r="AL42">
        <v>1</v>
      </c>
      <c r="AM42">
        <v>-2</v>
      </c>
      <c r="AN42">
        <v>0</v>
      </c>
      <c r="AO42">
        <v>0</v>
      </c>
      <c r="AP42">
        <v>1</v>
      </c>
      <c r="AQ42">
        <v>1</v>
      </c>
      <c r="AR42">
        <v>0</v>
      </c>
      <c r="AS42" t="s">
        <v>3</v>
      </c>
      <c r="AT42">
        <v>0.14000000000000001</v>
      </c>
      <c r="AU42" t="s">
        <v>41</v>
      </c>
      <c r="AV42">
        <v>1</v>
      </c>
      <c r="AW42">
        <v>2</v>
      </c>
      <c r="AX42">
        <v>94301582</v>
      </c>
      <c r="AY42">
        <v>1</v>
      </c>
      <c r="AZ42">
        <v>0</v>
      </c>
      <c r="BA42">
        <v>41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216.35040000000001</v>
      </c>
      <c r="BL42">
        <v>117.62660000000002</v>
      </c>
      <c r="BM42">
        <v>0</v>
      </c>
      <c r="BN42">
        <v>0</v>
      </c>
      <c r="BO42">
        <v>0.14000000000000001</v>
      </c>
      <c r="BP42">
        <v>1</v>
      </c>
      <c r="BQ42">
        <v>0</v>
      </c>
      <c r="BR42">
        <v>270.43799999999999</v>
      </c>
      <c r="BS42">
        <v>147.03325000000001</v>
      </c>
      <c r="BT42">
        <v>0</v>
      </c>
      <c r="BU42">
        <v>0</v>
      </c>
      <c r="BV42">
        <v>0.17500000000000002</v>
      </c>
      <c r="BW42">
        <v>1</v>
      </c>
      <c r="CV42">
        <v>0</v>
      </c>
      <c r="CW42">
        <f>ROUND(Y42*Source!I41*DO42,7)</f>
        <v>9.0999999999999998E-2</v>
      </c>
      <c r="CX42">
        <f>ROUND(Y42*Source!I41,7)</f>
        <v>9.0999999999999998E-2</v>
      </c>
      <c r="CY42">
        <f>AB42</f>
        <v>1545.36</v>
      </c>
      <c r="CZ42">
        <f>AF42</f>
        <v>1545.36</v>
      </c>
      <c r="DA42">
        <f>AJ42</f>
        <v>1</v>
      </c>
      <c r="DB42">
        <f>ROUND((ROUND(AT42*CZ42,2)*ROUND(1.25,7)),6)</f>
        <v>270.4375</v>
      </c>
      <c r="DC42">
        <f>ROUND((ROUND(AT42*AG42,2)*ROUND(1.25,7)),6)</f>
        <v>147.03749999999999</v>
      </c>
      <c r="DD42" t="s">
        <v>3</v>
      </c>
      <c r="DE42" t="s">
        <v>3</v>
      </c>
      <c r="DF42">
        <f>ROUND(ROUND(AE42,2)*CX42,2)</f>
        <v>0</v>
      </c>
      <c r="DG42">
        <f t="shared" si="14"/>
        <v>140.63</v>
      </c>
      <c r="DH42">
        <f t="shared" si="15"/>
        <v>76.459999999999994</v>
      </c>
      <c r="DI42">
        <f t="shared" si="16"/>
        <v>0</v>
      </c>
      <c r="DJ42">
        <f>DG42+DH42</f>
        <v>217.08999999999997</v>
      </c>
      <c r="DK42">
        <v>1</v>
      </c>
      <c r="DL42" t="s">
        <v>317</v>
      </c>
      <c r="DM42">
        <v>5</v>
      </c>
      <c r="DN42" t="s">
        <v>266</v>
      </c>
      <c r="DO42">
        <v>1</v>
      </c>
    </row>
    <row r="43" spans="1:119" x14ac:dyDescent="0.2">
      <c r="A43">
        <f>ROW(Source!A41)</f>
        <v>41</v>
      </c>
      <c r="B43">
        <v>94298235</v>
      </c>
      <c r="C43">
        <v>94301579</v>
      </c>
      <c r="D43">
        <v>90281903</v>
      </c>
      <c r="E43">
        <v>1</v>
      </c>
      <c r="F43">
        <v>1</v>
      </c>
      <c r="G43">
        <v>1</v>
      </c>
      <c r="H43">
        <v>2</v>
      </c>
      <c r="I43" t="s">
        <v>295</v>
      </c>
      <c r="J43" t="s">
        <v>296</v>
      </c>
      <c r="K43" t="s">
        <v>297</v>
      </c>
      <c r="L43">
        <v>1368</v>
      </c>
      <c r="N43">
        <v>1011</v>
      </c>
      <c r="O43" t="s">
        <v>272</v>
      </c>
      <c r="P43" t="s">
        <v>272</v>
      </c>
      <c r="Q43">
        <v>1</v>
      </c>
      <c r="W43">
        <v>0</v>
      </c>
      <c r="X43">
        <v>-566469117</v>
      </c>
      <c r="Y43">
        <f>(AT43*ROUND(1.25,7))</f>
        <v>0.625</v>
      </c>
      <c r="AA43">
        <v>0</v>
      </c>
      <c r="AB43">
        <v>58.59</v>
      </c>
      <c r="AC43">
        <v>649.24</v>
      </c>
      <c r="AD43">
        <v>0</v>
      </c>
      <c r="AE43">
        <v>0</v>
      </c>
      <c r="AF43">
        <v>37.32</v>
      </c>
      <c r="AG43">
        <v>649.24</v>
      </c>
      <c r="AH43">
        <v>0</v>
      </c>
      <c r="AI43">
        <v>1</v>
      </c>
      <c r="AJ43">
        <v>1.57</v>
      </c>
      <c r="AK43">
        <v>1</v>
      </c>
      <c r="AL43">
        <v>1</v>
      </c>
      <c r="AM43">
        <v>2</v>
      </c>
      <c r="AN43">
        <v>0</v>
      </c>
      <c r="AO43">
        <v>0</v>
      </c>
      <c r="AP43">
        <v>1</v>
      </c>
      <c r="AQ43">
        <v>1</v>
      </c>
      <c r="AR43">
        <v>0</v>
      </c>
      <c r="AS43" t="s">
        <v>3</v>
      </c>
      <c r="AT43">
        <v>0.5</v>
      </c>
      <c r="AU43" t="s">
        <v>41</v>
      </c>
      <c r="AV43">
        <v>1</v>
      </c>
      <c r="AW43">
        <v>2</v>
      </c>
      <c r="AX43">
        <v>94301583</v>
      </c>
      <c r="AY43">
        <v>1</v>
      </c>
      <c r="AZ43">
        <v>0</v>
      </c>
      <c r="BA43">
        <v>42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18.66</v>
      </c>
      <c r="BL43">
        <v>324.62</v>
      </c>
      <c r="BM43">
        <v>0</v>
      </c>
      <c r="BN43">
        <v>0</v>
      </c>
      <c r="BO43">
        <v>0.5</v>
      </c>
      <c r="BP43">
        <v>1</v>
      </c>
      <c r="BQ43">
        <v>0</v>
      </c>
      <c r="BR43">
        <v>23.324999999999999</v>
      </c>
      <c r="BS43">
        <v>405.77499999999998</v>
      </c>
      <c r="BT43">
        <v>0</v>
      </c>
      <c r="BU43">
        <v>0</v>
      </c>
      <c r="BV43">
        <v>0.625</v>
      </c>
      <c r="BW43">
        <v>1</v>
      </c>
      <c r="CV43">
        <v>0</v>
      </c>
      <c r="CW43">
        <f>ROUND(Y43*Source!I41*DO43,7)</f>
        <v>0.32500000000000001</v>
      </c>
      <c r="CX43">
        <f>ROUND(Y43*Source!I41,7)</f>
        <v>0.32500000000000001</v>
      </c>
      <c r="CY43">
        <f>AB43</f>
        <v>58.59</v>
      </c>
      <c r="CZ43">
        <f>AF43</f>
        <v>37.32</v>
      </c>
      <c r="DA43">
        <f>AJ43</f>
        <v>1.57</v>
      </c>
      <c r="DB43">
        <f>ROUND((ROUND(AT43*CZ43,2)*ROUND(1.25,7)),6)</f>
        <v>23.324999999999999</v>
      </c>
      <c r="DC43">
        <f>ROUND((ROUND(AT43*AG43,2)*ROUND(1.25,7)),6)</f>
        <v>405.77499999999998</v>
      </c>
      <c r="DD43" t="s">
        <v>3</v>
      </c>
      <c r="DE43" t="s">
        <v>3</v>
      </c>
      <c r="DF43">
        <f>ROUND(ROUND(AE43,2)*CX43,2)</f>
        <v>0</v>
      </c>
      <c r="DG43">
        <f>ROUND(ROUND(AF43*AJ43,2)*CX43,2)</f>
        <v>19.04</v>
      </c>
      <c r="DH43">
        <f t="shared" si="15"/>
        <v>211</v>
      </c>
      <c r="DI43">
        <f t="shared" si="16"/>
        <v>0</v>
      </c>
      <c r="DJ43">
        <f>DG43+DH43</f>
        <v>230.04</v>
      </c>
      <c r="DK43">
        <v>0</v>
      </c>
      <c r="DL43" t="s">
        <v>298</v>
      </c>
      <c r="DM43">
        <v>3</v>
      </c>
      <c r="DN43" t="s">
        <v>266</v>
      </c>
      <c r="DO43">
        <v>1</v>
      </c>
    </row>
    <row r="44" spans="1:119" x14ac:dyDescent="0.2">
      <c r="A44">
        <f>ROW(Source!A41)</f>
        <v>41</v>
      </c>
      <c r="B44">
        <v>94298235</v>
      </c>
      <c r="C44">
        <v>94301579</v>
      </c>
      <c r="D44">
        <v>90231835</v>
      </c>
      <c r="E44">
        <v>1</v>
      </c>
      <c r="F44">
        <v>1</v>
      </c>
      <c r="G44">
        <v>1</v>
      </c>
      <c r="H44">
        <v>3</v>
      </c>
      <c r="I44" t="s">
        <v>289</v>
      </c>
      <c r="J44" t="s">
        <v>290</v>
      </c>
      <c r="K44" t="s">
        <v>291</v>
      </c>
      <c r="L44">
        <v>1383</v>
      </c>
      <c r="N44">
        <v>1013</v>
      </c>
      <c r="O44" t="s">
        <v>292</v>
      </c>
      <c r="P44" t="s">
        <v>292</v>
      </c>
      <c r="Q44">
        <v>1</v>
      </c>
      <c r="W44">
        <v>0</v>
      </c>
      <c r="X44">
        <v>-182421198</v>
      </c>
      <c r="Y44">
        <f>AT44</f>
        <v>6.24</v>
      </c>
      <c r="AA44">
        <v>6.92</v>
      </c>
      <c r="AB44">
        <v>0</v>
      </c>
      <c r="AC44">
        <v>0</v>
      </c>
      <c r="AD44">
        <v>0</v>
      </c>
      <c r="AE44">
        <v>6.92</v>
      </c>
      <c r="AF44">
        <v>0</v>
      </c>
      <c r="AG44">
        <v>0</v>
      </c>
      <c r="AH44">
        <v>0</v>
      </c>
      <c r="AI44">
        <v>1</v>
      </c>
      <c r="AJ44">
        <v>1</v>
      </c>
      <c r="AK44">
        <v>1</v>
      </c>
      <c r="AL44">
        <v>1</v>
      </c>
      <c r="AM44">
        <v>-2</v>
      </c>
      <c r="AN44">
        <v>0</v>
      </c>
      <c r="AO44">
        <v>0</v>
      </c>
      <c r="AP44">
        <v>1</v>
      </c>
      <c r="AQ44">
        <v>1</v>
      </c>
      <c r="AR44">
        <v>0</v>
      </c>
      <c r="AS44" t="s">
        <v>3</v>
      </c>
      <c r="AT44">
        <v>6.24</v>
      </c>
      <c r="AU44" t="s">
        <v>3</v>
      </c>
      <c r="AV44">
        <v>0</v>
      </c>
      <c r="AW44">
        <v>2</v>
      </c>
      <c r="AX44">
        <v>94301584</v>
      </c>
      <c r="AY44">
        <v>1</v>
      </c>
      <c r="AZ44">
        <v>0</v>
      </c>
      <c r="BA44">
        <v>43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43.180799999999998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1</v>
      </c>
      <c r="BQ44">
        <v>43.180799999999998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1</v>
      </c>
      <c r="CV44">
        <v>0</v>
      </c>
      <c r="CW44">
        <v>0</v>
      </c>
      <c r="CX44">
        <f>ROUND(Y44*Source!I41,7)</f>
        <v>3.2448000000000001</v>
      </c>
      <c r="CY44">
        <f t="shared" ref="CY44:CY51" si="22">AA44</f>
        <v>6.92</v>
      </c>
      <c r="CZ44">
        <f t="shared" ref="CZ44:CZ51" si="23">AE44</f>
        <v>6.92</v>
      </c>
      <c r="DA44">
        <f t="shared" ref="DA44:DA51" si="24">AI44</f>
        <v>1</v>
      </c>
      <c r="DB44">
        <f>ROUND(ROUND(AT44*CZ44,2),6)</f>
        <v>43.18</v>
      </c>
      <c r="DC44">
        <f>ROUND(ROUND(AT44*AG44,2),6)</f>
        <v>0</v>
      </c>
      <c r="DD44" t="s">
        <v>3</v>
      </c>
      <c r="DE44" t="s">
        <v>3</v>
      </c>
      <c r="DF44">
        <f>ROUND(ROUND(AE44,2)*CX44,2)</f>
        <v>22.45</v>
      </c>
      <c r="DG44">
        <f t="shared" ref="DG44:DG53" si="25">ROUND(ROUND(AF44,2)*CX44,2)</f>
        <v>0</v>
      </c>
      <c r="DH44">
        <f t="shared" si="15"/>
        <v>0</v>
      </c>
      <c r="DI44">
        <f t="shared" si="16"/>
        <v>0</v>
      </c>
      <c r="DJ44">
        <f t="shared" ref="DJ44:DJ51" si="26">DF44</f>
        <v>22.45</v>
      </c>
      <c r="DK44">
        <v>1</v>
      </c>
      <c r="DL44" t="s">
        <v>3</v>
      </c>
      <c r="DM44">
        <v>0</v>
      </c>
      <c r="DN44" t="s">
        <v>3</v>
      </c>
      <c r="DO44">
        <v>0</v>
      </c>
    </row>
    <row r="45" spans="1:119" x14ac:dyDescent="0.2">
      <c r="A45">
        <f>ROW(Source!A41)</f>
        <v>41</v>
      </c>
      <c r="B45">
        <v>94298235</v>
      </c>
      <c r="C45">
        <v>94301579</v>
      </c>
      <c r="D45">
        <v>90233382</v>
      </c>
      <c r="E45">
        <v>1</v>
      </c>
      <c r="F45">
        <v>1</v>
      </c>
      <c r="G45">
        <v>1</v>
      </c>
      <c r="H45">
        <v>3</v>
      </c>
      <c r="I45" t="s">
        <v>318</v>
      </c>
      <c r="J45" t="s">
        <v>319</v>
      </c>
      <c r="K45" t="s">
        <v>320</v>
      </c>
      <c r="L45">
        <v>1348</v>
      </c>
      <c r="N45">
        <v>1009</v>
      </c>
      <c r="O45" t="s">
        <v>30</v>
      </c>
      <c r="P45" t="s">
        <v>30</v>
      </c>
      <c r="Q45">
        <v>1000</v>
      </c>
      <c r="W45">
        <v>0</v>
      </c>
      <c r="X45">
        <v>-324802243</v>
      </c>
      <c r="Y45">
        <f>AT45</f>
        <v>6.0000000000000001E-3</v>
      </c>
      <c r="AA45">
        <v>100385.82</v>
      </c>
      <c r="AB45">
        <v>0</v>
      </c>
      <c r="AC45">
        <v>0</v>
      </c>
      <c r="AD45">
        <v>0</v>
      </c>
      <c r="AE45">
        <v>76630.399999999994</v>
      </c>
      <c r="AF45">
        <v>0</v>
      </c>
      <c r="AG45">
        <v>0</v>
      </c>
      <c r="AH45">
        <v>0</v>
      </c>
      <c r="AI45">
        <v>1.31</v>
      </c>
      <c r="AJ45">
        <v>1</v>
      </c>
      <c r="AK45">
        <v>1</v>
      </c>
      <c r="AL45">
        <v>1</v>
      </c>
      <c r="AM45">
        <v>2</v>
      </c>
      <c r="AN45">
        <v>0</v>
      </c>
      <c r="AO45">
        <v>0</v>
      </c>
      <c r="AP45">
        <v>1</v>
      </c>
      <c r="AQ45">
        <v>1</v>
      </c>
      <c r="AR45">
        <v>0</v>
      </c>
      <c r="AS45" t="s">
        <v>3</v>
      </c>
      <c r="AT45">
        <v>6.0000000000000001E-3</v>
      </c>
      <c r="AU45" t="s">
        <v>3</v>
      </c>
      <c r="AV45">
        <v>0</v>
      </c>
      <c r="AW45">
        <v>2</v>
      </c>
      <c r="AX45">
        <v>94301585</v>
      </c>
      <c r="AY45">
        <v>1</v>
      </c>
      <c r="AZ45">
        <v>0</v>
      </c>
      <c r="BA45">
        <v>44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459.7824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1</v>
      </c>
      <c r="BQ45">
        <v>459.7824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1</v>
      </c>
      <c r="CV45">
        <v>0</v>
      </c>
      <c r="CW45">
        <v>0</v>
      </c>
      <c r="CX45">
        <f>ROUND(Y45*Source!I41,7)</f>
        <v>3.1199999999999999E-3</v>
      </c>
      <c r="CY45">
        <f t="shared" si="22"/>
        <v>100385.82</v>
      </c>
      <c r="CZ45">
        <f t="shared" si="23"/>
        <v>76630.399999999994</v>
      </c>
      <c r="DA45">
        <f t="shared" si="24"/>
        <v>1.31</v>
      </c>
      <c r="DB45">
        <f>ROUND(ROUND(AT45*CZ45,2),6)</f>
        <v>459.78</v>
      </c>
      <c r="DC45">
        <f>ROUND(ROUND(AT45*AG45,2),6)</f>
        <v>0</v>
      </c>
      <c r="DD45" t="s">
        <v>3</v>
      </c>
      <c r="DE45" t="s">
        <v>3</v>
      </c>
      <c r="DF45">
        <f t="shared" ref="DF45:DF51" si="27">ROUND(ROUND(AE45*AI45,2)*CX45,2)</f>
        <v>313.2</v>
      </c>
      <c r="DG45">
        <f t="shared" si="25"/>
        <v>0</v>
      </c>
      <c r="DH45">
        <f t="shared" si="15"/>
        <v>0</v>
      </c>
      <c r="DI45">
        <f t="shared" si="16"/>
        <v>0</v>
      </c>
      <c r="DJ45">
        <f t="shared" si="26"/>
        <v>313.2</v>
      </c>
      <c r="DK45">
        <v>0</v>
      </c>
      <c r="DL45" t="s">
        <v>3</v>
      </c>
      <c r="DM45">
        <v>0</v>
      </c>
      <c r="DN45" t="s">
        <v>3</v>
      </c>
      <c r="DO45">
        <v>0</v>
      </c>
    </row>
    <row r="46" spans="1:119" x14ac:dyDescent="0.2">
      <c r="A46">
        <f>ROW(Source!A41)</f>
        <v>41</v>
      </c>
      <c r="B46">
        <v>94298235</v>
      </c>
      <c r="C46">
        <v>94301579</v>
      </c>
      <c r="D46">
        <v>90235178</v>
      </c>
      <c r="E46">
        <v>1</v>
      </c>
      <c r="F46">
        <v>1</v>
      </c>
      <c r="G46">
        <v>1</v>
      </c>
      <c r="H46">
        <v>3</v>
      </c>
      <c r="I46" t="s">
        <v>321</v>
      </c>
      <c r="J46" t="s">
        <v>322</v>
      </c>
      <c r="K46" t="s">
        <v>323</v>
      </c>
      <c r="L46">
        <v>1348</v>
      </c>
      <c r="N46">
        <v>1009</v>
      </c>
      <c r="O46" t="s">
        <v>30</v>
      </c>
      <c r="P46" t="s">
        <v>30</v>
      </c>
      <c r="Q46">
        <v>1000</v>
      </c>
      <c r="W46">
        <v>0</v>
      </c>
      <c r="X46">
        <v>-1499842909</v>
      </c>
      <c r="Y46">
        <f>(AT46*ROUND(0,7))</f>
        <v>0</v>
      </c>
      <c r="AA46">
        <v>6333.87</v>
      </c>
      <c r="AB46">
        <v>0</v>
      </c>
      <c r="AC46">
        <v>0</v>
      </c>
      <c r="AD46">
        <v>0</v>
      </c>
      <c r="AE46">
        <v>4338.2700000000004</v>
      </c>
      <c r="AF46">
        <v>0</v>
      </c>
      <c r="AG46">
        <v>0</v>
      </c>
      <c r="AH46">
        <v>0</v>
      </c>
      <c r="AI46">
        <v>1.46</v>
      </c>
      <c r="AJ46">
        <v>1</v>
      </c>
      <c r="AK46">
        <v>1</v>
      </c>
      <c r="AL46">
        <v>1</v>
      </c>
      <c r="AM46">
        <v>2</v>
      </c>
      <c r="AN46">
        <v>0</v>
      </c>
      <c r="AO46">
        <v>0</v>
      </c>
      <c r="AP46">
        <v>1</v>
      </c>
      <c r="AQ46">
        <v>1</v>
      </c>
      <c r="AR46">
        <v>0</v>
      </c>
      <c r="AS46" t="s">
        <v>3</v>
      </c>
      <c r="AT46">
        <v>2.5000000000000001E-2</v>
      </c>
      <c r="AU46" t="s">
        <v>310</v>
      </c>
      <c r="AV46">
        <v>0</v>
      </c>
      <c r="AW46">
        <v>2</v>
      </c>
      <c r="AX46">
        <v>94301586</v>
      </c>
      <c r="AY46">
        <v>1</v>
      </c>
      <c r="AZ46">
        <v>2048</v>
      </c>
      <c r="BA46">
        <v>45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108.45675000000001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1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CV46">
        <v>0</v>
      </c>
      <c r="CW46">
        <v>0</v>
      </c>
      <c r="CX46">
        <f>ROUND(Y46*Source!I41,7)</f>
        <v>0</v>
      </c>
      <c r="CY46">
        <f t="shared" si="22"/>
        <v>6333.87</v>
      </c>
      <c r="CZ46">
        <f t="shared" si="23"/>
        <v>4338.2700000000004</v>
      </c>
      <c r="DA46">
        <f t="shared" si="24"/>
        <v>1.46</v>
      </c>
      <c r="DB46">
        <f>ROUND((ROUND(AT46*CZ46,2)*ROUND(0,7)),6)</f>
        <v>0</v>
      </c>
      <c r="DC46">
        <f>ROUND((ROUND(AT46*AG46,2)*ROUND(0,7)),6)</f>
        <v>0</v>
      </c>
      <c r="DD46" t="s">
        <v>3</v>
      </c>
      <c r="DE46" t="s">
        <v>3</v>
      </c>
      <c r="DF46">
        <f t="shared" si="27"/>
        <v>0</v>
      </c>
      <c r="DG46">
        <f t="shared" si="25"/>
        <v>0</v>
      </c>
      <c r="DH46">
        <f t="shared" si="15"/>
        <v>0</v>
      </c>
      <c r="DI46">
        <f t="shared" si="16"/>
        <v>0</v>
      </c>
      <c r="DJ46">
        <f t="shared" si="26"/>
        <v>0</v>
      </c>
      <c r="DK46">
        <v>0</v>
      </c>
      <c r="DL46" t="s">
        <v>3</v>
      </c>
      <c r="DM46">
        <v>0</v>
      </c>
      <c r="DN46" t="s">
        <v>3</v>
      </c>
      <c r="DO46">
        <v>0</v>
      </c>
    </row>
    <row r="47" spans="1:119" x14ac:dyDescent="0.2">
      <c r="A47">
        <f>ROW(Source!A41)</f>
        <v>41</v>
      </c>
      <c r="B47">
        <v>94298235</v>
      </c>
      <c r="C47">
        <v>94301579</v>
      </c>
      <c r="D47">
        <v>90238232</v>
      </c>
      <c r="E47">
        <v>1</v>
      </c>
      <c r="F47">
        <v>1</v>
      </c>
      <c r="G47">
        <v>1</v>
      </c>
      <c r="H47">
        <v>3</v>
      </c>
      <c r="I47" t="s">
        <v>85</v>
      </c>
      <c r="J47" t="s">
        <v>88</v>
      </c>
      <c r="K47" t="s">
        <v>86</v>
      </c>
      <c r="L47">
        <v>1301</v>
      </c>
      <c r="N47">
        <v>1003</v>
      </c>
      <c r="O47" t="s">
        <v>87</v>
      </c>
      <c r="P47" t="s">
        <v>87</v>
      </c>
      <c r="Q47">
        <v>1</v>
      </c>
      <c r="W47">
        <v>0</v>
      </c>
      <c r="X47">
        <v>1951047089</v>
      </c>
      <c r="Y47">
        <f>AT47</f>
        <v>200</v>
      </c>
      <c r="AA47">
        <v>37.54</v>
      </c>
      <c r="AB47">
        <v>0</v>
      </c>
      <c r="AC47">
        <v>0</v>
      </c>
      <c r="AD47">
        <v>0</v>
      </c>
      <c r="AE47">
        <v>44.16</v>
      </c>
      <c r="AF47">
        <v>0</v>
      </c>
      <c r="AG47">
        <v>0</v>
      </c>
      <c r="AH47">
        <v>0</v>
      </c>
      <c r="AI47">
        <v>0.85</v>
      </c>
      <c r="AJ47">
        <v>1</v>
      </c>
      <c r="AK47">
        <v>1</v>
      </c>
      <c r="AL47">
        <v>1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 t="s">
        <v>3</v>
      </c>
      <c r="AT47">
        <v>200</v>
      </c>
      <c r="AU47" t="s">
        <v>3</v>
      </c>
      <c r="AV47">
        <v>0</v>
      </c>
      <c r="AW47">
        <v>1</v>
      </c>
      <c r="AX47">
        <v>-1</v>
      </c>
      <c r="AY47">
        <v>0</v>
      </c>
      <c r="AZ47">
        <v>0</v>
      </c>
      <c r="BA47" t="s">
        <v>3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CV47">
        <v>0</v>
      </c>
      <c r="CW47">
        <v>0</v>
      </c>
      <c r="CX47">
        <f>ROUND(Y47*Source!I41,7)</f>
        <v>104</v>
      </c>
      <c r="CY47">
        <f t="shared" si="22"/>
        <v>37.54</v>
      </c>
      <c r="CZ47">
        <f t="shared" si="23"/>
        <v>44.16</v>
      </c>
      <c r="DA47">
        <f t="shared" si="24"/>
        <v>0.85</v>
      </c>
      <c r="DB47">
        <f>ROUND(ROUND(AT47*CZ47,2),6)</f>
        <v>8832</v>
      </c>
      <c r="DC47">
        <f>ROUND(ROUND(AT47*AG47,2),6)</f>
        <v>0</v>
      </c>
      <c r="DD47" t="s">
        <v>3</v>
      </c>
      <c r="DE47" t="s">
        <v>3</v>
      </c>
      <c r="DF47">
        <f t="shared" si="27"/>
        <v>3904.16</v>
      </c>
      <c r="DG47">
        <f t="shared" si="25"/>
        <v>0</v>
      </c>
      <c r="DH47">
        <f t="shared" si="15"/>
        <v>0</v>
      </c>
      <c r="DI47">
        <f t="shared" si="16"/>
        <v>0</v>
      </c>
      <c r="DJ47">
        <f t="shared" si="26"/>
        <v>3904.16</v>
      </c>
      <c r="DK47">
        <v>0</v>
      </c>
      <c r="DL47" t="s">
        <v>3</v>
      </c>
      <c r="DM47">
        <v>0</v>
      </c>
      <c r="DN47" t="s">
        <v>3</v>
      </c>
      <c r="DO47">
        <v>0</v>
      </c>
    </row>
    <row r="48" spans="1:119" x14ac:dyDescent="0.2">
      <c r="A48">
        <f>ROW(Source!A41)</f>
        <v>41</v>
      </c>
      <c r="B48">
        <v>94298235</v>
      </c>
      <c r="C48">
        <v>94301579</v>
      </c>
      <c r="D48">
        <v>90239854</v>
      </c>
      <c r="E48">
        <v>1</v>
      </c>
      <c r="F48">
        <v>1</v>
      </c>
      <c r="G48">
        <v>1</v>
      </c>
      <c r="H48">
        <v>3</v>
      </c>
      <c r="I48" t="s">
        <v>80</v>
      </c>
      <c r="J48" t="s">
        <v>83</v>
      </c>
      <c r="K48" t="s">
        <v>81</v>
      </c>
      <c r="L48">
        <v>1407</v>
      </c>
      <c r="N48">
        <v>1013</v>
      </c>
      <c r="O48" t="s">
        <v>82</v>
      </c>
      <c r="P48" t="s">
        <v>82</v>
      </c>
      <c r="Q48">
        <v>1</v>
      </c>
      <c r="W48">
        <v>0</v>
      </c>
      <c r="X48">
        <v>-541549127</v>
      </c>
      <c r="Y48">
        <f>AT48</f>
        <v>0.67307689999999998</v>
      </c>
      <c r="AA48">
        <v>21726.240000000002</v>
      </c>
      <c r="AB48">
        <v>0</v>
      </c>
      <c r="AC48">
        <v>0</v>
      </c>
      <c r="AD48">
        <v>0</v>
      </c>
      <c r="AE48">
        <v>14484.16</v>
      </c>
      <c r="AF48">
        <v>0</v>
      </c>
      <c r="AG48">
        <v>0</v>
      </c>
      <c r="AH48">
        <v>0</v>
      </c>
      <c r="AI48">
        <v>1.5</v>
      </c>
      <c r="AJ48">
        <v>1</v>
      </c>
      <c r="AK48">
        <v>1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 t="s">
        <v>3</v>
      </c>
      <c r="AT48">
        <v>0.67307689999999998</v>
      </c>
      <c r="AU48" t="s">
        <v>3</v>
      </c>
      <c r="AV48">
        <v>0</v>
      </c>
      <c r="AW48">
        <v>1</v>
      </c>
      <c r="AX48">
        <v>-1</v>
      </c>
      <c r="AY48">
        <v>0</v>
      </c>
      <c r="AZ48">
        <v>0</v>
      </c>
      <c r="BA48" t="s">
        <v>3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CV48">
        <v>0</v>
      </c>
      <c r="CW48">
        <v>0</v>
      </c>
      <c r="CX48">
        <f>ROUND(Y48*Source!I41,7)</f>
        <v>0.35</v>
      </c>
      <c r="CY48">
        <f t="shared" si="22"/>
        <v>21726.240000000002</v>
      </c>
      <c r="CZ48">
        <f t="shared" si="23"/>
        <v>14484.16</v>
      </c>
      <c r="DA48">
        <f t="shared" si="24"/>
        <v>1.5</v>
      </c>
      <c r="DB48">
        <f>ROUND(ROUND(AT48*CZ48,2),6)</f>
        <v>9748.9500000000007</v>
      </c>
      <c r="DC48">
        <f>ROUND(ROUND(AT48*AG48,2),6)</f>
        <v>0</v>
      </c>
      <c r="DD48" t="s">
        <v>3</v>
      </c>
      <c r="DE48" t="s">
        <v>3</v>
      </c>
      <c r="DF48">
        <f t="shared" si="27"/>
        <v>7604.18</v>
      </c>
      <c r="DG48">
        <f t="shared" si="25"/>
        <v>0</v>
      </c>
      <c r="DH48">
        <f t="shared" si="15"/>
        <v>0</v>
      </c>
      <c r="DI48">
        <f t="shared" si="16"/>
        <v>0</v>
      </c>
      <c r="DJ48">
        <f t="shared" si="26"/>
        <v>7604.18</v>
      </c>
      <c r="DK48">
        <v>0</v>
      </c>
      <c r="DL48" t="s">
        <v>3</v>
      </c>
      <c r="DM48">
        <v>0</v>
      </c>
      <c r="DN48" t="s">
        <v>3</v>
      </c>
      <c r="DO48">
        <v>0</v>
      </c>
    </row>
    <row r="49" spans="1:119" x14ac:dyDescent="0.2">
      <c r="A49">
        <f>ROW(Source!A41)</f>
        <v>41</v>
      </c>
      <c r="B49">
        <v>94298235</v>
      </c>
      <c r="C49">
        <v>94301579</v>
      </c>
      <c r="D49">
        <v>90240527</v>
      </c>
      <c r="E49">
        <v>1</v>
      </c>
      <c r="F49">
        <v>1</v>
      </c>
      <c r="G49">
        <v>1</v>
      </c>
      <c r="H49">
        <v>3</v>
      </c>
      <c r="I49" t="s">
        <v>324</v>
      </c>
      <c r="J49" t="s">
        <v>325</v>
      </c>
      <c r="K49" t="s">
        <v>326</v>
      </c>
      <c r="L49">
        <v>1348</v>
      </c>
      <c r="N49">
        <v>1009</v>
      </c>
      <c r="O49" t="s">
        <v>30</v>
      </c>
      <c r="P49" t="s">
        <v>30</v>
      </c>
      <c r="Q49">
        <v>1000</v>
      </c>
      <c r="W49">
        <v>0</v>
      </c>
      <c r="X49">
        <v>92840725</v>
      </c>
      <c r="Y49">
        <f>(AT49*ROUND(0,7))</f>
        <v>0</v>
      </c>
      <c r="AA49">
        <v>74578.44</v>
      </c>
      <c r="AB49">
        <v>0</v>
      </c>
      <c r="AC49">
        <v>0</v>
      </c>
      <c r="AD49">
        <v>0</v>
      </c>
      <c r="AE49">
        <v>88783.86</v>
      </c>
      <c r="AF49">
        <v>0</v>
      </c>
      <c r="AG49">
        <v>0</v>
      </c>
      <c r="AH49">
        <v>0</v>
      </c>
      <c r="AI49">
        <v>0.84</v>
      </c>
      <c r="AJ49">
        <v>1</v>
      </c>
      <c r="AK49">
        <v>1</v>
      </c>
      <c r="AL49">
        <v>1</v>
      </c>
      <c r="AM49">
        <v>2</v>
      </c>
      <c r="AN49">
        <v>0</v>
      </c>
      <c r="AO49">
        <v>0</v>
      </c>
      <c r="AP49">
        <v>1</v>
      </c>
      <c r="AQ49">
        <v>1</v>
      </c>
      <c r="AR49">
        <v>0</v>
      </c>
      <c r="AS49" t="s">
        <v>3</v>
      </c>
      <c r="AT49">
        <v>6.0000000000000001E-3</v>
      </c>
      <c r="AU49" t="s">
        <v>310</v>
      </c>
      <c r="AV49">
        <v>0</v>
      </c>
      <c r="AW49">
        <v>2</v>
      </c>
      <c r="AX49">
        <v>94301588</v>
      </c>
      <c r="AY49">
        <v>1</v>
      </c>
      <c r="AZ49">
        <v>2048</v>
      </c>
      <c r="BA49">
        <v>47</v>
      </c>
      <c r="BB49">
        <v>1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532.70316000000003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1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CV49">
        <v>0</v>
      </c>
      <c r="CW49">
        <v>0</v>
      </c>
      <c r="CX49">
        <f>ROUND(Y49*Source!I41,7)</f>
        <v>0</v>
      </c>
      <c r="CY49">
        <f t="shared" si="22"/>
        <v>74578.44</v>
      </c>
      <c r="CZ49">
        <f t="shared" si="23"/>
        <v>88783.86</v>
      </c>
      <c r="DA49">
        <f t="shared" si="24"/>
        <v>0.84</v>
      </c>
      <c r="DB49">
        <f>ROUND((ROUND(AT49*CZ49,2)*ROUND(0,7)),6)</f>
        <v>0</v>
      </c>
      <c r="DC49">
        <f>ROUND((ROUND(AT49*AG49,2)*ROUND(0,7)),6)</f>
        <v>0</v>
      </c>
      <c r="DD49" t="s">
        <v>3</v>
      </c>
      <c r="DE49" t="s">
        <v>3</v>
      </c>
      <c r="DF49">
        <f t="shared" si="27"/>
        <v>0</v>
      </c>
      <c r="DG49">
        <f t="shared" si="25"/>
        <v>0</v>
      </c>
      <c r="DH49">
        <f t="shared" si="15"/>
        <v>0</v>
      </c>
      <c r="DI49">
        <f t="shared" si="16"/>
        <v>0</v>
      </c>
      <c r="DJ49">
        <f t="shared" si="26"/>
        <v>0</v>
      </c>
      <c r="DK49">
        <v>0</v>
      </c>
      <c r="DL49" t="s">
        <v>3</v>
      </c>
      <c r="DM49">
        <v>0</v>
      </c>
      <c r="DN49" t="s">
        <v>3</v>
      </c>
      <c r="DO49">
        <v>0</v>
      </c>
    </row>
    <row r="50" spans="1:119" x14ac:dyDescent="0.2">
      <c r="A50">
        <f>ROW(Source!A41)</f>
        <v>41</v>
      </c>
      <c r="B50">
        <v>94298235</v>
      </c>
      <c r="C50">
        <v>94301579</v>
      </c>
      <c r="D50">
        <v>90242739</v>
      </c>
      <c r="E50">
        <v>1</v>
      </c>
      <c r="F50">
        <v>1</v>
      </c>
      <c r="G50">
        <v>1</v>
      </c>
      <c r="H50">
        <v>3</v>
      </c>
      <c r="I50" t="s">
        <v>327</v>
      </c>
      <c r="J50" t="s">
        <v>328</v>
      </c>
      <c r="K50" t="s">
        <v>329</v>
      </c>
      <c r="L50">
        <v>1339</v>
      </c>
      <c r="N50">
        <v>1007</v>
      </c>
      <c r="O50" t="s">
        <v>280</v>
      </c>
      <c r="P50" t="s">
        <v>280</v>
      </c>
      <c r="Q50">
        <v>1</v>
      </c>
      <c r="W50">
        <v>0</v>
      </c>
      <c r="X50">
        <v>-449104994</v>
      </c>
      <c r="Y50">
        <f>(AT50*ROUND(0,7))</f>
        <v>0</v>
      </c>
      <c r="AA50">
        <v>10199.25</v>
      </c>
      <c r="AB50">
        <v>0</v>
      </c>
      <c r="AC50">
        <v>0</v>
      </c>
      <c r="AD50">
        <v>0</v>
      </c>
      <c r="AE50">
        <v>7555</v>
      </c>
      <c r="AF50">
        <v>0</v>
      </c>
      <c r="AG50">
        <v>0</v>
      </c>
      <c r="AH50">
        <v>0</v>
      </c>
      <c r="AI50">
        <v>1.35</v>
      </c>
      <c r="AJ50">
        <v>1</v>
      </c>
      <c r="AK50">
        <v>1</v>
      </c>
      <c r="AL50">
        <v>1</v>
      </c>
      <c r="AM50">
        <v>2</v>
      </c>
      <c r="AN50">
        <v>0</v>
      </c>
      <c r="AO50">
        <v>0</v>
      </c>
      <c r="AP50">
        <v>1</v>
      </c>
      <c r="AQ50">
        <v>1</v>
      </c>
      <c r="AR50">
        <v>0</v>
      </c>
      <c r="AS50" t="s">
        <v>3</v>
      </c>
      <c r="AT50">
        <v>8.6E-3</v>
      </c>
      <c r="AU50" t="s">
        <v>310</v>
      </c>
      <c r="AV50">
        <v>0</v>
      </c>
      <c r="AW50">
        <v>2</v>
      </c>
      <c r="AX50">
        <v>94301589</v>
      </c>
      <c r="AY50">
        <v>1</v>
      </c>
      <c r="AZ50">
        <v>2048</v>
      </c>
      <c r="BA50">
        <v>48</v>
      </c>
      <c r="BB50">
        <v>1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64.972999999999999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CV50">
        <v>0</v>
      </c>
      <c r="CW50">
        <v>0</v>
      </c>
      <c r="CX50">
        <f>ROUND(Y50*Source!I41,7)</f>
        <v>0</v>
      </c>
      <c r="CY50">
        <f t="shared" si="22"/>
        <v>10199.25</v>
      </c>
      <c r="CZ50">
        <f t="shared" si="23"/>
        <v>7555</v>
      </c>
      <c r="DA50">
        <f t="shared" si="24"/>
        <v>1.35</v>
      </c>
      <c r="DB50">
        <f>ROUND((ROUND(AT50*CZ50,2)*ROUND(0,7)),6)</f>
        <v>0</v>
      </c>
      <c r="DC50">
        <f>ROUND((ROUND(AT50*AG50,2)*ROUND(0,7)),6)</f>
        <v>0</v>
      </c>
      <c r="DD50" t="s">
        <v>3</v>
      </c>
      <c r="DE50" t="s">
        <v>3</v>
      </c>
      <c r="DF50">
        <f t="shared" si="27"/>
        <v>0</v>
      </c>
      <c r="DG50">
        <f t="shared" si="25"/>
        <v>0</v>
      </c>
      <c r="DH50">
        <f t="shared" si="15"/>
        <v>0</v>
      </c>
      <c r="DI50">
        <f t="shared" si="16"/>
        <v>0</v>
      </c>
      <c r="DJ50">
        <f t="shared" si="26"/>
        <v>0</v>
      </c>
      <c r="DK50">
        <v>0</v>
      </c>
      <c r="DL50" t="s">
        <v>3</v>
      </c>
      <c r="DM50">
        <v>0</v>
      </c>
      <c r="DN50" t="s">
        <v>3</v>
      </c>
      <c r="DO50">
        <v>0</v>
      </c>
    </row>
    <row r="51" spans="1:119" x14ac:dyDescent="0.2">
      <c r="A51">
        <f>ROW(Source!A41)</f>
        <v>41</v>
      </c>
      <c r="B51">
        <v>94298235</v>
      </c>
      <c r="C51">
        <v>94301579</v>
      </c>
      <c r="D51">
        <v>90243558</v>
      </c>
      <c r="E51">
        <v>1</v>
      </c>
      <c r="F51">
        <v>1</v>
      </c>
      <c r="G51">
        <v>1</v>
      </c>
      <c r="H51">
        <v>3</v>
      </c>
      <c r="I51" t="s">
        <v>90</v>
      </c>
      <c r="J51" t="s">
        <v>92</v>
      </c>
      <c r="K51" t="s">
        <v>91</v>
      </c>
      <c r="L51">
        <v>1301</v>
      </c>
      <c r="N51">
        <v>1003</v>
      </c>
      <c r="O51" t="s">
        <v>87</v>
      </c>
      <c r="P51" t="s">
        <v>87</v>
      </c>
      <c r="Q51">
        <v>1</v>
      </c>
      <c r="W51">
        <v>0</v>
      </c>
      <c r="X51">
        <v>1244494453</v>
      </c>
      <c r="Y51">
        <f t="shared" ref="Y51:Y60" si="28">AT51</f>
        <v>101</v>
      </c>
      <c r="AA51">
        <v>5087.3900000000003</v>
      </c>
      <c r="AB51">
        <v>0</v>
      </c>
      <c r="AC51">
        <v>0</v>
      </c>
      <c r="AD51">
        <v>0</v>
      </c>
      <c r="AE51">
        <v>4624.8999999999996</v>
      </c>
      <c r="AF51">
        <v>0</v>
      </c>
      <c r="AG51">
        <v>0</v>
      </c>
      <c r="AH51">
        <v>0</v>
      </c>
      <c r="AI51">
        <v>1.1000000000000001</v>
      </c>
      <c r="AJ51">
        <v>1</v>
      </c>
      <c r="AK51">
        <v>1</v>
      </c>
      <c r="AL51">
        <v>1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 t="s">
        <v>3</v>
      </c>
      <c r="AT51">
        <v>101</v>
      </c>
      <c r="AU51" t="s">
        <v>3</v>
      </c>
      <c r="AV51">
        <v>0</v>
      </c>
      <c r="AW51">
        <v>1</v>
      </c>
      <c r="AX51">
        <v>-1</v>
      </c>
      <c r="AY51">
        <v>0</v>
      </c>
      <c r="AZ51">
        <v>0</v>
      </c>
      <c r="BA51" t="s">
        <v>3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V51">
        <v>0</v>
      </c>
      <c r="CW51">
        <v>0</v>
      </c>
      <c r="CX51">
        <f>ROUND(Y51*Source!I41,7)</f>
        <v>52.52</v>
      </c>
      <c r="CY51">
        <f t="shared" si="22"/>
        <v>5087.3900000000003</v>
      </c>
      <c r="CZ51">
        <f t="shared" si="23"/>
        <v>4624.8999999999996</v>
      </c>
      <c r="DA51">
        <f t="shared" si="24"/>
        <v>1.1000000000000001</v>
      </c>
      <c r="DB51">
        <f t="shared" ref="DB51:DB60" si="29">ROUND(ROUND(AT51*CZ51,2),6)</f>
        <v>467114.9</v>
      </c>
      <c r="DC51">
        <f t="shared" ref="DC51:DC60" si="30">ROUND(ROUND(AT51*AG51,2),6)</f>
        <v>0</v>
      </c>
      <c r="DD51" t="s">
        <v>3</v>
      </c>
      <c r="DE51" t="s">
        <v>3</v>
      </c>
      <c r="DF51">
        <f t="shared" si="27"/>
        <v>267189.71999999997</v>
      </c>
      <c r="DG51">
        <f t="shared" si="25"/>
        <v>0</v>
      </c>
      <c r="DH51">
        <f t="shared" si="15"/>
        <v>0</v>
      </c>
      <c r="DI51">
        <f t="shared" si="16"/>
        <v>0</v>
      </c>
      <c r="DJ51">
        <f t="shared" si="26"/>
        <v>267189.71999999997</v>
      </c>
      <c r="DK51">
        <v>0</v>
      </c>
      <c r="DL51" t="s">
        <v>3</v>
      </c>
      <c r="DM51">
        <v>0</v>
      </c>
      <c r="DN51" t="s">
        <v>3</v>
      </c>
      <c r="DO51">
        <v>0</v>
      </c>
    </row>
    <row r="52" spans="1:119" x14ac:dyDescent="0.2">
      <c r="A52">
        <f>ROW(Source!A45)</f>
        <v>45</v>
      </c>
      <c r="B52">
        <v>94298235</v>
      </c>
      <c r="C52">
        <v>94301610</v>
      </c>
      <c r="D52">
        <v>37069580</v>
      </c>
      <c r="E52">
        <v>118</v>
      </c>
      <c r="F52">
        <v>1</v>
      </c>
      <c r="G52">
        <v>1</v>
      </c>
      <c r="H52">
        <v>1</v>
      </c>
      <c r="I52" t="s">
        <v>330</v>
      </c>
      <c r="J52" t="s">
        <v>3</v>
      </c>
      <c r="K52" t="s">
        <v>331</v>
      </c>
      <c r="L52">
        <v>1191</v>
      </c>
      <c r="N52">
        <v>1013</v>
      </c>
      <c r="O52" t="s">
        <v>266</v>
      </c>
      <c r="P52" t="s">
        <v>266</v>
      </c>
      <c r="Q52">
        <v>1</v>
      </c>
      <c r="W52">
        <v>0</v>
      </c>
      <c r="X52">
        <v>1426738182</v>
      </c>
      <c r="Y52">
        <f t="shared" si="28"/>
        <v>13.7</v>
      </c>
      <c r="AA52">
        <v>0</v>
      </c>
      <c r="AB52">
        <v>0</v>
      </c>
      <c r="AC52">
        <v>0</v>
      </c>
      <c r="AD52">
        <v>657.42</v>
      </c>
      <c r="AE52">
        <v>0</v>
      </c>
      <c r="AF52">
        <v>0</v>
      </c>
      <c r="AG52">
        <v>0</v>
      </c>
      <c r="AH52">
        <v>657.42</v>
      </c>
      <c r="AI52">
        <v>1</v>
      </c>
      <c r="AJ52">
        <v>1</v>
      </c>
      <c r="AK52">
        <v>1</v>
      </c>
      <c r="AL52">
        <v>1</v>
      </c>
      <c r="AM52">
        <v>-2</v>
      </c>
      <c r="AN52">
        <v>0</v>
      </c>
      <c r="AO52">
        <v>0</v>
      </c>
      <c r="AP52">
        <v>0</v>
      </c>
      <c r="AQ52">
        <v>1</v>
      </c>
      <c r="AR52">
        <v>0</v>
      </c>
      <c r="AS52" t="s">
        <v>3</v>
      </c>
      <c r="AT52">
        <v>13.7</v>
      </c>
      <c r="AU52" t="s">
        <v>3</v>
      </c>
      <c r="AV52">
        <v>1</v>
      </c>
      <c r="AW52">
        <v>2</v>
      </c>
      <c r="AX52">
        <v>94301620</v>
      </c>
      <c r="AY52">
        <v>1</v>
      </c>
      <c r="AZ52">
        <v>0</v>
      </c>
      <c r="BA52">
        <v>49</v>
      </c>
      <c r="BB52">
        <v>1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9006.6539999999986</v>
      </c>
      <c r="BN52">
        <v>13.7</v>
      </c>
      <c r="BO52">
        <v>0</v>
      </c>
      <c r="BP52">
        <v>1</v>
      </c>
      <c r="BQ52">
        <v>0</v>
      </c>
      <c r="BR52">
        <v>0</v>
      </c>
      <c r="BS52">
        <v>0</v>
      </c>
      <c r="BT52">
        <v>9006.6539999999986</v>
      </c>
      <c r="BU52">
        <v>13.7</v>
      </c>
      <c r="BV52">
        <v>0</v>
      </c>
      <c r="BW52">
        <v>1</v>
      </c>
      <c r="CU52">
        <f>ROUND(AT52*Source!I45*AH52*AL52,2)</f>
        <v>15617.54</v>
      </c>
      <c r="CV52">
        <f>ROUND(Y52*Source!I45,7)</f>
        <v>23.755800000000001</v>
      </c>
      <c r="CW52">
        <v>0</v>
      </c>
      <c r="CX52">
        <f>ROUND(Y52*Source!I45,7)</f>
        <v>23.755800000000001</v>
      </c>
      <c r="CY52">
        <f>AD52</f>
        <v>657.42</v>
      </c>
      <c r="CZ52">
        <f>AH52</f>
        <v>657.42</v>
      </c>
      <c r="DA52">
        <f>AL52</f>
        <v>1</v>
      </c>
      <c r="DB52">
        <f t="shared" si="29"/>
        <v>9006.65</v>
      </c>
      <c r="DC52">
        <f t="shared" si="30"/>
        <v>0</v>
      </c>
      <c r="DD52" t="s">
        <v>3</v>
      </c>
      <c r="DE52" t="s">
        <v>3</v>
      </c>
      <c r="DF52">
        <f t="shared" ref="DF52:DF57" si="31">ROUND(ROUND(AE52,2)*CX52,2)</f>
        <v>0</v>
      </c>
      <c r="DG52">
        <f t="shared" si="25"/>
        <v>0</v>
      </c>
      <c r="DH52">
        <f t="shared" si="15"/>
        <v>0</v>
      </c>
      <c r="DI52">
        <f t="shared" si="16"/>
        <v>15617.54</v>
      </c>
      <c r="DJ52">
        <f>DI52</f>
        <v>15617.54</v>
      </c>
      <c r="DK52">
        <v>1</v>
      </c>
      <c r="DL52" t="s">
        <v>3</v>
      </c>
      <c r="DM52">
        <v>0</v>
      </c>
      <c r="DN52" t="s">
        <v>3</v>
      </c>
      <c r="DO52">
        <v>0</v>
      </c>
    </row>
    <row r="53" spans="1:119" x14ac:dyDescent="0.2">
      <c r="A53">
        <f>ROW(Source!A45)</f>
        <v>45</v>
      </c>
      <c r="B53">
        <v>94298235</v>
      </c>
      <c r="C53">
        <v>94301610</v>
      </c>
      <c r="D53">
        <v>37064876</v>
      </c>
      <c r="E53">
        <v>118</v>
      </c>
      <c r="F53">
        <v>1</v>
      </c>
      <c r="G53">
        <v>1</v>
      </c>
      <c r="H53">
        <v>1</v>
      </c>
      <c r="I53" t="s">
        <v>267</v>
      </c>
      <c r="J53" t="s">
        <v>3</v>
      </c>
      <c r="K53" t="s">
        <v>268</v>
      </c>
      <c r="L53">
        <v>1191</v>
      </c>
      <c r="N53">
        <v>1013</v>
      </c>
      <c r="O53" t="s">
        <v>266</v>
      </c>
      <c r="P53" t="s">
        <v>266</v>
      </c>
      <c r="Q53">
        <v>1</v>
      </c>
      <c r="W53">
        <v>0</v>
      </c>
      <c r="X53">
        <v>-1417349443</v>
      </c>
      <c r="Y53">
        <f t="shared" si="28"/>
        <v>0.08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</v>
      </c>
      <c r="AJ53">
        <v>1</v>
      </c>
      <c r="AK53">
        <v>1</v>
      </c>
      <c r="AL53">
        <v>1</v>
      </c>
      <c r="AM53">
        <v>-2</v>
      </c>
      <c r="AN53">
        <v>0</v>
      </c>
      <c r="AO53">
        <v>0</v>
      </c>
      <c r="AP53">
        <v>0</v>
      </c>
      <c r="AQ53">
        <v>1</v>
      </c>
      <c r="AR53">
        <v>0</v>
      </c>
      <c r="AS53" t="s">
        <v>3</v>
      </c>
      <c r="AT53">
        <v>0.08</v>
      </c>
      <c r="AU53" t="s">
        <v>3</v>
      </c>
      <c r="AV53">
        <v>2</v>
      </c>
      <c r="AW53">
        <v>2</v>
      </c>
      <c r="AX53">
        <v>94301621</v>
      </c>
      <c r="AY53">
        <v>1</v>
      </c>
      <c r="AZ53">
        <v>0</v>
      </c>
      <c r="BA53">
        <v>50</v>
      </c>
      <c r="BB53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CV53">
        <v>0</v>
      </c>
      <c r="CW53">
        <v>0</v>
      </c>
      <c r="CX53">
        <f>ROUND(Y53*Source!I45,7)</f>
        <v>0.13872000000000001</v>
      </c>
      <c r="CY53">
        <f>AD53</f>
        <v>0</v>
      </c>
      <c r="CZ53">
        <f>AH53</f>
        <v>0</v>
      </c>
      <c r="DA53">
        <f>AL53</f>
        <v>1</v>
      </c>
      <c r="DB53">
        <f t="shared" si="29"/>
        <v>0</v>
      </c>
      <c r="DC53">
        <f t="shared" si="30"/>
        <v>0</v>
      </c>
      <c r="DD53" t="s">
        <v>3</v>
      </c>
      <c r="DE53" t="s">
        <v>3</v>
      </c>
      <c r="DF53">
        <f t="shared" si="31"/>
        <v>0</v>
      </c>
      <c r="DG53">
        <f t="shared" si="25"/>
        <v>0</v>
      </c>
      <c r="DH53">
        <f t="shared" si="15"/>
        <v>0</v>
      </c>
      <c r="DI53">
        <f t="shared" si="16"/>
        <v>0</v>
      </c>
      <c r="DJ53">
        <f>DI53</f>
        <v>0</v>
      </c>
      <c r="DK53">
        <v>0</v>
      </c>
      <c r="DL53" t="s">
        <v>3</v>
      </c>
      <c r="DM53">
        <v>0</v>
      </c>
      <c r="DN53" t="s">
        <v>3</v>
      </c>
      <c r="DO53">
        <v>0</v>
      </c>
    </row>
    <row r="54" spans="1:119" x14ac:dyDescent="0.2">
      <c r="A54">
        <f>ROW(Source!A45)</f>
        <v>45</v>
      </c>
      <c r="B54">
        <v>94298235</v>
      </c>
      <c r="C54">
        <v>94301610</v>
      </c>
      <c r="D54">
        <v>90281855</v>
      </c>
      <c r="E54">
        <v>1</v>
      </c>
      <c r="F54">
        <v>1</v>
      </c>
      <c r="G54">
        <v>1</v>
      </c>
      <c r="H54">
        <v>2</v>
      </c>
      <c r="I54" t="s">
        <v>269</v>
      </c>
      <c r="J54" t="s">
        <v>270</v>
      </c>
      <c r="K54" t="s">
        <v>271</v>
      </c>
      <c r="L54">
        <v>1368</v>
      </c>
      <c r="N54">
        <v>1011</v>
      </c>
      <c r="O54" t="s">
        <v>272</v>
      </c>
      <c r="P54" t="s">
        <v>272</v>
      </c>
      <c r="Q54">
        <v>1</v>
      </c>
      <c r="W54">
        <v>0</v>
      </c>
      <c r="X54">
        <v>-43419242</v>
      </c>
      <c r="Y54">
        <f t="shared" si="28"/>
        <v>0.09</v>
      </c>
      <c r="AA54">
        <v>0</v>
      </c>
      <c r="AB54">
        <v>9.93</v>
      </c>
      <c r="AC54">
        <v>0</v>
      </c>
      <c r="AD54">
        <v>0</v>
      </c>
      <c r="AE54">
        <v>0</v>
      </c>
      <c r="AF54">
        <v>6.62</v>
      </c>
      <c r="AG54">
        <v>0</v>
      </c>
      <c r="AH54">
        <v>0</v>
      </c>
      <c r="AI54">
        <v>1</v>
      </c>
      <c r="AJ54">
        <v>1.5</v>
      </c>
      <c r="AK54">
        <v>1</v>
      </c>
      <c r="AL54">
        <v>1</v>
      </c>
      <c r="AM54">
        <v>2</v>
      </c>
      <c r="AN54">
        <v>0</v>
      </c>
      <c r="AO54">
        <v>0</v>
      </c>
      <c r="AP54">
        <v>0</v>
      </c>
      <c r="AQ54">
        <v>1</v>
      </c>
      <c r="AR54">
        <v>0</v>
      </c>
      <c r="AS54" t="s">
        <v>3</v>
      </c>
      <c r="AT54">
        <v>0.09</v>
      </c>
      <c r="AU54" t="s">
        <v>3</v>
      </c>
      <c r="AV54">
        <v>1</v>
      </c>
      <c r="AW54">
        <v>2</v>
      </c>
      <c r="AX54">
        <v>94301622</v>
      </c>
      <c r="AY54">
        <v>1</v>
      </c>
      <c r="AZ54">
        <v>0</v>
      </c>
      <c r="BA54">
        <v>51</v>
      </c>
      <c r="BB54">
        <v>1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0.5958</v>
      </c>
      <c r="BL54">
        <v>0</v>
      </c>
      <c r="BM54">
        <v>0</v>
      </c>
      <c r="BN54">
        <v>0</v>
      </c>
      <c r="BO54">
        <v>0</v>
      </c>
      <c r="BP54">
        <v>1</v>
      </c>
      <c r="BQ54">
        <v>0</v>
      </c>
      <c r="BR54">
        <v>0.5958</v>
      </c>
      <c r="BS54">
        <v>0</v>
      </c>
      <c r="BT54">
        <v>0</v>
      </c>
      <c r="BU54">
        <v>0</v>
      </c>
      <c r="BV54">
        <v>0</v>
      </c>
      <c r="BW54">
        <v>1</v>
      </c>
      <c r="CV54">
        <v>0</v>
      </c>
      <c r="CW54">
        <f>ROUND(Y54*Source!I45*DO54,7)</f>
        <v>0</v>
      </c>
      <c r="CX54">
        <f>ROUND(Y54*Source!I45,7)</f>
        <v>0.15606</v>
      </c>
      <c r="CY54">
        <f>AB54</f>
        <v>9.93</v>
      </c>
      <c r="CZ54">
        <f>AF54</f>
        <v>6.62</v>
      </c>
      <c r="DA54">
        <f>AJ54</f>
        <v>1.5</v>
      </c>
      <c r="DB54">
        <f t="shared" si="29"/>
        <v>0.6</v>
      </c>
      <c r="DC54">
        <f t="shared" si="30"/>
        <v>0</v>
      </c>
      <c r="DD54" t="s">
        <v>3</v>
      </c>
      <c r="DE54" t="s">
        <v>3</v>
      </c>
      <c r="DF54">
        <f t="shared" si="31"/>
        <v>0</v>
      </c>
      <c r="DG54">
        <f>ROUND(ROUND(AF54*AJ54,2)*CX54,2)</f>
        <v>1.55</v>
      </c>
      <c r="DH54">
        <f t="shared" si="15"/>
        <v>0</v>
      </c>
      <c r="DI54">
        <f t="shared" si="16"/>
        <v>0</v>
      </c>
      <c r="DJ54">
        <f>DG54+DH54</f>
        <v>1.55</v>
      </c>
      <c r="DK54">
        <v>0</v>
      </c>
      <c r="DL54" t="s">
        <v>3</v>
      </c>
      <c r="DM54">
        <v>0</v>
      </c>
      <c r="DN54" t="s">
        <v>3</v>
      </c>
      <c r="DO54">
        <v>0</v>
      </c>
    </row>
    <row r="55" spans="1:119" x14ac:dyDescent="0.2">
      <c r="A55">
        <f>ROW(Source!A45)</f>
        <v>45</v>
      </c>
      <c r="B55">
        <v>94298235</v>
      </c>
      <c r="C55">
        <v>94301610</v>
      </c>
      <c r="D55">
        <v>90282618</v>
      </c>
      <c r="E55">
        <v>1</v>
      </c>
      <c r="F55">
        <v>1</v>
      </c>
      <c r="G55">
        <v>1</v>
      </c>
      <c r="H55">
        <v>2</v>
      </c>
      <c r="I55" t="s">
        <v>286</v>
      </c>
      <c r="J55" t="s">
        <v>287</v>
      </c>
      <c r="K55" t="s">
        <v>288</v>
      </c>
      <c r="L55">
        <v>1368</v>
      </c>
      <c r="N55">
        <v>1011</v>
      </c>
      <c r="O55" t="s">
        <v>272</v>
      </c>
      <c r="P55" t="s">
        <v>272</v>
      </c>
      <c r="Q55">
        <v>1</v>
      </c>
      <c r="W55">
        <v>0</v>
      </c>
      <c r="X55">
        <v>-312038840</v>
      </c>
      <c r="Y55">
        <f t="shared" si="28"/>
        <v>0.08</v>
      </c>
      <c r="AA55">
        <v>0</v>
      </c>
      <c r="AB55">
        <v>544.91999999999996</v>
      </c>
      <c r="AC55">
        <v>731.08</v>
      </c>
      <c r="AD55">
        <v>0</v>
      </c>
      <c r="AE55">
        <v>0</v>
      </c>
      <c r="AF55">
        <v>544.91999999999996</v>
      </c>
      <c r="AG55">
        <v>731.08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-2</v>
      </c>
      <c r="AN55">
        <v>0</v>
      </c>
      <c r="AO55">
        <v>0</v>
      </c>
      <c r="AP55">
        <v>0</v>
      </c>
      <c r="AQ55">
        <v>1</v>
      </c>
      <c r="AR55">
        <v>0</v>
      </c>
      <c r="AS55" t="s">
        <v>3</v>
      </c>
      <c r="AT55">
        <v>0.08</v>
      </c>
      <c r="AU55" t="s">
        <v>3</v>
      </c>
      <c r="AV55">
        <v>1</v>
      </c>
      <c r="AW55">
        <v>2</v>
      </c>
      <c r="AX55">
        <v>94301623</v>
      </c>
      <c r="AY55">
        <v>1</v>
      </c>
      <c r="AZ55">
        <v>0</v>
      </c>
      <c r="BA55">
        <v>52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43.593599999999995</v>
      </c>
      <c r="BL55">
        <v>58.486400000000003</v>
      </c>
      <c r="BM55">
        <v>0</v>
      </c>
      <c r="BN55">
        <v>0</v>
      </c>
      <c r="BO55">
        <v>0.08</v>
      </c>
      <c r="BP55">
        <v>1</v>
      </c>
      <c r="BQ55">
        <v>0</v>
      </c>
      <c r="BR55">
        <v>43.593599999999995</v>
      </c>
      <c r="BS55">
        <v>58.486400000000003</v>
      </c>
      <c r="BT55">
        <v>0</v>
      </c>
      <c r="BU55">
        <v>0</v>
      </c>
      <c r="BV55">
        <v>0.08</v>
      </c>
      <c r="BW55">
        <v>1</v>
      </c>
      <c r="CV55">
        <v>0</v>
      </c>
      <c r="CW55">
        <f>ROUND(Y55*Source!I45*DO55,7)</f>
        <v>0.13872000000000001</v>
      </c>
      <c r="CX55">
        <f>ROUND(Y55*Source!I45,7)</f>
        <v>0.13872000000000001</v>
      </c>
      <c r="CY55">
        <f>AB55</f>
        <v>544.91999999999996</v>
      </c>
      <c r="CZ55">
        <f>AF55</f>
        <v>544.91999999999996</v>
      </c>
      <c r="DA55">
        <f>AJ55</f>
        <v>1</v>
      </c>
      <c r="DB55">
        <f t="shared" si="29"/>
        <v>43.59</v>
      </c>
      <c r="DC55">
        <f t="shared" si="30"/>
        <v>58.49</v>
      </c>
      <c r="DD55" t="s">
        <v>3</v>
      </c>
      <c r="DE55" t="s">
        <v>3</v>
      </c>
      <c r="DF55">
        <f t="shared" si="31"/>
        <v>0</v>
      </c>
      <c r="DG55">
        <f>ROUND(ROUND(AF55,2)*CX55,2)</f>
        <v>75.59</v>
      </c>
      <c r="DH55">
        <f t="shared" si="15"/>
        <v>101.42</v>
      </c>
      <c r="DI55">
        <f t="shared" si="16"/>
        <v>0</v>
      </c>
      <c r="DJ55">
        <f>DG55+DH55</f>
        <v>177.01</v>
      </c>
      <c r="DK55">
        <v>1</v>
      </c>
      <c r="DL55" t="s">
        <v>276</v>
      </c>
      <c r="DM55">
        <v>4</v>
      </c>
      <c r="DN55" t="s">
        <v>266</v>
      </c>
      <c r="DO55">
        <v>1</v>
      </c>
    </row>
    <row r="56" spans="1:119" x14ac:dyDescent="0.2">
      <c r="A56">
        <f>ROW(Source!A45)</f>
        <v>45</v>
      </c>
      <c r="B56">
        <v>94298235</v>
      </c>
      <c r="C56">
        <v>94301610</v>
      </c>
      <c r="D56">
        <v>90282830</v>
      </c>
      <c r="E56">
        <v>1</v>
      </c>
      <c r="F56">
        <v>1</v>
      </c>
      <c r="G56">
        <v>1</v>
      </c>
      <c r="H56">
        <v>2</v>
      </c>
      <c r="I56" t="s">
        <v>332</v>
      </c>
      <c r="J56" t="s">
        <v>333</v>
      </c>
      <c r="K56" t="s">
        <v>334</v>
      </c>
      <c r="L56">
        <v>1368</v>
      </c>
      <c r="N56">
        <v>1011</v>
      </c>
      <c r="O56" t="s">
        <v>272</v>
      </c>
      <c r="P56" t="s">
        <v>272</v>
      </c>
      <c r="Q56">
        <v>1</v>
      </c>
      <c r="W56">
        <v>0</v>
      </c>
      <c r="X56">
        <v>-1218451404</v>
      </c>
      <c r="Y56">
        <f t="shared" si="28"/>
        <v>6.15</v>
      </c>
      <c r="AA56">
        <v>0</v>
      </c>
      <c r="AB56">
        <v>15.41</v>
      </c>
      <c r="AC56">
        <v>0</v>
      </c>
      <c r="AD56">
        <v>0</v>
      </c>
      <c r="AE56">
        <v>0</v>
      </c>
      <c r="AF56">
        <v>11.85</v>
      </c>
      <c r="AG56">
        <v>0</v>
      </c>
      <c r="AH56">
        <v>0</v>
      </c>
      <c r="AI56">
        <v>1</v>
      </c>
      <c r="AJ56">
        <v>1.3</v>
      </c>
      <c r="AK56">
        <v>1</v>
      </c>
      <c r="AL56">
        <v>1</v>
      </c>
      <c r="AM56">
        <v>2</v>
      </c>
      <c r="AN56">
        <v>0</v>
      </c>
      <c r="AO56">
        <v>0</v>
      </c>
      <c r="AP56">
        <v>0</v>
      </c>
      <c r="AQ56">
        <v>1</v>
      </c>
      <c r="AR56">
        <v>0</v>
      </c>
      <c r="AS56" t="s">
        <v>3</v>
      </c>
      <c r="AT56">
        <v>6.15</v>
      </c>
      <c r="AU56" t="s">
        <v>3</v>
      </c>
      <c r="AV56">
        <v>1</v>
      </c>
      <c r="AW56">
        <v>2</v>
      </c>
      <c r="AX56">
        <v>94301624</v>
      </c>
      <c r="AY56">
        <v>1</v>
      </c>
      <c r="AZ56">
        <v>0</v>
      </c>
      <c r="BA56">
        <v>53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72.877499999999998</v>
      </c>
      <c r="BL56">
        <v>0</v>
      </c>
      <c r="BM56">
        <v>0</v>
      </c>
      <c r="BN56">
        <v>0</v>
      </c>
      <c r="BO56">
        <v>0</v>
      </c>
      <c r="BP56">
        <v>1</v>
      </c>
      <c r="BQ56">
        <v>0</v>
      </c>
      <c r="BR56">
        <v>72.877499999999998</v>
      </c>
      <c r="BS56">
        <v>0</v>
      </c>
      <c r="BT56">
        <v>0</v>
      </c>
      <c r="BU56">
        <v>0</v>
      </c>
      <c r="BV56">
        <v>0</v>
      </c>
      <c r="BW56">
        <v>1</v>
      </c>
      <c r="CV56">
        <v>0</v>
      </c>
      <c r="CW56">
        <f>ROUND(Y56*Source!I45*DO56,7)</f>
        <v>0</v>
      </c>
      <c r="CX56">
        <f>ROUND(Y56*Source!I45,7)</f>
        <v>10.664099999999999</v>
      </c>
      <c r="CY56">
        <f>AB56</f>
        <v>15.41</v>
      </c>
      <c r="CZ56">
        <f>AF56</f>
        <v>11.85</v>
      </c>
      <c r="DA56">
        <f>AJ56</f>
        <v>1.3</v>
      </c>
      <c r="DB56">
        <f t="shared" si="29"/>
        <v>72.88</v>
      </c>
      <c r="DC56">
        <f t="shared" si="30"/>
        <v>0</v>
      </c>
      <c r="DD56" t="s">
        <v>3</v>
      </c>
      <c r="DE56" t="s">
        <v>3</v>
      </c>
      <c r="DF56">
        <f t="shared" si="31"/>
        <v>0</v>
      </c>
      <c r="DG56">
        <f>ROUND(ROUND(AF56*AJ56,2)*CX56,2)</f>
        <v>164.33</v>
      </c>
      <c r="DH56">
        <f t="shared" si="15"/>
        <v>0</v>
      </c>
      <c r="DI56">
        <f t="shared" si="16"/>
        <v>0</v>
      </c>
      <c r="DJ56">
        <f>DG56+DH56</f>
        <v>164.33</v>
      </c>
      <c r="DK56">
        <v>0</v>
      </c>
      <c r="DL56" t="s">
        <v>3</v>
      </c>
      <c r="DM56">
        <v>0</v>
      </c>
      <c r="DN56" t="s">
        <v>3</v>
      </c>
      <c r="DO56">
        <v>0</v>
      </c>
    </row>
    <row r="57" spans="1:119" x14ac:dyDescent="0.2">
      <c r="A57">
        <f>ROW(Source!A45)</f>
        <v>45</v>
      </c>
      <c r="B57">
        <v>94298235</v>
      </c>
      <c r="C57">
        <v>94301610</v>
      </c>
      <c r="D57">
        <v>90283183</v>
      </c>
      <c r="E57">
        <v>1</v>
      </c>
      <c r="F57">
        <v>1</v>
      </c>
      <c r="G57">
        <v>1</v>
      </c>
      <c r="H57">
        <v>2</v>
      </c>
      <c r="I57" t="s">
        <v>335</v>
      </c>
      <c r="J57" t="s">
        <v>336</v>
      </c>
      <c r="K57" t="s">
        <v>337</v>
      </c>
      <c r="L57">
        <v>1368</v>
      </c>
      <c r="N57">
        <v>1011</v>
      </c>
      <c r="O57" t="s">
        <v>272</v>
      </c>
      <c r="P57" t="s">
        <v>272</v>
      </c>
      <c r="Q57">
        <v>1</v>
      </c>
      <c r="W57">
        <v>0</v>
      </c>
      <c r="X57">
        <v>1784360336</v>
      </c>
      <c r="Y57">
        <f t="shared" si="28"/>
        <v>12.3</v>
      </c>
      <c r="AA57">
        <v>0</v>
      </c>
      <c r="AB57">
        <v>5.79</v>
      </c>
      <c r="AC57">
        <v>0</v>
      </c>
      <c r="AD57">
        <v>0</v>
      </c>
      <c r="AE57">
        <v>0</v>
      </c>
      <c r="AF57">
        <v>4.5199999999999996</v>
      </c>
      <c r="AG57">
        <v>0</v>
      </c>
      <c r="AH57">
        <v>0</v>
      </c>
      <c r="AI57">
        <v>1</v>
      </c>
      <c r="AJ57">
        <v>1.28</v>
      </c>
      <c r="AK57">
        <v>1</v>
      </c>
      <c r="AL57">
        <v>1</v>
      </c>
      <c r="AM57">
        <v>2</v>
      </c>
      <c r="AN57">
        <v>0</v>
      </c>
      <c r="AO57">
        <v>0</v>
      </c>
      <c r="AP57">
        <v>0</v>
      </c>
      <c r="AQ57">
        <v>1</v>
      </c>
      <c r="AR57">
        <v>0</v>
      </c>
      <c r="AS57" t="s">
        <v>3</v>
      </c>
      <c r="AT57">
        <v>12.3</v>
      </c>
      <c r="AU57" t="s">
        <v>3</v>
      </c>
      <c r="AV57">
        <v>1</v>
      </c>
      <c r="AW57">
        <v>2</v>
      </c>
      <c r="AX57">
        <v>94301625</v>
      </c>
      <c r="AY57">
        <v>1</v>
      </c>
      <c r="AZ57">
        <v>0</v>
      </c>
      <c r="BA57">
        <v>54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55.595999999999997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0</v>
      </c>
      <c r="BR57">
        <v>55.595999999999997</v>
      </c>
      <c r="BS57">
        <v>0</v>
      </c>
      <c r="BT57">
        <v>0</v>
      </c>
      <c r="BU57">
        <v>0</v>
      </c>
      <c r="BV57">
        <v>0</v>
      </c>
      <c r="BW57">
        <v>1</v>
      </c>
      <c r="CV57">
        <v>0</v>
      </c>
      <c r="CW57">
        <f>ROUND(Y57*Source!I45*DO57,7)</f>
        <v>0</v>
      </c>
      <c r="CX57">
        <f>ROUND(Y57*Source!I45,7)</f>
        <v>21.328199999999999</v>
      </c>
      <c r="CY57">
        <f>AB57</f>
        <v>5.79</v>
      </c>
      <c r="CZ57">
        <f>AF57</f>
        <v>4.5199999999999996</v>
      </c>
      <c r="DA57">
        <f>AJ57</f>
        <v>1.28</v>
      </c>
      <c r="DB57">
        <f t="shared" si="29"/>
        <v>55.6</v>
      </c>
      <c r="DC57">
        <f t="shared" si="30"/>
        <v>0</v>
      </c>
      <c r="DD57" t="s">
        <v>3</v>
      </c>
      <c r="DE57" t="s">
        <v>3</v>
      </c>
      <c r="DF57">
        <f t="shared" si="31"/>
        <v>0</v>
      </c>
      <c r="DG57">
        <f>ROUND(ROUND(AF57*AJ57,2)*CX57,2)</f>
        <v>123.49</v>
      </c>
      <c r="DH57">
        <f t="shared" si="15"/>
        <v>0</v>
      </c>
      <c r="DI57">
        <f t="shared" si="16"/>
        <v>0</v>
      </c>
      <c r="DJ57">
        <f>DG57+DH57</f>
        <v>123.49</v>
      </c>
      <c r="DK57">
        <v>0</v>
      </c>
      <c r="DL57" t="s">
        <v>3</v>
      </c>
      <c r="DM57">
        <v>0</v>
      </c>
      <c r="DN57" t="s">
        <v>3</v>
      </c>
      <c r="DO57">
        <v>0</v>
      </c>
    </row>
    <row r="58" spans="1:119" x14ac:dyDescent="0.2">
      <c r="A58">
        <f>ROW(Source!A45)</f>
        <v>45</v>
      </c>
      <c r="B58">
        <v>94298235</v>
      </c>
      <c r="C58">
        <v>94301610</v>
      </c>
      <c r="D58">
        <v>90234471</v>
      </c>
      <c r="E58">
        <v>1</v>
      </c>
      <c r="F58">
        <v>1</v>
      </c>
      <c r="G58">
        <v>1</v>
      </c>
      <c r="H58">
        <v>3</v>
      </c>
      <c r="I58" t="s">
        <v>338</v>
      </c>
      <c r="J58" t="s">
        <v>339</v>
      </c>
      <c r="K58" t="s">
        <v>340</v>
      </c>
      <c r="L58">
        <v>1346</v>
      </c>
      <c r="N58">
        <v>1009</v>
      </c>
      <c r="O58" t="s">
        <v>58</v>
      </c>
      <c r="P58" t="s">
        <v>58</v>
      </c>
      <c r="Q58">
        <v>1</v>
      </c>
      <c r="W58">
        <v>0</v>
      </c>
      <c r="X58">
        <v>651944166</v>
      </c>
      <c r="Y58">
        <f t="shared" si="28"/>
        <v>0.41</v>
      </c>
      <c r="AA58">
        <v>89.78</v>
      </c>
      <c r="AB58">
        <v>0</v>
      </c>
      <c r="AC58">
        <v>0</v>
      </c>
      <c r="AD58">
        <v>0</v>
      </c>
      <c r="AE58">
        <v>56.11</v>
      </c>
      <c r="AF58">
        <v>0</v>
      </c>
      <c r="AG58">
        <v>0</v>
      </c>
      <c r="AH58">
        <v>0</v>
      </c>
      <c r="AI58">
        <v>1.6</v>
      </c>
      <c r="AJ58">
        <v>1</v>
      </c>
      <c r="AK58">
        <v>1</v>
      </c>
      <c r="AL58">
        <v>1</v>
      </c>
      <c r="AM58">
        <v>2</v>
      </c>
      <c r="AN58">
        <v>0</v>
      </c>
      <c r="AO58">
        <v>0</v>
      </c>
      <c r="AP58">
        <v>0</v>
      </c>
      <c r="AQ58">
        <v>1</v>
      </c>
      <c r="AR58">
        <v>0</v>
      </c>
      <c r="AS58" t="s">
        <v>3</v>
      </c>
      <c r="AT58">
        <v>0.41</v>
      </c>
      <c r="AU58" t="s">
        <v>3</v>
      </c>
      <c r="AV58">
        <v>0</v>
      </c>
      <c r="AW58">
        <v>2</v>
      </c>
      <c r="AX58">
        <v>94301626</v>
      </c>
      <c r="AY58">
        <v>1</v>
      </c>
      <c r="AZ58">
        <v>0</v>
      </c>
      <c r="BA58">
        <v>55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23.005099999999999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1</v>
      </c>
      <c r="BQ58">
        <v>23.005099999999999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1</v>
      </c>
      <c r="CV58">
        <v>0</v>
      </c>
      <c r="CW58">
        <v>0</v>
      </c>
      <c r="CX58">
        <f>ROUND(Y58*Source!I45,7)</f>
        <v>0.71094000000000002</v>
      </c>
      <c r="CY58">
        <f>AA58</f>
        <v>89.78</v>
      </c>
      <c r="CZ58">
        <f>AE58</f>
        <v>56.11</v>
      </c>
      <c r="DA58">
        <f>AI58</f>
        <v>1.6</v>
      </c>
      <c r="DB58">
        <f t="shared" si="29"/>
        <v>23.01</v>
      </c>
      <c r="DC58">
        <f t="shared" si="30"/>
        <v>0</v>
      </c>
      <c r="DD58" t="s">
        <v>3</v>
      </c>
      <c r="DE58" t="s">
        <v>3</v>
      </c>
      <c r="DF58">
        <f>ROUND(ROUND(AE58*AI58,2)*CX58,2)</f>
        <v>63.83</v>
      </c>
      <c r="DG58">
        <f>ROUND(ROUND(AF58,2)*CX58,2)</f>
        <v>0</v>
      </c>
      <c r="DH58">
        <f t="shared" si="15"/>
        <v>0</v>
      </c>
      <c r="DI58">
        <f t="shared" si="16"/>
        <v>0</v>
      </c>
      <c r="DJ58">
        <f>DF58</f>
        <v>63.83</v>
      </c>
      <c r="DK58">
        <v>0</v>
      </c>
      <c r="DL58" t="s">
        <v>3</v>
      </c>
      <c r="DM58">
        <v>0</v>
      </c>
      <c r="DN58" t="s">
        <v>3</v>
      </c>
      <c r="DO58">
        <v>0</v>
      </c>
    </row>
    <row r="59" spans="1:119" x14ac:dyDescent="0.2">
      <c r="A59">
        <f>ROW(Source!A45)</f>
        <v>45</v>
      </c>
      <c r="B59">
        <v>94298235</v>
      </c>
      <c r="C59">
        <v>94301610</v>
      </c>
      <c r="D59">
        <v>90250859</v>
      </c>
      <c r="E59">
        <v>1</v>
      </c>
      <c r="F59">
        <v>1</v>
      </c>
      <c r="G59">
        <v>1</v>
      </c>
      <c r="H59">
        <v>3</v>
      </c>
      <c r="I59" t="s">
        <v>109</v>
      </c>
      <c r="J59" t="s">
        <v>111</v>
      </c>
      <c r="K59" t="s">
        <v>110</v>
      </c>
      <c r="L59">
        <v>1348</v>
      </c>
      <c r="N59">
        <v>1009</v>
      </c>
      <c r="O59" t="s">
        <v>30</v>
      </c>
      <c r="P59" t="s">
        <v>30</v>
      </c>
      <c r="Q59">
        <v>1000</v>
      </c>
      <c r="W59">
        <v>0</v>
      </c>
      <c r="X59">
        <v>-1162192685</v>
      </c>
      <c r="Y59">
        <f t="shared" si="28"/>
        <v>5.3800000000000001E-2</v>
      </c>
      <c r="AA59">
        <v>130636.64</v>
      </c>
      <c r="AB59">
        <v>0</v>
      </c>
      <c r="AC59">
        <v>0</v>
      </c>
      <c r="AD59">
        <v>0</v>
      </c>
      <c r="AE59">
        <v>119850.13</v>
      </c>
      <c r="AF59">
        <v>0</v>
      </c>
      <c r="AG59">
        <v>0</v>
      </c>
      <c r="AH59">
        <v>0</v>
      </c>
      <c r="AI59">
        <v>1.0900000000000001</v>
      </c>
      <c r="AJ59">
        <v>1</v>
      </c>
      <c r="AK59">
        <v>1</v>
      </c>
      <c r="AL59">
        <v>1</v>
      </c>
      <c r="AM59">
        <v>0</v>
      </c>
      <c r="AN59">
        <v>0</v>
      </c>
      <c r="AO59">
        <v>0</v>
      </c>
      <c r="AP59">
        <v>1</v>
      </c>
      <c r="AQ59">
        <v>0</v>
      </c>
      <c r="AR59">
        <v>0</v>
      </c>
      <c r="AS59" t="s">
        <v>3</v>
      </c>
      <c r="AT59">
        <v>5.3800000000000001E-2</v>
      </c>
      <c r="AU59" t="s">
        <v>3</v>
      </c>
      <c r="AV59">
        <v>0</v>
      </c>
      <c r="AW59">
        <v>1</v>
      </c>
      <c r="AX59">
        <v>-1</v>
      </c>
      <c r="AY59">
        <v>0</v>
      </c>
      <c r="AZ59">
        <v>0</v>
      </c>
      <c r="BA59" t="s">
        <v>3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CV59">
        <v>0</v>
      </c>
      <c r="CW59">
        <v>0</v>
      </c>
      <c r="CX59">
        <f>ROUND(Y59*Source!I45,7)</f>
        <v>9.3289200000000003E-2</v>
      </c>
      <c r="CY59">
        <f>AA59</f>
        <v>130636.64</v>
      </c>
      <c r="CZ59">
        <f>AE59</f>
        <v>119850.13</v>
      </c>
      <c r="DA59">
        <f>AI59</f>
        <v>1.0900000000000001</v>
      </c>
      <c r="DB59">
        <f t="shared" si="29"/>
        <v>6447.94</v>
      </c>
      <c r="DC59">
        <f t="shared" si="30"/>
        <v>0</v>
      </c>
      <c r="DD59" t="s">
        <v>3</v>
      </c>
      <c r="DE59" t="s">
        <v>3</v>
      </c>
      <c r="DF59">
        <f>ROUND(ROUND(AE59*AI59,2)*CX59,2)</f>
        <v>12186.99</v>
      </c>
      <c r="DG59">
        <f>ROUND(ROUND(AF59,2)*CX59,2)</f>
        <v>0</v>
      </c>
      <c r="DH59">
        <f t="shared" si="15"/>
        <v>0</v>
      </c>
      <c r="DI59">
        <f t="shared" si="16"/>
        <v>0</v>
      </c>
      <c r="DJ59">
        <f>DF59</f>
        <v>12186.99</v>
      </c>
      <c r="DK59">
        <v>0</v>
      </c>
      <c r="DL59" t="s">
        <v>3</v>
      </c>
      <c r="DM59">
        <v>0</v>
      </c>
      <c r="DN59" t="s">
        <v>3</v>
      </c>
      <c r="DO59">
        <v>0</v>
      </c>
    </row>
    <row r="60" spans="1:119" x14ac:dyDescent="0.2">
      <c r="A60">
        <f>ROW(Source!A45)</f>
        <v>45</v>
      </c>
      <c r="B60">
        <v>94298235</v>
      </c>
      <c r="C60">
        <v>94301610</v>
      </c>
      <c r="D60">
        <v>90251242</v>
      </c>
      <c r="E60">
        <v>1</v>
      </c>
      <c r="F60">
        <v>1</v>
      </c>
      <c r="G60">
        <v>1</v>
      </c>
      <c r="H60">
        <v>3</v>
      </c>
      <c r="I60" t="s">
        <v>341</v>
      </c>
      <c r="J60" t="s">
        <v>342</v>
      </c>
      <c r="K60" t="s">
        <v>343</v>
      </c>
      <c r="L60">
        <v>1346</v>
      </c>
      <c r="N60">
        <v>1009</v>
      </c>
      <c r="O60" t="s">
        <v>58</v>
      </c>
      <c r="P60" t="s">
        <v>58</v>
      </c>
      <c r="Q60">
        <v>1</v>
      </c>
      <c r="W60">
        <v>0</v>
      </c>
      <c r="X60">
        <v>-1374646314</v>
      </c>
      <c r="Y60">
        <f t="shared" si="28"/>
        <v>1.6</v>
      </c>
      <c r="AA60">
        <v>87.26</v>
      </c>
      <c r="AB60">
        <v>0</v>
      </c>
      <c r="AC60">
        <v>0</v>
      </c>
      <c r="AD60">
        <v>0</v>
      </c>
      <c r="AE60">
        <v>60.6</v>
      </c>
      <c r="AF60">
        <v>0</v>
      </c>
      <c r="AG60">
        <v>0</v>
      </c>
      <c r="AH60">
        <v>0</v>
      </c>
      <c r="AI60">
        <v>1.44</v>
      </c>
      <c r="AJ60">
        <v>1</v>
      </c>
      <c r="AK60">
        <v>1</v>
      </c>
      <c r="AL60">
        <v>1</v>
      </c>
      <c r="AM60">
        <v>2</v>
      </c>
      <c r="AN60">
        <v>0</v>
      </c>
      <c r="AO60">
        <v>0</v>
      </c>
      <c r="AP60">
        <v>0</v>
      </c>
      <c r="AQ60">
        <v>1</v>
      </c>
      <c r="AR60">
        <v>0</v>
      </c>
      <c r="AS60" t="s">
        <v>3</v>
      </c>
      <c r="AT60">
        <v>1.6</v>
      </c>
      <c r="AU60" t="s">
        <v>3</v>
      </c>
      <c r="AV60">
        <v>0</v>
      </c>
      <c r="AW60">
        <v>2</v>
      </c>
      <c r="AX60">
        <v>94301628</v>
      </c>
      <c r="AY60">
        <v>1</v>
      </c>
      <c r="AZ60">
        <v>0</v>
      </c>
      <c r="BA60">
        <v>57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96.960000000000008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1</v>
      </c>
      <c r="BQ60">
        <v>96.960000000000008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1</v>
      </c>
      <c r="CV60">
        <v>0</v>
      </c>
      <c r="CW60">
        <v>0</v>
      </c>
      <c r="CX60">
        <f>ROUND(Y60*Source!I45,7)</f>
        <v>2.7744</v>
      </c>
      <c r="CY60">
        <f>AA60</f>
        <v>87.26</v>
      </c>
      <c r="CZ60">
        <f>AE60</f>
        <v>60.6</v>
      </c>
      <c r="DA60">
        <f>AI60</f>
        <v>1.44</v>
      </c>
      <c r="DB60">
        <f t="shared" si="29"/>
        <v>96.96</v>
      </c>
      <c r="DC60">
        <f t="shared" si="30"/>
        <v>0</v>
      </c>
      <c r="DD60" t="s">
        <v>3</v>
      </c>
      <c r="DE60" t="s">
        <v>3</v>
      </c>
      <c r="DF60">
        <f>ROUND(ROUND(AE60*AI60,2)*CX60,2)</f>
        <v>242.09</v>
      </c>
      <c r="DG60">
        <f>ROUND(ROUND(AF60,2)*CX60,2)</f>
        <v>0</v>
      </c>
      <c r="DH60">
        <f t="shared" si="15"/>
        <v>0</v>
      </c>
      <c r="DI60">
        <f t="shared" si="16"/>
        <v>0</v>
      </c>
      <c r="DJ60">
        <f>DF60</f>
        <v>242.09</v>
      </c>
      <c r="DK60">
        <v>0</v>
      </c>
      <c r="DL60" t="s">
        <v>3</v>
      </c>
      <c r="DM60">
        <v>0</v>
      </c>
      <c r="DN60" t="s">
        <v>3</v>
      </c>
      <c r="DO60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7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ROW(Source!A28)</f>
        <v>28</v>
      </c>
      <c r="B1">
        <v>94299380</v>
      </c>
      <c r="C1">
        <v>94299372</v>
      </c>
      <c r="D1">
        <v>87229759</v>
      </c>
      <c r="E1">
        <v>117</v>
      </c>
      <c r="F1">
        <v>1</v>
      </c>
      <c r="G1">
        <v>1</v>
      </c>
      <c r="H1">
        <v>1</v>
      </c>
      <c r="I1" t="s">
        <v>264</v>
      </c>
      <c r="J1" t="s">
        <v>3</v>
      </c>
      <c r="K1" t="s">
        <v>265</v>
      </c>
      <c r="L1">
        <v>1191</v>
      </c>
      <c r="N1">
        <v>1013</v>
      </c>
      <c r="O1" t="s">
        <v>266</v>
      </c>
      <c r="P1" t="s">
        <v>266</v>
      </c>
      <c r="Q1">
        <v>1</v>
      </c>
      <c r="X1">
        <v>171.2</v>
      </c>
      <c r="Y1">
        <v>0</v>
      </c>
      <c r="Z1">
        <v>0</v>
      </c>
      <c r="AA1">
        <v>0</v>
      </c>
      <c r="AB1">
        <v>657.38</v>
      </c>
      <c r="AC1">
        <v>0</v>
      </c>
      <c r="AD1">
        <v>1</v>
      </c>
      <c r="AE1">
        <v>1</v>
      </c>
      <c r="AF1" t="s">
        <v>3</v>
      </c>
      <c r="AG1">
        <v>171.2</v>
      </c>
      <c r="AH1">
        <v>2</v>
      </c>
      <c r="AI1">
        <v>94299373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ROW(Source!A28)</f>
        <v>28</v>
      </c>
      <c r="B2">
        <v>94299381</v>
      </c>
      <c r="C2">
        <v>94299372</v>
      </c>
      <c r="D2">
        <v>87229949</v>
      </c>
      <c r="E2">
        <v>117</v>
      </c>
      <c r="F2">
        <v>1</v>
      </c>
      <c r="G2">
        <v>1</v>
      </c>
      <c r="H2">
        <v>1</v>
      </c>
      <c r="I2" t="s">
        <v>267</v>
      </c>
      <c r="J2" t="s">
        <v>3</v>
      </c>
      <c r="K2" t="s">
        <v>268</v>
      </c>
      <c r="L2">
        <v>1191</v>
      </c>
      <c r="N2">
        <v>1013</v>
      </c>
      <c r="O2" t="s">
        <v>266</v>
      </c>
      <c r="P2" t="s">
        <v>266</v>
      </c>
      <c r="Q2">
        <v>1</v>
      </c>
      <c r="X2">
        <v>1.32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2</v>
      </c>
      <c r="AF2" t="s">
        <v>3</v>
      </c>
      <c r="AG2">
        <v>1.32</v>
      </c>
      <c r="AH2">
        <v>2</v>
      </c>
      <c r="AI2">
        <v>94299374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ROW(Source!A28)</f>
        <v>28</v>
      </c>
      <c r="B3">
        <v>94299382</v>
      </c>
      <c r="C3">
        <v>94299372</v>
      </c>
      <c r="D3">
        <v>87236577</v>
      </c>
      <c r="E3">
        <v>1</v>
      </c>
      <c r="F3">
        <v>1</v>
      </c>
      <c r="G3">
        <v>1</v>
      </c>
      <c r="H3">
        <v>2</v>
      </c>
      <c r="I3" t="s">
        <v>269</v>
      </c>
      <c r="J3" t="s">
        <v>270</v>
      </c>
      <c r="K3" t="s">
        <v>271</v>
      </c>
      <c r="L3">
        <v>1368</v>
      </c>
      <c r="N3">
        <v>1011</v>
      </c>
      <c r="O3" t="s">
        <v>272</v>
      </c>
      <c r="P3" t="s">
        <v>272</v>
      </c>
      <c r="Q3">
        <v>1</v>
      </c>
      <c r="X3">
        <v>0.71</v>
      </c>
      <c r="Y3">
        <v>0</v>
      </c>
      <c r="Z3">
        <v>6.62</v>
      </c>
      <c r="AA3">
        <v>0</v>
      </c>
      <c r="AB3">
        <v>0</v>
      </c>
      <c r="AC3">
        <v>0</v>
      </c>
      <c r="AD3">
        <v>1</v>
      </c>
      <c r="AE3">
        <v>0</v>
      </c>
      <c r="AF3" t="s">
        <v>3</v>
      </c>
      <c r="AG3">
        <v>0.71</v>
      </c>
      <c r="AH3">
        <v>2</v>
      </c>
      <c r="AI3">
        <v>94299375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ROW(Source!A28)</f>
        <v>28</v>
      </c>
      <c r="B4">
        <v>94299383</v>
      </c>
      <c r="C4">
        <v>94299372</v>
      </c>
      <c r="D4">
        <v>87236608</v>
      </c>
      <c r="E4">
        <v>1</v>
      </c>
      <c r="F4">
        <v>1</v>
      </c>
      <c r="G4">
        <v>1</v>
      </c>
      <c r="H4">
        <v>2</v>
      </c>
      <c r="I4" t="s">
        <v>273</v>
      </c>
      <c r="J4" t="s">
        <v>274</v>
      </c>
      <c r="K4" t="s">
        <v>275</v>
      </c>
      <c r="L4">
        <v>1368</v>
      </c>
      <c r="N4">
        <v>1011</v>
      </c>
      <c r="O4" t="s">
        <v>272</v>
      </c>
      <c r="P4" t="s">
        <v>272</v>
      </c>
      <c r="Q4">
        <v>1</v>
      </c>
      <c r="X4">
        <v>1.32</v>
      </c>
      <c r="Y4">
        <v>0</v>
      </c>
      <c r="Z4">
        <v>671.67</v>
      </c>
      <c r="AA4">
        <v>722.05</v>
      </c>
      <c r="AB4">
        <v>0</v>
      </c>
      <c r="AC4">
        <v>0</v>
      </c>
      <c r="AD4">
        <v>1</v>
      </c>
      <c r="AE4">
        <v>0</v>
      </c>
      <c r="AF4" t="s">
        <v>3</v>
      </c>
      <c r="AG4">
        <v>1.32</v>
      </c>
      <c r="AH4">
        <v>2</v>
      </c>
      <c r="AI4">
        <v>94299376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ROW(Source!A28)</f>
        <v>28</v>
      </c>
      <c r="B5">
        <v>94299384</v>
      </c>
      <c r="C5">
        <v>94299372</v>
      </c>
      <c r="D5">
        <v>87304091</v>
      </c>
      <c r="E5">
        <v>1</v>
      </c>
      <c r="F5">
        <v>1</v>
      </c>
      <c r="G5">
        <v>1</v>
      </c>
      <c r="H5">
        <v>3</v>
      </c>
      <c r="I5" t="s">
        <v>277</v>
      </c>
      <c r="J5" t="s">
        <v>278</v>
      </c>
      <c r="K5" t="s">
        <v>279</v>
      </c>
      <c r="L5">
        <v>1339</v>
      </c>
      <c r="N5">
        <v>1007</v>
      </c>
      <c r="O5" t="s">
        <v>280</v>
      </c>
      <c r="P5" t="s">
        <v>280</v>
      </c>
      <c r="Q5">
        <v>1</v>
      </c>
      <c r="X5">
        <v>0.35</v>
      </c>
      <c r="Y5">
        <v>35.71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 t="s">
        <v>3</v>
      </c>
      <c r="AG5">
        <v>0.35</v>
      </c>
      <c r="AH5">
        <v>2</v>
      </c>
      <c r="AI5">
        <v>94299377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ROW(Source!A28)</f>
        <v>28</v>
      </c>
      <c r="B6">
        <v>94299385</v>
      </c>
      <c r="C6">
        <v>94299372</v>
      </c>
      <c r="D6">
        <v>87308053</v>
      </c>
      <c r="E6">
        <v>1</v>
      </c>
      <c r="F6">
        <v>1</v>
      </c>
      <c r="G6">
        <v>1</v>
      </c>
      <c r="H6">
        <v>3</v>
      </c>
      <c r="I6" t="s">
        <v>281</v>
      </c>
      <c r="J6" t="s">
        <v>282</v>
      </c>
      <c r="K6" t="s">
        <v>283</v>
      </c>
      <c r="L6">
        <v>1339</v>
      </c>
      <c r="N6">
        <v>1007</v>
      </c>
      <c r="O6" t="s">
        <v>280</v>
      </c>
      <c r="P6" t="s">
        <v>280</v>
      </c>
      <c r="Q6">
        <v>1</v>
      </c>
      <c r="X6">
        <v>2.2000000000000002</v>
      </c>
      <c r="Y6">
        <v>3392.36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 t="s">
        <v>3</v>
      </c>
      <c r="AG6">
        <v>2.2000000000000002</v>
      </c>
      <c r="AH6">
        <v>2</v>
      </c>
      <c r="AI6">
        <v>94299378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ROW(Source!A28)</f>
        <v>28</v>
      </c>
      <c r="B7">
        <v>94299386</v>
      </c>
      <c r="C7">
        <v>94299372</v>
      </c>
      <c r="D7">
        <v>87235788</v>
      </c>
      <c r="E7">
        <v>117</v>
      </c>
      <c r="F7">
        <v>1</v>
      </c>
      <c r="G7">
        <v>1</v>
      </c>
      <c r="H7">
        <v>3</v>
      </c>
      <c r="I7" t="s">
        <v>28</v>
      </c>
      <c r="J7" t="s">
        <v>3</v>
      </c>
      <c r="K7" t="s">
        <v>29</v>
      </c>
      <c r="L7">
        <v>1348</v>
      </c>
      <c r="N7">
        <v>1009</v>
      </c>
      <c r="O7" t="s">
        <v>30</v>
      </c>
      <c r="P7" t="s">
        <v>30</v>
      </c>
      <c r="Q7">
        <v>1000</v>
      </c>
      <c r="X7">
        <v>4.84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 t="s">
        <v>3</v>
      </c>
      <c r="AG7">
        <v>4.84</v>
      </c>
      <c r="AH7">
        <v>2</v>
      </c>
      <c r="AI7">
        <v>94299379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ROW(Source!A30)</f>
        <v>30</v>
      </c>
      <c r="B8">
        <v>94299395</v>
      </c>
      <c r="C8">
        <v>94299388</v>
      </c>
      <c r="D8">
        <v>87229759</v>
      </c>
      <c r="E8">
        <v>117</v>
      </c>
      <c r="F8">
        <v>1</v>
      </c>
      <c r="G8">
        <v>1</v>
      </c>
      <c r="H8">
        <v>1</v>
      </c>
      <c r="I8" t="s">
        <v>264</v>
      </c>
      <c r="J8" t="s">
        <v>3</v>
      </c>
      <c r="K8" t="s">
        <v>265</v>
      </c>
      <c r="L8">
        <v>1191</v>
      </c>
      <c r="N8">
        <v>1013</v>
      </c>
      <c r="O8" t="s">
        <v>266</v>
      </c>
      <c r="P8" t="s">
        <v>266</v>
      </c>
      <c r="Q8">
        <v>1</v>
      </c>
      <c r="X8">
        <v>32.18</v>
      </c>
      <c r="Y8">
        <v>0</v>
      </c>
      <c r="Z8">
        <v>0</v>
      </c>
      <c r="AA8">
        <v>0</v>
      </c>
      <c r="AB8">
        <v>665.61</v>
      </c>
      <c r="AC8">
        <v>0</v>
      </c>
      <c r="AD8">
        <v>1</v>
      </c>
      <c r="AE8">
        <v>1</v>
      </c>
      <c r="AF8" t="s">
        <v>35</v>
      </c>
      <c r="AG8">
        <v>96.539999999999992</v>
      </c>
      <c r="AH8">
        <v>2</v>
      </c>
      <c r="AI8">
        <v>94299389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ROW(Source!A30)</f>
        <v>30</v>
      </c>
      <c r="B9">
        <v>94299396</v>
      </c>
      <c r="C9">
        <v>94299388</v>
      </c>
      <c r="D9">
        <v>87229949</v>
      </c>
      <c r="E9">
        <v>117</v>
      </c>
      <c r="F9">
        <v>1</v>
      </c>
      <c r="G9">
        <v>1</v>
      </c>
      <c r="H9">
        <v>1</v>
      </c>
      <c r="I9" t="s">
        <v>267</v>
      </c>
      <c r="J9" t="s">
        <v>3</v>
      </c>
      <c r="K9" t="s">
        <v>268</v>
      </c>
      <c r="L9">
        <v>1191</v>
      </c>
      <c r="N9">
        <v>1013</v>
      </c>
      <c r="O9" t="s">
        <v>266</v>
      </c>
      <c r="P9" t="s">
        <v>266</v>
      </c>
      <c r="Q9">
        <v>1</v>
      </c>
      <c r="X9">
        <v>0.66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2</v>
      </c>
      <c r="AF9" t="s">
        <v>35</v>
      </c>
      <c r="AG9">
        <v>1.98</v>
      </c>
      <c r="AH9">
        <v>2</v>
      </c>
      <c r="AI9">
        <v>94299390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ROW(Source!A30)</f>
        <v>30</v>
      </c>
      <c r="B10">
        <v>94299397</v>
      </c>
      <c r="C10">
        <v>94299388</v>
      </c>
      <c r="D10">
        <v>87236577</v>
      </c>
      <c r="E10">
        <v>1</v>
      </c>
      <c r="F10">
        <v>1</v>
      </c>
      <c r="G10">
        <v>1</v>
      </c>
      <c r="H10">
        <v>2</v>
      </c>
      <c r="I10" t="s">
        <v>269</v>
      </c>
      <c r="J10" t="s">
        <v>270</v>
      </c>
      <c r="K10" t="s">
        <v>271</v>
      </c>
      <c r="L10">
        <v>1368</v>
      </c>
      <c r="N10">
        <v>1011</v>
      </c>
      <c r="O10" t="s">
        <v>272</v>
      </c>
      <c r="P10" t="s">
        <v>272</v>
      </c>
      <c r="Q10">
        <v>1</v>
      </c>
      <c r="X10">
        <v>0.36</v>
      </c>
      <c r="Y10">
        <v>0</v>
      </c>
      <c r="Z10">
        <v>6.62</v>
      </c>
      <c r="AA10">
        <v>0</v>
      </c>
      <c r="AB10">
        <v>0</v>
      </c>
      <c r="AC10">
        <v>0</v>
      </c>
      <c r="AD10">
        <v>1</v>
      </c>
      <c r="AE10">
        <v>0</v>
      </c>
      <c r="AF10" t="s">
        <v>35</v>
      </c>
      <c r="AG10">
        <v>1.08</v>
      </c>
      <c r="AH10">
        <v>2</v>
      </c>
      <c r="AI10">
        <v>94299391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ROW(Source!A30)</f>
        <v>30</v>
      </c>
      <c r="B11">
        <v>94299398</v>
      </c>
      <c r="C11">
        <v>94299388</v>
      </c>
      <c r="D11">
        <v>87236608</v>
      </c>
      <c r="E11">
        <v>1</v>
      </c>
      <c r="F11">
        <v>1</v>
      </c>
      <c r="G11">
        <v>1</v>
      </c>
      <c r="H11">
        <v>2</v>
      </c>
      <c r="I11" t="s">
        <v>273</v>
      </c>
      <c r="J11" t="s">
        <v>274</v>
      </c>
      <c r="K11" t="s">
        <v>275</v>
      </c>
      <c r="L11">
        <v>1368</v>
      </c>
      <c r="N11">
        <v>1011</v>
      </c>
      <c r="O11" t="s">
        <v>272</v>
      </c>
      <c r="P11" t="s">
        <v>272</v>
      </c>
      <c r="Q11">
        <v>1</v>
      </c>
      <c r="X11">
        <v>0.66</v>
      </c>
      <c r="Y11">
        <v>0</v>
      </c>
      <c r="Z11">
        <v>603.94000000000005</v>
      </c>
      <c r="AA11">
        <v>731.08</v>
      </c>
      <c r="AB11">
        <v>0</v>
      </c>
      <c r="AC11">
        <v>0</v>
      </c>
      <c r="AD11">
        <v>1</v>
      </c>
      <c r="AE11">
        <v>0</v>
      </c>
      <c r="AF11" t="s">
        <v>35</v>
      </c>
      <c r="AG11">
        <v>1.98</v>
      </c>
      <c r="AH11">
        <v>2</v>
      </c>
      <c r="AI11">
        <v>94299392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ROW(Source!A30)</f>
        <v>30</v>
      </c>
      <c r="B12">
        <v>94299399</v>
      </c>
      <c r="C12">
        <v>94299388</v>
      </c>
      <c r="D12">
        <v>87308053</v>
      </c>
      <c r="E12">
        <v>1</v>
      </c>
      <c r="F12">
        <v>1</v>
      </c>
      <c r="G12">
        <v>1</v>
      </c>
      <c r="H12">
        <v>3</v>
      </c>
      <c r="I12" t="s">
        <v>281</v>
      </c>
      <c r="J12" t="s">
        <v>282</v>
      </c>
      <c r="K12" t="s">
        <v>283</v>
      </c>
      <c r="L12">
        <v>1339</v>
      </c>
      <c r="N12">
        <v>1007</v>
      </c>
      <c r="O12" t="s">
        <v>280</v>
      </c>
      <c r="P12" t="s">
        <v>280</v>
      </c>
      <c r="Q12">
        <v>1</v>
      </c>
      <c r="X12">
        <v>1.1000000000000001</v>
      </c>
      <c r="Y12">
        <v>3392.36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 t="s">
        <v>35</v>
      </c>
      <c r="AG12">
        <v>3.3000000000000003</v>
      </c>
      <c r="AH12">
        <v>2</v>
      </c>
      <c r="AI12">
        <v>94299393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ROW(Source!A30)</f>
        <v>30</v>
      </c>
      <c r="B13">
        <v>94299400</v>
      </c>
      <c r="C13">
        <v>94299388</v>
      </c>
      <c r="D13">
        <v>87235788</v>
      </c>
      <c r="E13">
        <v>117</v>
      </c>
      <c r="F13">
        <v>1</v>
      </c>
      <c r="G13">
        <v>1</v>
      </c>
      <c r="H13">
        <v>3</v>
      </c>
      <c r="I13" t="s">
        <v>28</v>
      </c>
      <c r="J13" t="s">
        <v>3</v>
      </c>
      <c r="K13" t="s">
        <v>29</v>
      </c>
      <c r="L13">
        <v>1348</v>
      </c>
      <c r="N13">
        <v>1009</v>
      </c>
      <c r="O13" t="s">
        <v>30</v>
      </c>
      <c r="P13" t="s">
        <v>30</v>
      </c>
      <c r="Q13">
        <v>1000</v>
      </c>
      <c r="X13">
        <v>2.42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 t="s">
        <v>35</v>
      </c>
      <c r="AG13">
        <v>7.26</v>
      </c>
      <c r="AH13">
        <v>2</v>
      </c>
      <c r="AI13">
        <v>94299394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ROW(Source!A32)</f>
        <v>32</v>
      </c>
      <c r="B14">
        <v>94300574</v>
      </c>
      <c r="C14">
        <v>94300573</v>
      </c>
      <c r="D14">
        <v>90155098</v>
      </c>
      <c r="E14">
        <v>118</v>
      </c>
      <c r="F14">
        <v>1</v>
      </c>
      <c r="G14">
        <v>1</v>
      </c>
      <c r="H14">
        <v>1</v>
      </c>
      <c r="I14" t="s">
        <v>284</v>
      </c>
      <c r="J14" t="s">
        <v>3</v>
      </c>
      <c r="K14" t="s">
        <v>285</v>
      </c>
      <c r="L14">
        <v>1191</v>
      </c>
      <c r="N14">
        <v>1013</v>
      </c>
      <c r="O14" t="s">
        <v>266</v>
      </c>
      <c r="P14" t="s">
        <v>266</v>
      </c>
      <c r="Q14">
        <v>1</v>
      </c>
      <c r="X14">
        <v>65.010000000000005</v>
      </c>
      <c r="Y14">
        <v>0</v>
      </c>
      <c r="Z14">
        <v>0</v>
      </c>
      <c r="AA14">
        <v>0</v>
      </c>
      <c r="AB14">
        <v>796.55</v>
      </c>
      <c r="AC14">
        <v>0</v>
      </c>
      <c r="AD14">
        <v>1</v>
      </c>
      <c r="AE14">
        <v>1</v>
      </c>
      <c r="AF14" t="s">
        <v>42</v>
      </c>
      <c r="AG14">
        <v>74.761499999999998</v>
      </c>
      <c r="AH14">
        <v>2</v>
      </c>
      <c r="AI14">
        <v>94300574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ROW(Source!A32)</f>
        <v>32</v>
      </c>
      <c r="B15">
        <v>94300575</v>
      </c>
      <c r="C15">
        <v>94300573</v>
      </c>
      <c r="D15">
        <v>90155259</v>
      </c>
      <c r="E15">
        <v>118</v>
      </c>
      <c r="F15">
        <v>1</v>
      </c>
      <c r="G15">
        <v>1</v>
      </c>
      <c r="H15">
        <v>1</v>
      </c>
      <c r="I15" t="s">
        <v>267</v>
      </c>
      <c r="J15" t="s">
        <v>3</v>
      </c>
      <c r="K15" t="s">
        <v>268</v>
      </c>
      <c r="L15">
        <v>1191</v>
      </c>
      <c r="N15">
        <v>1013</v>
      </c>
      <c r="O15" t="s">
        <v>266</v>
      </c>
      <c r="P15" t="s">
        <v>266</v>
      </c>
      <c r="Q15">
        <v>1</v>
      </c>
      <c r="X15">
        <v>0.52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2</v>
      </c>
      <c r="AF15" t="s">
        <v>41</v>
      </c>
      <c r="AG15">
        <v>0.65</v>
      </c>
      <c r="AH15">
        <v>2</v>
      </c>
      <c r="AI15">
        <v>94300575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ROW(Source!A32)</f>
        <v>32</v>
      </c>
      <c r="B16">
        <v>94300576</v>
      </c>
      <c r="C16">
        <v>94300573</v>
      </c>
      <c r="D16">
        <v>90281855</v>
      </c>
      <c r="E16">
        <v>1</v>
      </c>
      <c r="F16">
        <v>1</v>
      </c>
      <c r="G16">
        <v>1</v>
      </c>
      <c r="H16">
        <v>2</v>
      </c>
      <c r="I16" t="s">
        <v>269</v>
      </c>
      <c r="J16" t="s">
        <v>270</v>
      </c>
      <c r="K16" t="s">
        <v>271</v>
      </c>
      <c r="L16">
        <v>1368</v>
      </c>
      <c r="N16">
        <v>1011</v>
      </c>
      <c r="O16" t="s">
        <v>272</v>
      </c>
      <c r="P16" t="s">
        <v>272</v>
      </c>
      <c r="Q16">
        <v>1</v>
      </c>
      <c r="X16">
        <v>0.61</v>
      </c>
      <c r="Y16">
        <v>0</v>
      </c>
      <c r="Z16">
        <v>6.62</v>
      </c>
      <c r="AA16">
        <v>0</v>
      </c>
      <c r="AB16">
        <v>0</v>
      </c>
      <c r="AC16">
        <v>0</v>
      </c>
      <c r="AD16">
        <v>1</v>
      </c>
      <c r="AE16">
        <v>0</v>
      </c>
      <c r="AF16" t="s">
        <v>41</v>
      </c>
      <c r="AG16">
        <v>0.76249999999999996</v>
      </c>
      <c r="AH16">
        <v>2</v>
      </c>
      <c r="AI16">
        <v>94300576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ROW(Source!A32)</f>
        <v>32</v>
      </c>
      <c r="B17">
        <v>94300577</v>
      </c>
      <c r="C17">
        <v>94300573</v>
      </c>
      <c r="D17">
        <v>90282618</v>
      </c>
      <c r="E17">
        <v>1</v>
      </c>
      <c r="F17">
        <v>1</v>
      </c>
      <c r="G17">
        <v>1</v>
      </c>
      <c r="H17">
        <v>2</v>
      </c>
      <c r="I17" t="s">
        <v>286</v>
      </c>
      <c r="J17" t="s">
        <v>287</v>
      </c>
      <c r="K17" t="s">
        <v>288</v>
      </c>
      <c r="L17">
        <v>1368</v>
      </c>
      <c r="N17">
        <v>1011</v>
      </c>
      <c r="O17" t="s">
        <v>272</v>
      </c>
      <c r="P17" t="s">
        <v>272</v>
      </c>
      <c r="Q17">
        <v>1</v>
      </c>
      <c r="X17">
        <v>0.52</v>
      </c>
      <c r="Y17">
        <v>0</v>
      </c>
      <c r="Z17">
        <v>544.91999999999996</v>
      </c>
      <c r="AA17">
        <v>731.08</v>
      </c>
      <c r="AB17">
        <v>0</v>
      </c>
      <c r="AC17">
        <v>0</v>
      </c>
      <c r="AD17">
        <v>1</v>
      </c>
      <c r="AE17">
        <v>0</v>
      </c>
      <c r="AF17" t="s">
        <v>41</v>
      </c>
      <c r="AG17">
        <v>0.65</v>
      </c>
      <c r="AH17">
        <v>2</v>
      </c>
      <c r="AI17">
        <v>94300577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ROW(Source!A32)</f>
        <v>32</v>
      </c>
      <c r="B18">
        <v>94300578</v>
      </c>
      <c r="C18">
        <v>94300573</v>
      </c>
      <c r="D18">
        <v>90231823</v>
      </c>
      <c r="E18">
        <v>1</v>
      </c>
      <c r="F18">
        <v>1</v>
      </c>
      <c r="G18">
        <v>1</v>
      </c>
      <c r="H18">
        <v>3</v>
      </c>
      <c r="I18" t="s">
        <v>277</v>
      </c>
      <c r="J18" t="s">
        <v>278</v>
      </c>
      <c r="K18" t="s">
        <v>279</v>
      </c>
      <c r="L18">
        <v>1339</v>
      </c>
      <c r="N18">
        <v>1007</v>
      </c>
      <c r="O18" t="s">
        <v>280</v>
      </c>
      <c r="P18" t="s">
        <v>280</v>
      </c>
      <c r="Q18">
        <v>1</v>
      </c>
      <c r="X18">
        <v>7.3999999999999996E-2</v>
      </c>
      <c r="Y18">
        <v>35.71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 t="s">
        <v>3</v>
      </c>
      <c r="AG18">
        <v>7.3999999999999996E-2</v>
      </c>
      <c r="AH18">
        <v>2</v>
      </c>
      <c r="AI18">
        <v>94300578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ROW(Source!A32)</f>
        <v>32</v>
      </c>
      <c r="B19">
        <v>94300579</v>
      </c>
      <c r="C19">
        <v>94300573</v>
      </c>
      <c r="D19">
        <v>90231835</v>
      </c>
      <c r="E19">
        <v>1</v>
      </c>
      <c r="F19">
        <v>1</v>
      </c>
      <c r="G19">
        <v>1</v>
      </c>
      <c r="H19">
        <v>3</v>
      </c>
      <c r="I19" t="s">
        <v>289</v>
      </c>
      <c r="J19" t="s">
        <v>290</v>
      </c>
      <c r="K19" t="s">
        <v>291</v>
      </c>
      <c r="L19">
        <v>1383</v>
      </c>
      <c r="N19">
        <v>1013</v>
      </c>
      <c r="O19" t="s">
        <v>292</v>
      </c>
      <c r="P19" t="s">
        <v>292</v>
      </c>
      <c r="Q19">
        <v>1</v>
      </c>
      <c r="X19">
        <v>0.96199999999999997</v>
      </c>
      <c r="Y19">
        <v>6.92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 t="s">
        <v>3</v>
      </c>
      <c r="AG19">
        <v>0.96199999999999997</v>
      </c>
      <c r="AH19">
        <v>2</v>
      </c>
      <c r="AI19">
        <v>94300579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ROW(Source!A32)</f>
        <v>32</v>
      </c>
      <c r="B20">
        <v>94300580</v>
      </c>
      <c r="C20">
        <v>94300573</v>
      </c>
      <c r="D20">
        <v>90156550</v>
      </c>
      <c r="E20">
        <v>118</v>
      </c>
      <c r="F20">
        <v>1</v>
      </c>
      <c r="G20">
        <v>1</v>
      </c>
      <c r="H20">
        <v>3</v>
      </c>
      <c r="I20" t="s">
        <v>344</v>
      </c>
      <c r="J20" t="s">
        <v>3</v>
      </c>
      <c r="K20" t="s">
        <v>345</v>
      </c>
      <c r="L20">
        <v>1348</v>
      </c>
      <c r="N20">
        <v>1009</v>
      </c>
      <c r="O20" t="s">
        <v>30</v>
      </c>
      <c r="P20" t="s">
        <v>30</v>
      </c>
      <c r="Q20">
        <v>1000</v>
      </c>
      <c r="X20">
        <v>0.5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 t="s">
        <v>3</v>
      </c>
      <c r="AG20">
        <v>0.5</v>
      </c>
      <c r="AH20">
        <v>3</v>
      </c>
      <c r="AI20">
        <v>-1</v>
      </c>
      <c r="AJ20" t="s">
        <v>3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ROW(Source!A32)</f>
        <v>32</v>
      </c>
      <c r="B21">
        <v>94300581</v>
      </c>
      <c r="C21">
        <v>94300573</v>
      </c>
      <c r="D21">
        <v>90159118</v>
      </c>
      <c r="E21">
        <v>118</v>
      </c>
      <c r="F21">
        <v>1</v>
      </c>
      <c r="G21">
        <v>1</v>
      </c>
      <c r="H21">
        <v>3</v>
      </c>
      <c r="I21" t="s">
        <v>346</v>
      </c>
      <c r="J21" t="s">
        <v>3</v>
      </c>
      <c r="K21" t="s">
        <v>347</v>
      </c>
      <c r="L21">
        <v>1348</v>
      </c>
      <c r="N21">
        <v>1009</v>
      </c>
      <c r="O21" t="s">
        <v>30</v>
      </c>
      <c r="P21" t="s">
        <v>30</v>
      </c>
      <c r="Q21">
        <v>1000</v>
      </c>
      <c r="X21">
        <v>1.7999999999999999E-2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 t="s">
        <v>3</v>
      </c>
      <c r="AG21">
        <v>1.7999999999999999E-2</v>
      </c>
      <c r="AH21">
        <v>3</v>
      </c>
      <c r="AI21">
        <v>-1</v>
      </c>
      <c r="AJ21" t="s">
        <v>3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ROW(Source!A35)</f>
        <v>35</v>
      </c>
      <c r="B22">
        <v>94300612</v>
      </c>
      <c r="C22">
        <v>94300611</v>
      </c>
      <c r="D22">
        <v>90155066</v>
      </c>
      <c r="E22">
        <v>118</v>
      </c>
      <c r="F22">
        <v>1</v>
      </c>
      <c r="G22">
        <v>1</v>
      </c>
      <c r="H22">
        <v>1</v>
      </c>
      <c r="I22" t="s">
        <v>293</v>
      </c>
      <c r="J22" t="s">
        <v>3</v>
      </c>
      <c r="K22" t="s">
        <v>294</v>
      </c>
      <c r="L22">
        <v>1191</v>
      </c>
      <c r="N22">
        <v>1013</v>
      </c>
      <c r="O22" t="s">
        <v>266</v>
      </c>
      <c r="P22" t="s">
        <v>266</v>
      </c>
      <c r="Q22">
        <v>1</v>
      </c>
      <c r="X22">
        <v>109.77</v>
      </c>
      <c r="Y22">
        <v>0</v>
      </c>
      <c r="Z22">
        <v>0</v>
      </c>
      <c r="AA22">
        <v>0</v>
      </c>
      <c r="AB22">
        <v>673.79</v>
      </c>
      <c r="AC22">
        <v>0</v>
      </c>
      <c r="AD22">
        <v>1</v>
      </c>
      <c r="AE22">
        <v>1</v>
      </c>
      <c r="AF22" t="s">
        <v>3</v>
      </c>
      <c r="AG22">
        <v>109.77</v>
      </c>
      <c r="AH22">
        <v>2</v>
      </c>
      <c r="AI22">
        <v>94300612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ROW(Source!A35)</f>
        <v>35</v>
      </c>
      <c r="B23">
        <v>94300613</v>
      </c>
      <c r="C23">
        <v>94300611</v>
      </c>
      <c r="D23">
        <v>90155259</v>
      </c>
      <c r="E23">
        <v>118</v>
      </c>
      <c r="F23">
        <v>1</v>
      </c>
      <c r="G23">
        <v>1</v>
      </c>
      <c r="H23">
        <v>1</v>
      </c>
      <c r="I23" t="s">
        <v>267</v>
      </c>
      <c r="J23" t="s">
        <v>3</v>
      </c>
      <c r="K23" t="s">
        <v>268</v>
      </c>
      <c r="L23">
        <v>1191</v>
      </c>
      <c r="N23">
        <v>1013</v>
      </c>
      <c r="O23" t="s">
        <v>266</v>
      </c>
      <c r="P23" t="s">
        <v>266</v>
      </c>
      <c r="Q23">
        <v>1</v>
      </c>
      <c r="X23">
        <v>2.62</v>
      </c>
      <c r="Y23">
        <v>0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2</v>
      </c>
      <c r="AF23" t="s">
        <v>3</v>
      </c>
      <c r="AG23">
        <v>2.62</v>
      </c>
      <c r="AH23">
        <v>2</v>
      </c>
      <c r="AI23">
        <v>94300613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ROW(Source!A35)</f>
        <v>35</v>
      </c>
      <c r="B24">
        <v>94300614</v>
      </c>
      <c r="C24">
        <v>94300611</v>
      </c>
      <c r="D24">
        <v>90281903</v>
      </c>
      <c r="E24">
        <v>1</v>
      </c>
      <c r="F24">
        <v>1</v>
      </c>
      <c r="G24">
        <v>1</v>
      </c>
      <c r="H24">
        <v>2</v>
      </c>
      <c r="I24" t="s">
        <v>295</v>
      </c>
      <c r="J24" t="s">
        <v>296</v>
      </c>
      <c r="K24" t="s">
        <v>297</v>
      </c>
      <c r="L24">
        <v>1368</v>
      </c>
      <c r="N24">
        <v>1011</v>
      </c>
      <c r="O24" t="s">
        <v>272</v>
      </c>
      <c r="P24" t="s">
        <v>272</v>
      </c>
      <c r="Q24">
        <v>1</v>
      </c>
      <c r="X24">
        <v>2.0499999999999998</v>
      </c>
      <c r="Y24">
        <v>0</v>
      </c>
      <c r="Z24">
        <v>37.32</v>
      </c>
      <c r="AA24">
        <v>649.24</v>
      </c>
      <c r="AB24">
        <v>0</v>
      </c>
      <c r="AC24">
        <v>0</v>
      </c>
      <c r="AD24">
        <v>1</v>
      </c>
      <c r="AE24">
        <v>0</v>
      </c>
      <c r="AF24" t="s">
        <v>3</v>
      </c>
      <c r="AG24">
        <v>2.0499999999999998</v>
      </c>
      <c r="AH24">
        <v>2</v>
      </c>
      <c r="AI24">
        <v>94300614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ROW(Source!A35)</f>
        <v>35</v>
      </c>
      <c r="B25">
        <v>94300615</v>
      </c>
      <c r="C25">
        <v>94300611</v>
      </c>
      <c r="D25">
        <v>90282618</v>
      </c>
      <c r="E25">
        <v>1</v>
      </c>
      <c r="F25">
        <v>1</v>
      </c>
      <c r="G25">
        <v>1</v>
      </c>
      <c r="H25">
        <v>2</v>
      </c>
      <c r="I25" t="s">
        <v>286</v>
      </c>
      <c r="J25" t="s">
        <v>287</v>
      </c>
      <c r="K25" t="s">
        <v>288</v>
      </c>
      <c r="L25">
        <v>1368</v>
      </c>
      <c r="N25">
        <v>1011</v>
      </c>
      <c r="O25" t="s">
        <v>272</v>
      </c>
      <c r="P25" t="s">
        <v>272</v>
      </c>
      <c r="Q25">
        <v>1</v>
      </c>
      <c r="X25">
        <v>0.56999999999999995</v>
      </c>
      <c r="Y25">
        <v>0</v>
      </c>
      <c r="Z25">
        <v>544.91999999999996</v>
      </c>
      <c r="AA25">
        <v>731.08</v>
      </c>
      <c r="AB25">
        <v>0</v>
      </c>
      <c r="AC25">
        <v>0</v>
      </c>
      <c r="AD25">
        <v>1</v>
      </c>
      <c r="AE25">
        <v>0</v>
      </c>
      <c r="AF25" t="s">
        <v>3</v>
      </c>
      <c r="AG25">
        <v>0.56999999999999995</v>
      </c>
      <c r="AH25">
        <v>2</v>
      </c>
      <c r="AI25">
        <v>94300615</v>
      </c>
      <c r="AJ25">
        <v>25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ROW(Source!A35)</f>
        <v>35</v>
      </c>
      <c r="B26">
        <v>94300616</v>
      </c>
      <c r="C26">
        <v>94300611</v>
      </c>
      <c r="D26">
        <v>90233381</v>
      </c>
      <c r="E26">
        <v>1</v>
      </c>
      <c r="F26">
        <v>1</v>
      </c>
      <c r="G26">
        <v>1</v>
      </c>
      <c r="H26">
        <v>3</v>
      </c>
      <c r="I26" t="s">
        <v>299</v>
      </c>
      <c r="J26" t="s">
        <v>300</v>
      </c>
      <c r="K26" t="s">
        <v>301</v>
      </c>
      <c r="L26">
        <v>1348</v>
      </c>
      <c r="N26">
        <v>1009</v>
      </c>
      <c r="O26" t="s">
        <v>30</v>
      </c>
      <c r="P26" t="s">
        <v>30</v>
      </c>
      <c r="Q26">
        <v>1000</v>
      </c>
      <c r="X26">
        <v>8.9999999999999998E-4</v>
      </c>
      <c r="Y26">
        <v>70296.2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 t="s">
        <v>3</v>
      </c>
      <c r="AG26">
        <v>8.9999999999999998E-4</v>
      </c>
      <c r="AH26">
        <v>2</v>
      </c>
      <c r="AI26">
        <v>94300616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ROW(Source!A35)</f>
        <v>35</v>
      </c>
      <c r="B27">
        <v>94300617</v>
      </c>
      <c r="C27">
        <v>94300611</v>
      </c>
      <c r="D27">
        <v>90239268</v>
      </c>
      <c r="E27">
        <v>1</v>
      </c>
      <c r="F27">
        <v>1</v>
      </c>
      <c r="G27">
        <v>1</v>
      </c>
      <c r="H27">
        <v>3</v>
      </c>
      <c r="I27" t="s">
        <v>302</v>
      </c>
      <c r="J27" t="s">
        <v>303</v>
      </c>
      <c r="K27" t="s">
        <v>304</v>
      </c>
      <c r="L27">
        <v>1348</v>
      </c>
      <c r="N27">
        <v>1009</v>
      </c>
      <c r="O27" t="s">
        <v>30</v>
      </c>
      <c r="P27" t="s">
        <v>30</v>
      </c>
      <c r="Q27">
        <v>1000</v>
      </c>
      <c r="X27">
        <v>6.5000000000000002E-2</v>
      </c>
      <c r="Y27">
        <v>55898.18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0</v>
      </c>
      <c r="AF27" t="s">
        <v>3</v>
      </c>
      <c r="AG27">
        <v>6.5000000000000002E-2</v>
      </c>
      <c r="AH27">
        <v>2</v>
      </c>
      <c r="AI27">
        <v>94300617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ROW(Source!A35)</f>
        <v>35</v>
      </c>
      <c r="B28">
        <v>94300618</v>
      </c>
      <c r="C28">
        <v>94300611</v>
      </c>
      <c r="D28">
        <v>90157948</v>
      </c>
      <c r="E28">
        <v>118</v>
      </c>
      <c r="F28">
        <v>1</v>
      </c>
      <c r="G28">
        <v>1</v>
      </c>
      <c r="H28">
        <v>3</v>
      </c>
      <c r="I28" t="s">
        <v>348</v>
      </c>
      <c r="J28" t="s">
        <v>3</v>
      </c>
      <c r="K28" t="s">
        <v>349</v>
      </c>
      <c r="L28">
        <v>1348</v>
      </c>
      <c r="N28">
        <v>1009</v>
      </c>
      <c r="O28" t="s">
        <v>30</v>
      </c>
      <c r="P28" t="s">
        <v>30</v>
      </c>
      <c r="Q28">
        <v>1000</v>
      </c>
      <c r="X28">
        <v>0</v>
      </c>
      <c r="Y28">
        <v>0</v>
      </c>
      <c r="Z28">
        <v>0</v>
      </c>
      <c r="AA28">
        <v>0</v>
      </c>
      <c r="AB28">
        <v>0</v>
      </c>
      <c r="AC28">
        <v>1</v>
      </c>
      <c r="AD28">
        <v>0</v>
      </c>
      <c r="AE28">
        <v>0</v>
      </c>
      <c r="AF28" t="s">
        <v>3</v>
      </c>
      <c r="AG28">
        <v>0</v>
      </c>
      <c r="AH28">
        <v>3</v>
      </c>
      <c r="AI28">
        <v>-1</v>
      </c>
      <c r="AJ28" t="s">
        <v>3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ROW(Source!A35)</f>
        <v>35</v>
      </c>
      <c r="B29">
        <v>94300619</v>
      </c>
      <c r="C29">
        <v>94300611</v>
      </c>
      <c r="D29">
        <v>90251065</v>
      </c>
      <c r="E29">
        <v>1</v>
      </c>
      <c r="F29">
        <v>1</v>
      </c>
      <c r="G29">
        <v>1</v>
      </c>
      <c r="H29">
        <v>3</v>
      </c>
      <c r="I29" t="s">
        <v>305</v>
      </c>
      <c r="J29" t="s">
        <v>306</v>
      </c>
      <c r="K29" t="s">
        <v>307</v>
      </c>
      <c r="L29">
        <v>1346</v>
      </c>
      <c r="N29">
        <v>1009</v>
      </c>
      <c r="O29" t="s">
        <v>58</v>
      </c>
      <c r="P29" t="s">
        <v>58</v>
      </c>
      <c r="Q29">
        <v>1</v>
      </c>
      <c r="X29">
        <v>0.9</v>
      </c>
      <c r="Y29">
        <v>46.06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0</v>
      </c>
      <c r="AF29" t="s">
        <v>3</v>
      </c>
      <c r="AG29">
        <v>0.9</v>
      </c>
      <c r="AH29">
        <v>2</v>
      </c>
      <c r="AI29">
        <v>94300619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ROW(Source!A37)</f>
        <v>37</v>
      </c>
      <c r="B30">
        <v>94300803</v>
      </c>
      <c r="C30">
        <v>94300793</v>
      </c>
      <c r="D30">
        <v>37066717</v>
      </c>
      <c r="E30">
        <v>118</v>
      </c>
      <c r="F30">
        <v>1</v>
      </c>
      <c r="G30">
        <v>1</v>
      </c>
      <c r="H30">
        <v>1</v>
      </c>
      <c r="I30" t="s">
        <v>308</v>
      </c>
      <c r="J30" t="s">
        <v>3</v>
      </c>
      <c r="K30" t="s">
        <v>309</v>
      </c>
      <c r="L30">
        <v>1191</v>
      </c>
      <c r="N30">
        <v>1013</v>
      </c>
      <c r="O30" t="s">
        <v>266</v>
      </c>
      <c r="P30" t="s">
        <v>266</v>
      </c>
      <c r="Q30">
        <v>1</v>
      </c>
      <c r="X30">
        <v>74.010000000000005</v>
      </c>
      <c r="Y30">
        <v>0</v>
      </c>
      <c r="Z30">
        <v>0</v>
      </c>
      <c r="AA30">
        <v>0</v>
      </c>
      <c r="AB30">
        <v>621.96</v>
      </c>
      <c r="AC30">
        <v>0</v>
      </c>
      <c r="AD30">
        <v>1</v>
      </c>
      <c r="AE30">
        <v>1</v>
      </c>
      <c r="AF30" t="s">
        <v>3</v>
      </c>
      <c r="AG30">
        <v>74.010000000000005</v>
      </c>
      <c r="AH30">
        <v>2</v>
      </c>
      <c r="AI30">
        <v>94300794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ROW(Source!A37)</f>
        <v>37</v>
      </c>
      <c r="B31">
        <v>94300804</v>
      </c>
      <c r="C31">
        <v>94300793</v>
      </c>
      <c r="D31">
        <v>37064876</v>
      </c>
      <c r="E31">
        <v>118</v>
      </c>
      <c r="F31">
        <v>1</v>
      </c>
      <c r="G31">
        <v>1</v>
      </c>
      <c r="H31">
        <v>1</v>
      </c>
      <c r="I31" t="s">
        <v>267</v>
      </c>
      <c r="J31" t="s">
        <v>3</v>
      </c>
      <c r="K31" t="s">
        <v>268</v>
      </c>
      <c r="L31">
        <v>1191</v>
      </c>
      <c r="N31">
        <v>1013</v>
      </c>
      <c r="O31" t="s">
        <v>266</v>
      </c>
      <c r="P31" t="s">
        <v>266</v>
      </c>
      <c r="Q31">
        <v>1</v>
      </c>
      <c r="X31">
        <v>0.35</v>
      </c>
      <c r="Y31">
        <v>0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2</v>
      </c>
      <c r="AF31" t="s">
        <v>3</v>
      </c>
      <c r="AG31">
        <v>0.35</v>
      </c>
      <c r="AH31">
        <v>2</v>
      </c>
      <c r="AI31">
        <v>94300795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ROW(Source!A37)</f>
        <v>37</v>
      </c>
      <c r="B32">
        <v>94300805</v>
      </c>
      <c r="C32">
        <v>94300793</v>
      </c>
      <c r="D32">
        <v>90281903</v>
      </c>
      <c r="E32">
        <v>1</v>
      </c>
      <c r="F32">
        <v>1</v>
      </c>
      <c r="G32">
        <v>1</v>
      </c>
      <c r="H32">
        <v>2</v>
      </c>
      <c r="I32" t="s">
        <v>295</v>
      </c>
      <c r="J32" t="s">
        <v>296</v>
      </c>
      <c r="K32" t="s">
        <v>297</v>
      </c>
      <c r="L32">
        <v>1368</v>
      </c>
      <c r="N32">
        <v>1011</v>
      </c>
      <c r="O32" t="s">
        <v>272</v>
      </c>
      <c r="P32" t="s">
        <v>272</v>
      </c>
      <c r="Q32">
        <v>1</v>
      </c>
      <c r="X32">
        <v>0.25</v>
      </c>
      <c r="Y32">
        <v>0</v>
      </c>
      <c r="Z32">
        <v>37.32</v>
      </c>
      <c r="AA32">
        <v>649.24</v>
      </c>
      <c r="AB32">
        <v>0</v>
      </c>
      <c r="AC32">
        <v>0</v>
      </c>
      <c r="AD32">
        <v>1</v>
      </c>
      <c r="AE32">
        <v>0</v>
      </c>
      <c r="AF32" t="s">
        <v>3</v>
      </c>
      <c r="AG32">
        <v>0.25</v>
      </c>
      <c r="AH32">
        <v>2</v>
      </c>
      <c r="AI32">
        <v>94300796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ROW(Source!A37)</f>
        <v>37</v>
      </c>
      <c r="B33">
        <v>94300806</v>
      </c>
      <c r="C33">
        <v>94300793</v>
      </c>
      <c r="D33">
        <v>90282618</v>
      </c>
      <c r="E33">
        <v>1</v>
      </c>
      <c r="F33">
        <v>1</v>
      </c>
      <c r="G33">
        <v>1</v>
      </c>
      <c r="H33">
        <v>2</v>
      </c>
      <c r="I33" t="s">
        <v>286</v>
      </c>
      <c r="J33" t="s">
        <v>287</v>
      </c>
      <c r="K33" t="s">
        <v>288</v>
      </c>
      <c r="L33">
        <v>1368</v>
      </c>
      <c r="N33">
        <v>1011</v>
      </c>
      <c r="O33" t="s">
        <v>272</v>
      </c>
      <c r="P33" t="s">
        <v>272</v>
      </c>
      <c r="Q33">
        <v>1</v>
      </c>
      <c r="X33">
        <v>0.1</v>
      </c>
      <c r="Y33">
        <v>0</v>
      </c>
      <c r="Z33">
        <v>544.91999999999996</v>
      </c>
      <c r="AA33">
        <v>731.08</v>
      </c>
      <c r="AB33">
        <v>0</v>
      </c>
      <c r="AC33">
        <v>0</v>
      </c>
      <c r="AD33">
        <v>1</v>
      </c>
      <c r="AE33">
        <v>0</v>
      </c>
      <c r="AF33" t="s">
        <v>3</v>
      </c>
      <c r="AG33">
        <v>0.1</v>
      </c>
      <c r="AH33">
        <v>2</v>
      </c>
      <c r="AI33">
        <v>94300797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ROW(Source!A37)</f>
        <v>37</v>
      </c>
      <c r="B34">
        <v>94300807</v>
      </c>
      <c r="C34">
        <v>94300793</v>
      </c>
      <c r="D34">
        <v>90233381</v>
      </c>
      <c r="E34">
        <v>1</v>
      </c>
      <c r="F34">
        <v>1</v>
      </c>
      <c r="G34">
        <v>1</v>
      </c>
      <c r="H34">
        <v>3</v>
      </c>
      <c r="I34" t="s">
        <v>299</v>
      </c>
      <c r="J34" t="s">
        <v>300</v>
      </c>
      <c r="K34" t="s">
        <v>301</v>
      </c>
      <c r="L34">
        <v>1348</v>
      </c>
      <c r="N34">
        <v>1009</v>
      </c>
      <c r="O34" t="s">
        <v>30</v>
      </c>
      <c r="P34" t="s">
        <v>30</v>
      </c>
      <c r="Q34">
        <v>1000</v>
      </c>
      <c r="X34">
        <v>1E-3</v>
      </c>
      <c r="Y34">
        <v>70296.2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 t="s">
        <v>3</v>
      </c>
      <c r="AG34">
        <v>1E-3</v>
      </c>
      <c r="AH34">
        <v>2</v>
      </c>
      <c r="AI34">
        <v>94300798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ROW(Source!A37)</f>
        <v>37</v>
      </c>
      <c r="B35">
        <v>94300808</v>
      </c>
      <c r="C35">
        <v>94300793</v>
      </c>
      <c r="D35">
        <v>90239268</v>
      </c>
      <c r="E35">
        <v>1</v>
      </c>
      <c r="F35">
        <v>1</v>
      </c>
      <c r="G35">
        <v>1</v>
      </c>
      <c r="H35">
        <v>3</v>
      </c>
      <c r="I35" t="s">
        <v>302</v>
      </c>
      <c r="J35" t="s">
        <v>303</v>
      </c>
      <c r="K35" t="s">
        <v>304</v>
      </c>
      <c r="L35">
        <v>1348</v>
      </c>
      <c r="N35">
        <v>1009</v>
      </c>
      <c r="O35" t="s">
        <v>30</v>
      </c>
      <c r="P35" t="s">
        <v>30</v>
      </c>
      <c r="Q35">
        <v>1000</v>
      </c>
      <c r="X35">
        <v>0.11600000000000001</v>
      </c>
      <c r="Y35">
        <v>55898.18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 t="s">
        <v>3</v>
      </c>
      <c r="AG35">
        <v>0.11600000000000001</v>
      </c>
      <c r="AH35">
        <v>2</v>
      </c>
      <c r="AI35">
        <v>94300799</v>
      </c>
      <c r="AJ35">
        <v>36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ROW(Source!A37)</f>
        <v>37</v>
      </c>
      <c r="B36">
        <v>94300809</v>
      </c>
      <c r="C36">
        <v>94300793</v>
      </c>
      <c r="D36">
        <v>90240539</v>
      </c>
      <c r="E36">
        <v>1</v>
      </c>
      <c r="F36">
        <v>1</v>
      </c>
      <c r="G36">
        <v>1</v>
      </c>
      <c r="H36">
        <v>3</v>
      </c>
      <c r="I36" t="s">
        <v>311</v>
      </c>
      <c r="J36" t="s">
        <v>312</v>
      </c>
      <c r="K36" t="s">
        <v>313</v>
      </c>
      <c r="L36">
        <v>1348</v>
      </c>
      <c r="N36">
        <v>1009</v>
      </c>
      <c r="O36" t="s">
        <v>30</v>
      </c>
      <c r="P36" t="s">
        <v>30</v>
      </c>
      <c r="Q36">
        <v>1000</v>
      </c>
      <c r="X36">
        <v>6.0000000000000001E-3</v>
      </c>
      <c r="Y36">
        <v>149930.17000000001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 t="s">
        <v>3</v>
      </c>
      <c r="AG36">
        <v>6.0000000000000001E-3</v>
      </c>
      <c r="AH36">
        <v>2</v>
      </c>
      <c r="AI36">
        <v>94300800</v>
      </c>
      <c r="AJ36">
        <v>38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ROW(Source!A37)</f>
        <v>37</v>
      </c>
      <c r="B37">
        <v>94300810</v>
      </c>
      <c r="C37">
        <v>94300793</v>
      </c>
      <c r="D37">
        <v>90157948</v>
      </c>
      <c r="E37">
        <v>118</v>
      </c>
      <c r="F37">
        <v>1</v>
      </c>
      <c r="G37">
        <v>1</v>
      </c>
      <c r="H37">
        <v>3</v>
      </c>
      <c r="I37" t="s">
        <v>348</v>
      </c>
      <c r="J37" t="s">
        <v>3</v>
      </c>
      <c r="K37" t="s">
        <v>349</v>
      </c>
      <c r="L37">
        <v>1348</v>
      </c>
      <c r="N37">
        <v>1009</v>
      </c>
      <c r="O37" t="s">
        <v>30</v>
      </c>
      <c r="P37" t="s">
        <v>30</v>
      </c>
      <c r="Q37">
        <v>1000</v>
      </c>
      <c r="X37">
        <v>0.29399999999999998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 t="s">
        <v>3</v>
      </c>
      <c r="AG37">
        <v>0.29399999999999998</v>
      </c>
      <c r="AH37">
        <v>3</v>
      </c>
      <c r="AI37">
        <v>-1</v>
      </c>
      <c r="AJ37" t="s">
        <v>3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ROW(Source!A37)</f>
        <v>37</v>
      </c>
      <c r="B38">
        <v>94300811</v>
      </c>
      <c r="C38">
        <v>94300793</v>
      </c>
      <c r="D38">
        <v>90161318</v>
      </c>
      <c r="E38">
        <v>118</v>
      </c>
      <c r="F38">
        <v>1</v>
      </c>
      <c r="G38">
        <v>1</v>
      </c>
      <c r="H38">
        <v>3</v>
      </c>
      <c r="I38" t="s">
        <v>28</v>
      </c>
      <c r="J38" t="s">
        <v>3</v>
      </c>
      <c r="K38" t="s">
        <v>29</v>
      </c>
      <c r="L38">
        <v>1348</v>
      </c>
      <c r="N38">
        <v>1009</v>
      </c>
      <c r="O38" t="s">
        <v>30</v>
      </c>
      <c r="P38" t="s">
        <v>30</v>
      </c>
      <c r="Q38">
        <v>1000</v>
      </c>
      <c r="X38">
        <v>0.59399999999999997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 t="s">
        <v>3</v>
      </c>
      <c r="AG38">
        <v>0.59399999999999997</v>
      </c>
      <c r="AH38">
        <v>3</v>
      </c>
      <c r="AI38">
        <v>-1</v>
      </c>
      <c r="AJ38" t="s">
        <v>3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ROW(Source!A41)</f>
        <v>41</v>
      </c>
      <c r="B39">
        <v>94301580</v>
      </c>
      <c r="C39">
        <v>94301579</v>
      </c>
      <c r="D39">
        <v>90155064</v>
      </c>
      <c r="E39">
        <v>118</v>
      </c>
      <c r="F39">
        <v>1</v>
      </c>
      <c r="G39">
        <v>1</v>
      </c>
      <c r="H39">
        <v>1</v>
      </c>
      <c r="I39" t="s">
        <v>264</v>
      </c>
      <c r="J39" t="s">
        <v>3</v>
      </c>
      <c r="K39" t="s">
        <v>265</v>
      </c>
      <c r="L39">
        <v>1191</v>
      </c>
      <c r="N39">
        <v>1013</v>
      </c>
      <c r="O39" t="s">
        <v>266</v>
      </c>
      <c r="P39" t="s">
        <v>266</v>
      </c>
      <c r="Q39">
        <v>1</v>
      </c>
      <c r="X39">
        <v>97</v>
      </c>
      <c r="Y39">
        <v>0</v>
      </c>
      <c r="Z39">
        <v>0</v>
      </c>
      <c r="AA39">
        <v>0</v>
      </c>
      <c r="AB39">
        <v>665.61</v>
      </c>
      <c r="AC39">
        <v>0</v>
      </c>
      <c r="AD39">
        <v>1</v>
      </c>
      <c r="AE39">
        <v>1</v>
      </c>
      <c r="AF39" t="s">
        <v>42</v>
      </c>
      <c r="AG39">
        <v>111.55</v>
      </c>
      <c r="AH39">
        <v>2</v>
      </c>
      <c r="AI39">
        <v>94301580</v>
      </c>
      <c r="AJ39">
        <v>40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ROW(Source!A41)</f>
        <v>41</v>
      </c>
      <c r="B40">
        <v>94301581</v>
      </c>
      <c r="C40">
        <v>94301579</v>
      </c>
      <c r="D40">
        <v>90155259</v>
      </c>
      <c r="E40">
        <v>118</v>
      </c>
      <c r="F40">
        <v>1</v>
      </c>
      <c r="G40">
        <v>1</v>
      </c>
      <c r="H40">
        <v>1</v>
      </c>
      <c r="I40" t="s">
        <v>267</v>
      </c>
      <c r="J40" t="s">
        <v>3</v>
      </c>
      <c r="K40" t="s">
        <v>268</v>
      </c>
      <c r="L40">
        <v>1191</v>
      </c>
      <c r="N40">
        <v>1013</v>
      </c>
      <c r="O40" t="s">
        <v>266</v>
      </c>
      <c r="P40" t="s">
        <v>266</v>
      </c>
      <c r="Q40">
        <v>1</v>
      </c>
      <c r="X40">
        <v>0.64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2</v>
      </c>
      <c r="AF40" t="s">
        <v>41</v>
      </c>
      <c r="AG40">
        <v>0.8</v>
      </c>
      <c r="AH40">
        <v>2</v>
      </c>
      <c r="AI40">
        <v>94301581</v>
      </c>
      <c r="AJ40">
        <v>41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ROW(Source!A41)</f>
        <v>41</v>
      </c>
      <c r="B41">
        <v>94301582</v>
      </c>
      <c r="C41">
        <v>94301579</v>
      </c>
      <c r="D41">
        <v>90281873</v>
      </c>
      <c r="E41">
        <v>1</v>
      </c>
      <c r="F41">
        <v>1</v>
      </c>
      <c r="G41">
        <v>1</v>
      </c>
      <c r="H41">
        <v>2</v>
      </c>
      <c r="I41" t="s">
        <v>314</v>
      </c>
      <c r="J41" t="s">
        <v>315</v>
      </c>
      <c r="K41" t="s">
        <v>316</v>
      </c>
      <c r="L41">
        <v>1368</v>
      </c>
      <c r="N41">
        <v>1011</v>
      </c>
      <c r="O41" t="s">
        <v>272</v>
      </c>
      <c r="P41" t="s">
        <v>272</v>
      </c>
      <c r="Q41">
        <v>1</v>
      </c>
      <c r="X41">
        <v>0.14000000000000001</v>
      </c>
      <c r="Y41">
        <v>0</v>
      </c>
      <c r="Z41">
        <v>1545.36</v>
      </c>
      <c r="AA41">
        <v>840.19</v>
      </c>
      <c r="AB41">
        <v>0</v>
      </c>
      <c r="AC41">
        <v>0</v>
      </c>
      <c r="AD41">
        <v>1</v>
      </c>
      <c r="AE41">
        <v>0</v>
      </c>
      <c r="AF41" t="s">
        <v>41</v>
      </c>
      <c r="AG41">
        <v>0.17500000000000002</v>
      </c>
      <c r="AH41">
        <v>2</v>
      </c>
      <c r="AI41">
        <v>94301582</v>
      </c>
      <c r="AJ41">
        <v>42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ROW(Source!A41)</f>
        <v>41</v>
      </c>
      <c r="B42">
        <v>94301583</v>
      </c>
      <c r="C42">
        <v>94301579</v>
      </c>
      <c r="D42">
        <v>90281903</v>
      </c>
      <c r="E42">
        <v>1</v>
      </c>
      <c r="F42">
        <v>1</v>
      </c>
      <c r="G42">
        <v>1</v>
      </c>
      <c r="H42">
        <v>2</v>
      </c>
      <c r="I42" t="s">
        <v>295</v>
      </c>
      <c r="J42" t="s">
        <v>296</v>
      </c>
      <c r="K42" t="s">
        <v>297</v>
      </c>
      <c r="L42">
        <v>1368</v>
      </c>
      <c r="N42">
        <v>1011</v>
      </c>
      <c r="O42" t="s">
        <v>272</v>
      </c>
      <c r="P42" t="s">
        <v>272</v>
      </c>
      <c r="Q42">
        <v>1</v>
      </c>
      <c r="X42">
        <v>0.5</v>
      </c>
      <c r="Y42">
        <v>0</v>
      </c>
      <c r="Z42">
        <v>37.32</v>
      </c>
      <c r="AA42">
        <v>649.24</v>
      </c>
      <c r="AB42">
        <v>0</v>
      </c>
      <c r="AC42">
        <v>0</v>
      </c>
      <c r="AD42">
        <v>1</v>
      </c>
      <c r="AE42">
        <v>0</v>
      </c>
      <c r="AF42" t="s">
        <v>41</v>
      </c>
      <c r="AG42">
        <v>0.625</v>
      </c>
      <c r="AH42">
        <v>2</v>
      </c>
      <c r="AI42">
        <v>94301583</v>
      </c>
      <c r="AJ42">
        <v>43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ROW(Source!A41)</f>
        <v>41</v>
      </c>
      <c r="B43">
        <v>94301584</v>
      </c>
      <c r="C43">
        <v>94301579</v>
      </c>
      <c r="D43">
        <v>90231835</v>
      </c>
      <c r="E43">
        <v>1</v>
      </c>
      <c r="F43">
        <v>1</v>
      </c>
      <c r="G43">
        <v>1</v>
      </c>
      <c r="H43">
        <v>3</v>
      </c>
      <c r="I43" t="s">
        <v>289</v>
      </c>
      <c r="J43" t="s">
        <v>290</v>
      </c>
      <c r="K43" t="s">
        <v>291</v>
      </c>
      <c r="L43">
        <v>1383</v>
      </c>
      <c r="N43">
        <v>1013</v>
      </c>
      <c r="O43" t="s">
        <v>292</v>
      </c>
      <c r="P43" t="s">
        <v>292</v>
      </c>
      <c r="Q43">
        <v>1</v>
      </c>
      <c r="X43">
        <v>6.24</v>
      </c>
      <c r="Y43">
        <v>6.92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 t="s">
        <v>3</v>
      </c>
      <c r="AG43">
        <v>6.24</v>
      </c>
      <c r="AH43">
        <v>2</v>
      </c>
      <c r="AI43">
        <v>94301584</v>
      </c>
      <c r="AJ43">
        <v>44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ROW(Source!A41)</f>
        <v>41</v>
      </c>
      <c r="B44">
        <v>94301585</v>
      </c>
      <c r="C44">
        <v>94301579</v>
      </c>
      <c r="D44">
        <v>90233382</v>
      </c>
      <c r="E44">
        <v>1</v>
      </c>
      <c r="F44">
        <v>1</v>
      </c>
      <c r="G44">
        <v>1</v>
      </c>
      <c r="H44">
        <v>3</v>
      </c>
      <c r="I44" t="s">
        <v>318</v>
      </c>
      <c r="J44" t="s">
        <v>319</v>
      </c>
      <c r="K44" t="s">
        <v>320</v>
      </c>
      <c r="L44">
        <v>1348</v>
      </c>
      <c r="N44">
        <v>1009</v>
      </c>
      <c r="O44" t="s">
        <v>30</v>
      </c>
      <c r="P44" t="s">
        <v>30</v>
      </c>
      <c r="Q44">
        <v>1000</v>
      </c>
      <c r="X44">
        <v>6.0000000000000001E-3</v>
      </c>
      <c r="Y44">
        <v>76630.399999999994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0</v>
      </c>
      <c r="AF44" t="s">
        <v>3</v>
      </c>
      <c r="AG44">
        <v>6.0000000000000001E-3</v>
      </c>
      <c r="AH44">
        <v>2</v>
      </c>
      <c r="AI44">
        <v>94301585</v>
      </c>
      <c r="AJ44">
        <v>45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ROW(Source!A41)</f>
        <v>41</v>
      </c>
      <c r="B45">
        <v>94301586</v>
      </c>
      <c r="C45">
        <v>94301579</v>
      </c>
      <c r="D45">
        <v>90235178</v>
      </c>
      <c r="E45">
        <v>1</v>
      </c>
      <c r="F45">
        <v>1</v>
      </c>
      <c r="G45">
        <v>1</v>
      </c>
      <c r="H45">
        <v>3</v>
      </c>
      <c r="I45" t="s">
        <v>321</v>
      </c>
      <c r="J45" t="s">
        <v>322</v>
      </c>
      <c r="K45" t="s">
        <v>323</v>
      </c>
      <c r="L45">
        <v>1348</v>
      </c>
      <c r="N45">
        <v>1009</v>
      </c>
      <c r="O45" t="s">
        <v>30</v>
      </c>
      <c r="P45" t="s">
        <v>30</v>
      </c>
      <c r="Q45">
        <v>1000</v>
      </c>
      <c r="X45">
        <v>2.5000000000000001E-2</v>
      </c>
      <c r="Y45">
        <v>4338.2700000000004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0</v>
      </c>
      <c r="AF45" t="s">
        <v>3</v>
      </c>
      <c r="AG45">
        <v>2.5000000000000001E-2</v>
      </c>
      <c r="AH45">
        <v>2</v>
      </c>
      <c r="AI45">
        <v>94301586</v>
      </c>
      <c r="AJ45">
        <v>46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ROW(Source!A41)</f>
        <v>41</v>
      </c>
      <c r="B46">
        <v>94301587</v>
      </c>
      <c r="C46">
        <v>94301579</v>
      </c>
      <c r="D46">
        <v>90157177</v>
      </c>
      <c r="E46">
        <v>118</v>
      </c>
      <c r="F46">
        <v>1</v>
      </c>
      <c r="G46">
        <v>1</v>
      </c>
      <c r="H46">
        <v>3</v>
      </c>
      <c r="I46" t="s">
        <v>350</v>
      </c>
      <c r="J46" t="s">
        <v>3</v>
      </c>
      <c r="K46" t="s">
        <v>351</v>
      </c>
      <c r="L46">
        <v>1301</v>
      </c>
      <c r="N46">
        <v>1003</v>
      </c>
      <c r="O46" t="s">
        <v>87</v>
      </c>
      <c r="P46" t="s">
        <v>87</v>
      </c>
      <c r="Q46">
        <v>1</v>
      </c>
      <c r="X46">
        <v>101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 t="s">
        <v>3</v>
      </c>
      <c r="AG46">
        <v>101</v>
      </c>
      <c r="AH46">
        <v>3</v>
      </c>
      <c r="AI46">
        <v>-1</v>
      </c>
      <c r="AJ46" t="s">
        <v>3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ROW(Source!A41)</f>
        <v>41</v>
      </c>
      <c r="B47">
        <v>94301588</v>
      </c>
      <c r="C47">
        <v>94301579</v>
      </c>
      <c r="D47">
        <v>90240527</v>
      </c>
      <c r="E47">
        <v>1</v>
      </c>
      <c r="F47">
        <v>1</v>
      </c>
      <c r="G47">
        <v>1</v>
      </c>
      <c r="H47">
        <v>3</v>
      </c>
      <c r="I47" t="s">
        <v>324</v>
      </c>
      <c r="J47" t="s">
        <v>325</v>
      </c>
      <c r="K47" t="s">
        <v>326</v>
      </c>
      <c r="L47">
        <v>1348</v>
      </c>
      <c r="N47">
        <v>1009</v>
      </c>
      <c r="O47" t="s">
        <v>30</v>
      </c>
      <c r="P47" t="s">
        <v>30</v>
      </c>
      <c r="Q47">
        <v>1000</v>
      </c>
      <c r="X47">
        <v>6.0000000000000001E-3</v>
      </c>
      <c r="Y47">
        <v>88783.86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 t="s">
        <v>3</v>
      </c>
      <c r="AG47">
        <v>6.0000000000000001E-3</v>
      </c>
      <c r="AH47">
        <v>2</v>
      </c>
      <c r="AI47">
        <v>94301588</v>
      </c>
      <c r="AJ47">
        <v>49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ROW(Source!A41)</f>
        <v>41</v>
      </c>
      <c r="B48">
        <v>94301589</v>
      </c>
      <c r="C48">
        <v>94301579</v>
      </c>
      <c r="D48">
        <v>90242739</v>
      </c>
      <c r="E48">
        <v>1</v>
      </c>
      <c r="F48">
        <v>1</v>
      </c>
      <c r="G48">
        <v>1</v>
      </c>
      <c r="H48">
        <v>3</v>
      </c>
      <c r="I48" t="s">
        <v>327</v>
      </c>
      <c r="J48" t="s">
        <v>328</v>
      </c>
      <c r="K48" t="s">
        <v>329</v>
      </c>
      <c r="L48">
        <v>1339</v>
      </c>
      <c r="N48">
        <v>1007</v>
      </c>
      <c r="O48" t="s">
        <v>280</v>
      </c>
      <c r="P48" t="s">
        <v>280</v>
      </c>
      <c r="Q48">
        <v>1</v>
      </c>
      <c r="X48">
        <v>8.6E-3</v>
      </c>
      <c r="Y48">
        <v>7555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 t="s">
        <v>3</v>
      </c>
      <c r="AG48">
        <v>8.6E-3</v>
      </c>
      <c r="AH48">
        <v>2</v>
      </c>
      <c r="AI48">
        <v>94301589</v>
      </c>
      <c r="AJ48">
        <v>50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ROW(Source!A45)</f>
        <v>45</v>
      </c>
      <c r="B49">
        <v>94301620</v>
      </c>
      <c r="C49">
        <v>94301610</v>
      </c>
      <c r="D49">
        <v>37069580</v>
      </c>
      <c r="E49">
        <v>118</v>
      </c>
      <c r="F49">
        <v>1</v>
      </c>
      <c r="G49">
        <v>1</v>
      </c>
      <c r="H49">
        <v>1</v>
      </c>
      <c r="I49" t="s">
        <v>330</v>
      </c>
      <c r="J49" t="s">
        <v>3</v>
      </c>
      <c r="K49" t="s">
        <v>331</v>
      </c>
      <c r="L49">
        <v>1191</v>
      </c>
      <c r="N49">
        <v>1013</v>
      </c>
      <c r="O49" t="s">
        <v>266</v>
      </c>
      <c r="P49" t="s">
        <v>266</v>
      </c>
      <c r="Q49">
        <v>1</v>
      </c>
      <c r="X49">
        <v>13.7</v>
      </c>
      <c r="Y49">
        <v>0</v>
      </c>
      <c r="Z49">
        <v>0</v>
      </c>
      <c r="AA49">
        <v>0</v>
      </c>
      <c r="AB49">
        <v>657.42</v>
      </c>
      <c r="AC49">
        <v>0</v>
      </c>
      <c r="AD49">
        <v>1</v>
      </c>
      <c r="AE49">
        <v>1</v>
      </c>
      <c r="AF49" t="s">
        <v>3</v>
      </c>
      <c r="AG49">
        <v>13.7</v>
      </c>
      <c r="AH49">
        <v>2</v>
      </c>
      <c r="AI49">
        <v>94301611</v>
      </c>
      <c r="AJ49">
        <v>52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ROW(Source!A45)</f>
        <v>45</v>
      </c>
      <c r="B50">
        <v>94301621</v>
      </c>
      <c r="C50">
        <v>94301610</v>
      </c>
      <c r="D50">
        <v>37064876</v>
      </c>
      <c r="E50">
        <v>118</v>
      </c>
      <c r="F50">
        <v>1</v>
      </c>
      <c r="G50">
        <v>1</v>
      </c>
      <c r="H50">
        <v>1</v>
      </c>
      <c r="I50" t="s">
        <v>267</v>
      </c>
      <c r="J50" t="s">
        <v>3</v>
      </c>
      <c r="K50" t="s">
        <v>268</v>
      </c>
      <c r="L50">
        <v>1191</v>
      </c>
      <c r="N50">
        <v>1013</v>
      </c>
      <c r="O50" t="s">
        <v>266</v>
      </c>
      <c r="P50" t="s">
        <v>266</v>
      </c>
      <c r="Q50">
        <v>1</v>
      </c>
      <c r="X50">
        <v>0.08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2</v>
      </c>
      <c r="AF50" t="s">
        <v>3</v>
      </c>
      <c r="AG50">
        <v>0.08</v>
      </c>
      <c r="AH50">
        <v>2</v>
      </c>
      <c r="AI50">
        <v>94301612</v>
      </c>
      <c r="AJ50">
        <v>53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ROW(Source!A45)</f>
        <v>45</v>
      </c>
      <c r="B51">
        <v>94301622</v>
      </c>
      <c r="C51">
        <v>94301610</v>
      </c>
      <c r="D51">
        <v>90281855</v>
      </c>
      <c r="E51">
        <v>1</v>
      </c>
      <c r="F51">
        <v>1</v>
      </c>
      <c r="G51">
        <v>1</v>
      </c>
      <c r="H51">
        <v>2</v>
      </c>
      <c r="I51" t="s">
        <v>269</v>
      </c>
      <c r="J51" t="s">
        <v>270</v>
      </c>
      <c r="K51" t="s">
        <v>271</v>
      </c>
      <c r="L51">
        <v>1368</v>
      </c>
      <c r="N51">
        <v>1011</v>
      </c>
      <c r="O51" t="s">
        <v>272</v>
      </c>
      <c r="P51" t="s">
        <v>272</v>
      </c>
      <c r="Q51">
        <v>1</v>
      </c>
      <c r="X51">
        <v>0.09</v>
      </c>
      <c r="Y51">
        <v>0</v>
      </c>
      <c r="Z51">
        <v>6.62</v>
      </c>
      <c r="AA51">
        <v>0</v>
      </c>
      <c r="AB51">
        <v>0</v>
      </c>
      <c r="AC51">
        <v>0</v>
      </c>
      <c r="AD51">
        <v>1</v>
      </c>
      <c r="AE51">
        <v>0</v>
      </c>
      <c r="AF51" t="s">
        <v>3</v>
      </c>
      <c r="AG51">
        <v>0.09</v>
      </c>
      <c r="AH51">
        <v>2</v>
      </c>
      <c r="AI51">
        <v>94301613</v>
      </c>
      <c r="AJ51">
        <v>54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ROW(Source!A45)</f>
        <v>45</v>
      </c>
      <c r="B52">
        <v>94301623</v>
      </c>
      <c r="C52">
        <v>94301610</v>
      </c>
      <c r="D52">
        <v>90282618</v>
      </c>
      <c r="E52">
        <v>1</v>
      </c>
      <c r="F52">
        <v>1</v>
      </c>
      <c r="G52">
        <v>1</v>
      </c>
      <c r="H52">
        <v>2</v>
      </c>
      <c r="I52" t="s">
        <v>286</v>
      </c>
      <c r="J52" t="s">
        <v>287</v>
      </c>
      <c r="K52" t="s">
        <v>288</v>
      </c>
      <c r="L52">
        <v>1368</v>
      </c>
      <c r="N52">
        <v>1011</v>
      </c>
      <c r="O52" t="s">
        <v>272</v>
      </c>
      <c r="P52" t="s">
        <v>272</v>
      </c>
      <c r="Q52">
        <v>1</v>
      </c>
      <c r="X52">
        <v>0.08</v>
      </c>
      <c r="Y52">
        <v>0</v>
      </c>
      <c r="Z52">
        <v>544.91999999999996</v>
      </c>
      <c r="AA52">
        <v>731.08</v>
      </c>
      <c r="AB52">
        <v>0</v>
      </c>
      <c r="AC52">
        <v>0</v>
      </c>
      <c r="AD52">
        <v>1</v>
      </c>
      <c r="AE52">
        <v>0</v>
      </c>
      <c r="AF52" t="s">
        <v>3</v>
      </c>
      <c r="AG52">
        <v>0.08</v>
      </c>
      <c r="AH52">
        <v>2</v>
      </c>
      <c r="AI52">
        <v>94301614</v>
      </c>
      <c r="AJ52">
        <v>55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ROW(Source!A45)</f>
        <v>45</v>
      </c>
      <c r="B53">
        <v>94301624</v>
      </c>
      <c r="C53">
        <v>94301610</v>
      </c>
      <c r="D53">
        <v>90282830</v>
      </c>
      <c r="E53">
        <v>1</v>
      </c>
      <c r="F53">
        <v>1</v>
      </c>
      <c r="G53">
        <v>1</v>
      </c>
      <c r="H53">
        <v>2</v>
      </c>
      <c r="I53" t="s">
        <v>332</v>
      </c>
      <c r="J53" t="s">
        <v>333</v>
      </c>
      <c r="K53" t="s">
        <v>334</v>
      </c>
      <c r="L53">
        <v>1368</v>
      </c>
      <c r="N53">
        <v>1011</v>
      </c>
      <c r="O53" t="s">
        <v>272</v>
      </c>
      <c r="P53" t="s">
        <v>272</v>
      </c>
      <c r="Q53">
        <v>1</v>
      </c>
      <c r="X53">
        <v>6.15</v>
      </c>
      <c r="Y53">
        <v>0</v>
      </c>
      <c r="Z53">
        <v>11.85</v>
      </c>
      <c r="AA53">
        <v>0</v>
      </c>
      <c r="AB53">
        <v>0</v>
      </c>
      <c r="AC53">
        <v>0</v>
      </c>
      <c r="AD53">
        <v>1</v>
      </c>
      <c r="AE53">
        <v>0</v>
      </c>
      <c r="AF53" t="s">
        <v>3</v>
      </c>
      <c r="AG53">
        <v>6.15</v>
      </c>
      <c r="AH53">
        <v>2</v>
      </c>
      <c r="AI53">
        <v>94301615</v>
      </c>
      <c r="AJ53">
        <v>56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ROW(Source!A45)</f>
        <v>45</v>
      </c>
      <c r="B54">
        <v>94301625</v>
      </c>
      <c r="C54">
        <v>94301610</v>
      </c>
      <c r="D54">
        <v>90283183</v>
      </c>
      <c r="E54">
        <v>1</v>
      </c>
      <c r="F54">
        <v>1</v>
      </c>
      <c r="G54">
        <v>1</v>
      </c>
      <c r="H54">
        <v>2</v>
      </c>
      <c r="I54" t="s">
        <v>335</v>
      </c>
      <c r="J54" t="s">
        <v>336</v>
      </c>
      <c r="K54" t="s">
        <v>337</v>
      </c>
      <c r="L54">
        <v>1368</v>
      </c>
      <c r="N54">
        <v>1011</v>
      </c>
      <c r="O54" t="s">
        <v>272</v>
      </c>
      <c r="P54" t="s">
        <v>272</v>
      </c>
      <c r="Q54">
        <v>1</v>
      </c>
      <c r="X54">
        <v>12.3</v>
      </c>
      <c r="Y54">
        <v>0</v>
      </c>
      <c r="Z54">
        <v>4.5199999999999996</v>
      </c>
      <c r="AA54">
        <v>0</v>
      </c>
      <c r="AB54">
        <v>0</v>
      </c>
      <c r="AC54">
        <v>0</v>
      </c>
      <c r="AD54">
        <v>1</v>
      </c>
      <c r="AE54">
        <v>0</v>
      </c>
      <c r="AF54" t="s">
        <v>3</v>
      </c>
      <c r="AG54">
        <v>12.3</v>
      </c>
      <c r="AH54">
        <v>2</v>
      </c>
      <c r="AI54">
        <v>94301616</v>
      </c>
      <c r="AJ54">
        <v>57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ROW(Source!A45)</f>
        <v>45</v>
      </c>
      <c r="B55">
        <v>94301626</v>
      </c>
      <c r="C55">
        <v>94301610</v>
      </c>
      <c r="D55">
        <v>90234471</v>
      </c>
      <c r="E55">
        <v>1</v>
      </c>
      <c r="F55">
        <v>1</v>
      </c>
      <c r="G55">
        <v>1</v>
      </c>
      <c r="H55">
        <v>3</v>
      </c>
      <c r="I55" t="s">
        <v>338</v>
      </c>
      <c r="J55" t="s">
        <v>339</v>
      </c>
      <c r="K55" t="s">
        <v>340</v>
      </c>
      <c r="L55">
        <v>1346</v>
      </c>
      <c r="N55">
        <v>1009</v>
      </c>
      <c r="O55" t="s">
        <v>58</v>
      </c>
      <c r="P55" t="s">
        <v>58</v>
      </c>
      <c r="Q55">
        <v>1</v>
      </c>
      <c r="X55">
        <v>0.41</v>
      </c>
      <c r="Y55">
        <v>56.11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0</v>
      </c>
      <c r="AF55" t="s">
        <v>3</v>
      </c>
      <c r="AG55">
        <v>0.41</v>
      </c>
      <c r="AH55">
        <v>2</v>
      </c>
      <c r="AI55">
        <v>94301617</v>
      </c>
      <c r="AJ55">
        <v>58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ROW(Source!A45)</f>
        <v>45</v>
      </c>
      <c r="B56">
        <v>94301627</v>
      </c>
      <c r="C56">
        <v>94301610</v>
      </c>
      <c r="D56">
        <v>90159163</v>
      </c>
      <c r="E56">
        <v>118</v>
      </c>
      <c r="F56">
        <v>1</v>
      </c>
      <c r="G56">
        <v>1</v>
      </c>
      <c r="H56">
        <v>3</v>
      </c>
      <c r="I56" t="s">
        <v>352</v>
      </c>
      <c r="J56" t="s">
        <v>3</v>
      </c>
      <c r="K56" t="s">
        <v>353</v>
      </c>
      <c r="L56">
        <v>1348</v>
      </c>
      <c r="N56">
        <v>1009</v>
      </c>
      <c r="O56" t="s">
        <v>30</v>
      </c>
      <c r="P56" t="s">
        <v>30</v>
      </c>
      <c r="Q56">
        <v>1000</v>
      </c>
      <c r="X56">
        <v>5.3800000000000001E-2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 t="s">
        <v>3</v>
      </c>
      <c r="AG56">
        <v>5.3800000000000001E-2</v>
      </c>
      <c r="AH56">
        <v>3</v>
      </c>
      <c r="AI56">
        <v>-1</v>
      </c>
      <c r="AJ56" t="s">
        <v>3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ROW(Source!A45)</f>
        <v>45</v>
      </c>
      <c r="B57">
        <v>94301628</v>
      </c>
      <c r="C57">
        <v>94301610</v>
      </c>
      <c r="D57">
        <v>90251242</v>
      </c>
      <c r="E57">
        <v>1</v>
      </c>
      <c r="F57">
        <v>1</v>
      </c>
      <c r="G57">
        <v>1</v>
      </c>
      <c r="H57">
        <v>3</v>
      </c>
      <c r="I57" t="s">
        <v>341</v>
      </c>
      <c r="J57" t="s">
        <v>342</v>
      </c>
      <c r="K57" t="s">
        <v>343</v>
      </c>
      <c r="L57">
        <v>1346</v>
      </c>
      <c r="N57">
        <v>1009</v>
      </c>
      <c r="O57" t="s">
        <v>58</v>
      </c>
      <c r="P57" t="s">
        <v>58</v>
      </c>
      <c r="Q57">
        <v>1</v>
      </c>
      <c r="X57">
        <v>1.6</v>
      </c>
      <c r="Y57">
        <v>60.6</v>
      </c>
      <c r="Z57">
        <v>0</v>
      </c>
      <c r="AA57">
        <v>0</v>
      </c>
      <c r="AB57">
        <v>0</v>
      </c>
      <c r="AC57">
        <v>0</v>
      </c>
      <c r="AD57">
        <v>1</v>
      </c>
      <c r="AE57">
        <v>0</v>
      </c>
      <c r="AF57" t="s">
        <v>3</v>
      </c>
      <c r="AG57">
        <v>1.6</v>
      </c>
      <c r="AH57">
        <v>2</v>
      </c>
      <c r="AI57">
        <v>94301619</v>
      </c>
      <c r="AJ57">
        <v>60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21" x14ac:dyDescent="0.2">
      <c r="A1">
        <v>32</v>
      </c>
      <c r="B1">
        <v>1</v>
      </c>
      <c r="C1" t="s">
        <v>3</v>
      </c>
      <c r="D1" t="s">
        <v>3</v>
      </c>
      <c r="E1" t="s">
        <v>41</v>
      </c>
      <c r="F1" t="s">
        <v>41</v>
      </c>
      <c r="G1" t="s">
        <v>42</v>
      </c>
      <c r="H1" t="s">
        <v>3</v>
      </c>
      <c r="I1" t="s">
        <v>42</v>
      </c>
      <c r="J1" t="s">
        <v>41</v>
      </c>
      <c r="K1" t="s">
        <v>3</v>
      </c>
      <c r="L1" t="s">
        <v>43</v>
      </c>
      <c r="M1" t="s">
        <v>44</v>
      </c>
      <c r="N1" t="s">
        <v>3</v>
      </c>
      <c r="O1" t="s">
        <v>41</v>
      </c>
      <c r="P1" t="s">
        <v>3</v>
      </c>
      <c r="Q1" t="s">
        <v>3</v>
      </c>
      <c r="R1" t="s">
        <v>3</v>
      </c>
      <c r="S1" t="s">
        <v>354</v>
      </c>
      <c r="T1" t="s">
        <v>357</v>
      </c>
      <c r="U1" t="s">
        <v>355</v>
      </c>
    </row>
    <row r="2" spans="1:21" x14ac:dyDescent="0.2">
      <c r="A2">
        <v>41</v>
      </c>
      <c r="B2">
        <v>1</v>
      </c>
      <c r="C2" t="s">
        <v>3</v>
      </c>
      <c r="D2" t="s">
        <v>3</v>
      </c>
      <c r="E2" t="s">
        <v>41</v>
      </c>
      <c r="F2" t="s">
        <v>41</v>
      </c>
      <c r="G2" t="s">
        <v>42</v>
      </c>
      <c r="H2" t="s">
        <v>3</v>
      </c>
      <c r="I2" t="s">
        <v>42</v>
      </c>
      <c r="J2" t="s">
        <v>41</v>
      </c>
      <c r="K2" t="s">
        <v>3</v>
      </c>
      <c r="L2" t="s">
        <v>43</v>
      </c>
      <c r="M2" t="s">
        <v>44</v>
      </c>
      <c r="N2" t="s">
        <v>3</v>
      </c>
      <c r="O2" t="s">
        <v>41</v>
      </c>
      <c r="P2" t="s">
        <v>3</v>
      </c>
      <c r="Q2" t="s">
        <v>3</v>
      </c>
      <c r="R2" t="s">
        <v>3</v>
      </c>
      <c r="S2" t="s">
        <v>354</v>
      </c>
      <c r="T2" t="s">
        <v>357</v>
      </c>
      <c r="U2" t="s">
        <v>355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21931</v>
      </c>
      <c r="M1">
        <v>10</v>
      </c>
      <c r="N1">
        <v>12</v>
      </c>
      <c r="O1">
        <v>1</v>
      </c>
      <c r="P1">
        <v>0</v>
      </c>
      <c r="Q1">
        <v>4</v>
      </c>
    </row>
    <row r="12" spans="1:103" x14ac:dyDescent="0.2">
      <c r="F12" t="str">
        <f>Source!F12</f>
        <v>Новый объект</v>
      </c>
      <c r="G12" t="str">
        <f>Source!G12</f>
        <v>Ремонт   фасада 1 этаж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Смета по ФСНБ 421+557прРИМ</vt:lpstr>
      <vt:lpstr>Дефектная ведомость</vt:lpstr>
      <vt:lpstr>Source</vt:lpstr>
      <vt:lpstr>SourceObSm</vt:lpstr>
      <vt:lpstr>SmtRes</vt:lpstr>
      <vt:lpstr>EtalonRes</vt:lpstr>
      <vt:lpstr>SrcPoprs</vt:lpstr>
      <vt:lpstr>SrcKA</vt:lpstr>
      <vt:lpstr>'Дефектная ведомость'!Заголовки_для_печати</vt:lpstr>
      <vt:lpstr>'Смета по ФСНБ 421+557прРИМ'!Заголовки_для_печати</vt:lpstr>
      <vt:lpstr>'Дефектная ведомость'!Область_печати</vt:lpstr>
      <vt:lpstr>'Смета по ФСНБ 421+557прРИМ'!Область_печати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Клепацкая Татьяна Борисовна</cp:lastModifiedBy>
  <dcterms:created xsi:type="dcterms:W3CDTF">2026-08-17T13:49:36Z</dcterms:created>
  <dcterms:modified xsi:type="dcterms:W3CDTF">2026-08-24T11:54:53Z</dcterms:modified>
</cp:coreProperties>
</file>