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Юрист\Downloads\"/>
    </mc:Choice>
  </mc:AlternateContent>
  <bookViews>
    <workbookView xWindow="0" yWindow="0" windowWidth="20460" windowHeight="7590"/>
  </bookViews>
  <sheets>
    <sheet name="Обсн НМЦК 0110-311226 РабДнПЕЧ" sheetId="5" r:id="rId1"/>
    <sheet name="Обсн НМЦК 0110-311226 РабДн ЧЕР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5" l="1"/>
  <c r="F41" i="5" l="1"/>
  <c r="F7" i="5" l="1"/>
  <c r="F11" i="5" s="1"/>
  <c r="F21" i="5"/>
  <c r="F19" i="5" s="1"/>
  <c r="F28" i="5"/>
  <c r="L45" i="4"/>
  <c r="M45" i="4" s="1"/>
  <c r="N45" i="4" s="1"/>
  <c r="J45" i="4"/>
  <c r="O45" i="4"/>
  <c r="O46" i="4" s="1"/>
  <c r="I45" i="4"/>
  <c r="I46" i="4" s="1"/>
  <c r="G45" i="4"/>
  <c r="G46" i="4" s="1"/>
  <c r="E45" i="4"/>
  <c r="E46" i="4" s="1"/>
  <c r="F29" i="4"/>
  <c r="F22" i="4"/>
  <c r="F20" i="4" s="1"/>
  <c r="F8" i="4"/>
  <c r="F16" i="4" s="1"/>
  <c r="F15" i="4"/>
  <c r="F12" i="4"/>
  <c r="F14" i="5" l="1"/>
  <c r="F17" i="4"/>
  <c r="F19" i="4" s="1"/>
  <c r="F15" i="5"/>
  <c r="F16" i="5" l="1"/>
  <c r="F28" i="4"/>
  <c r="F18" i="5"/>
  <c r="F27" i="5" l="1"/>
  <c r="F31" i="4"/>
  <c r="F30" i="5" l="1"/>
  <c r="F31" i="5"/>
  <c r="F33" i="5" s="1"/>
  <c r="F32" i="4"/>
  <c r="F34" i="4" s="1"/>
  <c r="F35" i="5" l="1"/>
  <c r="F36" i="4"/>
</calcChain>
</file>

<file path=xl/sharedStrings.xml><?xml version="1.0" encoding="utf-8"?>
<sst xmlns="http://schemas.openxmlformats.org/spreadsheetml/2006/main" count="315" uniqueCount="122">
  <si>
    <t>Наименование показателя</t>
  </si>
  <si>
    <t>Ки</t>
  </si>
  <si>
    <t>СНР</t>
  </si>
  <si>
    <t>БЗП</t>
  </si>
  <si>
    <t>МРОТ</t>
  </si>
  <si>
    <t>Дн</t>
  </si>
  <si>
    <t>Двп</t>
  </si>
  <si>
    <t>Дрк</t>
  </si>
  <si>
    <t>СВ</t>
  </si>
  <si>
    <t>РО</t>
  </si>
  <si>
    <t>Y</t>
  </si>
  <si>
    <t>U</t>
  </si>
  <si>
    <t>(Си*Ки)+КР+П)*Iинфл+НДС</t>
  </si>
  <si>
    <t>НДС</t>
  </si>
  <si>
    <t>Значения, изменяемые заказчиком</t>
  </si>
  <si>
    <t>Си=
(БЗП+Дн+Двп+Дрк+РО+СВ)*U</t>
  </si>
  <si>
    <t>КР=
(Си*Ки)*0,2</t>
  </si>
  <si>
    <t>П=
((Си*Ки)+КР)*0,05</t>
  </si>
  <si>
    <t>№ п/п</t>
  </si>
  <si>
    <t>Единица измерения</t>
  </si>
  <si>
    <t>мес</t>
  </si>
  <si>
    <t>час</t>
  </si>
  <si>
    <t>Период работы поста в ночное время (с 22:00 до 6:00)</t>
  </si>
  <si>
    <t>Общее количество дней охраны</t>
  </si>
  <si>
    <t>день</t>
  </si>
  <si>
    <t>Количество нерабочих праздничных дней</t>
  </si>
  <si>
    <t>руб/час</t>
  </si>
  <si>
    <t>Дополнительные коэффициенты:</t>
  </si>
  <si>
    <t>Массовые мероприятия</t>
  </si>
  <si>
    <t>Базовый коэффициент</t>
  </si>
  <si>
    <t>Наличие спецсредств</t>
  </si>
  <si>
    <t>Наличие оружия</t>
  </si>
  <si>
    <t>Объект антитеррора</t>
  </si>
  <si>
    <t>Допуск к гостайне</t>
  </si>
  <si>
    <t>при наличии требований устанавливается 0,05</t>
  </si>
  <si>
    <t>при наличии требований устанавливается 0,2</t>
  </si>
  <si>
    <t>при наличии требований устанавливается 0,3</t>
  </si>
  <si>
    <t>при наличии требований устанавливается 0,1</t>
  </si>
  <si>
    <t>х</t>
  </si>
  <si>
    <t>руб/мес</t>
  </si>
  <si>
    <t>час/мес</t>
  </si>
  <si>
    <t>Индекс потребительских цен</t>
  </si>
  <si>
    <t>Cтсо</t>
  </si>
  <si>
    <t>Пояснения</t>
  </si>
  <si>
    <t>Минимальный размер оплаты труда</t>
  </si>
  <si>
    <t>Среднемесячное количество рабочих часов</t>
  </si>
  <si>
    <t>Сокращенное наименование показателя</t>
  </si>
  <si>
    <t>Базовая заработная плата</t>
  </si>
  <si>
    <t xml:space="preserve"> - </t>
  </si>
  <si>
    <t xml:space="preserve"> -</t>
  </si>
  <si>
    <t>Доплата за работу в ночное время</t>
  </si>
  <si>
    <t>указывается в соответствии с потребностями заказчика</t>
  </si>
  <si>
    <t>Доплата за работу в выходные  и праздничные дни</t>
  </si>
  <si>
    <t>Доплата за работу в районах Крайнего Севера и приравненных к ним местностях</t>
  </si>
  <si>
    <t>Резерв на отпуск</t>
  </si>
  <si>
    <t>Страховые взносы</t>
  </si>
  <si>
    <t>Ставка страховых взносов</t>
  </si>
  <si>
    <t>Корректирующий коэффициент</t>
  </si>
  <si>
    <t xml:space="preserve">рассчитывается автоматически </t>
  </si>
  <si>
    <t>Uд</t>
  </si>
  <si>
    <t>Uб</t>
  </si>
  <si>
    <t>Прямые затраты</t>
  </si>
  <si>
    <t>Количество часов работы работника по контракту на 1 посту охраны</t>
  </si>
  <si>
    <t>Косвенные расходы</t>
  </si>
  <si>
    <t>Стоимость выполнения работ по проектированию , монтажу и эксплутационному обслуживанию технических средств охраны</t>
  </si>
  <si>
    <t>Налог на добавленную стоимость</t>
  </si>
  <si>
    <t>Iинфл</t>
  </si>
  <si>
    <t>Количество постов охраны</t>
  </si>
  <si>
    <t>n</t>
  </si>
  <si>
    <t>Прибыль</t>
  </si>
  <si>
    <t>Значения, не изменяемые заказчиком</t>
  </si>
  <si>
    <t>Режим работы поста
(часов в сутки)</t>
  </si>
  <si>
    <t>Срок оказания охранных услуг (в месяцах)</t>
  </si>
  <si>
    <t>в случае, если охранные услуги не оказываются в ночное время (с 22:00 до 6:00 часов) указывается значение равное 0</t>
  </si>
  <si>
    <t>количество дней за весь срок оказания охранных услуг</t>
  </si>
  <si>
    <t>стоимость указывается без НДС, так как расчет НДС предусмотрен формулой расчета НМЦК</t>
  </si>
  <si>
    <t>принимается равным 1, если расчет НМЦК и начало срока действия контракта приходятся на один календарный год,
иначе рассчитывается как средне арифметическое между индексами на каждый год срока действия контракта в соответствии с ПП РФ от 14.11.2015 №1234</t>
  </si>
  <si>
    <t>НМЦК в месяц</t>
  </si>
  <si>
    <t>количество нерабочих праздничных дней за весь срок оказания охранных услуг (согласно производственному календарю);
в случае, если охранные услуги не оказываются в нерабочие праздничные дни указывается значение равное 0</t>
  </si>
  <si>
    <t xml:space="preserve">Uб = 1 - пост охраны в составе 1 работника с режимом работы 24 часа
Uб = 1,5 - пост охраны в составе 1 работника с режимом работы 12 часов
Uб = 2-0,0417*количество часов работы поста - пост охраны в составе 1 работника с режимом работы, отличным от 24 и 12 ч (но не более 24 ч и не менее 3 ч ) </t>
  </si>
  <si>
    <t>расчет произведен для одного поста охраны в составе одного работника;
в случае необходимости наличия нескольких постов охраны с одниковыми условиями и режимом работы значение показателя может быть изменено и расчет НМЦК будет произведен автоматически</t>
  </si>
  <si>
    <t xml:space="preserve">Начальная (максимальная) цена контракта определена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с учетом приказа Федеральной службы войск национальной гвардии РФ от 15.02. 2021 г.  №  45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услуг» (далее – Приказ № 45) 
Основные характеристики объекта: в соответствии с Описанием объекта закупки (техническим заданием)
Используемый метод:  порядок расчета  НМЦК по Приказу № 45  
</t>
  </si>
  <si>
    <r>
      <t xml:space="preserve">Суммарное значение дополнительных коэффициентов </t>
    </r>
    <r>
      <rPr>
        <b/>
        <sz val="12"/>
        <color theme="8" tint="-0.249977111117893"/>
        <rFont val="PT Astra Serif"/>
        <charset val="204"/>
      </rPr>
      <t>не может превышать 0,35</t>
    </r>
  </si>
  <si>
    <t>наименование товара(работы, услуги)</t>
  </si>
  <si>
    <t>v- кол-во (объем) закупаемого товара (работы, услуги), ед.</t>
  </si>
  <si>
    <t>Номер источника ценовой информации (ИЦИ №i) и цена единицы товара, работы, услу, представленная i-тыми ИЦИ(Цi), руб.</t>
  </si>
  <si>
    <t>n - кол-во значений, используемых в расчете</t>
  </si>
  <si>
    <t>Определение однородности совокупности значений выявленных цен</t>
  </si>
  <si>
    <t>ИЦИ №1</t>
  </si>
  <si>
    <t>Ц - сред.ариф. величина цены единицы продукции, руб.</t>
  </si>
  <si>
    <t xml:space="preserve">среднее квадратичное отклонение </t>
  </si>
  <si>
    <t xml:space="preserve">Коэффициент вариации </t>
  </si>
  <si>
    <t>5 = 3 * 4</t>
  </si>
  <si>
    <t>7 = 3 * 6</t>
  </si>
  <si>
    <t>9 = 3 * 8</t>
  </si>
  <si>
    <t>11  = кол-во значений ИЦИ</t>
  </si>
  <si>
    <t>15=10*3/11</t>
  </si>
  <si>
    <t>оказание охранных услуг (Выставление поста охраны) на 2024 год</t>
  </si>
  <si>
    <t>ИТОГО</t>
  </si>
  <si>
    <t>Заказчиком установлена начальная (максимальная)цена контракта по наименьшему коммерческому предложению 506 400,0 рублей</t>
  </si>
  <si>
    <t xml:space="preserve">коэффициент  равен 1,15 для Кировской области
коэффициент равен 0,3 для Асиновского, Бакчарского, Зырянского, Кожевниковского, Кривошеинского, Молчановского, Первомайского, Тегульдетского, Томского и Шегарского районов, г. Томск;
коэффициент  равен 0,5 для  Александровского, Верхнекетского, Каргасокского, Колпашевского, Парабельского и Чаинского районов, г. Кедровый, г. Северск </t>
  </si>
  <si>
    <r>
      <t xml:space="preserve">
Заказчиком произведен расчет с учетом Приказа № 45. Сумма в данном расчете превышает лимиты бюджетных обязательств, заказчика. Согласно п.2 ст.72 БК РФ НМКЦ определяется заказчиком исходя из выделенных лимитов бюджетных обяз</t>
    </r>
    <r>
      <rPr>
        <sz val="11"/>
        <rFont val="PT Astra Serif"/>
        <charset val="204"/>
      </rPr>
      <t xml:space="preserve">ательств.
     </t>
    </r>
    <r>
      <rPr>
        <sz val="11"/>
        <color rgb="FFFF0000"/>
        <rFont val="PT Astra Serif"/>
        <charset val="204"/>
      </rPr>
      <t xml:space="preserve"> --------------------------------</t>
    </r>
    <r>
      <rPr>
        <sz val="11"/>
        <rFont val="PT Astra Serif"/>
        <charset val="204"/>
      </rPr>
      <t xml:space="preserve">
Начальная (максимальная) цена контракта устанавливается Заказчиком в пределах доведенных лимитов, на основании писем  Минфина России от 10.01.2020 № 24-01-08/326 и  от 10. 09. 2020  №  24-01-08/79621, отт 01.11.2021 №24-06-06/88229 , и составляет 926 119,04 рублей.</t>
    </r>
    <r>
      <rPr>
        <sz val="11"/>
        <color theme="1"/>
        <rFont val="PT Astra Serif"/>
        <family val="2"/>
        <charset val="204"/>
      </rPr>
      <t xml:space="preserve">
В подтверждение доведенных лимитов Заказчик производит  следующий расчет НМЦК:
</t>
    </r>
  </si>
  <si>
    <r>
      <rPr>
        <b/>
        <sz val="11"/>
        <rFont val="PT Astra Serif"/>
        <family val="1"/>
        <charset val="204"/>
      </rPr>
      <t>Обоснование начальной (максимальной) цены контракта на оказание охранных услуг (выставление поста охраны) в РАБОЧИЕ ДНИ</t>
    </r>
    <r>
      <rPr>
        <b/>
        <sz val="11"/>
        <color rgb="FFFF0000"/>
        <rFont val="PT Astra Serif"/>
        <family val="1"/>
        <charset val="204"/>
      </rPr>
      <t xml:space="preserve">
  </t>
    </r>
    <r>
      <rPr>
        <b/>
        <sz val="11"/>
        <rFont val="PT Astra Serif"/>
        <charset val="204"/>
      </rPr>
      <t xml:space="preserve"> на  2026 год (с 01.10.2026 по 31.12.2026)</t>
    </r>
  </si>
  <si>
    <r>
      <rPr>
        <u/>
        <sz val="11"/>
        <color theme="1"/>
        <rFont val="PT Astra Serif"/>
        <family val="1"/>
        <charset val="204"/>
      </rPr>
      <t>Среднемесячное количество рабочих часов</t>
    </r>
    <r>
      <rPr>
        <sz val="11"/>
        <color theme="1"/>
        <rFont val="PT Astra Serif"/>
        <family val="2"/>
        <charset val="204"/>
      </rPr>
      <t xml:space="preserve">
Количество рабочих часов в год по производственному календарю на </t>
    </r>
    <r>
      <rPr>
        <b/>
        <sz val="11"/>
        <color theme="5" tint="-0.249977111117893"/>
        <rFont val="PT Astra Serif"/>
        <charset val="204"/>
      </rPr>
      <t>2026</t>
    </r>
    <r>
      <rPr>
        <sz val="11"/>
        <color theme="1"/>
        <rFont val="PT Astra Serif"/>
        <family val="2"/>
        <charset val="204"/>
      </rPr>
      <t xml:space="preserve"> год для 40-часовой пятидневной раб.нед </t>
    </r>
  </si>
  <si>
    <t>511 РабЧас/ 3 мес=170,33 час/мес</t>
  </si>
  <si>
    <t>ниже не заполняю</t>
  </si>
  <si>
    <r>
      <t xml:space="preserve">
Общая стоимость услуг за месяц равна 119 565,26 руб.
</t>
    </r>
    <r>
      <rPr>
        <b/>
        <sz val="11"/>
        <color theme="1"/>
        <rFont val="PT Astra Serif"/>
        <charset val="204"/>
      </rPr>
      <t xml:space="preserve">Общая стоимость услуг за период оказания услуг  равна: 119 565,26* 3 мес. = 358 695,78 руб. </t>
    </r>
  </si>
  <si>
    <t xml:space="preserve">1. СОГЛАШЕНИЕ о минимальной заработной плате в Кировской области между Правительством Кировской области, Кировским областным союзом организаций профсоюзов «Федерация профсоюзных организаций Кировской области», объединениями работодателей Кировской области на 2026 год от 24.12.2025 - действует с 1.02.2026
2. письмо минфинкировской области от 23.12.2025 № 86940-53-21-03-л
</t>
  </si>
  <si>
    <t>№</t>
  </si>
  <si>
    <t>Наименование услуг</t>
  </si>
  <si>
    <t>Единица измерения (по ОКЕИ)</t>
  </si>
  <si>
    <t>Расчетная цена  заказчика за единицу, рублей</t>
  </si>
  <si>
    <t>Начальная (максимальная) цена, руб.</t>
  </si>
  <si>
    <t>Человеко-час</t>
  </si>
  <si>
    <t>Итого НМЦК</t>
  </si>
  <si>
    <r>
      <rPr>
        <u/>
        <sz val="11"/>
        <color theme="1"/>
        <rFont val="PT Astra Serif"/>
        <family val="1"/>
        <charset val="204"/>
      </rPr>
      <t>Среднемесячное количество рабочих часов</t>
    </r>
    <r>
      <rPr>
        <sz val="11"/>
        <color theme="1"/>
        <rFont val="PT Astra Serif"/>
        <family val="2"/>
        <charset val="204"/>
      </rPr>
      <t xml:space="preserve">
Количество рабочих часов в год по производственному календарю на </t>
    </r>
    <r>
      <rPr>
        <b/>
        <sz val="11"/>
        <color theme="5" tint="-0.249977111117893"/>
        <rFont val="PT Astra Serif"/>
        <charset val="204"/>
      </rPr>
      <t>2026</t>
    </r>
    <r>
      <rPr>
        <sz val="11"/>
        <color theme="1"/>
        <rFont val="PT Astra Serif"/>
        <family val="2"/>
        <charset val="204"/>
      </rPr>
      <t xml:space="preserve"> год для 40-часовой пятидневной раб.нед (июль/август 2026 года = (184+168):2=176 часов)</t>
    </r>
  </si>
  <si>
    <t>Количество чел-часов в июле-августе 2026 году</t>
  </si>
  <si>
    <t xml:space="preserve"> </t>
  </si>
  <si>
    <r>
      <rPr>
        <b/>
        <sz val="11"/>
        <rFont val="PT Astra Serif"/>
        <family val="1"/>
        <charset val="204"/>
      </rPr>
      <t>Обоснование начальной (максимальной) цены контракта на оказание охранных услуг (выставление поста охраны) 
РАБОЧИЕ ДНИ</t>
    </r>
    <r>
      <rPr>
        <b/>
        <sz val="11"/>
        <color rgb="FFFF0000"/>
        <rFont val="PT Astra Serif"/>
        <family val="1"/>
        <charset val="204"/>
      </rPr>
      <t xml:space="preserve">
  </t>
    </r>
    <r>
      <rPr>
        <b/>
        <sz val="11"/>
        <rFont val="PT Astra Serif"/>
        <charset val="204"/>
      </rPr>
      <t xml:space="preserve"> 2026 год
 (с 01.07.2026 по 31.08.2026)</t>
    </r>
  </si>
  <si>
    <r>
      <t xml:space="preserve">
Общая стоимость услуг за месяц равна 125 295,87 руб.
</t>
    </r>
    <r>
      <rPr>
        <b/>
        <sz val="11"/>
        <color theme="1"/>
        <rFont val="PT Astra Serif"/>
        <charset val="204"/>
      </rPr>
      <t>Общая стоимость услуг за период оказания услуг  равна: 125295,87руб * 2 мес = 250 591 рублей 87 копеек.</t>
    </r>
    <r>
      <rPr>
        <sz val="11"/>
        <color theme="1"/>
        <rFont val="PT Astra Serif"/>
        <family val="2"/>
        <charset val="204"/>
      </rPr>
      <t xml:space="preserve"> </t>
    </r>
  </si>
  <si>
    <t xml:space="preserve">В соответствии со ст. 34 Бюджетного кодекса Заказчик должен соблюдать принцип эффективности использования бюджетных средств: достижение заданных результатов с использованием наименьшего объема средств (экономности). В соответствии с п.2 ст.72 Бюджетного кодекса РФ государственные (муниципальные) контракты заключаются в соответствии с утвержденным планом-графиком закупок и оплачиваются в пределах лимитов бюджетных обязательств. 
НМЦК за 1 час, для услуги частной охраны (Выставление поста охраны, 8 ч.) принятая к расчету, составляет: 711руб 9083522727273коп.                                                                                                                                                                                                   </t>
  </si>
  <si>
    <t xml:space="preserve">Услуги частной охраны (выставление поста охраны) в рабочие дни 2026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</si>
</sst>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\ _₽"/>
  </numFmts>
  <fonts count="31">
    <font>
      <sz val="11"/>
      <color theme="1"/>
      <name val="PT Astra Serif"/>
      <family val="2"/>
      <charset val="204"/>
    </font>
    <font>
      <b/>
      <sz val="11"/>
      <color theme="1"/>
      <name val="PT Astra Serif"/>
      <family val="1"/>
      <charset val="204"/>
    </font>
    <font>
      <u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FF0000"/>
      <name val="PT Astra Serif"/>
      <family val="2"/>
      <charset val="204"/>
    </font>
    <font>
      <b/>
      <sz val="11"/>
      <color theme="1"/>
      <name val="PT Astra Serif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PT Astra Serif"/>
      <family val="1"/>
      <charset val="204"/>
    </font>
    <font>
      <sz val="11"/>
      <name val="PT Astra Serif"/>
      <family val="2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sz val="11"/>
      <name val="PT Astra Serif"/>
      <charset val="204"/>
    </font>
    <font>
      <b/>
      <sz val="11"/>
      <color theme="5" tint="-0.249977111117893"/>
      <name val="PT Astra Serif"/>
      <charset val="204"/>
    </font>
    <font>
      <b/>
      <sz val="12"/>
      <color theme="8" tint="-0.249977111117893"/>
      <name val="PT Astra Serif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PT Astra Serif"/>
      <charset val="204"/>
    </font>
    <font>
      <sz val="11"/>
      <color rgb="FFFF0000"/>
      <name val="PT Astra Serif"/>
      <charset val="204"/>
    </font>
    <font>
      <sz val="11"/>
      <color theme="1"/>
      <name val="PT Astra Serif"/>
      <charset val="204"/>
    </font>
    <font>
      <b/>
      <sz val="11"/>
      <color theme="1"/>
      <name val="PT Astra Serif"/>
      <charset val="204"/>
    </font>
    <font>
      <sz val="10"/>
      <color rgb="FF000000"/>
      <name val="Arial"/>
      <family val="2"/>
      <charset val="204"/>
    </font>
    <font>
      <i/>
      <u/>
      <sz val="20"/>
      <color theme="1"/>
      <name val="PT Astra Serif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115">
    <xf numFmtId="0" fontId="0" fillId="0" borderId="0" xfId="0"/>
    <xf numFmtId="0" fontId="0" fillId="0" borderId="1" xfId="0" applyBorder="1"/>
    <xf numFmtId="4" fontId="0" fillId="0" borderId="1" xfId="0" applyNumberFormat="1" applyBorder="1" applyAlignment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 wrapText="1"/>
    </xf>
    <xf numFmtId="4" fontId="0" fillId="3" borderId="1" xfId="0" applyNumberFormat="1" applyFill="1" applyBorder="1" applyAlignment="1"/>
    <xf numFmtId="4" fontId="4" fillId="0" borderId="1" xfId="0" applyNumberFormat="1" applyFont="1" applyBorder="1" applyAlignment="1"/>
    <xf numFmtId="2" fontId="9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2" fontId="16" fillId="7" borderId="1" xfId="0" applyNumberFormat="1" applyFont="1" applyFill="1" applyBorder="1" applyAlignment="1">
      <alignment horizontal="right" vertical="center"/>
    </xf>
    <xf numFmtId="2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horizontal="left" vertical="center"/>
    </xf>
    <xf numFmtId="2" fontId="16" fillId="7" borderId="1" xfId="0" applyNumberFormat="1" applyFont="1" applyFill="1" applyBorder="1" applyAlignment="1">
      <alignment vertical="center"/>
    </xf>
    <xf numFmtId="0" fontId="0" fillId="7" borderId="0" xfId="0" applyFill="1"/>
    <xf numFmtId="0" fontId="17" fillId="7" borderId="0" xfId="0" applyFont="1" applyFill="1"/>
    <xf numFmtId="0" fontId="18" fillId="7" borderId="4" xfId="0" applyFont="1" applyFill="1" applyBorder="1" applyAlignment="1">
      <alignment horizontal="center" vertical="center"/>
    </xf>
    <xf numFmtId="0" fontId="19" fillId="7" borderId="0" xfId="0" applyFont="1" applyFill="1"/>
    <xf numFmtId="0" fontId="16" fillId="7" borderId="0" xfId="0" applyFont="1" applyFill="1"/>
    <xf numFmtId="0" fontId="19" fillId="7" borderId="0" xfId="0" applyFont="1" applyFill="1" applyAlignment="1">
      <alignment wrapText="1"/>
    </xf>
    <xf numFmtId="0" fontId="20" fillId="7" borderId="0" xfId="0" applyFont="1" applyFill="1"/>
    <xf numFmtId="2" fontId="16" fillId="2" borderId="1" xfId="0" applyNumberFormat="1" applyFont="1" applyFill="1" applyBorder="1" applyAlignment="1">
      <alignment horizontal="right" vertical="center"/>
    </xf>
    <xf numFmtId="2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 wrapText="1"/>
    </xf>
    <xf numFmtId="0" fontId="0" fillId="9" borderId="0" xfId="0" applyFill="1"/>
    <xf numFmtId="4" fontId="23" fillId="4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 applyAlignment="1">
      <alignment horizontal="left"/>
    </xf>
    <xf numFmtId="0" fontId="16" fillId="0" borderId="3" xfId="0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right" vertical="center"/>
    </xf>
    <xf numFmtId="2" fontId="16" fillId="0" borderId="1" xfId="0" applyNumberFormat="1" applyFont="1" applyFill="1" applyBorder="1" applyAlignment="1">
      <alignment vertical="center"/>
    </xf>
    <xf numFmtId="0" fontId="17" fillId="0" borderId="0" xfId="0" applyFont="1" applyFill="1"/>
    <xf numFmtId="0" fontId="0" fillId="9" borderId="0" xfId="0" applyFill="1" applyBorder="1" applyAlignment="1">
      <alignment horizontal="left" wrapText="1"/>
    </xf>
    <xf numFmtId="0" fontId="0" fillId="9" borderId="0" xfId="0" applyFill="1" applyBorder="1" applyAlignment="1">
      <alignment horizontal="left"/>
    </xf>
    <xf numFmtId="0" fontId="26" fillId="9" borderId="0" xfId="0" applyFont="1" applyFill="1" applyBorder="1" applyAlignment="1">
      <alignment horizontal="left" vertical="top"/>
    </xf>
    <xf numFmtId="0" fontId="25" fillId="5" borderId="0" xfId="0" applyFont="1" applyFill="1" applyAlignment="1">
      <alignment vertical="top"/>
    </xf>
    <xf numFmtId="0" fontId="0" fillId="3" borderId="0" xfId="0" applyFill="1"/>
    <xf numFmtId="0" fontId="29" fillId="0" borderId="1" xfId="0" applyFont="1" applyBorder="1" applyAlignment="1" applyProtection="1">
      <alignment horizontal="left" vertical="center"/>
    </xf>
    <xf numFmtId="0" fontId="29" fillId="0" borderId="1" xfId="0" applyFont="1" applyBorder="1" applyAlignment="1" applyProtection="1">
      <alignment horizontal="right" vertical="center"/>
    </xf>
    <xf numFmtId="0" fontId="29" fillId="0" borderId="7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/>
    </xf>
    <xf numFmtId="165" fontId="29" fillId="0" borderId="1" xfId="0" applyNumberFormat="1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4" fontId="30" fillId="0" borderId="1" xfId="1" applyNumberFormat="1" applyFont="1" applyBorder="1" applyAlignment="1" applyProtection="1">
      <alignment horizontal="center" vertical="center" wrapText="1"/>
    </xf>
    <xf numFmtId="0" fontId="30" fillId="0" borderId="1" xfId="1" applyFont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horizontal="left" vertical="center" wrapText="1"/>
    </xf>
    <xf numFmtId="2" fontId="29" fillId="0" borderId="1" xfId="0" applyNumberFormat="1" applyFont="1" applyBorder="1" applyAlignment="1" applyProtection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7" fillId="0" borderId="0" xfId="0" applyFont="1" applyBorder="1" applyAlignment="1" applyProtection="1">
      <alignment horizontal="left" vertical="center" wrapText="1"/>
    </xf>
    <xf numFmtId="0" fontId="19" fillId="7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5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48219</xdr:colOff>
      <xdr:row>42</xdr:row>
      <xdr:rowOff>114300</xdr:rowOff>
    </xdr:from>
    <xdr:to>
      <xdr:col>9</xdr:col>
      <xdr:colOff>533401</xdr:colOff>
      <xdr:row>42</xdr:row>
      <xdr:rowOff>1061387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412"/>
        <a:stretch>
          <a:fillRect/>
        </a:stretch>
      </xdr:blipFill>
      <xdr:spPr bwMode="auto">
        <a:xfrm>
          <a:off x="13707069" y="21821775"/>
          <a:ext cx="485182" cy="947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47625</xdr:colOff>
      <xdr:row>42</xdr:row>
      <xdr:rowOff>590550</xdr:rowOff>
    </xdr:from>
    <xdr:to>
      <xdr:col>13</xdr:col>
      <xdr:colOff>0</xdr:colOff>
      <xdr:row>42</xdr:row>
      <xdr:rowOff>942975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2381250"/>
          <a:ext cx="13716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66675</xdr:colOff>
      <xdr:row>42</xdr:row>
      <xdr:rowOff>628650</xdr:rowOff>
    </xdr:from>
    <xdr:to>
      <xdr:col>13</xdr:col>
      <xdr:colOff>1028700</xdr:colOff>
      <xdr:row>42</xdr:row>
      <xdr:rowOff>962025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0" y="2419350"/>
          <a:ext cx="9620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57150</xdr:colOff>
      <xdr:row>42</xdr:row>
      <xdr:rowOff>419100</xdr:rowOff>
    </xdr:from>
    <xdr:to>
      <xdr:col>14</xdr:col>
      <xdr:colOff>1238250</xdr:colOff>
      <xdr:row>42</xdr:row>
      <xdr:rowOff>752475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209800"/>
          <a:ext cx="11811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200025</xdr:colOff>
      <xdr:row>41</xdr:row>
      <xdr:rowOff>209550</xdr:rowOff>
    </xdr:from>
    <xdr:to>
      <xdr:col>14</xdr:col>
      <xdr:colOff>1038225</xdr:colOff>
      <xdr:row>41</xdr:row>
      <xdr:rowOff>495300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790700"/>
          <a:ext cx="838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view="pageBreakPreview" topLeftCell="A36" zoomScale="70" zoomScaleNormal="70" zoomScaleSheetLayoutView="70" zoomScalePageLayoutView="75" workbookViewId="0">
      <selection activeCell="E40" sqref="E40"/>
    </sheetView>
  </sheetViews>
  <sheetFormatPr defaultRowHeight="14.25"/>
  <cols>
    <col min="1" max="1" width="8.125" customWidth="1"/>
    <col min="2" max="2" width="29.375" customWidth="1"/>
    <col min="3" max="3" width="15" customWidth="1"/>
    <col min="4" max="4" width="11.625" customWidth="1"/>
    <col min="5" max="5" width="20" customWidth="1"/>
    <col min="6" max="6" width="21.625" customWidth="1"/>
    <col min="7" max="7" width="74.625" customWidth="1"/>
    <col min="8" max="8" width="9" style="75"/>
  </cols>
  <sheetData>
    <row r="1" spans="1:7" s="75" customFormat="1" ht="66.75" customHeight="1">
      <c r="A1" s="96" t="s">
        <v>118</v>
      </c>
      <c r="B1" s="97"/>
      <c r="C1" s="97"/>
      <c r="D1" s="97"/>
      <c r="E1" s="97"/>
      <c r="F1" s="97"/>
      <c r="G1" s="97"/>
    </row>
    <row r="2" spans="1:7" s="76" customFormat="1" ht="114" customHeight="1">
      <c r="A2" s="98" t="s">
        <v>81</v>
      </c>
      <c r="B2" s="98"/>
      <c r="C2" s="98"/>
      <c r="D2" s="98"/>
      <c r="E2" s="98"/>
      <c r="F2" s="98"/>
      <c r="G2" s="98"/>
    </row>
    <row r="4" spans="1:7" ht="42.75">
      <c r="A4" s="28" t="s">
        <v>18</v>
      </c>
      <c r="B4" s="28" t="s">
        <v>0</v>
      </c>
      <c r="C4" s="28" t="s">
        <v>46</v>
      </c>
      <c r="D4" s="28" t="s">
        <v>19</v>
      </c>
      <c r="E4" s="28" t="s">
        <v>14</v>
      </c>
      <c r="F4" s="28" t="s">
        <v>70</v>
      </c>
      <c r="G4" s="28" t="s">
        <v>43</v>
      </c>
    </row>
    <row r="5" spans="1:7" ht="110.25" customHeight="1">
      <c r="A5" s="1">
        <v>1</v>
      </c>
      <c r="B5" s="13" t="s">
        <v>44</v>
      </c>
      <c r="C5" s="8" t="s">
        <v>4</v>
      </c>
      <c r="D5" s="5" t="s">
        <v>39</v>
      </c>
      <c r="E5" s="32" t="s">
        <v>38</v>
      </c>
      <c r="F5" s="72">
        <v>28447.65</v>
      </c>
      <c r="G5" s="9" t="s">
        <v>107</v>
      </c>
    </row>
    <row r="6" spans="1:7" ht="44.25">
      <c r="A6" s="1">
        <v>2</v>
      </c>
      <c r="B6" s="14" t="s">
        <v>45</v>
      </c>
      <c r="C6" s="14" t="s">
        <v>2</v>
      </c>
      <c r="D6" s="16" t="s">
        <v>40</v>
      </c>
      <c r="E6" s="72">
        <v>176</v>
      </c>
      <c r="F6" s="32" t="s">
        <v>38</v>
      </c>
      <c r="G6" s="3" t="s">
        <v>115</v>
      </c>
    </row>
    <row r="7" spans="1:7" ht="25.5" customHeight="1">
      <c r="A7" s="1">
        <v>3</v>
      </c>
      <c r="B7" s="8" t="s">
        <v>47</v>
      </c>
      <c r="C7" s="8" t="s">
        <v>3</v>
      </c>
      <c r="D7" s="5" t="s">
        <v>26</v>
      </c>
      <c r="E7" s="32" t="s">
        <v>38</v>
      </c>
      <c r="F7" s="29">
        <f>F5/E6</f>
        <v>161.63437500000001</v>
      </c>
      <c r="G7" s="2"/>
    </row>
    <row r="8" spans="1:7" ht="33.75" customHeight="1">
      <c r="A8" s="1">
        <v>4</v>
      </c>
      <c r="B8" s="14" t="s">
        <v>72</v>
      </c>
      <c r="C8" s="17" t="s">
        <v>48</v>
      </c>
      <c r="D8" s="18" t="s">
        <v>20</v>
      </c>
      <c r="E8" s="68">
        <v>2</v>
      </c>
      <c r="F8" s="32" t="s">
        <v>38</v>
      </c>
      <c r="G8" s="9" t="s">
        <v>51</v>
      </c>
    </row>
    <row r="9" spans="1:7" ht="28.5">
      <c r="A9" s="1">
        <v>5</v>
      </c>
      <c r="B9" s="14" t="s">
        <v>71</v>
      </c>
      <c r="C9" s="19" t="s">
        <v>49</v>
      </c>
      <c r="D9" s="18" t="s">
        <v>21</v>
      </c>
      <c r="E9" s="69">
        <v>8</v>
      </c>
      <c r="F9" s="32" t="s">
        <v>38</v>
      </c>
      <c r="G9" s="2" t="s">
        <v>51</v>
      </c>
    </row>
    <row r="10" spans="1:7" ht="28.5">
      <c r="A10" s="1">
        <v>6</v>
      </c>
      <c r="B10" s="14" t="s">
        <v>22</v>
      </c>
      <c r="C10" s="14" t="s">
        <v>48</v>
      </c>
      <c r="D10" s="18" t="s">
        <v>21</v>
      </c>
      <c r="E10" s="68">
        <v>0</v>
      </c>
      <c r="F10" s="32" t="s">
        <v>38</v>
      </c>
      <c r="G10" s="9" t="s">
        <v>73</v>
      </c>
    </row>
    <row r="11" spans="1:7" ht="28.5">
      <c r="A11" s="1">
        <v>7</v>
      </c>
      <c r="B11" s="8" t="s">
        <v>50</v>
      </c>
      <c r="C11" s="8" t="s">
        <v>5</v>
      </c>
      <c r="D11" s="6" t="s">
        <v>21</v>
      </c>
      <c r="E11" s="32" t="s">
        <v>38</v>
      </c>
      <c r="F11" s="30">
        <f>F7*20%*(E10/E9)</f>
        <v>0</v>
      </c>
      <c r="G11" s="10"/>
    </row>
    <row r="12" spans="1:7" ht="28.5">
      <c r="A12" s="1">
        <v>8</v>
      </c>
      <c r="B12" s="14" t="s">
        <v>23</v>
      </c>
      <c r="C12" s="14" t="s">
        <v>49</v>
      </c>
      <c r="D12" s="20" t="s">
        <v>24</v>
      </c>
      <c r="E12" s="68">
        <v>44</v>
      </c>
      <c r="F12" s="32" t="s">
        <v>38</v>
      </c>
      <c r="G12" s="9" t="s">
        <v>74</v>
      </c>
    </row>
    <row r="13" spans="1:7" ht="71.25">
      <c r="A13" s="1">
        <v>9</v>
      </c>
      <c r="B13" s="14" t="s">
        <v>25</v>
      </c>
      <c r="C13" s="14" t="s">
        <v>49</v>
      </c>
      <c r="D13" s="20" t="s">
        <v>24</v>
      </c>
      <c r="E13" s="68">
        <v>0</v>
      </c>
      <c r="F13" s="32" t="s">
        <v>38</v>
      </c>
      <c r="G13" s="9" t="s">
        <v>78</v>
      </c>
    </row>
    <row r="14" spans="1:7" ht="28.5">
      <c r="A14" s="1">
        <v>10</v>
      </c>
      <c r="B14" s="8" t="s">
        <v>52</v>
      </c>
      <c r="C14" s="8" t="s">
        <v>6</v>
      </c>
      <c r="D14" s="6" t="s">
        <v>21</v>
      </c>
      <c r="E14" s="32" t="s">
        <v>38</v>
      </c>
      <c r="F14" s="30">
        <f>(F7*24)*(E13/E12)/24</f>
        <v>0</v>
      </c>
      <c r="G14" s="9"/>
    </row>
    <row r="15" spans="1:7" ht="120.75" customHeight="1">
      <c r="A15" s="1">
        <v>11</v>
      </c>
      <c r="B15" s="14" t="s">
        <v>53</v>
      </c>
      <c r="C15" s="14" t="s">
        <v>7</v>
      </c>
      <c r="D15" s="20" t="s">
        <v>21</v>
      </c>
      <c r="E15" s="68">
        <v>0.15</v>
      </c>
      <c r="F15" s="30">
        <f>F7*E15</f>
        <v>24.245156250000001</v>
      </c>
      <c r="G15" s="11" t="s">
        <v>100</v>
      </c>
    </row>
    <row r="16" spans="1:7" ht="30" customHeight="1">
      <c r="A16" s="1">
        <v>12</v>
      </c>
      <c r="B16" s="8" t="s">
        <v>54</v>
      </c>
      <c r="C16" s="8" t="s">
        <v>9</v>
      </c>
      <c r="D16" s="37" t="s">
        <v>21</v>
      </c>
      <c r="E16" s="32" t="s">
        <v>38</v>
      </c>
      <c r="F16" s="30">
        <f>(F7+F11+F14+F15)/12</f>
        <v>15.489960937500001</v>
      </c>
      <c r="G16" s="2"/>
    </row>
    <row r="17" spans="1:7" ht="30.75" customHeight="1">
      <c r="A17" s="1">
        <v>13</v>
      </c>
      <c r="B17" s="8" t="s">
        <v>56</v>
      </c>
      <c r="C17" s="8" t="s">
        <v>10</v>
      </c>
      <c r="D17" s="7"/>
      <c r="E17" s="32" t="s">
        <v>38</v>
      </c>
      <c r="F17" s="31">
        <v>0.30199999999999999</v>
      </c>
      <c r="G17" s="2"/>
    </row>
    <row r="18" spans="1:7" ht="40.5" customHeight="1">
      <c r="A18" s="1">
        <v>14</v>
      </c>
      <c r="B18" s="8" t="s">
        <v>55</v>
      </c>
      <c r="C18" s="8" t="s">
        <v>8</v>
      </c>
      <c r="D18" s="6" t="s">
        <v>26</v>
      </c>
      <c r="E18" s="32" t="s">
        <v>38</v>
      </c>
      <c r="F18" s="30">
        <f>(F7+F11+F14+F15+F16)*F17</f>
        <v>60.813586640625005</v>
      </c>
      <c r="G18" s="2"/>
    </row>
    <row r="19" spans="1:7" ht="15">
      <c r="A19" s="1">
        <v>15</v>
      </c>
      <c r="B19" s="8" t="s">
        <v>57</v>
      </c>
      <c r="C19" s="13" t="s">
        <v>11</v>
      </c>
      <c r="D19" s="8"/>
      <c r="E19" s="32" t="s">
        <v>38</v>
      </c>
      <c r="F19" s="32">
        <f>E20+F21</f>
        <v>1.7664000000000002</v>
      </c>
      <c r="G19" s="2" t="s">
        <v>58</v>
      </c>
    </row>
    <row r="20" spans="1:7" ht="111" customHeight="1">
      <c r="A20" s="1">
        <v>16</v>
      </c>
      <c r="B20" s="21" t="s">
        <v>29</v>
      </c>
      <c r="C20" s="15" t="s">
        <v>60</v>
      </c>
      <c r="D20" s="21"/>
      <c r="E20" s="70">
        <v>1.6664000000000001</v>
      </c>
      <c r="F20" s="32" t="s">
        <v>38</v>
      </c>
      <c r="G20" s="44" t="s">
        <v>79</v>
      </c>
    </row>
    <row r="21" spans="1:7" ht="31.5">
      <c r="A21" s="1">
        <v>17</v>
      </c>
      <c r="B21" s="8" t="s">
        <v>27</v>
      </c>
      <c r="C21" s="22" t="s">
        <v>59</v>
      </c>
      <c r="D21" s="8"/>
      <c r="E21" s="32" t="s">
        <v>38</v>
      </c>
      <c r="F21" s="42">
        <f>SUM(E22:E26)</f>
        <v>0.1</v>
      </c>
      <c r="G21" s="43" t="s">
        <v>82</v>
      </c>
    </row>
    <row r="22" spans="1:7" ht="15">
      <c r="A22" s="1">
        <v>18</v>
      </c>
      <c r="B22" s="15" t="s">
        <v>30</v>
      </c>
      <c r="C22" s="21" t="s">
        <v>49</v>
      </c>
      <c r="D22" s="21"/>
      <c r="E22" s="70">
        <v>0</v>
      </c>
      <c r="F22" s="32" t="s">
        <v>38</v>
      </c>
      <c r="G22" s="1" t="s">
        <v>34</v>
      </c>
    </row>
    <row r="23" spans="1:7" ht="15">
      <c r="A23" s="1">
        <v>19</v>
      </c>
      <c r="B23" s="39" t="s">
        <v>31</v>
      </c>
      <c r="C23" s="21" t="s">
        <v>49</v>
      </c>
      <c r="D23" s="21"/>
      <c r="E23" s="70">
        <v>0</v>
      </c>
      <c r="F23" s="32" t="s">
        <v>38</v>
      </c>
      <c r="G23" s="1" t="s">
        <v>35</v>
      </c>
    </row>
    <row r="24" spans="1:7" ht="15">
      <c r="A24" s="1">
        <v>20</v>
      </c>
      <c r="B24" s="15" t="s">
        <v>28</v>
      </c>
      <c r="C24" s="21" t="s">
        <v>49</v>
      </c>
      <c r="D24" s="21"/>
      <c r="E24" s="70">
        <v>0</v>
      </c>
      <c r="F24" s="32" t="s">
        <v>38</v>
      </c>
      <c r="G24" s="1" t="s">
        <v>36</v>
      </c>
    </row>
    <row r="25" spans="1:7" ht="15">
      <c r="A25" s="1">
        <v>21</v>
      </c>
      <c r="B25" s="15" t="s">
        <v>32</v>
      </c>
      <c r="C25" s="21" t="s">
        <v>49</v>
      </c>
      <c r="D25" s="21"/>
      <c r="E25" s="70">
        <v>0.1</v>
      </c>
      <c r="F25" s="32" t="s">
        <v>38</v>
      </c>
      <c r="G25" s="1" t="s">
        <v>37</v>
      </c>
    </row>
    <row r="26" spans="1:7" ht="15">
      <c r="A26" s="1">
        <v>22</v>
      </c>
      <c r="B26" s="15" t="s">
        <v>33</v>
      </c>
      <c r="C26" s="21" t="s">
        <v>49</v>
      </c>
      <c r="D26" s="21"/>
      <c r="E26" s="70">
        <v>0</v>
      </c>
      <c r="F26" s="32" t="s">
        <v>38</v>
      </c>
      <c r="G26" s="1" t="s">
        <v>34</v>
      </c>
    </row>
    <row r="27" spans="1:7" ht="42.75">
      <c r="A27" s="1">
        <v>23</v>
      </c>
      <c r="B27" s="8" t="s">
        <v>61</v>
      </c>
      <c r="C27" s="8" t="s">
        <v>15</v>
      </c>
      <c r="D27" s="6" t="s">
        <v>26</v>
      </c>
      <c r="E27" s="32" t="s">
        <v>38</v>
      </c>
      <c r="F27" s="30">
        <f>(F7+F11+F14+F15+F16+F18)*F19</f>
        <v>463.12019044200008</v>
      </c>
      <c r="G27" s="2"/>
    </row>
    <row r="28" spans="1:7" ht="42.75">
      <c r="A28" s="1">
        <v>24</v>
      </c>
      <c r="B28" s="8" t="s">
        <v>62</v>
      </c>
      <c r="C28" s="8" t="s">
        <v>1</v>
      </c>
      <c r="D28" s="8" t="s">
        <v>40</v>
      </c>
      <c r="E28" s="32" t="s">
        <v>38</v>
      </c>
      <c r="F28" s="32">
        <f>E12*E9/E8</f>
        <v>176</v>
      </c>
      <c r="G28" s="10"/>
    </row>
    <row r="29" spans="1:7" ht="75.75" customHeight="1">
      <c r="A29" s="1">
        <v>25</v>
      </c>
      <c r="B29" s="14" t="s">
        <v>67</v>
      </c>
      <c r="C29" s="14" t="s">
        <v>68</v>
      </c>
      <c r="D29" s="14"/>
      <c r="E29" s="68">
        <v>1</v>
      </c>
      <c r="F29" s="32" t="s">
        <v>38</v>
      </c>
      <c r="G29" s="41" t="s">
        <v>80</v>
      </c>
    </row>
    <row r="30" spans="1:7" ht="28.5">
      <c r="A30" s="1">
        <v>26</v>
      </c>
      <c r="B30" s="8" t="s">
        <v>63</v>
      </c>
      <c r="C30" s="8" t="s">
        <v>16</v>
      </c>
      <c r="D30" s="5" t="s">
        <v>39</v>
      </c>
      <c r="E30" s="32" t="s">
        <v>38</v>
      </c>
      <c r="F30" s="29">
        <f>(F27*F28)*E29*0.2</f>
        <v>16301.830703558404</v>
      </c>
      <c r="G30" s="2"/>
    </row>
    <row r="31" spans="1:7" ht="42.75">
      <c r="A31" s="1">
        <v>27</v>
      </c>
      <c r="B31" s="8" t="s">
        <v>69</v>
      </c>
      <c r="C31" s="8" t="s">
        <v>17</v>
      </c>
      <c r="D31" s="5" t="s">
        <v>39</v>
      </c>
      <c r="E31" s="32" t="s">
        <v>38</v>
      </c>
      <c r="F31" s="29">
        <f>((F27*F28)*E29+F30)*0.05</f>
        <v>4890.5492110675214</v>
      </c>
      <c r="G31" s="2"/>
    </row>
    <row r="32" spans="1:7" ht="93" customHeight="1">
      <c r="A32" s="1">
        <v>28</v>
      </c>
      <c r="B32" s="14" t="s">
        <v>64</v>
      </c>
      <c r="C32" s="14" t="s">
        <v>42</v>
      </c>
      <c r="D32" s="23" t="s">
        <v>39</v>
      </c>
      <c r="E32" s="4">
        <v>0</v>
      </c>
      <c r="F32" s="32" t="s">
        <v>38</v>
      </c>
      <c r="G32" s="38" t="s">
        <v>75</v>
      </c>
    </row>
    <row r="33" spans="1:7" ht="28.5">
      <c r="A33" s="1">
        <v>29</v>
      </c>
      <c r="B33" s="8" t="s">
        <v>65</v>
      </c>
      <c r="C33" s="27" t="s">
        <v>13</v>
      </c>
      <c r="D33" s="24" t="s">
        <v>39</v>
      </c>
      <c r="E33" s="32" t="s">
        <v>38</v>
      </c>
      <c r="F33" s="29">
        <f>((F27*F28)*E29+F30+F31+E32)*22%</f>
        <v>22594.337355131949</v>
      </c>
      <c r="G33" s="36"/>
    </row>
    <row r="34" spans="1:7" ht="57">
      <c r="A34" s="1">
        <v>30</v>
      </c>
      <c r="B34" s="15" t="s">
        <v>41</v>
      </c>
      <c r="C34" s="25" t="s">
        <v>66</v>
      </c>
      <c r="D34" s="26"/>
      <c r="E34" s="12">
        <v>1</v>
      </c>
      <c r="F34" s="32" t="s">
        <v>38</v>
      </c>
      <c r="G34" s="9" t="s">
        <v>76</v>
      </c>
    </row>
    <row r="35" spans="1:7" ht="28.5">
      <c r="A35" s="1">
        <v>31</v>
      </c>
      <c r="B35" s="40" t="s">
        <v>77</v>
      </c>
      <c r="C35" s="33" t="s">
        <v>12</v>
      </c>
      <c r="D35" s="34" t="s">
        <v>39</v>
      </c>
      <c r="E35" s="32" t="s">
        <v>38</v>
      </c>
      <c r="F35" s="74">
        <f>((F27*F28)*E29+F30+F31+E32)*E34+F33</f>
        <v>125295.87078754989</v>
      </c>
      <c r="G35" s="35"/>
    </row>
    <row r="36" spans="1:7" ht="45.75" customHeight="1">
      <c r="A36" s="99" t="s">
        <v>119</v>
      </c>
      <c r="B36" s="100"/>
      <c r="C36" s="100"/>
      <c r="D36" s="100"/>
      <c r="E36" s="100"/>
      <c r="F36" s="100"/>
    </row>
    <row r="37" spans="1:7">
      <c r="A37" s="85"/>
      <c r="B37" s="85"/>
      <c r="C37" s="85"/>
      <c r="D37" s="85"/>
      <c r="E37" s="85"/>
      <c r="F37" s="85"/>
      <c r="G37" s="85"/>
    </row>
    <row r="38" spans="1:7" ht="203.25" customHeight="1">
      <c r="A38" s="101" t="s">
        <v>120</v>
      </c>
      <c r="B38" s="101"/>
      <c r="C38" s="101"/>
      <c r="D38" s="101"/>
      <c r="E38" s="101"/>
      <c r="F38" s="101"/>
      <c r="G38" s="85"/>
    </row>
    <row r="39" spans="1:7" ht="78.75">
      <c r="A39" s="89" t="s">
        <v>108</v>
      </c>
      <c r="B39" s="89" t="s">
        <v>109</v>
      </c>
      <c r="C39" s="91" t="s">
        <v>110</v>
      </c>
      <c r="D39" s="91" t="s">
        <v>116</v>
      </c>
      <c r="E39" s="92" t="s">
        <v>111</v>
      </c>
      <c r="F39" s="93" t="s">
        <v>112</v>
      </c>
      <c r="G39" s="85"/>
    </row>
    <row r="40" spans="1:7" ht="63">
      <c r="A40" s="89">
        <v>1</v>
      </c>
      <c r="B40" s="94" t="s">
        <v>121</v>
      </c>
      <c r="C40" s="89" t="s">
        <v>113</v>
      </c>
      <c r="D40" s="89"/>
      <c r="E40" s="95">
        <v>711.90835227272703</v>
      </c>
      <c r="F40" s="90">
        <f>D40*E40</f>
        <v>0</v>
      </c>
      <c r="G40" s="85" t="s">
        <v>117</v>
      </c>
    </row>
    <row r="41" spans="1:7" ht="15.75">
      <c r="A41" s="89"/>
      <c r="B41" s="86" t="s">
        <v>114</v>
      </c>
      <c r="C41" s="87"/>
      <c r="D41" s="88"/>
      <c r="E41" s="89"/>
      <c r="F41" s="90">
        <f>SUM(F40:F40)</f>
        <v>0</v>
      </c>
      <c r="G41" s="85"/>
    </row>
    <row r="42" spans="1:7">
      <c r="A42" s="85"/>
      <c r="B42" s="85"/>
      <c r="C42" s="85"/>
      <c r="D42" s="85"/>
      <c r="E42" s="85"/>
      <c r="F42" s="85"/>
      <c r="G42" s="85"/>
    </row>
    <row r="43" spans="1:7">
      <c r="A43" s="85"/>
      <c r="B43" s="85"/>
      <c r="C43" s="85"/>
      <c r="D43" s="85"/>
      <c r="E43" s="85"/>
      <c r="F43" s="85"/>
      <c r="G43" s="85"/>
    </row>
    <row r="44" spans="1:7">
      <c r="A44" s="85"/>
      <c r="B44" s="85"/>
      <c r="C44" s="85"/>
      <c r="D44" s="85"/>
      <c r="E44" s="85"/>
      <c r="F44" s="85"/>
      <c r="G44" s="85"/>
    </row>
    <row r="45" spans="1:7">
      <c r="A45" s="85"/>
      <c r="B45" s="85"/>
      <c r="C45" s="85"/>
      <c r="D45" s="85"/>
      <c r="E45" s="85"/>
      <c r="F45" s="85"/>
      <c r="G45" s="85"/>
    </row>
  </sheetData>
  <mergeCells count="4">
    <mergeCell ref="A1:G1"/>
    <mergeCell ref="A2:G2"/>
    <mergeCell ref="A36:F36"/>
    <mergeCell ref="A38:F38"/>
  </mergeCells>
  <pageMargins left="0.23622047244094491" right="0.23622047244094491" top="0.39370078740157483" bottom="0.39370078740157483" header="0.31496062992125984" footer="0.31496062992125984"/>
  <pageSetup paperSize="9" scale="39" fitToWidth="0" orientation="portrait" r:id="rId1"/>
  <rowBreaks count="1" manualBreakCount="1">
    <brk id="1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4"/>
  <sheetViews>
    <sheetView view="pageLayout" topLeftCell="A40" zoomScale="75" zoomScaleNormal="70" zoomScalePageLayoutView="75" workbookViewId="0">
      <selection activeCell="A39" sqref="A39:G39"/>
    </sheetView>
  </sheetViews>
  <sheetFormatPr defaultRowHeight="14.25"/>
  <cols>
    <col min="1" max="1" width="8.125" customWidth="1"/>
    <col min="2" max="2" width="29.375" customWidth="1"/>
    <col min="3" max="3" width="15" customWidth="1"/>
    <col min="4" max="4" width="11.625" customWidth="1"/>
    <col min="5" max="5" width="20" customWidth="1"/>
    <col min="6" max="6" width="18.5" customWidth="1"/>
    <col min="7" max="7" width="74.625" customWidth="1"/>
    <col min="8" max="8" width="9" style="75"/>
  </cols>
  <sheetData>
    <row r="2" spans="1:8" s="75" customFormat="1" ht="39" customHeight="1">
      <c r="A2" s="96" t="s">
        <v>102</v>
      </c>
      <c r="B2" s="97"/>
      <c r="C2" s="97"/>
      <c r="D2" s="97"/>
      <c r="E2" s="97"/>
      <c r="F2" s="97"/>
      <c r="G2" s="97"/>
    </row>
    <row r="3" spans="1:8" s="76" customFormat="1" ht="114" customHeight="1">
      <c r="A3" s="98" t="s">
        <v>81</v>
      </c>
      <c r="B3" s="98"/>
      <c r="C3" s="98"/>
      <c r="D3" s="98"/>
      <c r="E3" s="98"/>
      <c r="F3" s="98"/>
      <c r="G3" s="98"/>
    </row>
    <row r="5" spans="1:8" ht="42.75">
      <c r="A5" s="28" t="s">
        <v>18</v>
      </c>
      <c r="B5" s="28" t="s">
        <v>0</v>
      </c>
      <c r="C5" s="28" t="s">
        <v>46</v>
      </c>
      <c r="D5" s="28" t="s">
        <v>19</v>
      </c>
      <c r="E5" s="28" t="s">
        <v>14</v>
      </c>
      <c r="F5" s="28" t="s">
        <v>70</v>
      </c>
      <c r="G5" s="28" t="s">
        <v>43</v>
      </c>
    </row>
    <row r="6" spans="1:8" ht="48.75" customHeight="1">
      <c r="A6" s="1">
        <v>1</v>
      </c>
      <c r="B6" s="13" t="s">
        <v>44</v>
      </c>
      <c r="C6" s="8" t="s">
        <v>4</v>
      </c>
      <c r="D6" s="5" t="s">
        <v>39</v>
      </c>
      <c r="E6" s="32" t="s">
        <v>38</v>
      </c>
      <c r="F6" s="72">
        <v>27093</v>
      </c>
      <c r="G6" s="3"/>
    </row>
    <row r="7" spans="1:8" ht="44.25">
      <c r="A7" s="1">
        <v>2</v>
      </c>
      <c r="B7" s="14" t="s">
        <v>45</v>
      </c>
      <c r="C7" s="14" t="s">
        <v>2</v>
      </c>
      <c r="D7" s="16" t="s">
        <v>40</v>
      </c>
      <c r="E7" s="72">
        <v>170.33</v>
      </c>
      <c r="F7" s="32" t="s">
        <v>38</v>
      </c>
      <c r="G7" s="3" t="s">
        <v>103</v>
      </c>
      <c r="H7" s="84" t="s">
        <v>104</v>
      </c>
    </row>
    <row r="8" spans="1:8" ht="25.5" customHeight="1">
      <c r="A8" s="1">
        <v>3</v>
      </c>
      <c r="B8" s="8" t="s">
        <v>47</v>
      </c>
      <c r="C8" s="8" t="s">
        <v>3</v>
      </c>
      <c r="D8" s="5" t="s">
        <v>26</v>
      </c>
      <c r="E8" s="32" t="s">
        <v>38</v>
      </c>
      <c r="F8" s="29">
        <f>F6/E7</f>
        <v>159.06182117066868</v>
      </c>
      <c r="G8" s="2"/>
    </row>
    <row r="9" spans="1:8" ht="33.75" customHeight="1">
      <c r="A9" s="1">
        <v>4</v>
      </c>
      <c r="B9" s="14" t="s">
        <v>72</v>
      </c>
      <c r="C9" s="17" t="s">
        <v>48</v>
      </c>
      <c r="D9" s="18" t="s">
        <v>20</v>
      </c>
      <c r="E9" s="68">
        <v>3</v>
      </c>
      <c r="F9" s="32" t="s">
        <v>38</v>
      </c>
      <c r="G9" s="9" t="s">
        <v>51</v>
      </c>
    </row>
    <row r="10" spans="1:8" ht="28.5">
      <c r="A10" s="1">
        <v>5</v>
      </c>
      <c r="B10" s="14" t="s">
        <v>71</v>
      </c>
      <c r="C10" s="19" t="s">
        <v>49</v>
      </c>
      <c r="D10" s="18" t="s">
        <v>21</v>
      </c>
      <c r="E10" s="69">
        <v>8</v>
      </c>
      <c r="F10" s="32" t="s">
        <v>38</v>
      </c>
      <c r="G10" s="2" t="s">
        <v>51</v>
      </c>
    </row>
    <row r="11" spans="1:8" ht="28.5">
      <c r="A11" s="1">
        <v>6</v>
      </c>
      <c r="B11" s="14" t="s">
        <v>22</v>
      </c>
      <c r="C11" s="14" t="s">
        <v>48</v>
      </c>
      <c r="D11" s="18" t="s">
        <v>21</v>
      </c>
      <c r="E11" s="68">
        <v>0</v>
      </c>
      <c r="F11" s="32" t="s">
        <v>38</v>
      </c>
      <c r="G11" s="9" t="s">
        <v>73</v>
      </c>
    </row>
    <row r="12" spans="1:8" ht="28.5">
      <c r="A12" s="1">
        <v>7</v>
      </c>
      <c r="B12" s="8" t="s">
        <v>50</v>
      </c>
      <c r="C12" s="8" t="s">
        <v>5</v>
      </c>
      <c r="D12" s="6" t="s">
        <v>21</v>
      </c>
      <c r="E12" s="32" t="s">
        <v>38</v>
      </c>
      <c r="F12" s="30">
        <f>F8*20%*(E11/E10)</f>
        <v>0</v>
      </c>
      <c r="G12" s="10"/>
    </row>
    <row r="13" spans="1:8" ht="28.5">
      <c r="A13" s="1">
        <v>8</v>
      </c>
      <c r="B13" s="14" t="s">
        <v>23</v>
      </c>
      <c r="C13" s="14" t="s">
        <v>49</v>
      </c>
      <c r="D13" s="20" t="s">
        <v>24</v>
      </c>
      <c r="E13" s="68">
        <v>64</v>
      </c>
      <c r="F13" s="32" t="s">
        <v>38</v>
      </c>
      <c r="G13" s="9" t="s">
        <v>74</v>
      </c>
    </row>
    <row r="14" spans="1:8" ht="71.25">
      <c r="A14" s="1">
        <v>9</v>
      </c>
      <c r="B14" s="14" t="s">
        <v>25</v>
      </c>
      <c r="C14" s="14" t="s">
        <v>49</v>
      </c>
      <c r="D14" s="20" t="s">
        <v>24</v>
      </c>
      <c r="E14" s="68">
        <v>0</v>
      </c>
      <c r="F14" s="32" t="s">
        <v>38</v>
      </c>
      <c r="G14" s="9" t="s">
        <v>78</v>
      </c>
    </row>
    <row r="15" spans="1:8" ht="28.5">
      <c r="A15" s="1">
        <v>10</v>
      </c>
      <c r="B15" s="8" t="s">
        <v>52</v>
      </c>
      <c r="C15" s="8" t="s">
        <v>6</v>
      </c>
      <c r="D15" s="6" t="s">
        <v>21</v>
      </c>
      <c r="E15" s="32" t="s">
        <v>38</v>
      </c>
      <c r="F15" s="30">
        <f>(F8*24)*(E14/E13)/24</f>
        <v>0</v>
      </c>
      <c r="G15" s="9"/>
    </row>
    <row r="16" spans="1:8" ht="120.75" customHeight="1">
      <c r="A16" s="1">
        <v>11</v>
      </c>
      <c r="B16" s="14" t="s">
        <v>53</v>
      </c>
      <c r="C16" s="14" t="s">
        <v>7</v>
      </c>
      <c r="D16" s="20" t="s">
        <v>21</v>
      </c>
      <c r="E16" s="68">
        <v>0.15</v>
      </c>
      <c r="F16" s="30">
        <f>F8*E16</f>
        <v>23.8592731756003</v>
      </c>
      <c r="G16" s="11" t="s">
        <v>100</v>
      </c>
    </row>
    <row r="17" spans="1:7" ht="30" customHeight="1">
      <c r="A17" s="1">
        <v>12</v>
      </c>
      <c r="B17" s="8" t="s">
        <v>54</v>
      </c>
      <c r="C17" s="8" t="s">
        <v>9</v>
      </c>
      <c r="D17" s="37" t="s">
        <v>21</v>
      </c>
      <c r="E17" s="32" t="s">
        <v>38</v>
      </c>
      <c r="F17" s="30">
        <f>(F8+F12+F15+F16)/12</f>
        <v>15.243424528855748</v>
      </c>
      <c r="G17" s="2"/>
    </row>
    <row r="18" spans="1:7" ht="30.75" customHeight="1">
      <c r="A18" s="1">
        <v>13</v>
      </c>
      <c r="B18" s="8" t="s">
        <v>56</v>
      </c>
      <c r="C18" s="8" t="s">
        <v>10</v>
      </c>
      <c r="D18" s="7"/>
      <c r="E18" s="32" t="s">
        <v>38</v>
      </c>
      <c r="F18" s="31">
        <v>0.30199999999999999</v>
      </c>
      <c r="G18" s="2"/>
    </row>
    <row r="19" spans="1:7" ht="40.5" customHeight="1">
      <c r="A19" s="1">
        <v>14</v>
      </c>
      <c r="B19" s="8" t="s">
        <v>55</v>
      </c>
      <c r="C19" s="8" t="s">
        <v>8</v>
      </c>
      <c r="D19" s="6" t="s">
        <v>26</v>
      </c>
      <c r="E19" s="32" t="s">
        <v>38</v>
      </c>
      <c r="F19" s="30">
        <f>(F8+F12+F15+F16+F17)*F18</f>
        <v>59.845684700287663</v>
      </c>
      <c r="G19" s="2"/>
    </row>
    <row r="20" spans="1:7" ht="15">
      <c r="A20" s="1">
        <v>15</v>
      </c>
      <c r="B20" s="8" t="s">
        <v>57</v>
      </c>
      <c r="C20" s="13" t="s">
        <v>11</v>
      </c>
      <c r="D20" s="8"/>
      <c r="E20" s="32" t="s">
        <v>38</v>
      </c>
      <c r="F20" s="32">
        <f>E21+F22</f>
        <v>1.7664000000000002</v>
      </c>
      <c r="G20" s="2" t="s">
        <v>58</v>
      </c>
    </row>
    <row r="21" spans="1:7" ht="111" customHeight="1">
      <c r="A21" s="1">
        <v>16</v>
      </c>
      <c r="B21" s="21" t="s">
        <v>29</v>
      </c>
      <c r="C21" s="15" t="s">
        <v>60</v>
      </c>
      <c r="D21" s="21"/>
      <c r="E21" s="70">
        <v>1.6664000000000001</v>
      </c>
      <c r="F21" s="32" t="s">
        <v>38</v>
      </c>
      <c r="G21" s="44" t="s">
        <v>79</v>
      </c>
    </row>
    <row r="22" spans="1:7" ht="31.5">
      <c r="A22" s="1">
        <v>17</v>
      </c>
      <c r="B22" s="8" t="s">
        <v>27</v>
      </c>
      <c r="C22" s="22" t="s">
        <v>59</v>
      </c>
      <c r="D22" s="8"/>
      <c r="E22" s="32" t="s">
        <v>38</v>
      </c>
      <c r="F22" s="42">
        <f>SUM(E23:E27)</f>
        <v>0.1</v>
      </c>
      <c r="G22" s="43" t="s">
        <v>82</v>
      </c>
    </row>
    <row r="23" spans="1:7" ht="15">
      <c r="A23" s="1">
        <v>18</v>
      </c>
      <c r="B23" s="15" t="s">
        <v>30</v>
      </c>
      <c r="C23" s="21" t="s">
        <v>49</v>
      </c>
      <c r="D23" s="21"/>
      <c r="E23" s="70">
        <v>0</v>
      </c>
      <c r="F23" s="32" t="s">
        <v>38</v>
      </c>
      <c r="G23" s="1" t="s">
        <v>34</v>
      </c>
    </row>
    <row r="24" spans="1:7" ht="15">
      <c r="A24" s="1">
        <v>19</v>
      </c>
      <c r="B24" s="39" t="s">
        <v>31</v>
      </c>
      <c r="C24" s="21" t="s">
        <v>49</v>
      </c>
      <c r="D24" s="21"/>
      <c r="E24" s="70">
        <v>0</v>
      </c>
      <c r="F24" s="32" t="s">
        <v>38</v>
      </c>
      <c r="G24" s="1" t="s">
        <v>35</v>
      </c>
    </row>
    <row r="25" spans="1:7" ht="15">
      <c r="A25" s="1">
        <v>20</v>
      </c>
      <c r="B25" s="15" t="s">
        <v>28</v>
      </c>
      <c r="C25" s="21" t="s">
        <v>49</v>
      </c>
      <c r="D25" s="21"/>
      <c r="E25" s="70">
        <v>0</v>
      </c>
      <c r="F25" s="32" t="s">
        <v>38</v>
      </c>
      <c r="G25" s="1" t="s">
        <v>36</v>
      </c>
    </row>
    <row r="26" spans="1:7" ht="15">
      <c r="A26" s="1">
        <v>21</v>
      </c>
      <c r="B26" s="15" t="s">
        <v>32</v>
      </c>
      <c r="C26" s="21" t="s">
        <v>49</v>
      </c>
      <c r="D26" s="21"/>
      <c r="E26" s="70">
        <v>0.1</v>
      </c>
      <c r="F26" s="32" t="s">
        <v>38</v>
      </c>
      <c r="G26" s="1" t="s">
        <v>37</v>
      </c>
    </row>
    <row r="27" spans="1:7" ht="15">
      <c r="A27" s="1">
        <v>22</v>
      </c>
      <c r="B27" s="15" t="s">
        <v>33</v>
      </c>
      <c r="C27" s="21" t="s">
        <v>49</v>
      </c>
      <c r="D27" s="21"/>
      <c r="E27" s="70">
        <v>0</v>
      </c>
      <c r="F27" s="32" t="s">
        <v>38</v>
      </c>
      <c r="G27" s="1" t="s">
        <v>34</v>
      </c>
    </row>
    <row r="28" spans="1:7" ht="42.75">
      <c r="A28" s="1">
        <v>23</v>
      </c>
      <c r="B28" s="8" t="s">
        <v>61</v>
      </c>
      <c r="C28" s="8" t="s">
        <v>15</v>
      </c>
      <c r="D28" s="6" t="s">
        <v>26</v>
      </c>
      <c r="E28" s="32" t="s">
        <v>38</v>
      </c>
      <c r="F28" s="30">
        <f>(F8+F12+F15+F16+F17+F19)*F20</f>
        <v>455.7492235956085</v>
      </c>
      <c r="G28" s="2"/>
    </row>
    <row r="29" spans="1:7" ht="42.75">
      <c r="A29" s="1">
        <v>24</v>
      </c>
      <c r="B29" s="8" t="s">
        <v>62</v>
      </c>
      <c r="C29" s="8" t="s">
        <v>1</v>
      </c>
      <c r="D29" s="8" t="s">
        <v>40</v>
      </c>
      <c r="E29" s="32" t="s">
        <v>38</v>
      </c>
      <c r="F29" s="32">
        <f>E13*E10/E9</f>
        <v>170.66666666666666</v>
      </c>
      <c r="G29" s="10"/>
    </row>
    <row r="30" spans="1:7" ht="75.75" customHeight="1">
      <c r="A30" s="1">
        <v>25</v>
      </c>
      <c r="B30" s="14" t="s">
        <v>67</v>
      </c>
      <c r="C30" s="14" t="s">
        <v>68</v>
      </c>
      <c r="D30" s="14"/>
      <c r="E30" s="68">
        <v>1</v>
      </c>
      <c r="F30" s="32" t="s">
        <v>38</v>
      </c>
      <c r="G30" s="41" t="s">
        <v>80</v>
      </c>
    </row>
    <row r="31" spans="1:7" ht="28.5">
      <c r="A31" s="1">
        <v>26</v>
      </c>
      <c r="B31" s="8" t="s">
        <v>63</v>
      </c>
      <c r="C31" s="8" t="s">
        <v>16</v>
      </c>
      <c r="D31" s="5" t="s">
        <v>39</v>
      </c>
      <c r="E31" s="32" t="s">
        <v>38</v>
      </c>
      <c r="F31" s="29">
        <f>(F28*F29)*E30*0.2</f>
        <v>15556.240165396768</v>
      </c>
      <c r="G31" s="2"/>
    </row>
    <row r="32" spans="1:7" ht="42.75">
      <c r="A32" s="1">
        <v>27</v>
      </c>
      <c r="B32" s="8" t="s">
        <v>69</v>
      </c>
      <c r="C32" s="8" t="s">
        <v>17</v>
      </c>
      <c r="D32" s="5" t="s">
        <v>39</v>
      </c>
      <c r="E32" s="32" t="s">
        <v>38</v>
      </c>
      <c r="F32" s="29">
        <f>((F28*F29)*E30+F31)*0.05</f>
        <v>4666.8720496190308</v>
      </c>
      <c r="G32" s="2"/>
    </row>
    <row r="33" spans="1:15" ht="93" customHeight="1">
      <c r="A33" s="1">
        <v>28</v>
      </c>
      <c r="B33" s="14" t="s">
        <v>64</v>
      </c>
      <c r="C33" s="14" t="s">
        <v>42</v>
      </c>
      <c r="D33" s="23" t="s">
        <v>39</v>
      </c>
      <c r="E33" s="4">
        <v>0</v>
      </c>
      <c r="F33" s="32" t="s">
        <v>38</v>
      </c>
      <c r="G33" s="38" t="s">
        <v>75</v>
      </c>
    </row>
    <row r="34" spans="1:15" ht="28.5">
      <c r="A34" s="1">
        <v>29</v>
      </c>
      <c r="B34" s="8" t="s">
        <v>65</v>
      </c>
      <c r="C34" s="27" t="s">
        <v>13</v>
      </c>
      <c r="D34" s="24" t="s">
        <v>39</v>
      </c>
      <c r="E34" s="32" t="s">
        <v>38</v>
      </c>
      <c r="F34" s="29">
        <f>((F28*F29)*E30+F31+F32+E33)*22%</f>
        <v>21560.948869239921</v>
      </c>
      <c r="G34" s="36"/>
    </row>
    <row r="35" spans="1:15" ht="57">
      <c r="A35" s="1">
        <v>30</v>
      </c>
      <c r="B35" s="15" t="s">
        <v>41</v>
      </c>
      <c r="C35" s="25" t="s">
        <v>66</v>
      </c>
      <c r="D35" s="26"/>
      <c r="E35" s="12">
        <v>1</v>
      </c>
      <c r="F35" s="32" t="s">
        <v>38</v>
      </c>
      <c r="G35" s="9" t="s">
        <v>76</v>
      </c>
    </row>
    <row r="36" spans="1:15" ht="28.5">
      <c r="A36" s="1">
        <v>31</v>
      </c>
      <c r="B36" s="40" t="s">
        <v>77</v>
      </c>
      <c r="C36" s="33" t="s">
        <v>12</v>
      </c>
      <c r="D36" s="34" t="s">
        <v>39</v>
      </c>
      <c r="E36" s="32" t="s">
        <v>38</v>
      </c>
      <c r="F36" s="74">
        <f>((F28*F29)*E30+F31+F32+E33)*E35+F34</f>
        <v>119565.26191123956</v>
      </c>
      <c r="G36" s="35"/>
    </row>
    <row r="37" spans="1:15" ht="45.75" customHeight="1">
      <c r="A37" s="99" t="s">
        <v>106</v>
      </c>
      <c r="B37" s="100"/>
      <c r="C37" s="100"/>
      <c r="D37" s="100"/>
      <c r="E37" s="100"/>
      <c r="F37" s="100"/>
    </row>
    <row r="38" spans="1:15" ht="45.75" customHeight="1">
      <c r="A38" s="81"/>
      <c r="B38" s="83" t="s">
        <v>105</v>
      </c>
      <c r="C38" s="82"/>
      <c r="D38" s="82"/>
      <c r="E38" s="82"/>
      <c r="F38" s="82"/>
      <c r="G38" s="73"/>
    </row>
    <row r="39" spans="1:15" ht="133.5" customHeight="1">
      <c r="A39" s="103" t="s">
        <v>101</v>
      </c>
      <c r="B39" s="104"/>
      <c r="C39" s="104"/>
      <c r="D39" s="104"/>
      <c r="E39" s="104"/>
      <c r="F39" s="104"/>
      <c r="G39" s="104"/>
    </row>
    <row r="40" spans="1:15">
      <c r="A40" s="73"/>
      <c r="B40" s="73"/>
      <c r="C40" s="73"/>
      <c r="D40" s="73"/>
      <c r="E40" s="73"/>
      <c r="F40" s="73"/>
      <c r="G40" s="73"/>
      <c r="I40" s="73"/>
    </row>
    <row r="42" spans="1:15">
      <c r="A42" s="105" t="s">
        <v>18</v>
      </c>
      <c r="B42" s="106" t="s">
        <v>83</v>
      </c>
      <c r="C42" s="107" t="s">
        <v>84</v>
      </c>
      <c r="D42" s="109" t="s">
        <v>85</v>
      </c>
      <c r="E42" s="110"/>
      <c r="F42" s="110"/>
      <c r="G42" s="110"/>
      <c r="H42" s="110"/>
      <c r="I42" s="110"/>
      <c r="J42" s="111"/>
      <c r="K42" s="106" t="s">
        <v>86</v>
      </c>
      <c r="L42" s="106" t="s">
        <v>87</v>
      </c>
      <c r="M42" s="106"/>
      <c r="N42" s="106"/>
      <c r="O42" s="45"/>
    </row>
    <row r="43" spans="1:15" ht="89.25">
      <c r="A43" s="105"/>
      <c r="B43" s="106"/>
      <c r="C43" s="108"/>
      <c r="D43" s="109" t="s">
        <v>88</v>
      </c>
      <c r="E43" s="111"/>
      <c r="F43" s="109" t="s">
        <v>88</v>
      </c>
      <c r="G43" s="111"/>
      <c r="H43" s="109" t="s">
        <v>88</v>
      </c>
      <c r="I43" s="111"/>
      <c r="J43" s="45"/>
      <c r="K43" s="106"/>
      <c r="L43" s="46" t="s">
        <v>89</v>
      </c>
      <c r="M43" s="47" t="s">
        <v>90</v>
      </c>
      <c r="N43" s="47" t="s">
        <v>91</v>
      </c>
      <c r="O43" s="45"/>
    </row>
    <row r="44" spans="1:15" ht="38.25">
      <c r="A44" s="48">
        <v>1</v>
      </c>
      <c r="B44" s="49">
        <v>2</v>
      </c>
      <c r="C44" s="48">
        <v>3</v>
      </c>
      <c r="D44" s="48">
        <v>4</v>
      </c>
      <c r="E44" s="48" t="s">
        <v>92</v>
      </c>
      <c r="F44" s="48">
        <v>6</v>
      </c>
      <c r="G44" s="48" t="s">
        <v>93</v>
      </c>
      <c r="H44" s="77">
        <v>8</v>
      </c>
      <c r="I44" s="48" t="s">
        <v>94</v>
      </c>
      <c r="J44" s="48">
        <v>10</v>
      </c>
      <c r="K44" s="50" t="s">
        <v>95</v>
      </c>
      <c r="L44" s="48">
        <v>12</v>
      </c>
      <c r="M44" s="48">
        <v>13</v>
      </c>
      <c r="N44" s="48">
        <v>14</v>
      </c>
      <c r="O44" s="48" t="s">
        <v>96</v>
      </c>
    </row>
    <row r="45" spans="1:15" ht="25.5">
      <c r="A45" s="49">
        <v>1</v>
      </c>
      <c r="B45" s="51" t="s">
        <v>97</v>
      </c>
      <c r="C45" s="71">
        <v>1688</v>
      </c>
      <c r="D45" s="65">
        <v>300</v>
      </c>
      <c r="E45" s="66">
        <f>D45*C45</f>
        <v>506400</v>
      </c>
      <c r="F45" s="52">
        <v>310</v>
      </c>
      <c r="G45" s="53">
        <f>F45*C45</f>
        <v>523280</v>
      </c>
      <c r="H45" s="78">
        <v>320</v>
      </c>
      <c r="I45" s="53">
        <f>H45*C45</f>
        <v>540160</v>
      </c>
      <c r="J45" s="49">
        <f>SUM(D45+F45+H45)</f>
        <v>930</v>
      </c>
      <c r="K45" s="54">
        <v>3</v>
      </c>
      <c r="L45" s="53">
        <f>AVERAGE(F45,D45,H45)</f>
        <v>310</v>
      </c>
      <c r="M45" s="53">
        <f>SQRT((POWER(D45-L45,2)+POWER(F45-L45,2)+POWER(H45-L45,2))/(K45-1))</f>
        <v>10</v>
      </c>
      <c r="N45" s="49">
        <f>M45/L45*100</f>
        <v>3.225806451612903</v>
      </c>
      <c r="O45" s="53">
        <f>J45*C45/K45</f>
        <v>523280</v>
      </c>
    </row>
    <row r="46" spans="1:15">
      <c r="A46" s="112" t="s">
        <v>98</v>
      </c>
      <c r="B46" s="113"/>
      <c r="C46" s="114"/>
      <c r="D46" s="67"/>
      <c r="E46" s="66">
        <f>SUM(E45:E45)</f>
        <v>506400</v>
      </c>
      <c r="F46" s="56"/>
      <c r="G46" s="57">
        <f>SUM(G45:G45)</f>
        <v>523280</v>
      </c>
      <c r="H46" s="79"/>
      <c r="I46" s="57">
        <f>SUM(I45:I45)</f>
        <v>540160</v>
      </c>
      <c r="J46" s="55"/>
      <c r="K46" s="55"/>
      <c r="L46" s="55"/>
      <c r="M46" s="55"/>
      <c r="N46" s="55"/>
      <c r="O46" s="57">
        <f>SUM(O44:O45)</f>
        <v>523280</v>
      </c>
    </row>
    <row r="47" spans="1:15" ht="15">
      <c r="A47" s="58"/>
      <c r="B47" s="59"/>
      <c r="C47" s="59"/>
      <c r="D47" s="59"/>
      <c r="E47" s="60"/>
      <c r="F47" s="59"/>
      <c r="G47" s="59"/>
      <c r="H47" s="80"/>
      <c r="I47" s="59"/>
      <c r="J47" s="59"/>
      <c r="K47" s="58"/>
      <c r="L47" s="58"/>
      <c r="M47" s="58"/>
      <c r="N47" s="58"/>
      <c r="O47" s="58"/>
    </row>
    <row r="48" spans="1:15" ht="14.25" customHeight="1">
      <c r="A48" s="102" t="s">
        <v>99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</row>
    <row r="49" spans="1:15" ht="15.75" customHeight="1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</row>
    <row r="50" spans="1:15" ht="15.75">
      <c r="A50" s="58"/>
      <c r="B50" s="61"/>
      <c r="C50" s="62"/>
      <c r="D50" s="59"/>
      <c r="E50" s="59"/>
      <c r="F50" s="59"/>
      <c r="G50" s="59"/>
      <c r="H50" s="80"/>
      <c r="I50" s="59"/>
      <c r="J50" s="59"/>
      <c r="K50" s="58"/>
      <c r="L50" s="58"/>
      <c r="M50" s="58"/>
      <c r="N50" s="58"/>
      <c r="O50" s="58"/>
    </row>
    <row r="51" spans="1:15" ht="15.75">
      <c r="A51" s="58"/>
      <c r="B51" s="63"/>
      <c r="C51" s="62"/>
      <c r="D51" s="59"/>
      <c r="E51" s="59"/>
      <c r="F51" s="59"/>
      <c r="G51" s="59"/>
      <c r="H51" s="80"/>
      <c r="I51" s="59"/>
      <c r="J51" s="59"/>
      <c r="K51" s="64"/>
      <c r="L51" s="58"/>
      <c r="M51" s="58"/>
      <c r="N51" s="58"/>
      <c r="O51" s="58"/>
    </row>
    <row r="52" spans="1:15" ht="15.75">
      <c r="A52" s="58"/>
      <c r="B52" s="61"/>
      <c r="C52" s="62"/>
      <c r="D52" s="59"/>
      <c r="E52" s="59"/>
      <c r="F52" s="59"/>
      <c r="G52" s="59"/>
      <c r="H52" s="80"/>
      <c r="I52" s="59"/>
      <c r="J52" s="59"/>
      <c r="K52" s="58"/>
      <c r="L52" s="58"/>
      <c r="M52" s="58"/>
      <c r="N52" s="58"/>
      <c r="O52" s="58"/>
    </row>
    <row r="53" spans="1:15" ht="15.75">
      <c r="A53" s="58"/>
      <c r="B53" s="61"/>
      <c r="C53" s="62"/>
      <c r="D53" s="59"/>
      <c r="E53" s="59"/>
      <c r="F53" s="59"/>
      <c r="G53" s="59"/>
      <c r="H53" s="80"/>
      <c r="I53" s="59"/>
      <c r="J53" s="59"/>
      <c r="K53" s="58"/>
      <c r="L53" s="58"/>
      <c r="M53" s="58"/>
      <c r="N53" s="58"/>
      <c r="O53" s="58"/>
    </row>
    <row r="54" spans="1:15" ht="15.75">
      <c r="A54" s="58"/>
      <c r="B54" s="61"/>
      <c r="C54" s="62"/>
      <c r="D54" s="59"/>
      <c r="E54" s="59"/>
      <c r="F54" s="59"/>
      <c r="G54" s="59"/>
      <c r="H54" s="80"/>
      <c r="I54" s="59"/>
      <c r="J54" s="59"/>
      <c r="K54" s="58"/>
      <c r="L54" s="58"/>
      <c r="M54" s="58"/>
      <c r="N54" s="58"/>
      <c r="O54" s="58"/>
    </row>
  </sheetData>
  <mergeCells count="15">
    <mergeCell ref="A48:O49"/>
    <mergeCell ref="A2:G2"/>
    <mergeCell ref="A3:G3"/>
    <mergeCell ref="A37:F37"/>
    <mergeCell ref="A39:G39"/>
    <mergeCell ref="A42:A43"/>
    <mergeCell ref="B42:B43"/>
    <mergeCell ref="C42:C43"/>
    <mergeCell ref="D42:J42"/>
    <mergeCell ref="A46:C46"/>
    <mergeCell ref="K42:K43"/>
    <mergeCell ref="L42:N42"/>
    <mergeCell ref="D43:E43"/>
    <mergeCell ref="F43:G43"/>
    <mergeCell ref="H43:I43"/>
  </mergeCells>
  <pageMargins left="0.23622047244094491" right="0.23622047244094491" top="0.39370078740157483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Обсн НМЦК 0110-311226 РабДнПЕЧ</vt:lpstr>
      <vt:lpstr>Обсн НМЦК 0110-311226 РабДн ЧЕР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Васильевна Горохова</dc:creator>
  <cp:lastModifiedBy>Юрист</cp:lastModifiedBy>
  <cp:lastPrinted>2026-06-03T10:40:49Z</cp:lastPrinted>
  <dcterms:created xsi:type="dcterms:W3CDTF">2021-05-21T08:15:36Z</dcterms:created>
  <dcterms:modified xsi:type="dcterms:W3CDTF">2026-08-20T11:14:16Z</dcterms:modified>
</cp:coreProperties>
</file>